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777F28AD-C517-4582-B6A0-35297B2E3BA0}" xr6:coauthVersionLast="47" xr6:coauthVersionMax="47" xr10:uidLastSave="{00000000-0000-0000-0000-000000000000}"/>
  <bookViews>
    <workbookView xWindow="-108" yWindow="-108" windowWidth="23256" windowHeight="12456" activeTab="2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Status_quo" sheetId="19" r:id="rId5"/>
    <sheet name="MC_Middle_road" sheetId="18" r:id="rId6"/>
    <sheet name="MC_High_ambition" sheetId="25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8" l="1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30" i="1" l="1"/>
  <c r="C24" i="1" l="1"/>
  <c r="C23" i="1"/>
  <c r="B11" i="1" l="1"/>
  <c r="B15" i="1" s="1"/>
  <c r="B19" i="1" s="1"/>
  <c r="B12" i="1"/>
  <c r="B16" i="1" s="1"/>
  <c r="B20" i="1" s="1"/>
  <c r="B10" i="1"/>
  <c r="B14" i="1" s="1"/>
  <c r="B18" i="1" s="1"/>
  <c r="C28" i="1" l="1"/>
  <c r="C32" i="1"/>
  <c r="C26" i="1"/>
  <c r="C25" i="1"/>
  <c r="A10" i="18" l="1"/>
  <c r="A9" i="18"/>
  <c r="F3" i="1" l="1"/>
  <c r="C33" i="1" l="1"/>
  <c r="C29" i="1"/>
  <c r="F4" i="1" l="1"/>
  <c r="C31" i="1" l="1"/>
  <c r="C27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L35" i="4"/>
  <c r="L37" i="4"/>
  <c r="G19" i="4" s="1"/>
  <c r="B42" i="10"/>
  <c r="E42" i="10"/>
  <c r="H3" i="1"/>
  <c r="H4" i="1"/>
  <c r="E49" i="10" l="1"/>
  <c r="E19" i="4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29" i="1" l="1"/>
  <c r="B33" i="1" s="1"/>
  <c r="B28" i="1"/>
  <c r="B32" i="1" s="1"/>
  <c r="B27" i="1"/>
  <c r="B31" i="1" s="1"/>
  <c r="I8" i="1"/>
  <c r="B26" i="1" l="1"/>
  <c r="B30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N35" i="1" l="1"/>
  <c r="W4" i="1" l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O8" i="1" s="1"/>
  <c r="G54" i="4"/>
  <c r="E54" i="4"/>
  <c r="E55" i="4"/>
  <c r="O11" i="1" s="1"/>
  <c r="C55" i="4"/>
  <c r="O10" i="1" s="1"/>
  <c r="O15" i="1" l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1" i="1"/>
  <c r="M4" i="1" l="1"/>
  <c r="C3" i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Z4" i="1" s="1"/>
  <c r="Z8" i="1" s="1"/>
  <c r="Z12" i="1" s="1"/>
  <c r="Z16" i="1" s="1"/>
  <c r="Z3" i="1"/>
  <c r="B11" i="26" s="1"/>
  <c r="B15" i="26" s="1"/>
  <c r="D7" i="1"/>
  <c r="G4" i="1"/>
  <c r="C6" i="1" l="1"/>
  <c r="Z7" i="1"/>
  <c r="Z6" i="1"/>
  <c r="Z10" i="1" s="1"/>
  <c r="Z14" i="1" s="1"/>
  <c r="Z11" i="1"/>
  <c r="Z15" i="1" s="1"/>
  <c r="D11" i="18"/>
  <c r="D12" i="18" s="1"/>
  <c r="D16" i="18" s="1"/>
  <c r="D16" i="1"/>
  <c r="C12" i="1"/>
  <c r="Z20" i="1"/>
  <c r="C10" i="1"/>
  <c r="P4" i="1"/>
  <c r="C11" i="1"/>
  <c r="C11" i="26"/>
  <c r="C15" i="26" s="1"/>
  <c r="C11" i="25"/>
  <c r="C7" i="1"/>
  <c r="C8" i="1"/>
  <c r="P3" i="1"/>
  <c r="D12" i="25"/>
  <c r="D16" i="25" s="1"/>
  <c r="D12" i="19" l="1"/>
  <c r="C12" i="25"/>
  <c r="C16" i="25" s="1"/>
  <c r="B12" i="25"/>
  <c r="B16" i="25" s="1"/>
  <c r="C12" i="18"/>
  <c r="C16" i="18" s="1"/>
  <c r="D30" i="1"/>
  <c r="Z19" i="1"/>
  <c r="C12" i="21" s="1"/>
  <c r="C16" i="21" s="1"/>
  <c r="C12" i="19"/>
  <c r="C16" i="19" s="1"/>
  <c r="B12" i="19"/>
  <c r="B16" i="19" s="1"/>
  <c r="Z18" i="1"/>
  <c r="B12" i="21" s="1"/>
  <c r="B16" i="21" s="1"/>
  <c r="D31" i="1"/>
  <c r="Q3" i="1"/>
  <c r="R3" i="1"/>
  <c r="R4" i="1"/>
  <c r="Q4" i="1"/>
  <c r="B12" i="18"/>
  <c r="B16" i="18" s="1"/>
  <c r="D20" i="1"/>
  <c r="C16" i="1"/>
  <c r="D11" i="19"/>
  <c r="C14" i="1"/>
  <c r="C15" i="1"/>
  <c r="D16" i="19" l="1"/>
  <c r="D12" i="21"/>
  <c r="C8" i="26"/>
  <c r="C9" i="26" s="1"/>
  <c r="C14" i="26" s="1"/>
  <c r="D32" i="1"/>
  <c r="D11" i="21"/>
  <c r="C20" i="1"/>
  <c r="C19" i="1"/>
  <c r="C18" i="1"/>
  <c r="B8" i="26"/>
  <c r="B9" i="26" s="1"/>
  <c r="B14" i="26" s="1"/>
  <c r="D16" i="21" l="1"/>
  <c r="D33" i="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O3" i="1" s="1"/>
  <c r="B59" i="10"/>
  <c r="M19" i="1"/>
  <c r="J19" i="1" s="1"/>
  <c r="M18" i="1"/>
  <c r="E59" i="10"/>
  <c r="E60" i="10"/>
  <c r="O4" i="1" s="1"/>
  <c r="T4" i="1" s="1"/>
  <c r="N4" i="1"/>
  <c r="G28" i="4"/>
  <c r="E28" i="4"/>
  <c r="M8" i="1"/>
  <c r="J8" i="1" s="1"/>
  <c r="F8" i="1" l="1"/>
  <c r="F19" i="1"/>
  <c r="T3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C3" i="26"/>
  <c r="C13" i="26" s="1"/>
  <c r="C17" i="26" s="1"/>
  <c r="B3" i="26"/>
  <c r="B13" i="26" s="1"/>
  <c r="B17" i="26" s="1"/>
  <c r="S3" i="1"/>
  <c r="U3" i="1"/>
  <c r="B2" i="26"/>
  <c r="T19" i="1" l="1"/>
  <c r="S19" i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AA19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E17" i="26"/>
  <c r="E21" i="26" s="1"/>
  <c r="AA4" i="1"/>
  <c r="B5" i="21" l="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E18" i="26"/>
  <c r="E19" i="26"/>
  <c r="U11" i="1"/>
  <c r="U15" i="1" s="1"/>
  <c r="B5" i="18"/>
  <c r="B6" i="18" s="1"/>
  <c r="B14" i="18" s="1"/>
  <c r="AA18" i="1" l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H19" i="26"/>
  <c r="AD4" i="1" s="1"/>
  <c r="U18" i="1"/>
  <c r="AA16" i="1" l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D8" i="1" s="1"/>
  <c r="AB16" i="1"/>
  <c r="AB10" i="1"/>
  <c r="AB12" i="1"/>
  <c r="AC20" i="1"/>
  <c r="AB14" i="1"/>
  <c r="F18" i="18" l="1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s="1"/>
  <c r="AD12" i="1" l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s="1"/>
</calcChain>
</file>

<file path=xl/sharedStrings.xml><?xml version="1.0" encoding="utf-8"?>
<sst xmlns="http://schemas.openxmlformats.org/spreadsheetml/2006/main" count="211" uniqueCount="139">
  <si>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</si>
  <si>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</si>
  <si>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</si>
  <si>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</si>
  <si>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</si>
  <si>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</si>
  <si>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</si>
  <si>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</si>
  <si>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</si>
  <si>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</si>
  <si>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</si>
  <si>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</si>
  <si>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</si>
  <si>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</si>
  <si>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</si>
  <si>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</si>
  <si>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</si>
  <si>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</si>
  <si>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</si>
  <si>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</si>
  <si>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</si>
  <si>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</si>
  <si>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</si>
  <si>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</si>
  <si>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</si>
  <si>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</si>
  <si>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</si>
  <si>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</si>
  <si>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</si>
  <si>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</si>
  <si>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</si>
  <si>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</si>
  <si>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</si>
  <si>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</si>
  <si>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</si>
  <si>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</si>
  <si>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</si>
  <si>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</si>
  <si>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</si>
  <si>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</si>
  <si>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</si>
  <si>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</si>
  <si>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</si>
  <si>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</si>
  <si>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</si>
  <si>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</si>
  <si>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</si>
  <si>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</si>
  <si>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</si>
  <si>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</si>
  <si>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</si>
  <si>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Parameters (as defined in Table 1 and other sections of text) (based on TLSA, URT 2017)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</si>
  <si>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</si>
  <si>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</si>
  <si>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</si>
  <si>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</si>
  <si>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</si>
  <si>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</si>
  <si>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</si>
  <si>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</si>
  <si>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</si>
  <si>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</si>
  <si>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</si>
  <si>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</si>
  <si>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</si>
  <si>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</si>
  <si>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</si>
  <si>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</si>
  <si>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</si>
  <si>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</si>
  <si>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</si>
  <si>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</si>
  <si>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</si>
  <si>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</si>
  <si>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</si>
  <si>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</si>
  <si>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</si>
  <si>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</si>
  <si>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</si>
  <si>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</si>
  <si>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</si>
  <si>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</si>
  <si>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</si>
  <si>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</si>
  <si>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</si>
  <si>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</si>
  <si>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</si>
  <si>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</si>
  <si>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>Ratio improved cattle for which new adopters adopt (inclusive)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</si>
  <si>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</si>
  <si>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</si>
  <si>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</si>
  <si>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</si>
  <si>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</si>
  <si>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</si>
  <si>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Adoption rate (% of hholds) toggle</t>
  </si>
  <si>
    <t>Total variable expenses (USD/cow/year)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</si>
  <si>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</si>
  <si>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</si>
  <si>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</si>
  <si>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</si>
  <si>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</si>
  <si>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</si>
  <si>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</si>
  <si>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</si>
  <si>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</si>
  <si>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</si>
  <si>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</si>
  <si>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</si>
  <si>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</si>
  <si>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</si>
  <si>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</si>
  <si>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</si>
  <si>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</si>
  <si>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</si>
  <si>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</si>
  <si>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</si>
  <si>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</si>
  <si>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</si>
  <si>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</si>
  <si>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</si>
  <si>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</si>
  <si>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</si>
  <si>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</si>
  <si>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</si>
  <si>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</si>
  <si>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</si>
  <si>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</si>
  <si>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</si>
  <si>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</si>
  <si>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</si>
  <si>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</si>
  <si>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</si>
  <si>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</si>
  <si>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</si>
  <si>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</si>
  <si>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</si>
  <si>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 xml:space="preserve">Dairy Income 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</si>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</sst>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0" fontId="22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2" fillId="0" borderId="0" xfId="0" applyNumberFormat="1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/>
    </xf>
    <xf numFmtId="168" fontId="19" fillId="0" borderId="0" xfId="0" applyNumberFormat="1" applyFont="1"/>
    <xf numFmtId="168" fontId="0" fillId="0" borderId="0" xfId="0" applyNumberFormat="1"/>
    <xf numFmtId="168" fontId="12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8A6D93"/>
      <color rgb="FFCC00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topLeftCell="A13" zoomScaleNormal="100" workbookViewId="0">
      <selection activeCell="G25" sqref="G25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17" t="s">
        <v>89</v>
      </c>
      <c r="D1" s="118"/>
      <c r="E1" s="118"/>
      <c r="F1" s="118"/>
      <c r="G1" s="118"/>
    </row>
    <row r="2" spans="1:12" x14ac:dyDescent="0.3">
      <c r="A2" s="2" t="s">
        <v>64</v>
      </c>
      <c r="B2" s="5"/>
      <c r="C2" s="120" t="s">
        <v>103</v>
      </c>
      <c r="D2" s="120"/>
      <c r="E2" s="120" t="s">
        <v>104</v>
      </c>
      <c r="F2" s="120"/>
      <c r="G2" s="114" t="s">
        <v>105</v>
      </c>
    </row>
    <row r="3" spans="1:12" x14ac:dyDescent="0.3">
      <c r="A3" t="s">
        <v>57</v>
      </c>
      <c r="B3" s="11"/>
      <c r="C3" s="119">
        <f>G3</f>
        <v>0.55747885382429763</v>
      </c>
      <c r="D3" s="119"/>
      <c r="E3" s="119">
        <f>Dairy_Income_Baseline!B3</f>
        <v>0.48314833998105799</v>
      </c>
      <c r="F3" s="119"/>
      <c r="G3" s="51">
        <f>[1]All!$L$7*L16</f>
        <v>0.55747885382429763</v>
      </c>
      <c r="J3" s="39"/>
    </row>
    <row r="4" spans="1:12" x14ac:dyDescent="0.3">
      <c r="A4" t="s">
        <v>58</v>
      </c>
      <c r="B4" s="11"/>
      <c r="C4" s="122">
        <f>G4</f>
        <v>3007.9506358527424</v>
      </c>
      <c r="D4" s="122"/>
      <c r="E4" s="122">
        <f>[2]prod_herd_data!$J$38</f>
        <v>757.75586056583484</v>
      </c>
      <c r="F4" s="122"/>
      <c r="G4" s="50">
        <f>[2]prod_herd_data!$J$39</f>
        <v>3007.9506358527424</v>
      </c>
    </row>
    <row r="5" spans="1:12" x14ac:dyDescent="0.3">
      <c r="A5" t="s">
        <v>59</v>
      </c>
      <c r="B5" s="11"/>
      <c r="C5" s="122">
        <f>C4*C3*(12*L11-9)/(12*L11)</f>
        <v>1572.0645682830507</v>
      </c>
      <c r="D5" s="122"/>
      <c r="E5" s="122">
        <f>E4*E3</f>
        <v>366.10848614330115</v>
      </c>
      <c r="F5" s="122"/>
      <c r="G5" s="50">
        <f>G4*G3</f>
        <v>1676.868872835254</v>
      </c>
    </row>
    <row r="6" spans="1:12" x14ac:dyDescent="0.3">
      <c r="B6" s="11"/>
      <c r="C6" s="122"/>
      <c r="D6" s="122"/>
      <c r="E6" s="122"/>
      <c r="F6" s="122"/>
      <c r="G6" s="50"/>
    </row>
    <row r="7" spans="1:12" x14ac:dyDescent="0.3">
      <c r="A7" s="2" t="s">
        <v>60</v>
      </c>
      <c r="B7" s="11"/>
      <c r="C7" s="122"/>
      <c r="D7" s="122"/>
      <c r="E7" s="122"/>
      <c r="F7" s="122"/>
      <c r="G7" s="50"/>
    </row>
    <row r="8" spans="1:12" x14ac:dyDescent="0.3">
      <c r="A8" t="s">
        <v>72</v>
      </c>
      <c r="B8" s="11"/>
      <c r="C8" s="122">
        <f>(([2]concentrate_feeding!$J$23*L29)+([2]concentrate_feeding!$J$24*L30))</f>
        <v>355.53052232957771</v>
      </c>
      <c r="D8" s="122"/>
      <c r="E8" s="122">
        <f>(([2]concentrate_feeding!$J$17*L29)+([2]concentrate_feeding!$J$18*L30))</f>
        <v>86.361328970444461</v>
      </c>
      <c r="F8" s="122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22">
        <f>Dairy_Income_Baseline!D9</f>
        <v>9.9618214429084109</v>
      </c>
      <c r="D9" s="122"/>
      <c r="E9" s="122">
        <f>Dairy_Income_Baseline!B9</f>
        <v>3.7037541262095375</v>
      </c>
      <c r="F9" s="122"/>
      <c r="G9" s="50">
        <f>Dairy_Income_Baseline!D9</f>
        <v>9.9618214429084109</v>
      </c>
    </row>
    <row r="10" spans="1:12" x14ac:dyDescent="0.3">
      <c r="A10" t="s">
        <v>61</v>
      </c>
      <c r="B10" s="11"/>
      <c r="C10" s="122">
        <f>Dairy_Income_Baseline!D10</f>
        <v>8.9400961667126779</v>
      </c>
      <c r="D10" s="122"/>
      <c r="E10" s="122">
        <f>Dairy_Income_Baseline!B10</f>
        <v>9.4509588048105453</v>
      </c>
      <c r="F10" s="122"/>
      <c r="G10" s="50">
        <f>Dairy_Income_Baseline!D10</f>
        <v>8.9400961667126779</v>
      </c>
      <c r="K10" s="2" t="s">
        <v>92</v>
      </c>
    </row>
    <row r="11" spans="1:12" x14ac:dyDescent="0.3">
      <c r="A11" t="s">
        <v>62</v>
      </c>
      <c r="B11" s="20"/>
      <c r="C11" s="122">
        <f>Dairy_Income_Baseline!D11</f>
        <v>1.0217252761957345</v>
      </c>
      <c r="D11" s="122"/>
      <c r="E11" s="122">
        <f>Dairy_Income_Baseline!B11</f>
        <v>0.12771565952446681</v>
      </c>
      <c r="F11" s="122"/>
      <c r="G11" s="50">
        <f>Dairy_Income_Baseline!D11</f>
        <v>1.0217252761957345</v>
      </c>
      <c r="K11" s="54" t="s">
        <v>87</v>
      </c>
      <c r="L11" s="52">
        <v>12</v>
      </c>
    </row>
    <row r="12" spans="1:12" s="52" customFormat="1" x14ac:dyDescent="0.3">
      <c r="B12" s="48"/>
      <c r="C12" s="122"/>
      <c r="D12" s="122"/>
      <c r="E12" s="122"/>
      <c r="F12" s="122"/>
      <c r="G12" s="50"/>
      <c r="K12" s="54"/>
    </row>
    <row r="13" spans="1:12" x14ac:dyDescent="0.3">
      <c r="A13" s="2" t="s">
        <v>85</v>
      </c>
      <c r="B13" s="11"/>
      <c r="C13" s="122">
        <f>SUM(C8:C11)</f>
        <v>375.45416521539454</v>
      </c>
      <c r="D13" s="122"/>
      <c r="E13" s="122">
        <f>SUM(E8:E11)</f>
        <v>99.643757560989002</v>
      </c>
      <c r="F13" s="122"/>
      <c r="G13" s="50">
        <f>SUM(G8:G11)</f>
        <v>375.45416521539454</v>
      </c>
      <c r="K13" t="s">
        <v>69</v>
      </c>
      <c r="L13">
        <f>[1]All!$M$12</f>
        <v>397.7</v>
      </c>
    </row>
    <row r="14" spans="1:12" x14ac:dyDescent="0.3">
      <c r="B14" s="11"/>
      <c r="C14" s="120"/>
      <c r="D14" s="120"/>
      <c r="E14" s="120"/>
      <c r="F14" s="120"/>
      <c r="G14" s="1"/>
    </row>
    <row r="15" spans="1:12" x14ac:dyDescent="0.3">
      <c r="A15" s="2" t="s">
        <v>86</v>
      </c>
      <c r="B15" s="11"/>
      <c r="C15" s="122">
        <f>L13/L11</f>
        <v>33.141666666666666</v>
      </c>
      <c r="D15" s="122"/>
      <c r="E15" s="122">
        <v>0</v>
      </c>
      <c r="F15" s="122"/>
      <c r="G15" s="50">
        <v>0</v>
      </c>
    </row>
    <row r="16" spans="1:12" x14ac:dyDescent="0.3">
      <c r="B16" s="11"/>
      <c r="C16" s="122"/>
      <c r="D16" s="122"/>
      <c r="E16" s="122"/>
      <c r="F16" s="122"/>
      <c r="G16" s="50"/>
      <c r="K16" t="s">
        <v>97</v>
      </c>
      <c r="L16" s="21">
        <f>[3]Sheet1!$B$6</f>
        <v>1.2771565952446682</v>
      </c>
    </row>
    <row r="17" spans="1:17" x14ac:dyDescent="0.3">
      <c r="B17" s="32"/>
      <c r="C17" s="122"/>
      <c r="D17" s="122"/>
      <c r="E17" s="123"/>
      <c r="F17" s="123"/>
      <c r="G17" s="50"/>
    </row>
    <row r="18" spans="1:17" x14ac:dyDescent="0.3">
      <c r="B18" s="43"/>
      <c r="C18" s="121" t="s">
        <v>75</v>
      </c>
      <c r="D18" s="121"/>
      <c r="E18" s="121"/>
      <c r="F18" s="121"/>
      <c r="G18" s="121"/>
      <c r="K18" s="2"/>
    </row>
    <row r="19" spans="1:17" x14ac:dyDescent="0.3">
      <c r="A19" t="s">
        <v>7</v>
      </c>
      <c r="B19" s="11"/>
      <c r="C19" s="122">
        <f>L35*L16</f>
        <v>473.19051384219415</v>
      </c>
      <c r="D19" s="122"/>
      <c r="E19" s="122">
        <f>L35*L16</f>
        <v>473.19051384219415</v>
      </c>
      <c r="F19" s="122"/>
      <c r="G19" s="49">
        <f>L37*L16</f>
        <v>626.19041111347224</v>
      </c>
      <c r="K19" t="s">
        <v>73</v>
      </c>
      <c r="L19">
        <f>[4]Sheet1!$B$5</f>
        <v>28</v>
      </c>
    </row>
    <row r="20" spans="1:17" x14ac:dyDescent="0.3">
      <c r="A20" t="s">
        <v>49</v>
      </c>
      <c r="B20" s="11"/>
      <c r="C20" s="122">
        <f>(((1/1000)*(1/L23)*[2]feeding_change_data!$J$25/L32))</f>
        <v>9.0559842862320855E-2</v>
      </c>
      <c r="D20" s="122"/>
      <c r="E20" s="122">
        <f>(((1/1000)*(1/L23)*[2]feeding_change_data!$J$19/L32))</f>
        <v>4.034835691513472E-2</v>
      </c>
      <c r="F20" s="122"/>
      <c r="G20" s="49">
        <f>(((1/1000)*(1/L23)*[2]feeding_change_data!$J$22/L32))</f>
        <v>6.3518016421959617E-2</v>
      </c>
    </row>
    <row r="21" spans="1:17" x14ac:dyDescent="0.3">
      <c r="A21" t="s">
        <v>65</v>
      </c>
      <c r="B21" s="71"/>
      <c r="C21" s="122">
        <f>(((1/1000)*(1/L24)*[2]feeding_change_data_pasture!$J$25/L33))</f>
        <v>0.19419972310224459</v>
      </c>
      <c r="D21" s="122"/>
      <c r="E21" s="122">
        <f>(((1/1000)*(1/L24)*[2]feeding_change_data_pasture!$J$19/L33))</f>
        <v>0.15731868251776152</v>
      </c>
      <c r="F21" s="122"/>
      <c r="G21" s="49">
        <f>(((1/1000)*(1/L24)*[2]feeding_change_data_pasture!$J$22/L33))</f>
        <v>0.10499097189490476</v>
      </c>
      <c r="K21" t="s">
        <v>101</v>
      </c>
      <c r="L21">
        <v>0.14000000000000001</v>
      </c>
    </row>
    <row r="22" spans="1:17" s="70" customFormat="1" x14ac:dyDescent="0.3">
      <c r="A22" s="72" t="s">
        <v>82</v>
      </c>
      <c r="B22" s="91"/>
      <c r="C22" s="122">
        <f>C20+C21</f>
        <v>0.28475956596456542</v>
      </c>
      <c r="D22" s="122"/>
      <c r="E22" s="122">
        <f>E20+E21</f>
        <v>0.19766703943289624</v>
      </c>
      <c r="F22" s="122"/>
      <c r="G22" s="69">
        <f>G21+G20</f>
        <v>0.16850898831686439</v>
      </c>
    </row>
    <row r="23" spans="1:17" s="52" customFormat="1" x14ac:dyDescent="0.3">
      <c r="A23" s="54" t="s">
        <v>66</v>
      </c>
      <c r="B23" s="71"/>
      <c r="C23" s="122">
        <f>L19*(C20+C21)</f>
        <v>7.9732678470078318</v>
      </c>
      <c r="D23" s="122"/>
      <c r="E23" s="122">
        <f>L19*(E20+E21)</f>
        <v>5.5346771041210943</v>
      </c>
      <c r="F23" s="122"/>
      <c r="G23" s="50">
        <f>L19*(G20+G21)</f>
        <v>4.7182516728722028</v>
      </c>
      <c r="K23" t="s">
        <v>67</v>
      </c>
      <c r="L23">
        <f>[4]Sheet1!$B$6</f>
        <v>0.75</v>
      </c>
    </row>
    <row r="24" spans="1:17" x14ac:dyDescent="0.3">
      <c r="A24" t="s">
        <v>8</v>
      </c>
      <c r="B24" s="11"/>
      <c r="C24" s="122">
        <f>(C20+C21)*C19+C23</f>
        <v>142.71879318726073</v>
      </c>
      <c r="D24" s="122"/>
      <c r="E24" s="122">
        <f>(E20+E21)*E19+E23</f>
        <v>99.068845063038509</v>
      </c>
      <c r="F24" s="122"/>
      <c r="G24" s="49">
        <f>(G20+G21)*G19+G23</f>
        <v>110.2369643433248</v>
      </c>
      <c r="K24" t="s">
        <v>68</v>
      </c>
      <c r="L24">
        <v>0.5</v>
      </c>
    </row>
    <row r="25" spans="1:17" s="52" customFormat="1" x14ac:dyDescent="0.3">
      <c r="A25" s="54"/>
      <c r="B25" s="48"/>
      <c r="C25" s="122"/>
      <c r="D25" s="122"/>
      <c r="E25" s="122"/>
      <c r="F25" s="122"/>
      <c r="G25" s="50"/>
    </row>
    <row r="26" spans="1:17" x14ac:dyDescent="0.3">
      <c r="B26" s="11"/>
      <c r="C26" s="122"/>
      <c r="D26" s="122"/>
      <c r="E26" s="122"/>
      <c r="F26" s="122"/>
      <c r="G26" s="49"/>
      <c r="K26" s="28" t="s">
        <v>25</v>
      </c>
      <c r="L26" s="53">
        <f>7.5</f>
        <v>7.5</v>
      </c>
    </row>
    <row r="27" spans="1:17" x14ac:dyDescent="0.3">
      <c r="A27" t="s">
        <v>47</v>
      </c>
      <c r="B27" s="7"/>
      <c r="C27" s="122">
        <f>L16*(C5-C13)-C15</f>
        <v>1495.1172015495711</v>
      </c>
      <c r="D27" s="122"/>
      <c r="E27" s="122">
        <f>L16*(E5-E13)</f>
        <v>340.3171855089804</v>
      </c>
      <c r="F27" s="122"/>
      <c r="G27" s="90">
        <f>L16*(G5-G13)</f>
        <v>1662.110376985115</v>
      </c>
      <c r="H27" s="90"/>
      <c r="K27" s="28" t="s">
        <v>25</v>
      </c>
      <c r="L27" s="53">
        <f>20</f>
        <v>20</v>
      </c>
    </row>
    <row r="28" spans="1:17" x14ac:dyDescent="0.3">
      <c r="A28" t="s">
        <v>6</v>
      </c>
      <c r="B28" s="7"/>
      <c r="C28" s="122">
        <f>C27-Dairy_Income_Baseline!B28</f>
        <v>1410.3801118605588</v>
      </c>
      <c r="D28" s="122"/>
      <c r="E28" s="122">
        <f>E27-Dairy_Income_Baseline!D28</f>
        <v>-245.41979690192807</v>
      </c>
      <c r="F28" s="122"/>
      <c r="G28" s="49">
        <f>G27-Dairy_Income_Baseline!D28</f>
        <v>1076.3733945742065</v>
      </c>
    </row>
    <row r="29" spans="1:17" x14ac:dyDescent="0.3">
      <c r="C29" s="120"/>
      <c r="D29" s="120"/>
      <c r="E29" s="120"/>
      <c r="F29" s="120"/>
      <c r="K29" s="53" t="s">
        <v>27</v>
      </c>
      <c r="L29" s="21">
        <f>0.25*L16*'[1]Sensitiity analysis'!$C$4</f>
        <v>0.31928914881116705</v>
      </c>
    </row>
    <row r="30" spans="1:17" ht="15.6" x14ac:dyDescent="0.3">
      <c r="A30" s="117" t="s">
        <v>56</v>
      </c>
      <c r="B30" s="117"/>
      <c r="C30" s="117"/>
      <c r="D30" s="117"/>
      <c r="E30" s="117"/>
      <c r="F30" s="117"/>
      <c r="G30" s="117"/>
      <c r="K30" s="53" t="s">
        <v>26</v>
      </c>
      <c r="L30" s="21">
        <f>0.21*L16*'[1]Sensitiity analysis'!$C$5</f>
        <v>0.26820288500138029</v>
      </c>
    </row>
    <row r="31" spans="1:17" x14ac:dyDescent="0.3">
      <c r="A31" s="120" t="s">
        <v>54</v>
      </c>
      <c r="B31" s="120"/>
      <c r="C31" s="120"/>
      <c r="D31" s="120"/>
      <c r="E31" s="120"/>
      <c r="F31" s="120"/>
      <c r="G31" s="120"/>
    </row>
    <row r="32" spans="1:17" x14ac:dyDescent="0.3">
      <c r="A32" t="s">
        <v>17</v>
      </c>
      <c r="B32" s="11"/>
      <c r="C32" s="119">
        <f>Dairy_Income_Baseline!E36</f>
        <v>8.9400961667126785E-2</v>
      </c>
      <c r="D32" s="119"/>
      <c r="E32" s="119">
        <f>Dairy_Income_Baseline!B36</f>
        <v>0.11494409357202014</v>
      </c>
      <c r="F32" s="119"/>
      <c r="G32" s="6">
        <f>Dairy_Income_Baseline!E36</f>
        <v>8.9400961667126785E-2</v>
      </c>
      <c r="K32" t="s">
        <v>28</v>
      </c>
      <c r="L32">
        <v>13</v>
      </c>
      <c r="M32" s="120"/>
      <c r="N32" s="120"/>
      <c r="O32" s="120"/>
      <c r="P32" s="120"/>
      <c r="Q32" s="48"/>
    </row>
    <row r="33" spans="1:12" x14ac:dyDescent="0.3">
      <c r="B33" s="11"/>
      <c r="C33" s="120"/>
      <c r="D33" s="120"/>
      <c r="E33" s="120"/>
      <c r="F33" s="120"/>
      <c r="G33" s="29"/>
      <c r="K33" t="s">
        <v>50</v>
      </c>
      <c r="L33" s="54">
        <v>5</v>
      </c>
    </row>
    <row r="34" spans="1:12" x14ac:dyDescent="0.3">
      <c r="A34" t="s">
        <v>0</v>
      </c>
      <c r="B34" s="11"/>
      <c r="C34" s="119">
        <f>C8*Dairy_Income_Baseline!E38/Dairy_Income_Baseline!B8</f>
        <v>482.38923622672843</v>
      </c>
      <c r="D34" s="119"/>
      <c r="E34" s="119">
        <f>E8*Dairy_Income_Baseline!E38/Dairy_Income_Baseline!D8</f>
        <v>38.601136012683426</v>
      </c>
      <c r="F34" s="119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19">
        <f>Dairy_Income_Baseline!E39</f>
        <v>64.36869240033127</v>
      </c>
      <c r="D35" s="119"/>
      <c r="E35" s="119">
        <f>Dairy_Income_Baseline!B39</f>
        <v>22.09480909773276</v>
      </c>
      <c r="F35" s="119"/>
      <c r="G35" s="6">
        <f>Dairy_Income_Baseline!E39</f>
        <v>64.36869240033127</v>
      </c>
      <c r="K35" t="s">
        <v>31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19">
        <f>Dairy_Income_Baseline!E40</f>
        <v>10.472684081006278</v>
      </c>
      <c r="D36" s="119"/>
      <c r="E36" s="119">
        <f>Dairy_Income_Baseline!B40</f>
        <v>11.62212501672648</v>
      </c>
      <c r="F36" s="119"/>
      <c r="G36" s="6">
        <f>Dairy_Income_Baseline!E40</f>
        <v>10.472684081006278</v>
      </c>
      <c r="K36" t="s">
        <v>23</v>
      </c>
      <c r="L36" s="21">
        <f>Dairy_Income_Baseline!L37</f>
        <v>0.53119613926232334</v>
      </c>
    </row>
    <row r="37" spans="1:12" x14ac:dyDescent="0.3">
      <c r="A37" t="s">
        <v>5</v>
      </c>
      <c r="B37" s="11"/>
      <c r="C37" s="119">
        <f>Dairy_Income_Baseline!E41</f>
        <v>4.2146167643074044</v>
      </c>
      <c r="D37" s="119"/>
      <c r="E37" s="119">
        <f>Dairy_Income_Baseline!B41</f>
        <v>0.89400961667126766</v>
      </c>
      <c r="F37" s="119"/>
      <c r="G37" s="6">
        <f>Dairy_Income_Baseline!E41</f>
        <v>4.2146167643074044</v>
      </c>
      <c r="K37" t="s">
        <v>32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19">
        <f>Dairy_Income_Baseline!E42</f>
        <v>0</v>
      </c>
      <c r="D38" s="119"/>
      <c r="E38" s="119">
        <f>Dairy_Income_Baseline!B42</f>
        <v>0</v>
      </c>
      <c r="F38" s="119"/>
      <c r="G38" s="6">
        <f>Dairy_Income_Baseline!E42</f>
        <v>0</v>
      </c>
      <c r="K38" t="s">
        <v>23</v>
      </c>
      <c r="L38" s="21">
        <f>Dairy_Income_Baseline!L39</f>
        <v>0.4540244855431102</v>
      </c>
    </row>
    <row r="39" spans="1:12" x14ac:dyDescent="0.3">
      <c r="C39" s="124"/>
      <c r="D39" s="124"/>
      <c r="E39" s="124"/>
      <c r="F39" s="124"/>
    </row>
    <row r="40" spans="1:12" x14ac:dyDescent="0.3">
      <c r="B40" s="121" t="s">
        <v>55</v>
      </c>
      <c r="C40" s="121"/>
      <c r="D40" s="121"/>
      <c r="E40" s="121"/>
      <c r="F40" s="121"/>
      <c r="G40" s="121"/>
    </row>
    <row r="41" spans="1:12" x14ac:dyDescent="0.3">
      <c r="A41" t="s">
        <v>9</v>
      </c>
      <c r="C41" s="125">
        <f ca="1">_xlfn.NORM.INV(RAND(),C3,C32)</f>
        <v>0.53438499744601975</v>
      </c>
      <c r="D41" s="125"/>
      <c r="E41" s="125">
        <f ca="1">_xlfn.NORM.INV(RAND(),E3,E32)</f>
        <v>0.54797953730843929</v>
      </c>
      <c r="F41" s="125"/>
      <c r="G41" s="105">
        <f ca="1">_xlfn.NORM.INV(RAND(),G3,G32)</f>
        <v>0.60658410619424874</v>
      </c>
    </row>
    <row r="42" spans="1:12" s="107" customFormat="1" x14ac:dyDescent="0.3">
      <c r="A42" s="107" t="s">
        <v>100</v>
      </c>
      <c r="C42" s="122">
        <f>C4*L21</f>
        <v>421.11308901938395</v>
      </c>
      <c r="D42" s="122"/>
      <c r="E42" s="122">
        <f>E4*L21</f>
        <v>106.08582047921689</v>
      </c>
      <c r="F42" s="122"/>
      <c r="G42" s="104">
        <f>G4*L21</f>
        <v>421.11308901938395</v>
      </c>
    </row>
    <row r="43" spans="1:12" x14ac:dyDescent="0.3">
      <c r="C43" s="120"/>
      <c r="D43" s="120"/>
      <c r="E43" s="120"/>
      <c r="F43" s="120"/>
      <c r="G43" s="103"/>
    </row>
    <row r="44" spans="1:12" x14ac:dyDescent="0.3">
      <c r="A44" t="s">
        <v>10</v>
      </c>
      <c r="C44" s="122">
        <f ca="1">_xlfn.NORM.INV(RAND(),C8,C34)</f>
        <v>1384.8959755061808</v>
      </c>
      <c r="D44" s="122"/>
      <c r="E44" s="122">
        <f ca="1">_xlfn.NORM.INV(RAND(),E8,E34)</f>
        <v>109.61246317829158</v>
      </c>
      <c r="F44" s="122"/>
      <c r="G44" s="104">
        <f ca="1">_xlfn.NORM.INV(RAND(),G8,G34)</f>
        <v>541.90545696216066</v>
      </c>
    </row>
    <row r="45" spans="1:12" x14ac:dyDescent="0.3">
      <c r="A45" t="s">
        <v>1</v>
      </c>
      <c r="C45" s="122">
        <f ca="1">_xlfn.NORM.INV(RAND(),C9,C35)</f>
        <v>-128.97301995179862</v>
      </c>
      <c r="D45" s="122"/>
      <c r="E45" s="122">
        <f ca="1">_xlfn.NORM.INV(RAND(),E9,E35)</f>
        <v>25.446553140883925</v>
      </c>
      <c r="F45" s="122"/>
      <c r="G45" s="104">
        <f ca="1">_xlfn.NORM.INV(RAND(),G9,G35)</f>
        <v>11.212978917983367</v>
      </c>
    </row>
    <row r="46" spans="1:12" x14ac:dyDescent="0.3">
      <c r="A46" t="s">
        <v>2</v>
      </c>
      <c r="C46" s="122">
        <f ca="1">_xlfn.NORM.INV(RAND(),C10,C36)</f>
        <v>5.2709091235577876</v>
      </c>
      <c r="D46" s="122"/>
      <c r="E46" s="122">
        <f ca="1">_xlfn.NORM.INV(RAND(),E10,E36)</f>
        <v>-10.371240464578618</v>
      </c>
      <c r="F46" s="122"/>
      <c r="G46" s="104">
        <f ca="1">_xlfn.NORM.INV(RAND(),G10,G36)</f>
        <v>-2.3914601700803839</v>
      </c>
    </row>
    <row r="47" spans="1:12" x14ac:dyDescent="0.3">
      <c r="A47" t="s">
        <v>12</v>
      </c>
      <c r="C47" s="122">
        <f ca="1">_xlfn.NORM.INV(RAND(),C11,C37)</f>
        <v>1.3974885865324072</v>
      </c>
      <c r="D47" s="122"/>
      <c r="E47" s="122">
        <f ca="1">_xlfn.NORM.INV(RAND(),E11,E37)</f>
        <v>0.98140963842991358</v>
      </c>
      <c r="F47" s="122"/>
      <c r="G47" s="104">
        <f ca="1">_xlfn.NORM.INV(RAND(),G11,G37)</f>
        <v>13.062498721981237</v>
      </c>
    </row>
    <row r="48" spans="1:12" x14ac:dyDescent="0.3">
      <c r="A48" t="s">
        <v>3</v>
      </c>
      <c r="C48" s="122">
        <v>1E-4</v>
      </c>
      <c r="D48" s="122"/>
      <c r="E48" s="122">
        <v>1E-4</v>
      </c>
      <c r="F48" s="122"/>
      <c r="G48" s="104">
        <v>1E-4</v>
      </c>
    </row>
    <row r="49" spans="1:7" x14ac:dyDescent="0.3">
      <c r="C49" s="122"/>
      <c r="D49" s="122"/>
      <c r="E49" s="122"/>
      <c r="F49" s="122"/>
      <c r="G49" s="104"/>
    </row>
    <row r="50" spans="1:7" x14ac:dyDescent="0.3">
      <c r="A50" s="2" t="s">
        <v>18</v>
      </c>
      <c r="C50" s="122">
        <f ca="1">SUM(C45:C48)</f>
        <v>-122.30452224170843</v>
      </c>
      <c r="D50" s="122"/>
      <c r="E50" s="122">
        <f ca="1">SUM(E45:E48)</f>
        <v>16.056822314735221</v>
      </c>
      <c r="F50" s="122"/>
      <c r="G50" s="104">
        <f ca="1">SUM(G45:G48)</f>
        <v>21.88411746988422</v>
      </c>
    </row>
    <row r="51" spans="1:7" x14ac:dyDescent="0.3">
      <c r="A51" s="2"/>
      <c r="C51" s="122"/>
      <c r="D51" s="122"/>
      <c r="E51" s="122"/>
      <c r="F51" s="122"/>
      <c r="G51" s="104"/>
    </row>
    <row r="52" spans="1:7" x14ac:dyDescent="0.3">
      <c r="A52" s="2" t="s">
        <v>47</v>
      </c>
      <c r="C52" s="122">
        <f ca="1">C41*C42-C50</f>
        <v>347.34103924181738</v>
      </c>
      <c r="D52" s="122"/>
      <c r="E52" s="122">
        <f ca="1">E41*E42-E50</f>
        <v>42.076036506452205</v>
      </c>
      <c r="F52" s="122"/>
      <c r="G52" s="104">
        <f ca="1">G41*G42-G50</f>
        <v>233.55638923963789</v>
      </c>
    </row>
    <row r="53" spans="1:7" x14ac:dyDescent="0.3">
      <c r="A53" s="2"/>
      <c r="C53" s="122"/>
      <c r="D53" s="122"/>
      <c r="E53" s="122"/>
      <c r="F53" s="122"/>
      <c r="G53" s="104"/>
    </row>
    <row r="54" spans="1:7" x14ac:dyDescent="0.3">
      <c r="A54" s="2" t="s">
        <v>13</v>
      </c>
      <c r="C54" s="122">
        <f ca="1">AVERAGE(C58:C557)</f>
        <v>218.92714902534689</v>
      </c>
      <c r="D54" s="122"/>
      <c r="E54" s="122">
        <f ca="1">AVERAGE(E58:E557)</f>
        <v>38.533829117340424</v>
      </c>
      <c r="F54" s="122"/>
      <c r="G54" s="104">
        <f ca="1">AVERAGE(G58:G557)</f>
        <v>213.09359742381355</v>
      </c>
    </row>
    <row r="55" spans="1:7" x14ac:dyDescent="0.3">
      <c r="A55" s="2" t="s">
        <v>11</v>
      </c>
      <c r="C55" s="122">
        <f ca="1">STDEVA(C58:C557)</f>
        <v>77.257984211519172</v>
      </c>
      <c r="D55" s="122"/>
      <c r="E55" s="122">
        <f t="shared" ref="E55:G55" ca="1" si="0">STDEVA(E58:E557)</f>
        <v>27.21419965566654</v>
      </c>
      <c r="F55" s="122"/>
      <c r="G55" s="104">
        <f t="shared" ca="1" si="0"/>
        <v>81.165667256793796</v>
      </c>
    </row>
    <row r="56" spans="1:7" x14ac:dyDescent="0.3">
      <c r="C56" s="120"/>
      <c r="D56" s="120"/>
      <c r="E56" s="120"/>
      <c r="F56" s="120"/>
      <c r="G56" s="103"/>
    </row>
    <row r="57" spans="1:7" x14ac:dyDescent="0.3">
      <c r="A57" s="2" t="s">
        <v>70</v>
      </c>
      <c r="C57" s="120"/>
      <c r="D57" s="120"/>
      <c r="E57" s="120"/>
      <c r="F57" s="120"/>
      <c r="G57" s="103"/>
    </row>
    <row r="58" spans="1:7" x14ac:dyDescent="0.3">
      <c r="B58">
        <v>1</v>
      </c>
      <c r="C58" s="33">
        <f ca="1">C52</f>
        <v>347.34103924181738</v>
      </c>
      <c r="D58" s="52">
        <v>1</v>
      </c>
      <c r="E58" s="33">
        <f ca="1">E52</f>
        <v>42.076036506452205</v>
      </c>
      <c r="F58" s="52">
        <v>1</v>
      </c>
      <c r="G58" s="104">
        <f ca="1">G52</f>
        <v>233.55638923963789</v>
      </c>
    </row>
    <row r="59" spans="1:7" x14ac:dyDescent="0.3">
      <c r="B59">
        <v>2</v>
      </c>
      <c r="C59" s="33">
        <f t="dataTable" ref="C59:C557" dt2D="0" dtr="0" r1="C57" ca="1"/>
        <v>341.55476393722836</v>
      </c>
      <c r="D59" s="52">
        <v>2</v>
      </c>
      <c r="E59" s="33">
        <f t="dataTable" ref="E59:E557" dt2D="0" dtr="0" r1="E57" ca="1"/>
        <v>68.24442025552888</v>
      </c>
      <c r="F59" s="52">
        <v>2</v>
      </c>
      <c r="G59" s="104">
        <f t="dataTable" ref="G59:G557" dt2D="0" dtr="0" r1="G57" ca="1"/>
        <v>355.13002884074484</v>
      </c>
    </row>
    <row r="60" spans="1:7" x14ac:dyDescent="0.3">
      <c r="B60">
        <v>3</v>
      </c>
      <c r="C60" s="33">
        <v>227.88774589403738</v>
      </c>
      <c r="D60" s="52">
        <v>3</v>
      </c>
      <c r="E60" s="33">
        <v>44.441320334411735</v>
      </c>
      <c r="F60" s="52">
        <v>3</v>
      </c>
      <c r="G60" s="104">
        <v>156.08528437027059</v>
      </c>
    </row>
    <row r="61" spans="1:7" x14ac:dyDescent="0.3">
      <c r="B61" s="52">
        <v>4</v>
      </c>
      <c r="C61" s="33">
        <v>212.86437168956004</v>
      </c>
      <c r="D61" s="52">
        <v>4</v>
      </c>
      <c r="E61" s="33">
        <v>81.121001671570099</v>
      </c>
      <c r="F61" s="52">
        <v>4</v>
      </c>
      <c r="G61" s="104">
        <v>248.33879005748872</v>
      </c>
    </row>
    <row r="62" spans="1:7" x14ac:dyDescent="0.3">
      <c r="B62" s="52">
        <v>5</v>
      </c>
      <c r="C62" s="33">
        <v>249.93367302699735</v>
      </c>
      <c r="D62" s="52">
        <v>5</v>
      </c>
      <c r="E62" s="33">
        <v>34.195427184924277</v>
      </c>
      <c r="F62" s="52">
        <v>5</v>
      </c>
      <c r="G62" s="104">
        <v>11.174609130694591</v>
      </c>
    </row>
    <row r="63" spans="1:7" x14ac:dyDescent="0.3">
      <c r="B63" s="52">
        <v>6</v>
      </c>
      <c r="C63" s="33">
        <v>141.10317072652364</v>
      </c>
      <c r="D63" s="52">
        <v>6</v>
      </c>
      <c r="E63" s="33">
        <v>44.229319060800208</v>
      </c>
      <c r="F63" s="52">
        <v>6</v>
      </c>
      <c r="G63" s="104">
        <v>125.23742625787564</v>
      </c>
    </row>
    <row r="64" spans="1:7" x14ac:dyDescent="0.3">
      <c r="B64" s="52">
        <v>7</v>
      </c>
      <c r="C64" s="33">
        <v>132.34001950123218</v>
      </c>
      <c r="D64" s="52">
        <v>7</v>
      </c>
      <c r="E64" s="33">
        <v>33.272322375626203</v>
      </c>
      <c r="F64" s="52">
        <v>7</v>
      </c>
      <c r="G64" s="104">
        <v>304.10727608446911</v>
      </c>
    </row>
    <row r="65" spans="2:7" x14ac:dyDescent="0.3">
      <c r="B65" s="52">
        <v>8</v>
      </c>
      <c r="C65" s="33">
        <v>179.87009105638958</v>
      </c>
      <c r="D65" s="52">
        <v>8</v>
      </c>
      <c r="E65" s="33">
        <v>83.375071301229326</v>
      </c>
      <c r="F65" s="52">
        <v>8</v>
      </c>
      <c r="G65" s="104">
        <v>265.38605595227364</v>
      </c>
    </row>
    <row r="66" spans="2:7" x14ac:dyDescent="0.3">
      <c r="B66" s="52">
        <v>9</v>
      </c>
      <c r="C66" s="33">
        <v>264.12485885484909</v>
      </c>
      <c r="D66" s="52">
        <v>9</v>
      </c>
      <c r="E66" s="33">
        <v>69.971695640629321</v>
      </c>
      <c r="F66" s="52">
        <v>9</v>
      </c>
      <c r="G66" s="104">
        <v>225.85294206807905</v>
      </c>
    </row>
    <row r="67" spans="2:7" x14ac:dyDescent="0.3">
      <c r="B67" s="52">
        <v>10</v>
      </c>
      <c r="C67" s="33">
        <v>307.15792471705322</v>
      </c>
      <c r="D67" s="52">
        <v>10</v>
      </c>
      <c r="E67" s="33">
        <v>32.046108780148202</v>
      </c>
      <c r="F67" s="52">
        <v>10</v>
      </c>
      <c r="G67" s="104">
        <v>298.99059148538549</v>
      </c>
    </row>
    <row r="68" spans="2:7" x14ac:dyDescent="0.3">
      <c r="B68" s="52">
        <v>11</v>
      </c>
      <c r="C68" s="33">
        <v>171.23837570688147</v>
      </c>
      <c r="D68" s="52">
        <v>11</v>
      </c>
      <c r="E68" s="33">
        <v>-14.188117944489221</v>
      </c>
      <c r="F68" s="52">
        <v>11</v>
      </c>
      <c r="G68" s="104">
        <v>250.89452283606605</v>
      </c>
    </row>
    <row r="69" spans="2:7" x14ac:dyDescent="0.3">
      <c r="B69" s="52">
        <v>12</v>
      </c>
      <c r="C69" s="33">
        <v>30.619789491818864</v>
      </c>
      <c r="D69" s="52">
        <v>12</v>
      </c>
      <c r="E69" s="33">
        <v>15.296430048313493</v>
      </c>
      <c r="F69" s="52">
        <v>12</v>
      </c>
      <c r="G69" s="104">
        <v>233.02743265188221</v>
      </c>
    </row>
    <row r="70" spans="2:7" x14ac:dyDescent="0.3">
      <c r="B70" s="52">
        <v>13</v>
      </c>
      <c r="C70" s="33">
        <v>202.91324833621536</v>
      </c>
      <c r="D70" s="52">
        <v>13</v>
      </c>
      <c r="E70" s="33">
        <v>11.811718577020336</v>
      </c>
      <c r="F70" s="52">
        <v>13</v>
      </c>
      <c r="G70" s="104">
        <v>233.28698953774625</v>
      </c>
    </row>
    <row r="71" spans="2:7" x14ac:dyDescent="0.3">
      <c r="B71" s="52">
        <v>14</v>
      </c>
      <c r="C71" s="33">
        <v>270.18460596433789</v>
      </c>
      <c r="D71" s="52">
        <v>14</v>
      </c>
      <c r="E71" s="33">
        <v>16.188364126035772</v>
      </c>
      <c r="F71" s="52">
        <v>14</v>
      </c>
      <c r="G71" s="104">
        <v>210.42037534421863</v>
      </c>
    </row>
    <row r="72" spans="2:7" x14ac:dyDescent="0.3">
      <c r="B72" s="52">
        <v>15</v>
      </c>
      <c r="C72" s="33">
        <v>256.90805287963877</v>
      </c>
      <c r="D72" s="52">
        <v>15</v>
      </c>
      <c r="E72" s="33">
        <v>7.1990576061999967</v>
      </c>
      <c r="F72" s="52">
        <v>15</v>
      </c>
      <c r="G72" s="104">
        <v>156.26613339093944</v>
      </c>
    </row>
    <row r="73" spans="2:7" x14ac:dyDescent="0.3">
      <c r="B73" s="52">
        <v>16</v>
      </c>
      <c r="C73" s="33">
        <v>139.59430528244852</v>
      </c>
      <c r="D73" s="52">
        <v>16</v>
      </c>
      <c r="E73" s="33">
        <v>4.2490828643078444</v>
      </c>
      <c r="F73" s="52">
        <v>16</v>
      </c>
      <c r="G73" s="104">
        <v>196.01109546724763</v>
      </c>
    </row>
    <row r="74" spans="2:7" x14ac:dyDescent="0.3">
      <c r="B74" s="52">
        <v>17</v>
      </c>
      <c r="C74" s="33">
        <v>98.190766560990383</v>
      </c>
      <c r="D74" s="52">
        <v>17</v>
      </c>
      <c r="E74" s="33">
        <v>71.645828636568922</v>
      </c>
      <c r="F74" s="52">
        <v>17</v>
      </c>
      <c r="G74" s="104">
        <v>169.37557043253037</v>
      </c>
    </row>
    <row r="75" spans="2:7" x14ac:dyDescent="0.3">
      <c r="B75" s="52">
        <v>18</v>
      </c>
      <c r="C75" s="33">
        <v>265.28837449802069</v>
      </c>
      <c r="D75" s="52">
        <v>18</v>
      </c>
      <c r="E75" s="33">
        <v>38.771663596230248</v>
      </c>
      <c r="F75" s="52">
        <v>18</v>
      </c>
      <c r="G75" s="104">
        <v>171.54957565761339</v>
      </c>
    </row>
    <row r="76" spans="2:7" x14ac:dyDescent="0.3">
      <c r="B76" s="52">
        <v>19</v>
      </c>
      <c r="C76" s="33">
        <v>155.09973003961471</v>
      </c>
      <c r="D76" s="52">
        <v>19</v>
      </c>
      <c r="E76" s="33">
        <v>91.420941645357118</v>
      </c>
      <c r="F76" s="52">
        <v>19</v>
      </c>
      <c r="G76" s="104">
        <v>207.2291863142222</v>
      </c>
    </row>
    <row r="77" spans="2:7" x14ac:dyDescent="0.3">
      <c r="B77" s="52">
        <v>20</v>
      </c>
      <c r="C77" s="33">
        <v>342.93490248220718</v>
      </c>
      <c r="D77" s="52">
        <v>20</v>
      </c>
      <c r="E77" s="33">
        <v>20.313269892152618</v>
      </c>
      <c r="F77" s="52">
        <v>20</v>
      </c>
      <c r="G77" s="104">
        <v>116.35811803575544</v>
      </c>
    </row>
    <row r="78" spans="2:7" x14ac:dyDescent="0.3">
      <c r="B78" s="52">
        <v>21</v>
      </c>
      <c r="C78" s="33">
        <v>298.36106075613225</v>
      </c>
      <c r="D78" s="52">
        <v>21</v>
      </c>
      <c r="E78" s="33">
        <v>27.239055394293494</v>
      </c>
      <c r="F78" s="52">
        <v>21</v>
      </c>
      <c r="G78" s="104">
        <v>168.86952992600786</v>
      </c>
    </row>
    <row r="79" spans="2:7" x14ac:dyDescent="0.3">
      <c r="B79" s="52">
        <v>22</v>
      </c>
      <c r="C79" s="33">
        <v>309.38968763363795</v>
      </c>
      <c r="D79" s="52">
        <v>22</v>
      </c>
      <c r="E79" s="33">
        <v>10.822682269450681</v>
      </c>
      <c r="F79" s="52">
        <v>22</v>
      </c>
      <c r="G79" s="104">
        <v>166.72072364253901</v>
      </c>
    </row>
    <row r="80" spans="2:7" x14ac:dyDescent="0.3">
      <c r="B80" s="52">
        <v>23</v>
      </c>
      <c r="C80" s="33">
        <v>206.3964544421367</v>
      </c>
      <c r="D80" s="52">
        <v>23</v>
      </c>
      <c r="E80" s="33">
        <v>39.146786988270776</v>
      </c>
      <c r="F80" s="52">
        <v>23</v>
      </c>
      <c r="G80" s="104">
        <v>163.09336698806473</v>
      </c>
    </row>
    <row r="81" spans="2:7" x14ac:dyDescent="0.3">
      <c r="B81" s="52">
        <v>24</v>
      </c>
      <c r="C81" s="33">
        <v>201.61529521382533</v>
      </c>
      <c r="D81" s="52">
        <v>24</v>
      </c>
      <c r="E81" s="33">
        <v>33.194749470356101</v>
      </c>
      <c r="F81" s="52">
        <v>24</v>
      </c>
      <c r="G81" s="104">
        <v>217.93921719223411</v>
      </c>
    </row>
    <row r="82" spans="2:7" x14ac:dyDescent="0.3">
      <c r="B82" s="52">
        <v>25</v>
      </c>
      <c r="C82" s="33">
        <v>157.36067238400051</v>
      </c>
      <c r="D82" s="52">
        <v>25</v>
      </c>
      <c r="E82" s="33">
        <v>72.485553201842038</v>
      </c>
      <c r="F82" s="52">
        <v>25</v>
      </c>
      <c r="G82" s="104">
        <v>149.21522607352955</v>
      </c>
    </row>
    <row r="83" spans="2:7" x14ac:dyDescent="0.3">
      <c r="B83" s="52">
        <v>26</v>
      </c>
      <c r="C83" s="33">
        <v>213.37575626147367</v>
      </c>
      <c r="D83" s="52">
        <v>26</v>
      </c>
      <c r="E83" s="33">
        <v>66.448316960288281</v>
      </c>
      <c r="F83" s="52">
        <v>26</v>
      </c>
      <c r="G83" s="104">
        <v>203.30475194801534</v>
      </c>
    </row>
    <row r="84" spans="2:7" x14ac:dyDescent="0.3">
      <c r="B84" s="52">
        <v>27</v>
      </c>
      <c r="C84" s="33">
        <v>205.8641324218994</v>
      </c>
      <c r="D84" s="52">
        <v>27</v>
      </c>
      <c r="E84" s="33">
        <v>27.698481719657977</v>
      </c>
      <c r="F84" s="52">
        <v>27</v>
      </c>
      <c r="G84" s="104">
        <v>242.61372493379298</v>
      </c>
    </row>
    <row r="85" spans="2:7" x14ac:dyDescent="0.3">
      <c r="B85" s="52">
        <v>28</v>
      </c>
      <c r="C85" s="33">
        <v>230.31912153044311</v>
      </c>
      <c r="D85" s="52">
        <v>28</v>
      </c>
      <c r="E85" s="33">
        <v>39.87051565118567</v>
      </c>
      <c r="F85" s="52">
        <v>28</v>
      </c>
      <c r="G85" s="104">
        <v>259.17847790147295</v>
      </c>
    </row>
    <row r="86" spans="2:7" x14ac:dyDescent="0.3">
      <c r="B86" s="52">
        <v>29</v>
      </c>
      <c r="C86" s="33">
        <v>196.33704031040213</v>
      </c>
      <c r="D86" s="52">
        <v>29</v>
      </c>
      <c r="E86" s="33">
        <v>41.685416450459115</v>
      </c>
      <c r="F86" s="52">
        <v>29</v>
      </c>
      <c r="G86" s="104">
        <v>183.69289615208163</v>
      </c>
    </row>
    <row r="87" spans="2:7" x14ac:dyDescent="0.3">
      <c r="B87" s="52">
        <v>30</v>
      </c>
      <c r="C87" s="33">
        <v>156.94569764912845</v>
      </c>
      <c r="D87" s="52">
        <v>30</v>
      </c>
      <c r="E87" s="33">
        <v>65.710549628807286</v>
      </c>
      <c r="F87" s="52">
        <v>30</v>
      </c>
      <c r="G87" s="104">
        <v>297.35500263028814</v>
      </c>
    </row>
    <row r="88" spans="2:7" x14ac:dyDescent="0.3">
      <c r="B88" s="52">
        <v>31</v>
      </c>
      <c r="C88" s="33">
        <v>179.20229133922282</v>
      </c>
      <c r="D88" s="52">
        <v>31</v>
      </c>
      <c r="E88" s="33">
        <v>21.079167575697575</v>
      </c>
      <c r="F88" s="52">
        <v>31</v>
      </c>
      <c r="G88" s="104">
        <v>237.57414348399209</v>
      </c>
    </row>
    <row r="89" spans="2:7" x14ac:dyDescent="0.3">
      <c r="B89" s="52">
        <v>32</v>
      </c>
      <c r="C89" s="33">
        <v>270.96855687711951</v>
      </c>
      <c r="D89" s="52">
        <v>32</v>
      </c>
      <c r="E89" s="33">
        <v>53.195863181627857</v>
      </c>
      <c r="F89" s="52">
        <v>32</v>
      </c>
      <c r="G89" s="104">
        <v>58.872600046918649</v>
      </c>
    </row>
    <row r="90" spans="2:7" x14ac:dyDescent="0.3">
      <c r="B90" s="52">
        <v>33</v>
      </c>
      <c r="C90" s="33">
        <v>301.7274303343703</v>
      </c>
      <c r="D90" s="52">
        <v>33</v>
      </c>
      <c r="E90" s="33">
        <v>50.057572865035993</v>
      </c>
      <c r="F90" s="52">
        <v>33</v>
      </c>
      <c r="G90" s="104">
        <v>362.75794316523729</v>
      </c>
    </row>
    <row r="91" spans="2:7" x14ac:dyDescent="0.3">
      <c r="B91" s="52">
        <v>34</v>
      </c>
      <c r="C91" s="33">
        <v>232.75996655641666</v>
      </c>
      <c r="D91" s="52">
        <v>34</v>
      </c>
      <c r="E91" s="33">
        <v>92.522512593728862</v>
      </c>
      <c r="F91" s="52">
        <v>34</v>
      </c>
      <c r="G91" s="104">
        <v>249.63782665770961</v>
      </c>
    </row>
    <row r="92" spans="2:7" x14ac:dyDescent="0.3">
      <c r="B92" s="52">
        <v>35</v>
      </c>
      <c r="C92" s="33">
        <v>217.46130288359132</v>
      </c>
      <c r="D92" s="52">
        <v>35</v>
      </c>
      <c r="E92" s="33">
        <v>51.776511826373067</v>
      </c>
      <c r="F92" s="52">
        <v>35</v>
      </c>
      <c r="G92" s="104">
        <v>218.27258350618851</v>
      </c>
    </row>
    <row r="93" spans="2:7" x14ac:dyDescent="0.3">
      <c r="B93" s="52">
        <v>36</v>
      </c>
      <c r="C93" s="33">
        <v>244.13421197661032</v>
      </c>
      <c r="D93" s="52">
        <v>36</v>
      </c>
      <c r="E93" s="33">
        <v>30.09698548657045</v>
      </c>
      <c r="F93" s="52">
        <v>36</v>
      </c>
      <c r="G93" s="104">
        <v>88.664259207543381</v>
      </c>
    </row>
    <row r="94" spans="2:7" x14ac:dyDescent="0.3">
      <c r="B94" s="52">
        <v>37</v>
      </c>
      <c r="C94" s="33">
        <v>259.65396497089648</v>
      </c>
      <c r="D94" s="52">
        <v>37</v>
      </c>
      <c r="E94" s="33">
        <v>36.096823280832091</v>
      </c>
      <c r="F94" s="52">
        <v>37</v>
      </c>
      <c r="G94" s="104">
        <v>181.69412143475404</v>
      </c>
    </row>
    <row r="95" spans="2:7" x14ac:dyDescent="0.3">
      <c r="B95" s="52">
        <v>38</v>
      </c>
      <c r="C95" s="33">
        <v>111.51432962887053</v>
      </c>
      <c r="D95" s="52">
        <v>38</v>
      </c>
      <c r="E95" s="33">
        <v>29.854560949386386</v>
      </c>
      <c r="F95" s="52">
        <v>38</v>
      </c>
      <c r="G95" s="104">
        <v>305.27329107822021</v>
      </c>
    </row>
    <row r="96" spans="2:7" x14ac:dyDescent="0.3">
      <c r="B96" s="52">
        <v>39</v>
      </c>
      <c r="C96" s="33">
        <v>199.80430148076849</v>
      </c>
      <c r="D96" s="52">
        <v>39</v>
      </c>
      <c r="E96" s="33">
        <v>5.5573414911691827</v>
      </c>
      <c r="F96" s="52">
        <v>39</v>
      </c>
      <c r="G96" s="104">
        <v>146.57931767952613</v>
      </c>
    </row>
    <row r="97" spans="2:7" x14ac:dyDescent="0.3">
      <c r="B97" s="52">
        <v>40</v>
      </c>
      <c r="C97" s="33">
        <v>131.64684142524067</v>
      </c>
      <c r="D97" s="52">
        <v>40</v>
      </c>
      <c r="E97" s="33">
        <v>68.203627867692333</v>
      </c>
      <c r="F97" s="52">
        <v>40</v>
      </c>
      <c r="G97" s="104">
        <v>384.00760595439772</v>
      </c>
    </row>
    <row r="98" spans="2:7" x14ac:dyDescent="0.3">
      <c r="B98" s="52">
        <v>41</v>
      </c>
      <c r="C98" s="33">
        <v>315.933862541427</v>
      </c>
      <c r="D98" s="52">
        <v>41</v>
      </c>
      <c r="E98" s="33">
        <v>62.372767471981611</v>
      </c>
      <c r="F98" s="52">
        <v>41</v>
      </c>
      <c r="G98" s="104">
        <v>247.03360382672213</v>
      </c>
    </row>
    <row r="99" spans="2:7" x14ac:dyDescent="0.3">
      <c r="B99" s="52">
        <v>42</v>
      </c>
      <c r="C99" s="33">
        <v>380.41728228487074</v>
      </c>
      <c r="D99" s="52">
        <v>42</v>
      </c>
      <c r="E99" s="33">
        <v>76.919388443445357</v>
      </c>
      <c r="F99" s="52">
        <v>42</v>
      </c>
      <c r="G99" s="104">
        <v>309.00723802480047</v>
      </c>
    </row>
    <row r="100" spans="2:7" x14ac:dyDescent="0.3">
      <c r="B100" s="52">
        <v>43</v>
      </c>
      <c r="C100" s="33">
        <v>304.12849059704496</v>
      </c>
      <c r="D100" s="52">
        <v>43</v>
      </c>
      <c r="E100" s="33">
        <v>47.004733453810275</v>
      </c>
      <c r="F100" s="52">
        <v>43</v>
      </c>
      <c r="G100" s="104">
        <v>305.62495238625473</v>
      </c>
    </row>
    <row r="101" spans="2:7" x14ac:dyDescent="0.3">
      <c r="B101" s="52">
        <v>44</v>
      </c>
      <c r="C101" s="33">
        <v>239.17998146976595</v>
      </c>
      <c r="D101" s="52">
        <v>44</v>
      </c>
      <c r="E101" s="33">
        <v>74.356947957063994</v>
      </c>
      <c r="F101" s="52">
        <v>44</v>
      </c>
      <c r="G101" s="104">
        <v>169.21183821272973</v>
      </c>
    </row>
    <row r="102" spans="2:7" x14ac:dyDescent="0.3">
      <c r="B102" s="52">
        <v>45</v>
      </c>
      <c r="C102" s="33">
        <v>155.61184700381665</v>
      </c>
      <c r="D102" s="52">
        <v>45</v>
      </c>
      <c r="E102" s="33">
        <v>49.070805908456634</v>
      </c>
      <c r="F102" s="52">
        <v>45</v>
      </c>
      <c r="G102" s="104">
        <v>289.191943274604</v>
      </c>
    </row>
    <row r="103" spans="2:7" x14ac:dyDescent="0.3">
      <c r="B103" s="52">
        <v>46</v>
      </c>
      <c r="C103" s="33">
        <v>268.29623004165165</v>
      </c>
      <c r="D103" s="52">
        <v>46</v>
      </c>
      <c r="E103" s="33">
        <v>1.2652107020942509</v>
      </c>
      <c r="F103" s="52">
        <v>46</v>
      </c>
      <c r="G103" s="104">
        <v>206.16408946323565</v>
      </c>
    </row>
    <row r="104" spans="2:7" x14ac:dyDescent="0.3">
      <c r="B104" s="52">
        <v>47</v>
      </c>
      <c r="C104" s="33">
        <v>344.89846095412565</v>
      </c>
      <c r="D104" s="52">
        <v>47</v>
      </c>
      <c r="E104" s="33">
        <v>42.650259555487452</v>
      </c>
      <c r="F104" s="52">
        <v>47</v>
      </c>
      <c r="G104" s="104">
        <v>237.56018657691203</v>
      </c>
    </row>
    <row r="105" spans="2:7" x14ac:dyDescent="0.3">
      <c r="B105" s="52">
        <v>48</v>
      </c>
      <c r="C105" s="33">
        <v>206.3796648141591</v>
      </c>
      <c r="D105" s="52">
        <v>48</v>
      </c>
      <c r="E105" s="33">
        <v>46.419822657226064</v>
      </c>
      <c r="F105" s="52">
        <v>48</v>
      </c>
      <c r="G105" s="104">
        <v>192.66400332552567</v>
      </c>
    </row>
    <row r="106" spans="2:7" x14ac:dyDescent="0.3">
      <c r="B106" s="52">
        <v>49</v>
      </c>
      <c r="C106" s="33">
        <v>190.06932997771023</v>
      </c>
      <c r="D106" s="52">
        <v>49</v>
      </c>
      <c r="E106" s="33">
        <v>82.428137835165316</v>
      </c>
      <c r="F106" s="52">
        <v>49</v>
      </c>
      <c r="G106" s="104">
        <v>153.59365663307216</v>
      </c>
    </row>
    <row r="107" spans="2:7" x14ac:dyDescent="0.3">
      <c r="B107" s="52">
        <v>50</v>
      </c>
      <c r="C107" s="33">
        <v>322.38873161472958</v>
      </c>
      <c r="D107" s="52">
        <v>50</v>
      </c>
      <c r="E107" s="33">
        <v>31.692956239536578</v>
      </c>
      <c r="F107" s="52">
        <v>50</v>
      </c>
      <c r="G107" s="104">
        <v>181.09255265170606</v>
      </c>
    </row>
    <row r="108" spans="2:7" x14ac:dyDescent="0.3">
      <c r="B108" s="52">
        <v>51</v>
      </c>
      <c r="C108" s="33">
        <v>267.77208822819813</v>
      </c>
      <c r="D108" s="52">
        <v>51</v>
      </c>
      <c r="E108" s="33">
        <v>14.036466377858339</v>
      </c>
      <c r="F108" s="52">
        <v>51</v>
      </c>
      <c r="G108" s="104">
        <v>305.83089272491077</v>
      </c>
    </row>
    <row r="109" spans="2:7" x14ac:dyDescent="0.3">
      <c r="B109" s="52">
        <v>52</v>
      </c>
      <c r="C109" s="33">
        <v>103.53107291577597</v>
      </c>
      <c r="D109" s="52">
        <v>52</v>
      </c>
      <c r="E109" s="33">
        <v>7.396266171481841</v>
      </c>
      <c r="F109" s="52">
        <v>52</v>
      </c>
      <c r="G109" s="104">
        <v>187.7919255707472</v>
      </c>
    </row>
    <row r="110" spans="2:7" x14ac:dyDescent="0.3">
      <c r="B110" s="52">
        <v>53</v>
      </c>
      <c r="C110" s="33">
        <v>99.069396679214648</v>
      </c>
      <c r="D110" s="52">
        <v>53</v>
      </c>
      <c r="E110" s="33">
        <v>72.888822896801912</v>
      </c>
      <c r="F110" s="52">
        <v>53</v>
      </c>
      <c r="G110" s="104">
        <v>263.12322760901401</v>
      </c>
    </row>
    <row r="111" spans="2:7" x14ac:dyDescent="0.3">
      <c r="B111" s="52">
        <v>54</v>
      </c>
      <c r="C111" s="33">
        <v>238.64287013613139</v>
      </c>
      <c r="D111" s="52">
        <v>54</v>
      </c>
      <c r="E111" s="33">
        <v>-1.2392427264847754</v>
      </c>
      <c r="F111" s="52">
        <v>54</v>
      </c>
      <c r="G111" s="104">
        <v>181.74128712032291</v>
      </c>
    </row>
    <row r="112" spans="2:7" x14ac:dyDescent="0.3">
      <c r="B112" s="52">
        <v>55</v>
      </c>
      <c r="C112" s="33">
        <v>261.94146243112817</v>
      </c>
      <c r="D112" s="52">
        <v>55</v>
      </c>
      <c r="E112" s="33">
        <v>41.494975675921339</v>
      </c>
      <c r="F112" s="52">
        <v>55</v>
      </c>
      <c r="G112" s="104">
        <v>165.80435287692839</v>
      </c>
    </row>
    <row r="113" spans="2:7" x14ac:dyDescent="0.3">
      <c r="B113" s="52">
        <v>56</v>
      </c>
      <c r="C113" s="33">
        <v>106.27514758913749</v>
      </c>
      <c r="D113" s="52">
        <v>56</v>
      </c>
      <c r="E113" s="33">
        <v>-1.3680292436088806</v>
      </c>
      <c r="F113" s="52">
        <v>56</v>
      </c>
      <c r="G113" s="104">
        <v>123.78313316493784</v>
      </c>
    </row>
    <row r="114" spans="2:7" x14ac:dyDescent="0.3">
      <c r="B114" s="52">
        <v>57</v>
      </c>
      <c r="C114" s="33">
        <v>403.8117144024942</v>
      </c>
      <c r="D114" s="52">
        <v>57</v>
      </c>
      <c r="E114" s="33">
        <v>36.681633950217069</v>
      </c>
      <c r="F114" s="52">
        <v>57</v>
      </c>
      <c r="G114" s="104">
        <v>230.79481805412732</v>
      </c>
    </row>
    <row r="115" spans="2:7" x14ac:dyDescent="0.3">
      <c r="B115" s="52">
        <v>58</v>
      </c>
      <c r="C115" s="33">
        <v>267.42282599940404</v>
      </c>
      <c r="D115" s="52">
        <v>58</v>
      </c>
      <c r="E115" s="33">
        <v>9.2344255456927868</v>
      </c>
      <c r="F115" s="52">
        <v>58</v>
      </c>
      <c r="G115" s="104">
        <v>206.11335081622983</v>
      </c>
    </row>
    <row r="116" spans="2:7" x14ac:dyDescent="0.3">
      <c r="B116" s="52">
        <v>59</v>
      </c>
      <c r="C116" s="33">
        <v>137.35056869114879</v>
      </c>
      <c r="D116" s="52">
        <v>59</v>
      </c>
      <c r="E116" s="33">
        <v>11.317533544292413</v>
      </c>
      <c r="F116" s="52">
        <v>59</v>
      </c>
      <c r="G116" s="104">
        <v>164.84595395705236</v>
      </c>
    </row>
    <row r="117" spans="2:7" x14ac:dyDescent="0.3">
      <c r="B117" s="52">
        <v>60</v>
      </c>
      <c r="C117" s="33">
        <v>140.38077588651745</v>
      </c>
      <c r="D117" s="52">
        <v>60</v>
      </c>
      <c r="E117" s="33">
        <v>22.52244182705595</v>
      </c>
      <c r="F117" s="52">
        <v>60</v>
      </c>
      <c r="G117" s="104">
        <v>312.18509595028706</v>
      </c>
    </row>
    <row r="118" spans="2:7" x14ac:dyDescent="0.3">
      <c r="B118" s="52">
        <v>61</v>
      </c>
      <c r="C118" s="33">
        <v>228.96177750739122</v>
      </c>
      <c r="D118" s="52">
        <v>61</v>
      </c>
      <c r="E118" s="33">
        <v>25.873933774288641</v>
      </c>
      <c r="F118" s="52">
        <v>61</v>
      </c>
      <c r="G118" s="104">
        <v>337.67617917723163</v>
      </c>
    </row>
    <row r="119" spans="2:7" x14ac:dyDescent="0.3">
      <c r="B119" s="52">
        <v>62</v>
      </c>
      <c r="C119" s="33">
        <v>331.72476444974666</v>
      </c>
      <c r="D119" s="52">
        <v>62</v>
      </c>
      <c r="E119" s="33">
        <v>27.368695592357529</v>
      </c>
      <c r="F119" s="52">
        <v>62</v>
      </c>
      <c r="G119" s="104">
        <v>180.80274202504214</v>
      </c>
    </row>
    <row r="120" spans="2:7" x14ac:dyDescent="0.3">
      <c r="B120" s="52">
        <v>63</v>
      </c>
      <c r="C120" s="33">
        <v>42.820712152946015</v>
      </c>
      <c r="D120" s="52">
        <v>63</v>
      </c>
      <c r="E120" s="33">
        <v>38.415498692583697</v>
      </c>
      <c r="F120" s="52">
        <v>63</v>
      </c>
      <c r="G120" s="104">
        <v>207.43194243732617</v>
      </c>
    </row>
    <row r="121" spans="2:7" x14ac:dyDescent="0.3">
      <c r="B121" s="52">
        <v>64</v>
      </c>
      <c r="C121" s="33">
        <v>139.2352606530502</v>
      </c>
      <c r="D121" s="52">
        <v>64</v>
      </c>
      <c r="E121" s="33">
        <v>65.203026693067784</v>
      </c>
      <c r="F121" s="52">
        <v>64</v>
      </c>
      <c r="G121" s="104">
        <v>447.926387226477</v>
      </c>
    </row>
    <row r="122" spans="2:7" x14ac:dyDescent="0.3">
      <c r="B122" s="52">
        <v>65</v>
      </c>
      <c r="C122" s="33">
        <v>189.00113518367709</v>
      </c>
      <c r="D122" s="52">
        <v>65</v>
      </c>
      <c r="E122" s="33">
        <v>92.732912710186682</v>
      </c>
      <c r="F122" s="52">
        <v>65</v>
      </c>
      <c r="G122" s="104">
        <v>254.58145466947161</v>
      </c>
    </row>
    <row r="123" spans="2:7" x14ac:dyDescent="0.3">
      <c r="B123" s="52">
        <v>66</v>
      </c>
      <c r="C123" s="33">
        <v>184.14114432688592</v>
      </c>
      <c r="D123" s="52">
        <v>66</v>
      </c>
      <c r="E123" s="33">
        <v>38.524258091861569</v>
      </c>
      <c r="F123" s="52">
        <v>66</v>
      </c>
      <c r="G123" s="104">
        <v>479.85682441043639</v>
      </c>
    </row>
    <row r="124" spans="2:7" x14ac:dyDescent="0.3">
      <c r="B124" s="52">
        <v>67</v>
      </c>
      <c r="C124" s="33">
        <v>198.7787477342207</v>
      </c>
      <c r="D124" s="52">
        <v>67</v>
      </c>
      <c r="E124" s="33">
        <v>55.294867021823634</v>
      </c>
      <c r="F124" s="52">
        <v>67</v>
      </c>
      <c r="G124" s="104">
        <v>132.65596265744836</v>
      </c>
    </row>
    <row r="125" spans="2:7" x14ac:dyDescent="0.3">
      <c r="B125" s="52">
        <v>68</v>
      </c>
      <c r="C125" s="33">
        <v>355.15662751200972</v>
      </c>
      <c r="D125" s="52">
        <v>68</v>
      </c>
      <c r="E125" s="33">
        <v>34.429520056419946</v>
      </c>
      <c r="F125" s="52">
        <v>68</v>
      </c>
      <c r="G125" s="104">
        <v>134.37615150190288</v>
      </c>
    </row>
    <row r="126" spans="2:7" x14ac:dyDescent="0.3">
      <c r="B126" s="52">
        <v>69</v>
      </c>
      <c r="C126" s="33">
        <v>117.39002144172991</v>
      </c>
      <c r="D126" s="52">
        <v>69</v>
      </c>
      <c r="E126" s="33">
        <v>48.502972062441756</v>
      </c>
      <c r="F126" s="52">
        <v>69</v>
      </c>
      <c r="G126" s="104">
        <v>105.2553955344666</v>
      </c>
    </row>
    <row r="127" spans="2:7" x14ac:dyDescent="0.3">
      <c r="B127" s="52">
        <v>70</v>
      </c>
      <c r="C127" s="33">
        <v>270.99677658571443</v>
      </c>
      <c r="D127" s="52">
        <v>70</v>
      </c>
      <c r="E127" s="33">
        <v>70.116650138287525</v>
      </c>
      <c r="F127" s="52">
        <v>70</v>
      </c>
      <c r="G127" s="104">
        <v>264.29939931651569</v>
      </c>
    </row>
    <row r="128" spans="2:7" x14ac:dyDescent="0.3">
      <c r="B128" s="52">
        <v>71</v>
      </c>
      <c r="C128" s="33">
        <v>210.19603906722671</v>
      </c>
      <c r="D128" s="52">
        <v>71</v>
      </c>
      <c r="E128" s="33">
        <v>-35.142505200512133</v>
      </c>
      <c r="F128" s="52">
        <v>71</v>
      </c>
      <c r="G128" s="104">
        <v>318.24662483468558</v>
      </c>
    </row>
    <row r="129" spans="2:7" x14ac:dyDescent="0.3">
      <c r="B129" s="52">
        <v>72</v>
      </c>
      <c r="C129" s="33">
        <v>271.1694336255145</v>
      </c>
      <c r="D129" s="52">
        <v>72</v>
      </c>
      <c r="E129" s="33">
        <v>79.203176125948886</v>
      </c>
      <c r="F129" s="52">
        <v>72</v>
      </c>
      <c r="G129" s="104">
        <v>223.52385028676213</v>
      </c>
    </row>
    <row r="130" spans="2:7" x14ac:dyDescent="0.3">
      <c r="B130" s="52">
        <v>73</v>
      </c>
      <c r="C130" s="33">
        <v>161.32338390595436</v>
      </c>
      <c r="D130" s="52">
        <v>73</v>
      </c>
      <c r="E130" s="33">
        <v>73.823573450039049</v>
      </c>
      <c r="F130" s="52">
        <v>73</v>
      </c>
      <c r="G130" s="104">
        <v>157.53034387636575</v>
      </c>
    </row>
    <row r="131" spans="2:7" x14ac:dyDescent="0.3">
      <c r="B131" s="52">
        <v>74</v>
      </c>
      <c r="C131" s="33">
        <v>192.23164102133077</v>
      </c>
      <c r="D131" s="52">
        <v>74</v>
      </c>
      <c r="E131" s="33">
        <v>-4.1191978815423198</v>
      </c>
      <c r="F131" s="52">
        <v>74</v>
      </c>
      <c r="G131" s="104">
        <v>136.12896437191529</v>
      </c>
    </row>
    <row r="132" spans="2:7" x14ac:dyDescent="0.3">
      <c r="B132" s="52">
        <v>75</v>
      </c>
      <c r="C132" s="33">
        <v>399.3962661165225</v>
      </c>
      <c r="D132" s="52">
        <v>75</v>
      </c>
      <c r="E132" s="33">
        <v>52.329811204342107</v>
      </c>
      <c r="F132" s="52">
        <v>75</v>
      </c>
      <c r="G132" s="104">
        <v>340.80003693203037</v>
      </c>
    </row>
    <row r="133" spans="2:7" x14ac:dyDescent="0.3">
      <c r="B133" s="52">
        <v>76</v>
      </c>
      <c r="C133" s="33">
        <v>200.18721738799462</v>
      </c>
      <c r="D133" s="52">
        <v>76</v>
      </c>
      <c r="E133" s="33">
        <v>86.110786964321065</v>
      </c>
      <c r="F133" s="52">
        <v>76</v>
      </c>
      <c r="G133" s="104">
        <v>262.7608070650225</v>
      </c>
    </row>
    <row r="134" spans="2:7" x14ac:dyDescent="0.3">
      <c r="B134" s="52">
        <v>77</v>
      </c>
      <c r="C134" s="33">
        <v>214.27451977125335</v>
      </c>
      <c r="D134" s="52">
        <v>77</v>
      </c>
      <c r="E134" s="33">
        <v>19.649218241450953</v>
      </c>
      <c r="F134" s="52">
        <v>77</v>
      </c>
      <c r="G134" s="104">
        <v>272.04257065393324</v>
      </c>
    </row>
    <row r="135" spans="2:7" x14ac:dyDescent="0.3">
      <c r="B135" s="52">
        <v>78</v>
      </c>
      <c r="C135" s="33">
        <v>129.18370277696445</v>
      </c>
      <c r="D135" s="52">
        <v>78</v>
      </c>
      <c r="E135" s="33">
        <v>19.424026192235129</v>
      </c>
      <c r="F135" s="52">
        <v>78</v>
      </c>
      <c r="G135" s="104">
        <v>346.49480273842755</v>
      </c>
    </row>
    <row r="136" spans="2:7" x14ac:dyDescent="0.3">
      <c r="B136" s="52">
        <v>79</v>
      </c>
      <c r="C136" s="33">
        <v>144.91777865037611</v>
      </c>
      <c r="D136" s="52">
        <v>79</v>
      </c>
      <c r="E136" s="33">
        <v>55.399185659773863</v>
      </c>
      <c r="F136" s="52">
        <v>79</v>
      </c>
      <c r="G136" s="104">
        <v>214.34275972223074</v>
      </c>
    </row>
    <row r="137" spans="2:7" x14ac:dyDescent="0.3">
      <c r="B137" s="52">
        <v>80</v>
      </c>
      <c r="C137" s="33">
        <v>207.2578545507952</v>
      </c>
      <c r="D137" s="52">
        <v>80</v>
      </c>
      <c r="E137" s="33">
        <v>8.2557869249872695</v>
      </c>
      <c r="F137" s="52">
        <v>80</v>
      </c>
      <c r="G137" s="104">
        <v>320.43879041352028</v>
      </c>
    </row>
    <row r="138" spans="2:7" x14ac:dyDescent="0.3">
      <c r="B138" s="52">
        <v>81</v>
      </c>
      <c r="C138" s="33">
        <v>325.55215102268437</v>
      </c>
      <c r="D138" s="52">
        <v>81</v>
      </c>
      <c r="E138" s="33">
        <v>32.059540301120421</v>
      </c>
      <c r="F138" s="52">
        <v>81</v>
      </c>
      <c r="G138" s="104">
        <v>273.42724838611593</v>
      </c>
    </row>
    <row r="139" spans="2:7" x14ac:dyDescent="0.3">
      <c r="B139" s="52">
        <v>82</v>
      </c>
      <c r="C139" s="33">
        <v>140.16484551529112</v>
      </c>
      <c r="D139" s="52">
        <v>82</v>
      </c>
      <c r="E139" s="33">
        <v>73.824750675514494</v>
      </c>
      <c r="F139" s="52">
        <v>82</v>
      </c>
      <c r="G139" s="104">
        <v>55.86564908411583</v>
      </c>
    </row>
    <row r="140" spans="2:7" x14ac:dyDescent="0.3">
      <c r="B140" s="52">
        <v>83</v>
      </c>
      <c r="C140" s="33">
        <v>343.47573086499631</v>
      </c>
      <c r="D140" s="52">
        <v>83</v>
      </c>
      <c r="E140" s="33">
        <v>53.418724588483848</v>
      </c>
      <c r="F140" s="52">
        <v>83</v>
      </c>
      <c r="G140" s="104">
        <v>222.52290376281036</v>
      </c>
    </row>
    <row r="141" spans="2:7" x14ac:dyDescent="0.3">
      <c r="B141" s="52">
        <v>84</v>
      </c>
      <c r="C141" s="33">
        <v>165.41014286816764</v>
      </c>
      <c r="D141" s="52">
        <v>84</v>
      </c>
      <c r="E141" s="33">
        <v>81.561163440862401</v>
      </c>
      <c r="F141" s="52">
        <v>84</v>
      </c>
      <c r="G141" s="104">
        <v>426.03620636380674</v>
      </c>
    </row>
    <row r="142" spans="2:7" x14ac:dyDescent="0.3">
      <c r="B142" s="52">
        <v>85</v>
      </c>
      <c r="C142" s="33">
        <v>247.81051683722595</v>
      </c>
      <c r="D142" s="52">
        <v>85</v>
      </c>
      <c r="E142" s="33">
        <v>68.485497891231418</v>
      </c>
      <c r="F142" s="52">
        <v>85</v>
      </c>
      <c r="G142" s="104">
        <v>268.57349067349867</v>
      </c>
    </row>
    <row r="143" spans="2:7" x14ac:dyDescent="0.3">
      <c r="B143" s="52">
        <v>86</v>
      </c>
      <c r="C143" s="33">
        <v>27.338641529722082</v>
      </c>
      <c r="D143" s="52">
        <v>86</v>
      </c>
      <c r="E143" s="33">
        <v>90.676031025825921</v>
      </c>
      <c r="F143" s="52">
        <v>86</v>
      </c>
      <c r="G143" s="104">
        <v>212.85019530239788</v>
      </c>
    </row>
    <row r="144" spans="2:7" x14ac:dyDescent="0.3">
      <c r="B144" s="52">
        <v>87</v>
      </c>
      <c r="C144" s="33">
        <v>76.142441305680777</v>
      </c>
      <c r="D144" s="52">
        <v>87</v>
      </c>
      <c r="E144" s="33">
        <v>22.883302077742528</v>
      </c>
      <c r="F144" s="52">
        <v>87</v>
      </c>
      <c r="G144" s="104">
        <v>244.13194636904655</v>
      </c>
    </row>
    <row r="145" spans="2:7" x14ac:dyDescent="0.3">
      <c r="B145" s="52">
        <v>88</v>
      </c>
      <c r="C145" s="33">
        <v>152.95494108009024</v>
      </c>
      <c r="D145" s="52">
        <v>88</v>
      </c>
      <c r="E145" s="33">
        <v>45.441921787485995</v>
      </c>
      <c r="F145" s="52">
        <v>88</v>
      </c>
      <c r="G145" s="104">
        <v>277.07309088320346</v>
      </c>
    </row>
    <row r="146" spans="2:7" x14ac:dyDescent="0.3">
      <c r="B146" s="52">
        <v>89</v>
      </c>
      <c r="C146" s="33">
        <v>236.54411705085454</v>
      </c>
      <c r="D146" s="52">
        <v>89</v>
      </c>
      <c r="E146" s="33">
        <v>25.303781170827939</v>
      </c>
      <c r="F146" s="52">
        <v>89</v>
      </c>
      <c r="G146" s="104">
        <v>247.38218646935576</v>
      </c>
    </row>
    <row r="147" spans="2:7" x14ac:dyDescent="0.3">
      <c r="B147" s="52">
        <v>90</v>
      </c>
      <c r="C147" s="33">
        <v>269.71752361902202</v>
      </c>
      <c r="D147" s="52">
        <v>90</v>
      </c>
      <c r="E147" s="33">
        <v>15.074706481346858</v>
      </c>
      <c r="F147" s="52">
        <v>90</v>
      </c>
      <c r="G147" s="104">
        <v>191.77869615730722</v>
      </c>
    </row>
    <row r="148" spans="2:7" x14ac:dyDescent="0.3">
      <c r="B148" s="52">
        <v>91</v>
      </c>
      <c r="C148" s="33">
        <v>39.181951460768289</v>
      </c>
      <c r="D148" s="52">
        <v>91</v>
      </c>
      <c r="E148" s="33">
        <v>63.515111149624182</v>
      </c>
      <c r="F148" s="52">
        <v>91</v>
      </c>
      <c r="G148" s="104">
        <v>80.286143124654743</v>
      </c>
    </row>
    <row r="149" spans="2:7" x14ac:dyDescent="0.3">
      <c r="B149" s="52">
        <v>92</v>
      </c>
      <c r="C149" s="33">
        <v>166.1309152944925</v>
      </c>
      <c r="D149" s="52">
        <v>92</v>
      </c>
      <c r="E149" s="33">
        <v>46.62445050386038</v>
      </c>
      <c r="F149" s="52">
        <v>92</v>
      </c>
      <c r="G149" s="104">
        <v>297.75732505376266</v>
      </c>
    </row>
    <row r="150" spans="2:7" x14ac:dyDescent="0.3">
      <c r="B150" s="52">
        <v>93</v>
      </c>
      <c r="C150" s="33">
        <v>241.03903966508321</v>
      </c>
      <c r="D150" s="52">
        <v>93</v>
      </c>
      <c r="E150" s="33">
        <v>15.829545289210909</v>
      </c>
      <c r="F150" s="52">
        <v>93</v>
      </c>
      <c r="G150" s="104">
        <v>234.62628406986533</v>
      </c>
    </row>
    <row r="151" spans="2:7" x14ac:dyDescent="0.3">
      <c r="B151" s="52">
        <v>94</v>
      </c>
      <c r="C151" s="33">
        <v>320.36609668153847</v>
      </c>
      <c r="D151" s="52">
        <v>94</v>
      </c>
      <c r="E151" s="33">
        <v>52.824803285348999</v>
      </c>
      <c r="F151" s="52">
        <v>94</v>
      </c>
      <c r="G151" s="104">
        <v>247.31355956979291</v>
      </c>
    </row>
    <row r="152" spans="2:7" x14ac:dyDescent="0.3">
      <c r="B152" s="52">
        <v>95</v>
      </c>
      <c r="C152" s="33">
        <v>290.09470723880122</v>
      </c>
      <c r="D152" s="52">
        <v>95</v>
      </c>
      <c r="E152" s="33">
        <v>33.3623213436762</v>
      </c>
      <c r="F152" s="52">
        <v>95</v>
      </c>
      <c r="G152" s="104">
        <v>163.56075214427435</v>
      </c>
    </row>
    <row r="153" spans="2:7" x14ac:dyDescent="0.3">
      <c r="B153" s="52">
        <v>96</v>
      </c>
      <c r="C153" s="33">
        <v>216.37056017688496</v>
      </c>
      <c r="D153" s="52">
        <v>96</v>
      </c>
      <c r="E153" s="33">
        <v>38.751243246912694</v>
      </c>
      <c r="F153" s="52">
        <v>96</v>
      </c>
      <c r="G153" s="104">
        <v>188.85332580583341</v>
      </c>
    </row>
    <row r="154" spans="2:7" x14ac:dyDescent="0.3">
      <c r="B154" s="52">
        <v>97</v>
      </c>
      <c r="C154" s="33">
        <v>230.61149054080406</v>
      </c>
      <c r="D154" s="52">
        <v>97</v>
      </c>
      <c r="E154" s="33">
        <v>48.445480724137404</v>
      </c>
      <c r="F154" s="52">
        <v>97</v>
      </c>
      <c r="G154" s="104">
        <v>318.02964737137569</v>
      </c>
    </row>
    <row r="155" spans="2:7" x14ac:dyDescent="0.3">
      <c r="B155" s="52">
        <v>98</v>
      </c>
      <c r="C155" s="33">
        <v>269.54027305849598</v>
      </c>
      <c r="D155" s="52">
        <v>98</v>
      </c>
      <c r="E155" s="33">
        <v>61.070560746386427</v>
      </c>
      <c r="F155" s="52">
        <v>98</v>
      </c>
      <c r="G155" s="104">
        <v>191.21507138165185</v>
      </c>
    </row>
    <row r="156" spans="2:7" x14ac:dyDescent="0.3">
      <c r="B156" s="52">
        <v>99</v>
      </c>
      <c r="C156" s="33">
        <v>149.65625134933401</v>
      </c>
      <c r="D156" s="52">
        <v>99</v>
      </c>
      <c r="E156" s="33">
        <v>108.86755133057986</v>
      </c>
      <c r="F156" s="52">
        <v>99</v>
      </c>
      <c r="G156" s="104">
        <v>41.04545988915757</v>
      </c>
    </row>
    <row r="157" spans="2:7" x14ac:dyDescent="0.3">
      <c r="B157" s="52">
        <v>100</v>
      </c>
      <c r="C157" s="33">
        <v>108.30613830441236</v>
      </c>
      <c r="D157" s="52">
        <v>100</v>
      </c>
      <c r="E157" s="33">
        <v>52.644449475658178</v>
      </c>
      <c r="F157" s="52">
        <v>100</v>
      </c>
      <c r="G157" s="104">
        <v>56.179090372358985</v>
      </c>
    </row>
    <row r="158" spans="2:7" x14ac:dyDescent="0.3">
      <c r="B158" s="52">
        <v>101</v>
      </c>
      <c r="C158" s="33">
        <v>222.37955873397388</v>
      </c>
      <c r="D158" s="52">
        <v>101</v>
      </c>
      <c r="E158" s="33">
        <v>40.551996786922246</v>
      </c>
      <c r="F158" s="52">
        <v>101</v>
      </c>
      <c r="G158" s="104">
        <v>276.11567040131939</v>
      </c>
    </row>
    <row r="159" spans="2:7" x14ac:dyDescent="0.3">
      <c r="B159" s="52">
        <v>102</v>
      </c>
      <c r="C159" s="33">
        <v>240.94967858224351</v>
      </c>
      <c r="D159" s="52">
        <v>102</v>
      </c>
      <c r="E159" s="33">
        <v>51.687425992223503</v>
      </c>
      <c r="F159" s="52">
        <v>102</v>
      </c>
      <c r="G159" s="104">
        <v>188.55571078304791</v>
      </c>
    </row>
    <row r="160" spans="2:7" x14ac:dyDescent="0.3">
      <c r="B160" s="52">
        <v>103</v>
      </c>
      <c r="C160" s="33">
        <v>222.92727826600699</v>
      </c>
      <c r="D160" s="52">
        <v>103</v>
      </c>
      <c r="E160" s="33">
        <v>44.974424139823164</v>
      </c>
      <c r="F160" s="52">
        <v>103</v>
      </c>
      <c r="G160" s="104">
        <v>264.10956903566023</v>
      </c>
    </row>
    <row r="161" spans="2:7" x14ac:dyDescent="0.3">
      <c r="B161" s="52">
        <v>104</v>
      </c>
      <c r="C161" s="33">
        <v>173.76753362828913</v>
      </c>
      <c r="D161" s="52">
        <v>104</v>
      </c>
      <c r="E161" s="33">
        <v>70.934485102851653</v>
      </c>
      <c r="F161" s="52">
        <v>104</v>
      </c>
      <c r="G161" s="104">
        <v>215.26146148641908</v>
      </c>
    </row>
    <row r="162" spans="2:7" x14ac:dyDescent="0.3">
      <c r="B162" s="52">
        <v>105</v>
      </c>
      <c r="C162" s="33">
        <v>330.50333068811358</v>
      </c>
      <c r="D162" s="52">
        <v>105</v>
      </c>
      <c r="E162" s="33">
        <v>63.014835540800945</v>
      </c>
      <c r="F162" s="52">
        <v>105</v>
      </c>
      <c r="G162" s="104">
        <v>199.83396443683728</v>
      </c>
    </row>
    <row r="163" spans="2:7" x14ac:dyDescent="0.3">
      <c r="B163" s="52">
        <v>106</v>
      </c>
      <c r="C163" s="33">
        <v>336.50810489566254</v>
      </c>
      <c r="D163" s="52">
        <v>106</v>
      </c>
      <c r="E163" s="33">
        <v>46.293800860948068</v>
      </c>
      <c r="F163" s="52">
        <v>106</v>
      </c>
      <c r="G163" s="104">
        <v>344.55940008246074</v>
      </c>
    </row>
    <row r="164" spans="2:7" x14ac:dyDescent="0.3">
      <c r="B164" s="52">
        <v>107</v>
      </c>
      <c r="C164" s="33">
        <v>244.53871930249235</v>
      </c>
      <c r="D164" s="52">
        <v>107</v>
      </c>
      <c r="E164" s="33">
        <v>62.05317012002628</v>
      </c>
      <c r="F164" s="52">
        <v>107</v>
      </c>
      <c r="G164" s="104">
        <v>242.81697483674392</v>
      </c>
    </row>
    <row r="165" spans="2:7" x14ac:dyDescent="0.3">
      <c r="B165" s="52">
        <v>108</v>
      </c>
      <c r="C165" s="33">
        <v>143.82120497023783</v>
      </c>
      <c r="D165" s="52">
        <v>108</v>
      </c>
      <c r="E165" s="33">
        <v>32.112784635366637</v>
      </c>
      <c r="F165" s="52">
        <v>108</v>
      </c>
      <c r="G165" s="104">
        <v>127.28785892015915</v>
      </c>
    </row>
    <row r="166" spans="2:7" x14ac:dyDescent="0.3">
      <c r="B166" s="52">
        <v>109</v>
      </c>
      <c r="C166" s="33">
        <v>145.93050496599574</v>
      </c>
      <c r="D166" s="52">
        <v>109</v>
      </c>
      <c r="E166" s="33">
        <v>71.917785499453544</v>
      </c>
      <c r="F166" s="52">
        <v>109</v>
      </c>
      <c r="G166" s="104">
        <v>187.97434800418492</v>
      </c>
    </row>
    <row r="167" spans="2:7" x14ac:dyDescent="0.3">
      <c r="B167" s="52">
        <v>110</v>
      </c>
      <c r="C167" s="33">
        <v>260.06755796852457</v>
      </c>
      <c r="D167" s="52">
        <v>110</v>
      </c>
      <c r="E167" s="33">
        <v>17.647889278577644</v>
      </c>
      <c r="F167" s="52">
        <v>110</v>
      </c>
      <c r="G167" s="104">
        <v>339.91892540782669</v>
      </c>
    </row>
    <row r="168" spans="2:7" x14ac:dyDescent="0.3">
      <c r="B168" s="52">
        <v>111</v>
      </c>
      <c r="C168" s="33">
        <v>257.32301142738919</v>
      </c>
      <c r="D168" s="52">
        <v>111</v>
      </c>
      <c r="E168" s="33">
        <v>-4.2447152876001581</v>
      </c>
      <c r="F168" s="52">
        <v>111</v>
      </c>
      <c r="G168" s="104">
        <v>328.43691435502853</v>
      </c>
    </row>
    <row r="169" spans="2:7" x14ac:dyDescent="0.3">
      <c r="B169" s="52">
        <v>112</v>
      </c>
      <c r="C169" s="33">
        <v>142.74699534035886</v>
      </c>
      <c r="D169" s="52">
        <v>112</v>
      </c>
      <c r="E169" s="33">
        <v>22.243277317177242</v>
      </c>
      <c r="F169" s="52">
        <v>112</v>
      </c>
      <c r="G169" s="104">
        <v>257.81710752640572</v>
      </c>
    </row>
    <row r="170" spans="2:7" x14ac:dyDescent="0.3">
      <c r="B170" s="52">
        <v>113</v>
      </c>
      <c r="C170" s="33">
        <v>253.53411843291323</v>
      </c>
      <c r="D170" s="52">
        <v>113</v>
      </c>
      <c r="E170" s="33">
        <v>60.723867013504126</v>
      </c>
      <c r="F170" s="52">
        <v>113</v>
      </c>
      <c r="G170" s="104">
        <v>355.09044102790597</v>
      </c>
    </row>
    <row r="171" spans="2:7" x14ac:dyDescent="0.3">
      <c r="B171" s="52">
        <v>114</v>
      </c>
      <c r="C171" s="33">
        <v>284.19897976139703</v>
      </c>
      <c r="D171" s="52">
        <v>114</v>
      </c>
      <c r="E171" s="33">
        <v>47.209874058383015</v>
      </c>
      <c r="F171" s="52">
        <v>114</v>
      </c>
      <c r="G171" s="104">
        <v>250.8305395490558</v>
      </c>
    </row>
    <row r="172" spans="2:7" x14ac:dyDescent="0.3">
      <c r="B172" s="52">
        <v>115</v>
      </c>
      <c r="C172" s="33">
        <v>112.480115412464</v>
      </c>
      <c r="D172" s="52">
        <v>115</v>
      </c>
      <c r="E172" s="33">
        <v>59.412297624808886</v>
      </c>
      <c r="F172" s="52">
        <v>115</v>
      </c>
      <c r="G172" s="104">
        <v>199.51021254764399</v>
      </c>
    </row>
    <row r="173" spans="2:7" x14ac:dyDescent="0.3">
      <c r="B173" s="52">
        <v>116</v>
      </c>
      <c r="C173" s="33">
        <v>274.71353208479792</v>
      </c>
      <c r="D173" s="52">
        <v>116</v>
      </c>
      <c r="E173" s="33">
        <v>37.541919052463896</v>
      </c>
      <c r="F173" s="52">
        <v>116</v>
      </c>
      <c r="G173" s="104">
        <v>340.14282092587655</v>
      </c>
    </row>
    <row r="174" spans="2:7" x14ac:dyDescent="0.3">
      <c r="B174" s="52">
        <v>117</v>
      </c>
      <c r="C174" s="33">
        <v>102.01445248882897</v>
      </c>
      <c r="D174" s="52">
        <v>117</v>
      </c>
      <c r="E174" s="33">
        <v>58.649511980312973</v>
      </c>
      <c r="F174" s="52">
        <v>117</v>
      </c>
      <c r="G174" s="104">
        <v>145.98092931977214</v>
      </c>
    </row>
    <row r="175" spans="2:7" x14ac:dyDescent="0.3">
      <c r="B175" s="52">
        <v>118</v>
      </c>
      <c r="C175" s="33">
        <v>93.212582975997094</v>
      </c>
      <c r="D175" s="52">
        <v>118</v>
      </c>
      <c r="E175" s="33">
        <v>52.770661324643783</v>
      </c>
      <c r="F175" s="52">
        <v>118</v>
      </c>
      <c r="G175" s="104">
        <v>-1.4547725999391048</v>
      </c>
    </row>
    <row r="176" spans="2:7" x14ac:dyDescent="0.3">
      <c r="B176" s="52">
        <v>119</v>
      </c>
      <c r="C176" s="33">
        <v>177.37391696694641</v>
      </c>
      <c r="D176" s="52">
        <v>119</v>
      </c>
      <c r="E176" s="33">
        <v>24.578980515341847</v>
      </c>
      <c r="F176" s="52">
        <v>119</v>
      </c>
      <c r="G176" s="104">
        <v>164.73675759554393</v>
      </c>
    </row>
    <row r="177" spans="2:7" x14ac:dyDescent="0.3">
      <c r="B177" s="52">
        <v>120</v>
      </c>
      <c r="C177" s="33">
        <v>401.72437286618384</v>
      </c>
      <c r="D177" s="52">
        <v>120</v>
      </c>
      <c r="E177" s="33">
        <v>23.974973440559541</v>
      </c>
      <c r="F177" s="52">
        <v>120</v>
      </c>
      <c r="G177" s="104">
        <v>197.73843159490872</v>
      </c>
    </row>
    <row r="178" spans="2:7" x14ac:dyDescent="0.3">
      <c r="B178" s="52">
        <v>121</v>
      </c>
      <c r="C178" s="33">
        <v>168.95517333993863</v>
      </c>
      <c r="D178" s="52">
        <v>121</v>
      </c>
      <c r="E178" s="33">
        <v>0.93023175656019674</v>
      </c>
      <c r="F178" s="52">
        <v>121</v>
      </c>
      <c r="G178" s="104">
        <v>153.94369756181916</v>
      </c>
    </row>
    <row r="179" spans="2:7" x14ac:dyDescent="0.3">
      <c r="B179" s="52">
        <v>122</v>
      </c>
      <c r="C179" s="33">
        <v>336.28793545989765</v>
      </c>
      <c r="D179" s="52">
        <v>122</v>
      </c>
      <c r="E179" s="33">
        <v>35.428375596197348</v>
      </c>
      <c r="F179" s="52">
        <v>122</v>
      </c>
      <c r="G179" s="104">
        <v>228.23811584044245</v>
      </c>
    </row>
    <row r="180" spans="2:7" x14ac:dyDescent="0.3">
      <c r="B180" s="52">
        <v>123</v>
      </c>
      <c r="C180" s="33">
        <v>162.85266451102819</v>
      </c>
      <c r="D180" s="52">
        <v>123</v>
      </c>
      <c r="E180" s="33">
        <v>28.020058301604781</v>
      </c>
      <c r="F180" s="52">
        <v>123</v>
      </c>
      <c r="G180" s="104">
        <v>401.24582483724271</v>
      </c>
    </row>
    <row r="181" spans="2:7" x14ac:dyDescent="0.3">
      <c r="B181" s="52">
        <v>124</v>
      </c>
      <c r="C181" s="33">
        <v>180.26779349395852</v>
      </c>
      <c r="D181" s="52">
        <v>124</v>
      </c>
      <c r="E181" s="33">
        <v>45.388579895654708</v>
      </c>
      <c r="F181" s="52">
        <v>124</v>
      </c>
      <c r="G181" s="104">
        <v>229.45431149345268</v>
      </c>
    </row>
    <row r="182" spans="2:7" x14ac:dyDescent="0.3">
      <c r="B182" s="52">
        <v>125</v>
      </c>
      <c r="C182" s="33">
        <v>143.61753597190187</v>
      </c>
      <c r="D182" s="52">
        <v>125</v>
      </c>
      <c r="E182" s="33">
        <v>59.430397006322515</v>
      </c>
      <c r="F182" s="52">
        <v>125</v>
      </c>
      <c r="G182" s="104">
        <v>122.58396485387883</v>
      </c>
    </row>
    <row r="183" spans="2:7" x14ac:dyDescent="0.3">
      <c r="B183" s="52">
        <v>126</v>
      </c>
      <c r="C183" s="33">
        <v>267.19729028372268</v>
      </c>
      <c r="D183" s="52">
        <v>126</v>
      </c>
      <c r="E183" s="33">
        <v>-4.6736621845570241</v>
      </c>
      <c r="F183" s="52">
        <v>126</v>
      </c>
      <c r="G183" s="104">
        <v>210.12812855347531</v>
      </c>
    </row>
    <row r="184" spans="2:7" x14ac:dyDescent="0.3">
      <c r="B184" s="52">
        <v>127</v>
      </c>
      <c r="C184" s="33">
        <v>225.59496089581472</v>
      </c>
      <c r="D184" s="52">
        <v>127</v>
      </c>
      <c r="E184" s="33">
        <v>68.119681184558445</v>
      </c>
      <c r="F184" s="52">
        <v>127</v>
      </c>
      <c r="G184" s="104">
        <v>330.79788109361641</v>
      </c>
    </row>
    <row r="185" spans="2:7" x14ac:dyDescent="0.3">
      <c r="B185" s="52">
        <v>128</v>
      </c>
      <c r="C185" s="33">
        <v>246.96772970960509</v>
      </c>
      <c r="D185" s="52">
        <v>128</v>
      </c>
      <c r="E185" s="33">
        <v>27.976109319697088</v>
      </c>
      <c r="F185" s="52">
        <v>128</v>
      </c>
      <c r="G185" s="104">
        <v>102.69350462497718</v>
      </c>
    </row>
    <row r="186" spans="2:7" x14ac:dyDescent="0.3">
      <c r="B186" s="52">
        <v>129</v>
      </c>
      <c r="C186" s="33">
        <v>201.22098340020128</v>
      </c>
      <c r="D186" s="52">
        <v>129</v>
      </c>
      <c r="E186" s="33">
        <v>23.557820758393994</v>
      </c>
      <c r="F186" s="52">
        <v>129</v>
      </c>
      <c r="G186" s="104">
        <v>232.90672133502235</v>
      </c>
    </row>
    <row r="187" spans="2:7" x14ac:dyDescent="0.3">
      <c r="B187" s="52">
        <v>130</v>
      </c>
      <c r="C187" s="33">
        <v>135.10865456860745</v>
      </c>
      <c r="D187" s="52">
        <v>130</v>
      </c>
      <c r="E187" s="33">
        <v>-27.176695111372219</v>
      </c>
      <c r="F187" s="52">
        <v>130</v>
      </c>
      <c r="G187" s="104">
        <v>315.93498896592496</v>
      </c>
    </row>
    <row r="188" spans="2:7" x14ac:dyDescent="0.3">
      <c r="B188" s="52">
        <v>131</v>
      </c>
      <c r="C188" s="33">
        <v>186.47768105602506</v>
      </c>
      <c r="D188" s="52">
        <v>131</v>
      </c>
      <c r="E188" s="33">
        <v>74.068191688056572</v>
      </c>
      <c r="F188" s="52">
        <v>131</v>
      </c>
      <c r="G188" s="104">
        <v>-0.4236208726905204</v>
      </c>
    </row>
    <row r="189" spans="2:7" x14ac:dyDescent="0.3">
      <c r="B189" s="52">
        <v>132</v>
      </c>
      <c r="C189" s="33">
        <v>139.19907136182979</v>
      </c>
      <c r="D189" s="52">
        <v>132</v>
      </c>
      <c r="E189" s="33">
        <v>46.515901581682115</v>
      </c>
      <c r="F189" s="52">
        <v>132</v>
      </c>
      <c r="G189" s="104">
        <v>208.82549469464573</v>
      </c>
    </row>
    <row r="190" spans="2:7" x14ac:dyDescent="0.3">
      <c r="B190" s="52">
        <v>133</v>
      </c>
      <c r="C190" s="33">
        <v>178.42101778841248</v>
      </c>
      <c r="D190" s="52">
        <v>133</v>
      </c>
      <c r="E190" s="33">
        <v>-21.357410334870863</v>
      </c>
      <c r="F190" s="52">
        <v>133</v>
      </c>
      <c r="G190" s="104">
        <v>186.96139912124448</v>
      </c>
    </row>
    <row r="191" spans="2:7" x14ac:dyDescent="0.3">
      <c r="B191" s="52">
        <v>134</v>
      </c>
      <c r="C191" s="33">
        <v>209.21005259176772</v>
      </c>
      <c r="D191" s="52">
        <v>134</v>
      </c>
      <c r="E191" s="33">
        <v>22.110013235690875</v>
      </c>
      <c r="F191" s="52">
        <v>134</v>
      </c>
      <c r="G191" s="104">
        <v>286.92016688862583</v>
      </c>
    </row>
    <row r="192" spans="2:7" x14ac:dyDescent="0.3">
      <c r="B192" s="52">
        <v>135</v>
      </c>
      <c r="C192" s="33">
        <v>193.15049111517732</v>
      </c>
      <c r="D192" s="52">
        <v>135</v>
      </c>
      <c r="E192" s="33">
        <v>52.455600449482866</v>
      </c>
      <c r="F192" s="52">
        <v>135</v>
      </c>
      <c r="G192" s="104">
        <v>247.31120511825225</v>
      </c>
    </row>
    <row r="193" spans="2:7" x14ac:dyDescent="0.3">
      <c r="B193" s="52">
        <v>136</v>
      </c>
      <c r="C193" s="33">
        <v>319.72593353017396</v>
      </c>
      <c r="D193" s="52">
        <v>136</v>
      </c>
      <c r="E193" s="33">
        <v>38.704988886254128</v>
      </c>
      <c r="F193" s="52">
        <v>136</v>
      </c>
      <c r="G193" s="104">
        <v>327.42632357126013</v>
      </c>
    </row>
    <row r="194" spans="2:7" x14ac:dyDescent="0.3">
      <c r="B194" s="52">
        <v>137</v>
      </c>
      <c r="C194" s="33">
        <v>303.86614933040789</v>
      </c>
      <c r="D194" s="52">
        <v>137</v>
      </c>
      <c r="E194" s="33">
        <v>56.067941932543249</v>
      </c>
      <c r="F194" s="52">
        <v>137</v>
      </c>
      <c r="G194" s="104">
        <v>188.8517782952361</v>
      </c>
    </row>
    <row r="195" spans="2:7" x14ac:dyDescent="0.3">
      <c r="B195" s="52">
        <v>138</v>
      </c>
      <c r="C195" s="33">
        <v>173.9826572976483</v>
      </c>
      <c r="D195" s="52">
        <v>138</v>
      </c>
      <c r="E195" s="33">
        <v>19.460077561407541</v>
      </c>
      <c r="F195" s="52">
        <v>138</v>
      </c>
      <c r="G195" s="104">
        <v>203.80922123827597</v>
      </c>
    </row>
    <row r="196" spans="2:7" x14ac:dyDescent="0.3">
      <c r="B196" s="52">
        <v>139</v>
      </c>
      <c r="C196" s="33">
        <v>246.43144802378075</v>
      </c>
      <c r="D196" s="52">
        <v>139</v>
      </c>
      <c r="E196" s="33">
        <v>46.895899610163987</v>
      </c>
      <c r="F196" s="52">
        <v>139</v>
      </c>
      <c r="G196" s="104">
        <v>143.89111124658001</v>
      </c>
    </row>
    <row r="197" spans="2:7" x14ac:dyDescent="0.3">
      <c r="B197" s="52">
        <v>140</v>
      </c>
      <c r="C197" s="33">
        <v>283.57544799821613</v>
      </c>
      <c r="D197" s="52">
        <v>140</v>
      </c>
      <c r="E197" s="33">
        <v>113.02486827593123</v>
      </c>
      <c r="F197" s="52">
        <v>140</v>
      </c>
      <c r="G197" s="104">
        <v>138.47999251691493</v>
      </c>
    </row>
    <row r="198" spans="2:7" x14ac:dyDescent="0.3">
      <c r="B198" s="52">
        <v>141</v>
      </c>
      <c r="C198" s="33">
        <v>211.41455469024709</v>
      </c>
      <c r="D198" s="52">
        <v>141</v>
      </c>
      <c r="E198" s="33">
        <v>13.2703662108316</v>
      </c>
      <c r="F198" s="52">
        <v>141</v>
      </c>
      <c r="G198" s="104">
        <v>91.858247889204847</v>
      </c>
    </row>
    <row r="199" spans="2:7" x14ac:dyDescent="0.3">
      <c r="B199" s="52">
        <v>142</v>
      </c>
      <c r="C199" s="33">
        <v>262.03420516551847</v>
      </c>
      <c r="D199" s="52">
        <v>142</v>
      </c>
      <c r="E199" s="33">
        <v>10.312072205885798</v>
      </c>
      <c r="F199" s="52">
        <v>142</v>
      </c>
      <c r="G199" s="104">
        <v>173.49289312422223</v>
      </c>
    </row>
    <row r="200" spans="2:7" x14ac:dyDescent="0.3">
      <c r="B200" s="52">
        <v>143</v>
      </c>
      <c r="C200" s="33">
        <v>225.78488702978845</v>
      </c>
      <c r="D200" s="52">
        <v>143</v>
      </c>
      <c r="E200" s="33">
        <v>6.6044812341571344</v>
      </c>
      <c r="F200" s="52">
        <v>143</v>
      </c>
      <c r="G200" s="104">
        <v>247.70571621125578</v>
      </c>
    </row>
    <row r="201" spans="2:7" x14ac:dyDescent="0.3">
      <c r="B201" s="52">
        <v>144</v>
      </c>
      <c r="C201" s="33">
        <v>226.89618901187782</v>
      </c>
      <c r="D201" s="52">
        <v>144</v>
      </c>
      <c r="E201" s="33">
        <v>49.06170039463187</v>
      </c>
      <c r="F201" s="52">
        <v>144</v>
      </c>
      <c r="G201" s="104">
        <v>195.52561474450826</v>
      </c>
    </row>
    <row r="202" spans="2:7" x14ac:dyDescent="0.3">
      <c r="B202" s="52">
        <v>145</v>
      </c>
      <c r="C202" s="33">
        <v>130.32154588636274</v>
      </c>
      <c r="D202" s="52">
        <v>145</v>
      </c>
      <c r="E202" s="33">
        <v>55.074953727451145</v>
      </c>
      <c r="F202" s="52">
        <v>145</v>
      </c>
      <c r="G202" s="104">
        <v>178.44885800717731</v>
      </c>
    </row>
    <row r="203" spans="2:7" x14ac:dyDescent="0.3">
      <c r="B203" s="52">
        <v>146</v>
      </c>
      <c r="C203" s="33">
        <v>181.38363023038505</v>
      </c>
      <c r="D203" s="52">
        <v>146</v>
      </c>
      <c r="E203" s="33">
        <v>-0.5471729583114211</v>
      </c>
      <c r="F203" s="52">
        <v>146</v>
      </c>
      <c r="G203" s="104">
        <v>324.72866920168696</v>
      </c>
    </row>
    <row r="204" spans="2:7" x14ac:dyDescent="0.3">
      <c r="B204" s="52">
        <v>147</v>
      </c>
      <c r="C204" s="33">
        <v>211.33880037301424</v>
      </c>
      <c r="D204" s="52">
        <v>147</v>
      </c>
      <c r="E204" s="33">
        <v>42.632529198213838</v>
      </c>
      <c r="F204" s="52">
        <v>147</v>
      </c>
      <c r="G204" s="104">
        <v>105.85419448157805</v>
      </c>
    </row>
    <row r="205" spans="2:7" x14ac:dyDescent="0.3">
      <c r="B205" s="52">
        <v>148</v>
      </c>
      <c r="C205" s="33">
        <v>221.58668148463602</v>
      </c>
      <c r="D205" s="52">
        <v>148</v>
      </c>
      <c r="E205" s="33">
        <v>28.445726131139583</v>
      </c>
      <c r="F205" s="52">
        <v>148</v>
      </c>
      <c r="G205" s="104">
        <v>188.31891714723827</v>
      </c>
    </row>
    <row r="206" spans="2:7" x14ac:dyDescent="0.3">
      <c r="B206" s="52">
        <v>149</v>
      </c>
      <c r="C206" s="33">
        <v>262.62105964825997</v>
      </c>
      <c r="D206" s="52">
        <v>149</v>
      </c>
      <c r="E206" s="33">
        <v>21.764538856687231</v>
      </c>
      <c r="F206" s="52">
        <v>149</v>
      </c>
      <c r="G206" s="104">
        <v>303.98470285517772</v>
      </c>
    </row>
    <row r="207" spans="2:7" x14ac:dyDescent="0.3">
      <c r="B207" s="52">
        <v>150</v>
      </c>
      <c r="C207" s="33">
        <v>245.84457949161032</v>
      </c>
      <c r="D207" s="52">
        <v>150</v>
      </c>
      <c r="E207" s="33">
        <v>28.928036760057843</v>
      </c>
      <c r="F207" s="52">
        <v>150</v>
      </c>
      <c r="G207" s="104">
        <v>158.39311603692781</v>
      </c>
    </row>
    <row r="208" spans="2:7" x14ac:dyDescent="0.3">
      <c r="B208" s="52">
        <v>151</v>
      </c>
      <c r="C208" s="33">
        <v>176.56563304816271</v>
      </c>
      <c r="D208" s="52">
        <v>151</v>
      </c>
      <c r="E208" s="33">
        <v>5.4469022521725208</v>
      </c>
      <c r="F208" s="52">
        <v>151</v>
      </c>
      <c r="G208" s="104">
        <v>30.955583018894814</v>
      </c>
    </row>
    <row r="209" spans="2:7" x14ac:dyDescent="0.3">
      <c r="B209" s="52">
        <v>152</v>
      </c>
      <c r="C209" s="33">
        <v>340.52183144813887</v>
      </c>
      <c r="D209" s="52">
        <v>152</v>
      </c>
      <c r="E209" s="33">
        <v>12.3054422179792</v>
      </c>
      <c r="F209" s="52">
        <v>152</v>
      </c>
      <c r="G209" s="104">
        <v>149.57653827737556</v>
      </c>
    </row>
    <row r="210" spans="2:7" x14ac:dyDescent="0.3">
      <c r="B210" s="52">
        <v>153</v>
      </c>
      <c r="C210" s="33">
        <v>339.78205103996021</v>
      </c>
      <c r="D210" s="52">
        <v>153</v>
      </c>
      <c r="E210" s="33">
        <v>29.042347502836783</v>
      </c>
      <c r="F210" s="52">
        <v>153</v>
      </c>
      <c r="G210" s="104">
        <v>145.50367664560946</v>
      </c>
    </row>
    <row r="211" spans="2:7" x14ac:dyDescent="0.3">
      <c r="B211" s="52">
        <v>154</v>
      </c>
      <c r="C211" s="33">
        <v>121.55913633641718</v>
      </c>
      <c r="D211" s="52">
        <v>154</v>
      </c>
      <c r="E211" s="33">
        <v>50.762002026569988</v>
      </c>
      <c r="F211" s="52">
        <v>154</v>
      </c>
      <c r="G211" s="104">
        <v>106.6336989667856</v>
      </c>
    </row>
    <row r="212" spans="2:7" x14ac:dyDescent="0.3">
      <c r="B212" s="52">
        <v>155</v>
      </c>
      <c r="C212" s="33">
        <v>247.95040404339866</v>
      </c>
      <c r="D212" s="52">
        <v>155</v>
      </c>
      <c r="E212" s="33">
        <v>54.43522841516296</v>
      </c>
      <c r="F212" s="52">
        <v>155</v>
      </c>
      <c r="G212" s="104">
        <v>188.81622776855019</v>
      </c>
    </row>
    <row r="213" spans="2:7" x14ac:dyDescent="0.3">
      <c r="B213" s="52">
        <v>156</v>
      </c>
      <c r="C213" s="33">
        <v>236.13394767017431</v>
      </c>
      <c r="D213" s="52">
        <v>156</v>
      </c>
      <c r="E213" s="33">
        <v>97.149967078179131</v>
      </c>
      <c r="F213" s="52">
        <v>156</v>
      </c>
      <c r="G213" s="104">
        <v>41.757619644742448</v>
      </c>
    </row>
    <row r="214" spans="2:7" x14ac:dyDescent="0.3">
      <c r="B214" s="52">
        <v>157</v>
      </c>
      <c r="C214" s="33">
        <v>383.87207652325782</v>
      </c>
      <c r="D214" s="52">
        <v>157</v>
      </c>
      <c r="E214" s="33">
        <v>98.253158098025622</v>
      </c>
      <c r="F214" s="52">
        <v>157</v>
      </c>
      <c r="G214" s="104">
        <v>174.47347124611903</v>
      </c>
    </row>
    <row r="215" spans="2:7" x14ac:dyDescent="0.3">
      <c r="B215" s="52">
        <v>158</v>
      </c>
      <c r="C215" s="33">
        <v>200.56746724609499</v>
      </c>
      <c r="D215" s="52">
        <v>158</v>
      </c>
      <c r="E215" s="33">
        <v>24.193017948185076</v>
      </c>
      <c r="F215" s="52">
        <v>158</v>
      </c>
      <c r="G215" s="104">
        <v>246.56450836985982</v>
      </c>
    </row>
    <row r="216" spans="2:7" x14ac:dyDescent="0.3">
      <c r="B216" s="52">
        <v>159</v>
      </c>
      <c r="C216" s="33">
        <v>120.131714620444</v>
      </c>
      <c r="D216" s="52">
        <v>159</v>
      </c>
      <c r="E216" s="33">
        <v>33.166291801117019</v>
      </c>
      <c r="F216" s="52">
        <v>159</v>
      </c>
      <c r="G216" s="104">
        <v>141.25335953185271</v>
      </c>
    </row>
    <row r="217" spans="2:7" x14ac:dyDescent="0.3">
      <c r="B217" s="52">
        <v>160</v>
      </c>
      <c r="C217" s="33">
        <v>314.0080444382163</v>
      </c>
      <c r="D217" s="52">
        <v>160</v>
      </c>
      <c r="E217" s="33">
        <v>6.8663524755620244</v>
      </c>
      <c r="F217" s="52">
        <v>160</v>
      </c>
      <c r="G217" s="104">
        <v>227.16445642158843</v>
      </c>
    </row>
    <row r="218" spans="2:7" x14ac:dyDescent="0.3">
      <c r="B218" s="52">
        <v>161</v>
      </c>
      <c r="C218" s="33">
        <v>231.86518718217573</v>
      </c>
      <c r="D218" s="52">
        <v>161</v>
      </c>
      <c r="E218" s="33">
        <v>37.080677600289924</v>
      </c>
      <c r="F218" s="52">
        <v>161</v>
      </c>
      <c r="G218" s="104">
        <v>102.3575764690478</v>
      </c>
    </row>
    <row r="219" spans="2:7" x14ac:dyDescent="0.3">
      <c r="B219" s="52">
        <v>162</v>
      </c>
      <c r="C219" s="33">
        <v>259.96014927356561</v>
      </c>
      <c r="D219" s="52">
        <v>162</v>
      </c>
      <c r="E219" s="33">
        <v>56.89177347162564</v>
      </c>
      <c r="F219" s="52">
        <v>162</v>
      </c>
      <c r="G219" s="104">
        <v>136.95002234913463</v>
      </c>
    </row>
    <row r="220" spans="2:7" x14ac:dyDescent="0.3">
      <c r="B220" s="52">
        <v>163</v>
      </c>
      <c r="C220" s="33">
        <v>211.59504962368328</v>
      </c>
      <c r="D220" s="52">
        <v>163</v>
      </c>
      <c r="E220" s="33">
        <v>64.990835111078226</v>
      </c>
      <c r="F220" s="52">
        <v>163</v>
      </c>
      <c r="G220" s="104">
        <v>158.99337954593184</v>
      </c>
    </row>
    <row r="221" spans="2:7" x14ac:dyDescent="0.3">
      <c r="B221" s="52">
        <v>164</v>
      </c>
      <c r="C221" s="33">
        <v>237.97176559384025</v>
      </c>
      <c r="D221" s="52">
        <v>164</v>
      </c>
      <c r="E221" s="33">
        <v>23.202854930905445</v>
      </c>
      <c r="F221" s="52">
        <v>164</v>
      </c>
      <c r="G221" s="104">
        <v>299.4438743332758</v>
      </c>
    </row>
    <row r="222" spans="2:7" x14ac:dyDescent="0.3">
      <c r="B222" s="52">
        <v>165</v>
      </c>
      <c r="C222" s="33">
        <v>273.77149860555176</v>
      </c>
      <c r="D222" s="52">
        <v>165</v>
      </c>
      <c r="E222" s="33">
        <v>40.20648550734893</v>
      </c>
      <c r="F222" s="52">
        <v>165</v>
      </c>
      <c r="G222" s="104">
        <v>140.68095860178204</v>
      </c>
    </row>
    <row r="223" spans="2:7" x14ac:dyDescent="0.3">
      <c r="B223" s="52">
        <v>166</v>
      </c>
      <c r="C223" s="33">
        <v>308.16595819650877</v>
      </c>
      <c r="D223" s="52">
        <v>166</v>
      </c>
      <c r="E223" s="33">
        <v>64.324397504420318</v>
      </c>
      <c r="F223" s="52">
        <v>166</v>
      </c>
      <c r="G223" s="104">
        <v>197.93360814677519</v>
      </c>
    </row>
    <row r="224" spans="2:7" x14ac:dyDescent="0.3">
      <c r="B224" s="52">
        <v>167</v>
      </c>
      <c r="C224" s="33">
        <v>190.07777882866117</v>
      </c>
      <c r="D224" s="52">
        <v>167</v>
      </c>
      <c r="E224" s="33">
        <v>24.563652849235268</v>
      </c>
      <c r="F224" s="52">
        <v>167</v>
      </c>
      <c r="G224" s="104">
        <v>440.41780828947708</v>
      </c>
    </row>
    <row r="225" spans="2:7" x14ac:dyDescent="0.3">
      <c r="B225" s="52">
        <v>168</v>
      </c>
      <c r="C225" s="33">
        <v>261.2115914479246</v>
      </c>
      <c r="D225" s="52">
        <v>168</v>
      </c>
      <c r="E225" s="33">
        <v>81.236607370873116</v>
      </c>
      <c r="F225" s="52">
        <v>168</v>
      </c>
      <c r="G225" s="104">
        <v>214.91161170503955</v>
      </c>
    </row>
    <row r="226" spans="2:7" x14ac:dyDescent="0.3">
      <c r="B226" s="52">
        <v>169</v>
      </c>
      <c r="C226" s="33">
        <v>310.74323883578779</v>
      </c>
      <c r="D226" s="52">
        <v>169</v>
      </c>
      <c r="E226" s="33">
        <v>51.915700846232241</v>
      </c>
      <c r="F226" s="52">
        <v>169</v>
      </c>
      <c r="G226" s="104">
        <v>158.15290404974513</v>
      </c>
    </row>
    <row r="227" spans="2:7" x14ac:dyDescent="0.3">
      <c r="B227" s="52">
        <v>170</v>
      </c>
      <c r="C227" s="33">
        <v>237.24852198545133</v>
      </c>
      <c r="D227" s="52">
        <v>170</v>
      </c>
      <c r="E227" s="33">
        <v>-4.0278735315511227</v>
      </c>
      <c r="F227" s="52">
        <v>170</v>
      </c>
      <c r="G227" s="104">
        <v>323.30957987871534</v>
      </c>
    </row>
    <row r="228" spans="2:7" x14ac:dyDescent="0.3">
      <c r="B228" s="52">
        <v>171</v>
      </c>
      <c r="C228" s="33">
        <v>191.45320510294826</v>
      </c>
      <c r="D228" s="52">
        <v>171</v>
      </c>
      <c r="E228" s="33">
        <v>12.745468892241174</v>
      </c>
      <c r="F228" s="52">
        <v>171</v>
      </c>
      <c r="G228" s="104">
        <v>198.64164322193164</v>
      </c>
    </row>
    <row r="229" spans="2:7" x14ac:dyDescent="0.3">
      <c r="B229" s="52">
        <v>172</v>
      </c>
      <c r="C229" s="33">
        <v>202.59500486638782</v>
      </c>
      <c r="D229" s="52">
        <v>172</v>
      </c>
      <c r="E229" s="33">
        <v>88.258693485660558</v>
      </c>
      <c r="F229" s="52">
        <v>172</v>
      </c>
      <c r="G229" s="104">
        <v>343.69552339215244</v>
      </c>
    </row>
    <row r="230" spans="2:7" x14ac:dyDescent="0.3">
      <c r="B230" s="52">
        <v>173</v>
      </c>
      <c r="C230" s="33">
        <v>95.079657548522604</v>
      </c>
      <c r="D230" s="52">
        <v>173</v>
      </c>
      <c r="E230" s="33">
        <v>60.629316053654037</v>
      </c>
      <c r="F230" s="52">
        <v>173</v>
      </c>
      <c r="G230" s="104">
        <v>190.77938610856461</v>
      </c>
    </row>
    <row r="231" spans="2:7" x14ac:dyDescent="0.3">
      <c r="B231" s="52">
        <v>174</v>
      </c>
      <c r="C231" s="33">
        <v>297.26158144190714</v>
      </c>
      <c r="D231" s="52">
        <v>174</v>
      </c>
      <c r="E231" s="33">
        <v>26.962571837788694</v>
      </c>
      <c r="F231" s="52">
        <v>174</v>
      </c>
      <c r="G231" s="104">
        <v>212.3550144248118</v>
      </c>
    </row>
    <row r="232" spans="2:7" x14ac:dyDescent="0.3">
      <c r="B232" s="52">
        <v>175</v>
      </c>
      <c r="C232" s="33">
        <v>136.84526918042664</v>
      </c>
      <c r="D232" s="52">
        <v>175</v>
      </c>
      <c r="E232" s="33">
        <v>11.141906937448592</v>
      </c>
      <c r="F232" s="52">
        <v>175</v>
      </c>
      <c r="G232" s="104">
        <v>187.73514467661357</v>
      </c>
    </row>
    <row r="233" spans="2:7" x14ac:dyDescent="0.3">
      <c r="B233" s="52">
        <v>176</v>
      </c>
      <c r="C233" s="33">
        <v>233.60263783959368</v>
      </c>
      <c r="D233" s="52">
        <v>176</v>
      </c>
      <c r="E233" s="33">
        <v>53.075043545853944</v>
      </c>
      <c r="F233" s="52">
        <v>176</v>
      </c>
      <c r="G233" s="104">
        <v>305.02302151599406</v>
      </c>
    </row>
    <row r="234" spans="2:7" x14ac:dyDescent="0.3">
      <c r="B234" s="52">
        <v>177</v>
      </c>
      <c r="C234" s="33">
        <v>141.13185674791907</v>
      </c>
      <c r="D234" s="52">
        <v>177</v>
      </c>
      <c r="E234" s="33">
        <v>23.184095893257535</v>
      </c>
      <c r="F234" s="52">
        <v>177</v>
      </c>
      <c r="G234" s="104">
        <v>121.98279977514224</v>
      </c>
    </row>
    <row r="235" spans="2:7" x14ac:dyDescent="0.3">
      <c r="B235" s="52">
        <v>178</v>
      </c>
      <c r="C235" s="33">
        <v>203.33991226278295</v>
      </c>
      <c r="D235" s="52">
        <v>178</v>
      </c>
      <c r="E235" s="33">
        <v>54.611956803401618</v>
      </c>
      <c r="F235" s="52">
        <v>178</v>
      </c>
      <c r="G235" s="104">
        <v>169.7913388527848</v>
      </c>
    </row>
    <row r="236" spans="2:7" x14ac:dyDescent="0.3">
      <c r="B236" s="52">
        <v>179</v>
      </c>
      <c r="C236" s="33">
        <v>188.0431567810266</v>
      </c>
      <c r="D236" s="52">
        <v>179</v>
      </c>
      <c r="E236" s="33">
        <v>21.51146513807192</v>
      </c>
      <c r="F236" s="52">
        <v>179</v>
      </c>
      <c r="G236" s="104">
        <v>152.07898570202093</v>
      </c>
    </row>
    <row r="237" spans="2:7" x14ac:dyDescent="0.3">
      <c r="B237" s="52">
        <v>180</v>
      </c>
      <c r="C237" s="33">
        <v>176.03709715377767</v>
      </c>
      <c r="D237" s="52">
        <v>180</v>
      </c>
      <c r="E237" s="33">
        <v>11.037913694147239</v>
      </c>
      <c r="F237" s="52">
        <v>180</v>
      </c>
      <c r="G237" s="104">
        <v>185.63737222466099</v>
      </c>
    </row>
    <row r="238" spans="2:7" x14ac:dyDescent="0.3">
      <c r="B238" s="52">
        <v>181</v>
      </c>
      <c r="C238" s="33">
        <v>173.98323263086712</v>
      </c>
      <c r="D238" s="52">
        <v>181</v>
      </c>
      <c r="E238" s="33">
        <v>42.948817600105542</v>
      </c>
      <c r="F238" s="52">
        <v>181</v>
      </c>
      <c r="G238" s="104">
        <v>298.88853369676656</v>
      </c>
    </row>
    <row r="239" spans="2:7" x14ac:dyDescent="0.3">
      <c r="B239" s="52">
        <v>182</v>
      </c>
      <c r="C239" s="33">
        <v>0.12221850026946868</v>
      </c>
      <c r="D239" s="52">
        <v>182</v>
      </c>
      <c r="E239" s="33">
        <v>59.132633771627908</v>
      </c>
      <c r="F239" s="52">
        <v>182</v>
      </c>
      <c r="G239" s="104">
        <v>258.71656589678923</v>
      </c>
    </row>
    <row r="240" spans="2:7" x14ac:dyDescent="0.3">
      <c r="B240" s="52">
        <v>183</v>
      </c>
      <c r="C240" s="33">
        <v>164.46807716741012</v>
      </c>
      <c r="D240" s="52">
        <v>183</v>
      </c>
      <c r="E240" s="33">
        <v>54.479735640342412</v>
      </c>
      <c r="F240" s="52">
        <v>183</v>
      </c>
      <c r="G240" s="104">
        <v>275.53110493845043</v>
      </c>
    </row>
    <row r="241" spans="2:7" x14ac:dyDescent="0.3">
      <c r="B241" s="52">
        <v>184</v>
      </c>
      <c r="C241" s="33">
        <v>158.44621769738353</v>
      </c>
      <c r="D241" s="52">
        <v>184</v>
      </c>
      <c r="E241" s="33">
        <v>83.888602575282221</v>
      </c>
      <c r="F241" s="52">
        <v>184</v>
      </c>
      <c r="G241" s="104">
        <v>138.64985906540335</v>
      </c>
    </row>
    <row r="242" spans="2:7" x14ac:dyDescent="0.3">
      <c r="B242" s="52">
        <v>185</v>
      </c>
      <c r="C242" s="33">
        <v>276.58475056415506</v>
      </c>
      <c r="D242" s="52">
        <v>185</v>
      </c>
      <c r="E242" s="33">
        <v>10.314382163392676</v>
      </c>
      <c r="F242" s="52">
        <v>185</v>
      </c>
      <c r="G242" s="104">
        <v>154.02131399063447</v>
      </c>
    </row>
    <row r="243" spans="2:7" x14ac:dyDescent="0.3">
      <c r="B243" s="52">
        <v>186</v>
      </c>
      <c r="C243" s="33">
        <v>181.14546994943788</v>
      </c>
      <c r="D243" s="52">
        <v>186</v>
      </c>
      <c r="E243" s="33">
        <v>40.609982881746873</v>
      </c>
      <c r="F243" s="52">
        <v>186</v>
      </c>
      <c r="G243" s="104">
        <v>163.092907478668</v>
      </c>
    </row>
    <row r="244" spans="2:7" x14ac:dyDescent="0.3">
      <c r="B244" s="52">
        <v>187</v>
      </c>
      <c r="C244" s="33">
        <v>173.35316299290591</v>
      </c>
      <c r="D244" s="52">
        <v>187</v>
      </c>
      <c r="E244" s="33">
        <v>45.638312645505231</v>
      </c>
      <c r="F244" s="52">
        <v>187</v>
      </c>
      <c r="G244" s="104">
        <v>276.70392632953855</v>
      </c>
    </row>
    <row r="245" spans="2:7" x14ac:dyDescent="0.3">
      <c r="B245" s="52">
        <v>188</v>
      </c>
      <c r="C245" s="33">
        <v>122.62479227703714</v>
      </c>
      <c r="D245" s="52">
        <v>188</v>
      </c>
      <c r="E245" s="33">
        <v>58.229322811762216</v>
      </c>
      <c r="F245" s="52">
        <v>188</v>
      </c>
      <c r="G245" s="104">
        <v>252.0758517406644</v>
      </c>
    </row>
    <row r="246" spans="2:7" x14ac:dyDescent="0.3">
      <c r="B246" s="52">
        <v>189</v>
      </c>
      <c r="C246" s="33">
        <v>271.77318333237321</v>
      </c>
      <c r="D246" s="52">
        <v>189</v>
      </c>
      <c r="E246" s="33">
        <v>-11.960338304995609</v>
      </c>
      <c r="F246" s="52">
        <v>189</v>
      </c>
      <c r="G246" s="104">
        <v>256.45363227045095</v>
      </c>
    </row>
    <row r="247" spans="2:7" x14ac:dyDescent="0.3">
      <c r="B247" s="52">
        <v>190</v>
      </c>
      <c r="C247" s="33">
        <v>365.62408180164778</v>
      </c>
      <c r="D247" s="52">
        <v>190</v>
      </c>
      <c r="E247" s="33">
        <v>81.066601942588974</v>
      </c>
      <c r="F247" s="52">
        <v>190</v>
      </c>
      <c r="G247" s="104">
        <v>255.31655965317469</v>
      </c>
    </row>
    <row r="248" spans="2:7" x14ac:dyDescent="0.3">
      <c r="B248" s="52">
        <v>191</v>
      </c>
      <c r="C248" s="33">
        <v>328.67148907753557</v>
      </c>
      <c r="D248" s="52">
        <v>191</v>
      </c>
      <c r="E248" s="33">
        <v>58.744881165819564</v>
      </c>
      <c r="F248" s="52">
        <v>191</v>
      </c>
      <c r="G248" s="104">
        <v>173.57386755730633</v>
      </c>
    </row>
    <row r="249" spans="2:7" x14ac:dyDescent="0.3">
      <c r="B249" s="52">
        <v>192</v>
      </c>
      <c r="C249" s="33">
        <v>345.74736974148288</v>
      </c>
      <c r="D249" s="52">
        <v>192</v>
      </c>
      <c r="E249" s="33">
        <v>9.5762023217228069</v>
      </c>
      <c r="F249" s="52">
        <v>192</v>
      </c>
      <c r="G249" s="104">
        <v>213.05738230267934</v>
      </c>
    </row>
    <row r="250" spans="2:7" x14ac:dyDescent="0.3">
      <c r="B250" s="52">
        <v>193</v>
      </c>
      <c r="C250" s="33">
        <v>80.282046206190685</v>
      </c>
      <c r="D250" s="52">
        <v>193</v>
      </c>
      <c r="E250" s="33">
        <v>32.250351444262371</v>
      </c>
      <c r="F250" s="52">
        <v>193</v>
      </c>
      <c r="G250" s="104">
        <v>188.89299915864103</v>
      </c>
    </row>
    <row r="251" spans="2:7" x14ac:dyDescent="0.3">
      <c r="B251" s="52">
        <v>194</v>
      </c>
      <c r="C251" s="33">
        <v>215.19049654906439</v>
      </c>
      <c r="D251" s="52">
        <v>194</v>
      </c>
      <c r="E251" s="33">
        <v>74.478950942862852</v>
      </c>
      <c r="F251" s="52">
        <v>194</v>
      </c>
      <c r="G251" s="104">
        <v>155.0870763227208</v>
      </c>
    </row>
    <row r="252" spans="2:7" x14ac:dyDescent="0.3">
      <c r="B252" s="52">
        <v>195</v>
      </c>
      <c r="C252" s="33">
        <v>350.77878121529778</v>
      </c>
      <c r="D252" s="52">
        <v>195</v>
      </c>
      <c r="E252" s="33">
        <v>12.858005502951784</v>
      </c>
      <c r="F252" s="52">
        <v>195</v>
      </c>
      <c r="G252" s="104">
        <v>236.76259639792167</v>
      </c>
    </row>
    <row r="253" spans="2:7" x14ac:dyDescent="0.3">
      <c r="B253" s="52">
        <v>196</v>
      </c>
      <c r="C253" s="33">
        <v>205.4738150513453</v>
      </c>
      <c r="D253" s="52">
        <v>196</v>
      </c>
      <c r="E253" s="33">
        <v>55.545504448434066</v>
      </c>
      <c r="F253" s="52">
        <v>196</v>
      </c>
      <c r="G253" s="104">
        <v>237.61720505929608</v>
      </c>
    </row>
    <row r="254" spans="2:7" x14ac:dyDescent="0.3">
      <c r="B254" s="52">
        <v>197</v>
      </c>
      <c r="C254" s="33">
        <v>22.628417017356838</v>
      </c>
      <c r="D254" s="52">
        <v>197</v>
      </c>
      <c r="E254" s="33">
        <v>64.262934564331346</v>
      </c>
      <c r="F254" s="52">
        <v>197</v>
      </c>
      <c r="G254" s="104">
        <v>195.56506418998322</v>
      </c>
    </row>
    <row r="255" spans="2:7" x14ac:dyDescent="0.3">
      <c r="B255" s="52">
        <v>198</v>
      </c>
      <c r="C255" s="33">
        <v>226.68855102910041</v>
      </c>
      <c r="D255" s="52">
        <v>198</v>
      </c>
      <c r="E255" s="33">
        <v>17.158426499834206</v>
      </c>
      <c r="F255" s="52">
        <v>198</v>
      </c>
      <c r="G255" s="104">
        <v>371.60416236917825</v>
      </c>
    </row>
    <row r="256" spans="2:7" x14ac:dyDescent="0.3">
      <c r="B256" s="52">
        <v>199</v>
      </c>
      <c r="C256" s="33">
        <v>243.1712314235034</v>
      </c>
      <c r="D256" s="52">
        <v>199</v>
      </c>
      <c r="E256" s="33">
        <v>72.954420488660332</v>
      </c>
      <c r="F256" s="52">
        <v>199</v>
      </c>
      <c r="G256" s="104">
        <v>249.47113492920789</v>
      </c>
    </row>
    <row r="257" spans="2:7" x14ac:dyDescent="0.3">
      <c r="B257" s="52">
        <v>200</v>
      </c>
      <c r="C257" s="33">
        <v>186.673395466324</v>
      </c>
      <c r="D257" s="52">
        <v>200</v>
      </c>
      <c r="E257" s="33">
        <v>107.96535234011415</v>
      </c>
      <c r="F257" s="52">
        <v>200</v>
      </c>
      <c r="G257" s="104">
        <v>249.04930835489526</v>
      </c>
    </row>
    <row r="258" spans="2:7" x14ac:dyDescent="0.3">
      <c r="B258" s="52">
        <v>201</v>
      </c>
      <c r="C258" s="33">
        <v>228.70829136758098</v>
      </c>
      <c r="D258" s="52">
        <v>201</v>
      </c>
      <c r="E258" s="33">
        <v>25.00420195866813</v>
      </c>
      <c r="F258" s="52">
        <v>201</v>
      </c>
      <c r="G258" s="104">
        <v>154.96854525656292</v>
      </c>
    </row>
    <row r="259" spans="2:7" x14ac:dyDescent="0.3">
      <c r="B259" s="52">
        <v>202</v>
      </c>
      <c r="C259" s="33">
        <v>274.30152855999501</v>
      </c>
      <c r="D259" s="52">
        <v>202</v>
      </c>
      <c r="E259" s="33">
        <v>53.429962776057579</v>
      </c>
      <c r="F259" s="52">
        <v>202</v>
      </c>
      <c r="G259" s="104">
        <v>286.17215579405877</v>
      </c>
    </row>
    <row r="260" spans="2:7" x14ac:dyDescent="0.3">
      <c r="B260" s="52">
        <v>203</v>
      </c>
      <c r="C260" s="33">
        <v>135.73022825288632</v>
      </c>
      <c r="D260" s="52">
        <v>203</v>
      </c>
      <c r="E260" s="33">
        <v>38.379209582041675</v>
      </c>
      <c r="F260" s="52">
        <v>203</v>
      </c>
      <c r="G260" s="104">
        <v>219.23154587960562</v>
      </c>
    </row>
    <row r="261" spans="2:7" x14ac:dyDescent="0.3">
      <c r="B261" s="52">
        <v>204</v>
      </c>
      <c r="C261" s="33">
        <v>238.45268446414795</v>
      </c>
      <c r="D261" s="52">
        <v>204</v>
      </c>
      <c r="E261" s="33">
        <v>56.233672946019325</v>
      </c>
      <c r="F261" s="52">
        <v>204</v>
      </c>
      <c r="G261" s="104">
        <v>168.13638705082883</v>
      </c>
    </row>
    <row r="262" spans="2:7" x14ac:dyDescent="0.3">
      <c r="B262" s="52">
        <v>205</v>
      </c>
      <c r="C262" s="33">
        <v>305.98138538654456</v>
      </c>
      <c r="D262" s="52">
        <v>205</v>
      </c>
      <c r="E262" s="33">
        <v>91.438530118826904</v>
      </c>
      <c r="F262" s="52">
        <v>205</v>
      </c>
      <c r="G262" s="104">
        <v>171.16340431177505</v>
      </c>
    </row>
    <row r="263" spans="2:7" x14ac:dyDescent="0.3">
      <c r="B263" s="52">
        <v>206</v>
      </c>
      <c r="C263" s="33">
        <v>272.09294083873198</v>
      </c>
      <c r="D263" s="52">
        <v>206</v>
      </c>
      <c r="E263" s="33">
        <v>53.942110318026138</v>
      </c>
      <c r="F263" s="52">
        <v>206</v>
      </c>
      <c r="G263" s="104">
        <v>262.87932451357665</v>
      </c>
    </row>
    <row r="264" spans="2:7" x14ac:dyDescent="0.3">
      <c r="B264" s="52">
        <v>207</v>
      </c>
      <c r="C264" s="33">
        <v>226.05099146199154</v>
      </c>
      <c r="D264" s="52">
        <v>207</v>
      </c>
      <c r="E264" s="33">
        <v>44.438091296956294</v>
      </c>
      <c r="F264" s="52">
        <v>207</v>
      </c>
      <c r="G264" s="104">
        <v>192.69681660001731</v>
      </c>
    </row>
    <row r="265" spans="2:7" x14ac:dyDescent="0.3">
      <c r="B265" s="52">
        <v>208</v>
      </c>
      <c r="C265" s="33">
        <v>278.99116274950779</v>
      </c>
      <c r="D265" s="52">
        <v>208</v>
      </c>
      <c r="E265" s="33">
        <v>38.751996494589008</v>
      </c>
      <c r="F265" s="52">
        <v>208</v>
      </c>
      <c r="G265" s="104">
        <v>169.0546838699421</v>
      </c>
    </row>
    <row r="266" spans="2:7" x14ac:dyDescent="0.3">
      <c r="B266" s="52">
        <v>209</v>
      </c>
      <c r="C266" s="33">
        <v>258.58150335729653</v>
      </c>
      <c r="D266" s="52">
        <v>209</v>
      </c>
      <c r="E266" s="33">
        <v>31.131834191025156</v>
      </c>
      <c r="F266" s="52">
        <v>209</v>
      </c>
      <c r="G266" s="104">
        <v>195.51877673563962</v>
      </c>
    </row>
    <row r="267" spans="2:7" x14ac:dyDescent="0.3">
      <c r="B267" s="52">
        <v>210</v>
      </c>
      <c r="C267" s="33">
        <v>193.24389920206136</v>
      </c>
      <c r="D267" s="52">
        <v>210</v>
      </c>
      <c r="E267" s="33">
        <v>24.156714492662925</v>
      </c>
      <c r="F267" s="52">
        <v>210</v>
      </c>
      <c r="G267" s="104">
        <v>242.65378891911945</v>
      </c>
    </row>
    <row r="268" spans="2:7" x14ac:dyDescent="0.3">
      <c r="B268" s="52">
        <v>211</v>
      </c>
      <c r="C268" s="33">
        <v>166.83869703538926</v>
      </c>
      <c r="D268" s="52">
        <v>211</v>
      </c>
      <c r="E268" s="33">
        <v>38.934816648754612</v>
      </c>
      <c r="F268" s="52">
        <v>211</v>
      </c>
      <c r="G268" s="104">
        <v>164.54958588098901</v>
      </c>
    </row>
    <row r="269" spans="2:7" x14ac:dyDescent="0.3">
      <c r="B269" s="52">
        <v>212</v>
      </c>
      <c r="C269" s="33">
        <v>209.14373140680956</v>
      </c>
      <c r="D269" s="52">
        <v>212</v>
      </c>
      <c r="E269" s="33">
        <v>3.986426592347641</v>
      </c>
      <c r="F269" s="52">
        <v>212</v>
      </c>
      <c r="G269" s="104">
        <v>267.41754924001452</v>
      </c>
    </row>
    <row r="270" spans="2:7" x14ac:dyDescent="0.3">
      <c r="B270" s="52">
        <v>213</v>
      </c>
      <c r="C270" s="33">
        <v>297.80902254851327</v>
      </c>
      <c r="D270" s="52">
        <v>213</v>
      </c>
      <c r="E270" s="33">
        <v>17.164958271477012</v>
      </c>
      <c r="F270" s="52">
        <v>213</v>
      </c>
      <c r="G270" s="104">
        <v>159.57484108139047</v>
      </c>
    </row>
    <row r="271" spans="2:7" x14ac:dyDescent="0.3">
      <c r="B271" s="52">
        <v>214</v>
      </c>
      <c r="C271" s="33">
        <v>234.44422607987863</v>
      </c>
      <c r="D271" s="52">
        <v>214</v>
      </c>
      <c r="E271" s="33">
        <v>30.902404384299206</v>
      </c>
      <c r="F271" s="52">
        <v>214</v>
      </c>
      <c r="G271" s="104">
        <v>174.31071187289103</v>
      </c>
    </row>
    <row r="272" spans="2:7" x14ac:dyDescent="0.3">
      <c r="B272" s="52">
        <v>215</v>
      </c>
      <c r="C272" s="33">
        <v>188.73030357554831</v>
      </c>
      <c r="D272" s="52">
        <v>215</v>
      </c>
      <c r="E272" s="33">
        <v>18.58644620961055</v>
      </c>
      <c r="F272" s="52">
        <v>215</v>
      </c>
      <c r="G272" s="104">
        <v>237.3863403425687</v>
      </c>
    </row>
    <row r="273" spans="2:7" x14ac:dyDescent="0.3">
      <c r="B273" s="52">
        <v>216</v>
      </c>
      <c r="C273" s="33">
        <v>237.64621858196594</v>
      </c>
      <c r="D273" s="52">
        <v>216</v>
      </c>
      <c r="E273" s="33">
        <v>24.749023251171572</v>
      </c>
      <c r="F273" s="52">
        <v>216</v>
      </c>
      <c r="G273" s="104">
        <v>252.37150353749263</v>
      </c>
    </row>
    <row r="274" spans="2:7" x14ac:dyDescent="0.3">
      <c r="B274" s="52">
        <v>217</v>
      </c>
      <c r="C274" s="33">
        <v>184.18506640483571</v>
      </c>
      <c r="D274" s="52">
        <v>217</v>
      </c>
      <c r="E274" s="33">
        <v>60.469049646403093</v>
      </c>
      <c r="F274" s="52">
        <v>217</v>
      </c>
      <c r="G274" s="104">
        <v>231.53441657981148</v>
      </c>
    </row>
    <row r="275" spans="2:7" x14ac:dyDescent="0.3">
      <c r="B275" s="52">
        <v>218</v>
      </c>
      <c r="C275" s="33">
        <v>193.6081293640417</v>
      </c>
      <c r="D275" s="52">
        <v>218</v>
      </c>
      <c r="E275" s="33">
        <v>47.482504345652842</v>
      </c>
      <c r="F275" s="52">
        <v>218</v>
      </c>
      <c r="G275" s="104">
        <v>234.93265860810322</v>
      </c>
    </row>
    <row r="276" spans="2:7" x14ac:dyDescent="0.3">
      <c r="B276" s="52">
        <v>219</v>
      </c>
      <c r="C276" s="33">
        <v>179.80009632876107</v>
      </c>
      <c r="D276" s="52">
        <v>219</v>
      </c>
      <c r="E276" s="33">
        <v>33.045039103267655</v>
      </c>
      <c r="F276" s="52">
        <v>219</v>
      </c>
      <c r="G276" s="104">
        <v>207.29878119893547</v>
      </c>
    </row>
    <row r="277" spans="2:7" x14ac:dyDescent="0.3">
      <c r="B277" s="52">
        <v>220</v>
      </c>
      <c r="C277" s="33">
        <v>256.69940360435191</v>
      </c>
      <c r="D277" s="52">
        <v>220</v>
      </c>
      <c r="E277" s="33">
        <v>5.8955580378227097</v>
      </c>
      <c r="F277" s="52">
        <v>220</v>
      </c>
      <c r="G277" s="104">
        <v>205.26456719065931</v>
      </c>
    </row>
    <row r="278" spans="2:7" x14ac:dyDescent="0.3">
      <c r="B278" s="52">
        <v>221</v>
      </c>
      <c r="C278" s="33">
        <v>279.28114045286196</v>
      </c>
      <c r="D278" s="52">
        <v>221</v>
      </c>
      <c r="E278" s="33">
        <v>85.292850716617409</v>
      </c>
      <c r="F278" s="52">
        <v>221</v>
      </c>
      <c r="G278" s="104">
        <v>187.97369150194245</v>
      </c>
    </row>
    <row r="279" spans="2:7" x14ac:dyDescent="0.3">
      <c r="B279" s="52">
        <v>222</v>
      </c>
      <c r="C279" s="33">
        <v>61.606196089830917</v>
      </c>
      <c r="D279" s="52">
        <v>222</v>
      </c>
      <c r="E279" s="33">
        <v>47.428028457188624</v>
      </c>
      <c r="F279" s="52">
        <v>222</v>
      </c>
      <c r="G279" s="104">
        <v>52.01181814604081</v>
      </c>
    </row>
    <row r="280" spans="2:7" x14ac:dyDescent="0.3">
      <c r="B280" s="52">
        <v>223</v>
      </c>
      <c r="C280" s="33">
        <v>143.15408348795683</v>
      </c>
      <c r="D280" s="52">
        <v>223</v>
      </c>
      <c r="E280" s="33">
        <v>26.879896038460245</v>
      </c>
      <c r="F280" s="52">
        <v>223</v>
      </c>
      <c r="G280" s="104">
        <v>150.08693458767902</v>
      </c>
    </row>
    <row r="281" spans="2:7" x14ac:dyDescent="0.3">
      <c r="B281" s="52">
        <v>224</v>
      </c>
      <c r="C281" s="33">
        <v>227.61720036871009</v>
      </c>
      <c r="D281" s="52">
        <v>224</v>
      </c>
      <c r="E281" s="33">
        <v>52.216167106192813</v>
      </c>
      <c r="F281" s="52">
        <v>224</v>
      </c>
      <c r="G281" s="104">
        <v>74.809860876222785</v>
      </c>
    </row>
    <row r="282" spans="2:7" x14ac:dyDescent="0.3">
      <c r="B282" s="52">
        <v>225</v>
      </c>
      <c r="C282" s="33">
        <v>269.71272669529372</v>
      </c>
      <c r="D282" s="52">
        <v>225</v>
      </c>
      <c r="E282" s="33">
        <v>72.876488784616583</v>
      </c>
      <c r="F282" s="52">
        <v>225</v>
      </c>
      <c r="G282" s="104">
        <v>88.151952687319607</v>
      </c>
    </row>
    <row r="283" spans="2:7" x14ac:dyDescent="0.3">
      <c r="B283" s="52">
        <v>226</v>
      </c>
      <c r="C283" s="33">
        <v>222.35807575735035</v>
      </c>
      <c r="D283" s="52">
        <v>226</v>
      </c>
      <c r="E283" s="33">
        <v>3.2000652217782104</v>
      </c>
      <c r="F283" s="52">
        <v>226</v>
      </c>
      <c r="G283" s="104">
        <v>225.28621406500025</v>
      </c>
    </row>
    <row r="284" spans="2:7" x14ac:dyDescent="0.3">
      <c r="B284" s="52">
        <v>227</v>
      </c>
      <c r="C284" s="33">
        <v>253.43297558420102</v>
      </c>
      <c r="D284" s="52">
        <v>227</v>
      </c>
      <c r="E284" s="33">
        <v>17.367990678317749</v>
      </c>
      <c r="F284" s="52">
        <v>227</v>
      </c>
      <c r="G284" s="104">
        <v>263.42934456560897</v>
      </c>
    </row>
    <row r="285" spans="2:7" x14ac:dyDescent="0.3">
      <c r="B285" s="52">
        <v>228</v>
      </c>
      <c r="C285" s="33">
        <v>434.36108247061873</v>
      </c>
      <c r="D285" s="52">
        <v>228</v>
      </c>
      <c r="E285" s="33">
        <v>30.822400764698489</v>
      </c>
      <c r="F285" s="52">
        <v>228</v>
      </c>
      <c r="G285" s="104">
        <v>252.1930924710467</v>
      </c>
    </row>
    <row r="286" spans="2:7" x14ac:dyDescent="0.3">
      <c r="B286" s="52">
        <v>229</v>
      </c>
      <c r="C286" s="33">
        <v>199.46989718211785</v>
      </c>
      <c r="D286" s="52">
        <v>229</v>
      </c>
      <c r="E286" s="33">
        <v>36.069590606446752</v>
      </c>
      <c r="F286" s="52">
        <v>229</v>
      </c>
      <c r="G286" s="104">
        <v>346.52695747780444</v>
      </c>
    </row>
    <row r="287" spans="2:7" x14ac:dyDescent="0.3">
      <c r="B287" s="52">
        <v>230</v>
      </c>
      <c r="C287" s="33">
        <v>269.20877418681067</v>
      </c>
      <c r="D287" s="52">
        <v>230</v>
      </c>
      <c r="E287" s="33">
        <v>68.84628720352049</v>
      </c>
      <c r="F287" s="52">
        <v>230</v>
      </c>
      <c r="G287" s="104">
        <v>376.56932357857465</v>
      </c>
    </row>
    <row r="288" spans="2:7" x14ac:dyDescent="0.3">
      <c r="B288" s="52">
        <v>231</v>
      </c>
      <c r="C288" s="33">
        <v>297.36834550695642</v>
      </c>
      <c r="D288" s="52">
        <v>231</v>
      </c>
      <c r="E288" s="33">
        <v>87.995139308249051</v>
      </c>
      <c r="F288" s="52">
        <v>231</v>
      </c>
      <c r="G288" s="104">
        <v>180.98204470818973</v>
      </c>
    </row>
    <row r="289" spans="2:7" x14ac:dyDescent="0.3">
      <c r="B289" s="52">
        <v>232</v>
      </c>
      <c r="C289" s="33">
        <v>293.90572553920549</v>
      </c>
      <c r="D289" s="52">
        <v>232</v>
      </c>
      <c r="E289" s="33">
        <v>12.929796502243656</v>
      </c>
      <c r="F289" s="52">
        <v>232</v>
      </c>
      <c r="G289" s="104">
        <v>420.69087114687329</v>
      </c>
    </row>
    <row r="290" spans="2:7" x14ac:dyDescent="0.3">
      <c r="B290" s="52">
        <v>233</v>
      </c>
      <c r="C290" s="33">
        <v>94.261758093348249</v>
      </c>
      <c r="D290" s="52">
        <v>233</v>
      </c>
      <c r="E290" s="33">
        <v>9.9467181032680507</v>
      </c>
      <c r="F290" s="52">
        <v>233</v>
      </c>
      <c r="G290" s="104">
        <v>122.52522810771418</v>
      </c>
    </row>
    <row r="291" spans="2:7" x14ac:dyDescent="0.3">
      <c r="B291" s="52">
        <v>234</v>
      </c>
      <c r="C291" s="33">
        <v>307.19407802384512</v>
      </c>
      <c r="D291" s="52">
        <v>234</v>
      </c>
      <c r="E291" s="33">
        <v>6.6049836077272417</v>
      </c>
      <c r="F291" s="52">
        <v>234</v>
      </c>
      <c r="G291" s="104">
        <v>260.91969536157069</v>
      </c>
    </row>
    <row r="292" spans="2:7" x14ac:dyDescent="0.3">
      <c r="B292" s="52">
        <v>235</v>
      </c>
      <c r="C292" s="33">
        <v>244.83155467124729</v>
      </c>
      <c r="D292" s="52">
        <v>235</v>
      </c>
      <c r="E292" s="33">
        <v>-2.9185489061988434</v>
      </c>
      <c r="F292" s="52">
        <v>235</v>
      </c>
      <c r="G292" s="104">
        <v>123.97729031622495</v>
      </c>
    </row>
    <row r="293" spans="2:7" x14ac:dyDescent="0.3">
      <c r="B293" s="52">
        <v>236</v>
      </c>
      <c r="C293" s="33">
        <v>133.30329346450986</v>
      </c>
      <c r="D293" s="52">
        <v>236</v>
      </c>
      <c r="E293" s="33">
        <v>116.82392331437046</v>
      </c>
      <c r="F293" s="52">
        <v>236</v>
      </c>
      <c r="G293" s="104">
        <v>155.53969317475332</v>
      </c>
    </row>
    <row r="294" spans="2:7" x14ac:dyDescent="0.3">
      <c r="B294" s="52">
        <v>237</v>
      </c>
      <c r="C294" s="33">
        <v>207.99997467056113</v>
      </c>
      <c r="D294" s="52">
        <v>237</v>
      </c>
      <c r="E294" s="33">
        <v>35.90041757978571</v>
      </c>
      <c r="F294" s="52">
        <v>237</v>
      </c>
      <c r="G294" s="104">
        <v>262.17730330823576</v>
      </c>
    </row>
    <row r="295" spans="2:7" x14ac:dyDescent="0.3">
      <c r="B295" s="52">
        <v>238</v>
      </c>
      <c r="C295" s="33">
        <v>173.35258068074214</v>
      </c>
      <c r="D295" s="52">
        <v>238</v>
      </c>
      <c r="E295" s="33">
        <v>13.02369825533966</v>
      </c>
      <c r="F295" s="52">
        <v>238</v>
      </c>
      <c r="G295" s="104">
        <v>241.92953723576187</v>
      </c>
    </row>
    <row r="296" spans="2:7" x14ac:dyDescent="0.3">
      <c r="B296" s="52">
        <v>239</v>
      </c>
      <c r="C296" s="33">
        <v>201.55640587382106</v>
      </c>
      <c r="D296" s="52">
        <v>239</v>
      </c>
      <c r="E296" s="33">
        <v>40.048368192758062</v>
      </c>
      <c r="F296" s="52">
        <v>239</v>
      </c>
      <c r="G296" s="104">
        <v>167.42446101246841</v>
      </c>
    </row>
    <row r="297" spans="2:7" x14ac:dyDescent="0.3">
      <c r="B297" s="52">
        <v>240</v>
      </c>
      <c r="C297" s="33">
        <v>230.60127073875816</v>
      </c>
      <c r="D297" s="52">
        <v>240</v>
      </c>
      <c r="E297" s="33">
        <v>13.861377783862473</v>
      </c>
      <c r="F297" s="52">
        <v>240</v>
      </c>
      <c r="G297" s="104">
        <v>270.92617420845249</v>
      </c>
    </row>
    <row r="298" spans="2:7" x14ac:dyDescent="0.3">
      <c r="B298" s="52">
        <v>241</v>
      </c>
      <c r="C298" s="33">
        <v>334.4898467581088</v>
      </c>
      <c r="D298" s="52">
        <v>241</v>
      </c>
      <c r="E298" s="33">
        <v>63.591429102265501</v>
      </c>
      <c r="F298" s="52">
        <v>241</v>
      </c>
      <c r="G298" s="104">
        <v>175.03790321335089</v>
      </c>
    </row>
    <row r="299" spans="2:7" x14ac:dyDescent="0.3">
      <c r="B299" s="52">
        <v>242</v>
      </c>
      <c r="C299" s="33">
        <v>218.9052687132355</v>
      </c>
      <c r="D299" s="52">
        <v>242</v>
      </c>
      <c r="E299" s="33">
        <v>53.457949025101726</v>
      </c>
      <c r="F299" s="52">
        <v>242</v>
      </c>
      <c r="G299" s="104">
        <v>208.09846277135165</v>
      </c>
    </row>
    <row r="300" spans="2:7" x14ac:dyDescent="0.3">
      <c r="B300" s="52">
        <v>243</v>
      </c>
      <c r="C300" s="33">
        <v>119.64163045618528</v>
      </c>
      <c r="D300" s="52">
        <v>243</v>
      </c>
      <c r="E300" s="33">
        <v>22.732881364483362</v>
      </c>
      <c r="F300" s="52">
        <v>243</v>
      </c>
      <c r="G300" s="104">
        <v>312.34159987277326</v>
      </c>
    </row>
    <row r="301" spans="2:7" x14ac:dyDescent="0.3">
      <c r="B301" s="52">
        <v>244</v>
      </c>
      <c r="C301" s="33">
        <v>263.26222133471657</v>
      </c>
      <c r="D301" s="52">
        <v>244</v>
      </c>
      <c r="E301" s="33">
        <v>32.421337196443147</v>
      </c>
      <c r="F301" s="52">
        <v>244</v>
      </c>
      <c r="G301" s="104">
        <v>256.63161861903205</v>
      </c>
    </row>
    <row r="302" spans="2:7" x14ac:dyDescent="0.3">
      <c r="B302" s="52">
        <v>245</v>
      </c>
      <c r="C302" s="33">
        <v>196.90075114267071</v>
      </c>
      <c r="D302" s="52">
        <v>245</v>
      </c>
      <c r="E302" s="33">
        <v>76.697103587689796</v>
      </c>
      <c r="F302" s="52">
        <v>245</v>
      </c>
      <c r="G302" s="104">
        <v>231.21584348813158</v>
      </c>
    </row>
    <row r="303" spans="2:7" x14ac:dyDescent="0.3">
      <c r="B303" s="52">
        <v>246</v>
      </c>
      <c r="C303" s="33">
        <v>255.69569182163792</v>
      </c>
      <c r="D303" s="52">
        <v>246</v>
      </c>
      <c r="E303" s="33">
        <v>48.516509417536255</v>
      </c>
      <c r="F303" s="52">
        <v>246</v>
      </c>
      <c r="G303" s="104">
        <v>231.0913410291862</v>
      </c>
    </row>
    <row r="304" spans="2:7" x14ac:dyDescent="0.3">
      <c r="B304" s="52">
        <v>247</v>
      </c>
      <c r="C304" s="33">
        <v>271.05659241461319</v>
      </c>
      <c r="D304" s="52">
        <v>247</v>
      </c>
      <c r="E304" s="33">
        <v>36.087291966014369</v>
      </c>
      <c r="F304" s="52">
        <v>247</v>
      </c>
      <c r="G304" s="104">
        <v>196.88012579194273</v>
      </c>
    </row>
    <row r="305" spans="2:7" x14ac:dyDescent="0.3">
      <c r="B305" s="52">
        <v>248</v>
      </c>
      <c r="C305" s="33">
        <v>248.7857217702196</v>
      </c>
      <c r="D305" s="52">
        <v>248</v>
      </c>
      <c r="E305" s="33">
        <v>69.338085587705464</v>
      </c>
      <c r="F305" s="52">
        <v>248</v>
      </c>
      <c r="G305" s="104">
        <v>298.77309509672381</v>
      </c>
    </row>
    <row r="306" spans="2:7" x14ac:dyDescent="0.3">
      <c r="B306" s="52">
        <v>249</v>
      </c>
      <c r="C306" s="33">
        <v>248.95316656590495</v>
      </c>
      <c r="D306" s="52">
        <v>249</v>
      </c>
      <c r="E306" s="33">
        <v>-7.2764997704560059</v>
      </c>
      <c r="F306" s="52">
        <v>249</v>
      </c>
      <c r="G306" s="104">
        <v>144.81413133686021</v>
      </c>
    </row>
    <row r="307" spans="2:7" x14ac:dyDescent="0.3">
      <c r="B307" s="52">
        <v>250</v>
      </c>
      <c r="C307" s="33">
        <v>234.61508606179291</v>
      </c>
      <c r="D307" s="52">
        <v>250</v>
      </c>
      <c r="E307" s="33">
        <v>53.271552101067286</v>
      </c>
      <c r="F307" s="52">
        <v>250</v>
      </c>
      <c r="G307" s="104">
        <v>237.1561628499764</v>
      </c>
    </row>
    <row r="308" spans="2:7" x14ac:dyDescent="0.3">
      <c r="B308" s="52">
        <v>251</v>
      </c>
      <c r="C308" s="33">
        <v>198.05926361371633</v>
      </c>
      <c r="D308" s="52">
        <v>251</v>
      </c>
      <c r="E308" s="33">
        <v>46.640260420634647</v>
      </c>
      <c r="F308" s="52">
        <v>251</v>
      </c>
      <c r="G308" s="104">
        <v>151.39654636901082</v>
      </c>
    </row>
    <row r="309" spans="2:7" x14ac:dyDescent="0.3">
      <c r="B309" s="52">
        <v>252</v>
      </c>
      <c r="C309" s="33">
        <v>277.29804155440269</v>
      </c>
      <c r="D309" s="52">
        <v>252</v>
      </c>
      <c r="E309" s="33">
        <v>21.826556933489059</v>
      </c>
      <c r="F309" s="52">
        <v>252</v>
      </c>
      <c r="G309" s="104">
        <v>178.09086764570063</v>
      </c>
    </row>
    <row r="310" spans="2:7" x14ac:dyDescent="0.3">
      <c r="B310" s="52">
        <v>253</v>
      </c>
      <c r="C310" s="33">
        <v>163.49765229707165</v>
      </c>
      <c r="D310" s="52">
        <v>253</v>
      </c>
      <c r="E310" s="33">
        <v>78.40622610521649</v>
      </c>
      <c r="F310" s="52">
        <v>253</v>
      </c>
      <c r="G310" s="104">
        <v>293.08689118481686</v>
      </c>
    </row>
    <row r="311" spans="2:7" x14ac:dyDescent="0.3">
      <c r="B311" s="52">
        <v>254</v>
      </c>
      <c r="C311" s="33">
        <v>217.60144078550917</v>
      </c>
      <c r="D311" s="52">
        <v>254</v>
      </c>
      <c r="E311" s="33">
        <v>52.351293792868219</v>
      </c>
      <c r="F311" s="52">
        <v>254</v>
      </c>
      <c r="G311" s="104">
        <v>145.38756713529654</v>
      </c>
    </row>
    <row r="312" spans="2:7" x14ac:dyDescent="0.3">
      <c r="B312" s="52">
        <v>255</v>
      </c>
      <c r="C312" s="33">
        <v>174.8155952115215</v>
      </c>
      <c r="D312" s="52">
        <v>255</v>
      </c>
      <c r="E312" s="33">
        <v>23.277381397825785</v>
      </c>
      <c r="F312" s="52">
        <v>255</v>
      </c>
      <c r="G312" s="104">
        <v>202.71328573072455</v>
      </c>
    </row>
    <row r="313" spans="2:7" x14ac:dyDescent="0.3">
      <c r="B313" s="52">
        <v>256</v>
      </c>
      <c r="C313" s="33">
        <v>153.02738585580147</v>
      </c>
      <c r="D313" s="52">
        <v>256</v>
      </c>
      <c r="E313" s="33">
        <v>44.117897115116946</v>
      </c>
      <c r="F313" s="52">
        <v>256</v>
      </c>
      <c r="G313" s="104">
        <v>233.68299155430648</v>
      </c>
    </row>
    <row r="314" spans="2:7" x14ac:dyDescent="0.3">
      <c r="B314" s="52">
        <v>257</v>
      </c>
      <c r="C314" s="33">
        <v>103.28136173358743</v>
      </c>
      <c r="D314" s="52">
        <v>257</v>
      </c>
      <c r="E314" s="33">
        <v>63.313598066186742</v>
      </c>
      <c r="F314" s="52">
        <v>257</v>
      </c>
      <c r="G314" s="104">
        <v>306.03711074692995</v>
      </c>
    </row>
    <row r="315" spans="2:7" x14ac:dyDescent="0.3">
      <c r="B315" s="52">
        <v>258</v>
      </c>
      <c r="C315" s="33">
        <v>326.32243468011802</v>
      </c>
      <c r="D315" s="52">
        <v>258</v>
      </c>
      <c r="E315" s="33">
        <v>1.5135853039510181</v>
      </c>
      <c r="F315" s="52">
        <v>258</v>
      </c>
      <c r="G315" s="104">
        <v>138.9441447722163</v>
      </c>
    </row>
    <row r="316" spans="2:7" x14ac:dyDescent="0.3">
      <c r="B316" s="52">
        <v>259</v>
      </c>
      <c r="C316" s="33">
        <v>203.06630650083676</v>
      </c>
      <c r="D316" s="52">
        <v>259</v>
      </c>
      <c r="E316" s="33">
        <v>78.440801170895114</v>
      </c>
      <c r="F316" s="52">
        <v>259</v>
      </c>
      <c r="G316" s="104">
        <v>210.27626555854744</v>
      </c>
    </row>
    <row r="317" spans="2:7" x14ac:dyDescent="0.3">
      <c r="B317" s="52">
        <v>260</v>
      </c>
      <c r="C317" s="33">
        <v>198.90525733606975</v>
      </c>
      <c r="D317" s="52">
        <v>260</v>
      </c>
      <c r="E317" s="33">
        <v>60.447981786168185</v>
      </c>
      <c r="F317" s="52">
        <v>260</v>
      </c>
      <c r="G317" s="104">
        <v>236.94206563068246</v>
      </c>
    </row>
    <row r="318" spans="2:7" x14ac:dyDescent="0.3">
      <c r="B318" s="52">
        <v>261</v>
      </c>
      <c r="C318" s="33">
        <v>240.97904783643034</v>
      </c>
      <c r="D318" s="52">
        <v>261</v>
      </c>
      <c r="E318" s="33">
        <v>57.980937778454233</v>
      </c>
      <c r="F318" s="52">
        <v>261</v>
      </c>
      <c r="G318" s="104">
        <v>148.35212467038673</v>
      </c>
    </row>
    <row r="319" spans="2:7" x14ac:dyDescent="0.3">
      <c r="B319" s="52">
        <v>262</v>
      </c>
      <c r="C319" s="33">
        <v>237.36735658767265</v>
      </c>
      <c r="D319" s="52">
        <v>262</v>
      </c>
      <c r="E319" s="33">
        <v>30.974734980907442</v>
      </c>
      <c r="F319" s="52">
        <v>262</v>
      </c>
      <c r="G319" s="104">
        <v>70.198484334073314</v>
      </c>
    </row>
    <row r="320" spans="2:7" x14ac:dyDescent="0.3">
      <c r="B320" s="52">
        <v>263</v>
      </c>
      <c r="C320" s="33">
        <v>181.58645857696658</v>
      </c>
      <c r="D320" s="52">
        <v>263</v>
      </c>
      <c r="E320" s="33">
        <v>49.586458481401422</v>
      </c>
      <c r="F320" s="52">
        <v>263</v>
      </c>
      <c r="G320" s="104">
        <v>162.55710347583658</v>
      </c>
    </row>
    <row r="321" spans="2:7" x14ac:dyDescent="0.3">
      <c r="B321" s="52">
        <v>264</v>
      </c>
      <c r="C321" s="33">
        <v>138.42454451861346</v>
      </c>
      <c r="D321" s="52">
        <v>264</v>
      </c>
      <c r="E321" s="33">
        <v>-0.33315542536673348</v>
      </c>
      <c r="F321" s="52">
        <v>264</v>
      </c>
      <c r="G321" s="104">
        <v>274.5388798962573</v>
      </c>
    </row>
    <row r="322" spans="2:7" x14ac:dyDescent="0.3">
      <c r="B322" s="52">
        <v>265</v>
      </c>
      <c r="C322" s="33">
        <v>205.67735217784696</v>
      </c>
      <c r="D322" s="52">
        <v>265</v>
      </c>
      <c r="E322" s="33">
        <v>5.16820545282647</v>
      </c>
      <c r="F322" s="52">
        <v>265</v>
      </c>
      <c r="G322" s="104">
        <v>297.1612088609188</v>
      </c>
    </row>
    <row r="323" spans="2:7" x14ac:dyDescent="0.3">
      <c r="B323" s="52">
        <v>266</v>
      </c>
      <c r="C323" s="33">
        <v>111.14655304482133</v>
      </c>
      <c r="D323" s="52">
        <v>266</v>
      </c>
      <c r="E323" s="33">
        <v>53.714089443729691</v>
      </c>
      <c r="F323" s="52">
        <v>266</v>
      </c>
      <c r="G323" s="104">
        <v>110.06778502253117</v>
      </c>
    </row>
    <row r="324" spans="2:7" x14ac:dyDescent="0.3">
      <c r="B324" s="52">
        <v>267</v>
      </c>
      <c r="C324" s="33">
        <v>428.56976385900532</v>
      </c>
      <c r="D324" s="52">
        <v>267</v>
      </c>
      <c r="E324" s="33">
        <v>51.75874276860565</v>
      </c>
      <c r="F324" s="52">
        <v>267</v>
      </c>
      <c r="G324" s="104">
        <v>327.29836218903074</v>
      </c>
    </row>
    <row r="325" spans="2:7" x14ac:dyDescent="0.3">
      <c r="B325" s="52">
        <v>268</v>
      </c>
      <c r="C325" s="33">
        <v>136.08407496121208</v>
      </c>
      <c r="D325" s="52">
        <v>268</v>
      </c>
      <c r="E325" s="33">
        <v>56.343433104378761</v>
      </c>
      <c r="F325" s="52">
        <v>268</v>
      </c>
      <c r="G325" s="104">
        <v>363.84197613097405</v>
      </c>
    </row>
    <row r="326" spans="2:7" x14ac:dyDescent="0.3">
      <c r="B326" s="52">
        <v>269</v>
      </c>
      <c r="C326" s="33">
        <v>204.68121968347356</v>
      </c>
      <c r="D326" s="52">
        <v>269</v>
      </c>
      <c r="E326" s="33">
        <v>35.756388002220632</v>
      </c>
      <c r="F326" s="52">
        <v>269</v>
      </c>
      <c r="G326" s="104">
        <v>241.37728594507567</v>
      </c>
    </row>
    <row r="327" spans="2:7" x14ac:dyDescent="0.3">
      <c r="B327" s="52">
        <v>270</v>
      </c>
      <c r="C327" s="33">
        <v>309.0483067937958</v>
      </c>
      <c r="D327" s="52">
        <v>270</v>
      </c>
      <c r="E327" s="33">
        <v>72.02286596303577</v>
      </c>
      <c r="F327" s="52">
        <v>270</v>
      </c>
      <c r="G327" s="104">
        <v>141.99801774968645</v>
      </c>
    </row>
    <row r="328" spans="2:7" x14ac:dyDescent="0.3">
      <c r="B328" s="52">
        <v>271</v>
      </c>
      <c r="C328" s="33">
        <v>224.84959940029947</v>
      </c>
      <c r="D328" s="52">
        <v>271</v>
      </c>
      <c r="E328" s="33">
        <v>49.450276058580457</v>
      </c>
      <c r="F328" s="52">
        <v>271</v>
      </c>
      <c r="G328" s="104">
        <v>303.25685000612219</v>
      </c>
    </row>
    <row r="329" spans="2:7" x14ac:dyDescent="0.3">
      <c r="B329" s="52">
        <v>272</v>
      </c>
      <c r="C329" s="33">
        <v>215.85042626226826</v>
      </c>
      <c r="D329" s="52">
        <v>272</v>
      </c>
      <c r="E329" s="33">
        <v>-26.003107020256373</v>
      </c>
      <c r="F329" s="52">
        <v>272</v>
      </c>
      <c r="G329" s="104">
        <v>250.82336316529103</v>
      </c>
    </row>
    <row r="330" spans="2:7" x14ac:dyDescent="0.3">
      <c r="B330" s="52">
        <v>273</v>
      </c>
      <c r="C330" s="33">
        <v>263.56609620211509</v>
      </c>
      <c r="D330" s="52">
        <v>273</v>
      </c>
      <c r="E330" s="33">
        <v>10.453359696176683</v>
      </c>
      <c r="F330" s="52">
        <v>273</v>
      </c>
      <c r="G330" s="104">
        <v>299.51858119360475</v>
      </c>
    </row>
    <row r="331" spans="2:7" x14ac:dyDescent="0.3">
      <c r="B331" s="52">
        <v>274</v>
      </c>
      <c r="C331" s="33">
        <v>139.04605390661152</v>
      </c>
      <c r="D331" s="52">
        <v>274</v>
      </c>
      <c r="E331" s="33">
        <v>31.47653053371878</v>
      </c>
      <c r="F331" s="52">
        <v>274</v>
      </c>
      <c r="G331" s="104">
        <v>203.8709213668794</v>
      </c>
    </row>
    <row r="332" spans="2:7" x14ac:dyDescent="0.3">
      <c r="B332" s="52">
        <v>275</v>
      </c>
      <c r="C332" s="33">
        <v>315.9016666052209</v>
      </c>
      <c r="D332" s="52">
        <v>275</v>
      </c>
      <c r="E332" s="33">
        <v>39.468721099357381</v>
      </c>
      <c r="F332" s="52">
        <v>275</v>
      </c>
      <c r="G332" s="104">
        <v>254.32630357419401</v>
      </c>
    </row>
    <row r="333" spans="2:7" x14ac:dyDescent="0.3">
      <c r="B333" s="52">
        <v>276</v>
      </c>
      <c r="C333" s="33">
        <v>174.68713642655158</v>
      </c>
      <c r="D333" s="52">
        <v>276</v>
      </c>
      <c r="E333" s="33">
        <v>-3.2814430160272217</v>
      </c>
      <c r="F333" s="52">
        <v>276</v>
      </c>
      <c r="G333" s="104">
        <v>206.23871699375442</v>
      </c>
    </row>
    <row r="334" spans="2:7" x14ac:dyDescent="0.3">
      <c r="B334" s="52">
        <v>277</v>
      </c>
      <c r="C334" s="33">
        <v>218.50508616036529</v>
      </c>
      <c r="D334" s="52">
        <v>277</v>
      </c>
      <c r="E334" s="33">
        <v>0.52347178148355056</v>
      </c>
      <c r="F334" s="52">
        <v>277</v>
      </c>
      <c r="G334" s="104">
        <v>252.77537145780997</v>
      </c>
    </row>
    <row r="335" spans="2:7" x14ac:dyDescent="0.3">
      <c r="B335" s="52">
        <v>278</v>
      </c>
      <c r="C335" s="33">
        <v>299.04509501219138</v>
      </c>
      <c r="D335" s="52">
        <v>278</v>
      </c>
      <c r="E335" s="33">
        <v>40.461081749873337</v>
      </c>
      <c r="F335" s="52">
        <v>278</v>
      </c>
      <c r="G335" s="104">
        <v>313.79452844764876</v>
      </c>
    </row>
    <row r="336" spans="2:7" x14ac:dyDescent="0.3">
      <c r="B336" s="52">
        <v>279</v>
      </c>
      <c r="C336" s="33">
        <v>271.43247173897748</v>
      </c>
      <c r="D336" s="52">
        <v>279</v>
      </c>
      <c r="E336" s="33">
        <v>37.228219235727821</v>
      </c>
      <c r="F336" s="52">
        <v>279</v>
      </c>
      <c r="G336" s="104">
        <v>115.04553238030003</v>
      </c>
    </row>
    <row r="337" spans="2:7" x14ac:dyDescent="0.3">
      <c r="B337" s="52">
        <v>280</v>
      </c>
      <c r="C337" s="33">
        <v>145.76298292186917</v>
      </c>
      <c r="D337" s="52">
        <v>280</v>
      </c>
      <c r="E337" s="33">
        <v>31.443773520384998</v>
      </c>
      <c r="F337" s="52">
        <v>280</v>
      </c>
      <c r="G337" s="104">
        <v>294.17351209008183</v>
      </c>
    </row>
    <row r="338" spans="2:7" x14ac:dyDescent="0.3">
      <c r="B338" s="52">
        <v>281</v>
      </c>
      <c r="C338" s="33">
        <v>274.57691587083832</v>
      </c>
      <c r="D338" s="52">
        <v>281</v>
      </c>
      <c r="E338" s="33">
        <v>49.172153230491361</v>
      </c>
      <c r="F338" s="52">
        <v>281</v>
      </c>
      <c r="G338" s="104">
        <v>259.3435504086446</v>
      </c>
    </row>
    <row r="339" spans="2:7" x14ac:dyDescent="0.3">
      <c r="B339" s="52">
        <v>282</v>
      </c>
      <c r="C339" s="33">
        <v>235.81870299911117</v>
      </c>
      <c r="D339" s="52">
        <v>282</v>
      </c>
      <c r="E339" s="33">
        <v>32.054113997457691</v>
      </c>
      <c r="F339" s="52">
        <v>282</v>
      </c>
      <c r="G339" s="104">
        <v>311.3034629722431</v>
      </c>
    </row>
    <row r="340" spans="2:7" x14ac:dyDescent="0.3">
      <c r="B340" s="52">
        <v>283</v>
      </c>
      <c r="C340" s="33">
        <v>210.99006866338422</v>
      </c>
      <c r="D340" s="52">
        <v>283</v>
      </c>
      <c r="E340" s="33">
        <v>86.095000042660701</v>
      </c>
      <c r="F340" s="52">
        <v>283</v>
      </c>
      <c r="G340" s="104">
        <v>158.41890890872685</v>
      </c>
    </row>
    <row r="341" spans="2:7" x14ac:dyDescent="0.3">
      <c r="B341" s="52">
        <v>284</v>
      </c>
      <c r="C341" s="33">
        <v>194.87659334525415</v>
      </c>
      <c r="D341" s="52">
        <v>284</v>
      </c>
      <c r="E341" s="33">
        <v>21.467482160027068</v>
      </c>
      <c r="F341" s="52">
        <v>284</v>
      </c>
      <c r="G341" s="104">
        <v>279.35714217750973</v>
      </c>
    </row>
    <row r="342" spans="2:7" x14ac:dyDescent="0.3">
      <c r="B342" s="52">
        <v>285</v>
      </c>
      <c r="C342" s="33">
        <v>196.3552274760797</v>
      </c>
      <c r="D342" s="52">
        <v>285</v>
      </c>
      <c r="E342" s="33">
        <v>31.405172836713284</v>
      </c>
      <c r="F342" s="52">
        <v>285</v>
      </c>
      <c r="G342" s="104">
        <v>253.09673671951765</v>
      </c>
    </row>
    <row r="343" spans="2:7" x14ac:dyDescent="0.3">
      <c r="B343" s="52">
        <v>286</v>
      </c>
      <c r="C343" s="33">
        <v>79.33915327498012</v>
      </c>
      <c r="D343" s="52">
        <v>286</v>
      </c>
      <c r="E343" s="33">
        <v>44.121747239873955</v>
      </c>
      <c r="F343" s="52">
        <v>286</v>
      </c>
      <c r="G343" s="104">
        <v>19.529087319657236</v>
      </c>
    </row>
    <row r="344" spans="2:7" x14ac:dyDescent="0.3">
      <c r="B344" s="52">
        <v>287</v>
      </c>
      <c r="C344" s="33">
        <v>311.10166679543238</v>
      </c>
      <c r="D344" s="52">
        <v>287</v>
      </c>
      <c r="E344" s="33">
        <v>22.641429407853444</v>
      </c>
      <c r="F344" s="52">
        <v>287</v>
      </c>
      <c r="G344" s="104">
        <v>121.04785176129869</v>
      </c>
    </row>
    <row r="345" spans="2:7" x14ac:dyDescent="0.3">
      <c r="B345" s="52">
        <v>288</v>
      </c>
      <c r="C345" s="33">
        <v>151.77658945788994</v>
      </c>
      <c r="D345" s="52">
        <v>288</v>
      </c>
      <c r="E345" s="33">
        <v>64.530003434539566</v>
      </c>
      <c r="F345" s="52">
        <v>288</v>
      </c>
      <c r="G345" s="104">
        <v>289.44041161227432</v>
      </c>
    </row>
    <row r="346" spans="2:7" x14ac:dyDescent="0.3">
      <c r="B346" s="52">
        <v>289</v>
      </c>
      <c r="C346" s="33">
        <v>219.93220521145051</v>
      </c>
      <c r="D346" s="52">
        <v>289</v>
      </c>
      <c r="E346" s="33">
        <v>24.968542715183371</v>
      </c>
      <c r="F346" s="52">
        <v>289</v>
      </c>
      <c r="G346" s="104">
        <v>222.31533209593215</v>
      </c>
    </row>
    <row r="347" spans="2:7" x14ac:dyDescent="0.3">
      <c r="B347" s="52">
        <v>290</v>
      </c>
      <c r="C347" s="33">
        <v>233.66121864353079</v>
      </c>
      <c r="D347" s="52">
        <v>290</v>
      </c>
      <c r="E347" s="33">
        <v>33.5843343590345</v>
      </c>
      <c r="F347" s="52">
        <v>290</v>
      </c>
      <c r="G347" s="104">
        <v>246.92194731833794</v>
      </c>
    </row>
    <row r="348" spans="2:7" x14ac:dyDescent="0.3">
      <c r="B348" s="52">
        <v>291</v>
      </c>
      <c r="C348" s="33">
        <v>269.82147045826031</v>
      </c>
      <c r="D348" s="52">
        <v>291</v>
      </c>
      <c r="E348" s="33">
        <v>27.651141768670691</v>
      </c>
      <c r="F348" s="52">
        <v>291</v>
      </c>
      <c r="G348" s="104">
        <v>233.51933730004117</v>
      </c>
    </row>
    <row r="349" spans="2:7" x14ac:dyDescent="0.3">
      <c r="B349" s="52">
        <v>292</v>
      </c>
      <c r="C349" s="33">
        <v>364.36922645654272</v>
      </c>
      <c r="D349" s="52">
        <v>292</v>
      </c>
      <c r="E349" s="33">
        <v>-15.069693557558409</v>
      </c>
      <c r="F349" s="52">
        <v>292</v>
      </c>
      <c r="G349" s="104">
        <v>174.25062345744612</v>
      </c>
    </row>
    <row r="350" spans="2:7" x14ac:dyDescent="0.3">
      <c r="B350" s="52">
        <v>293</v>
      </c>
      <c r="C350" s="33">
        <v>154.32931769465611</v>
      </c>
      <c r="D350" s="52">
        <v>293</v>
      </c>
      <c r="E350" s="33">
        <v>57.517912239012105</v>
      </c>
      <c r="F350" s="52">
        <v>293</v>
      </c>
      <c r="G350" s="104">
        <v>323.64938841808095</v>
      </c>
    </row>
    <row r="351" spans="2:7" x14ac:dyDescent="0.3">
      <c r="B351" s="52">
        <v>294</v>
      </c>
      <c r="C351" s="33">
        <v>270.05850652937244</v>
      </c>
      <c r="D351" s="52">
        <v>294</v>
      </c>
      <c r="E351" s="33">
        <v>10.964914805412697</v>
      </c>
      <c r="F351" s="52">
        <v>294</v>
      </c>
      <c r="G351" s="104">
        <v>248.72059944735423</v>
      </c>
    </row>
    <row r="352" spans="2:7" x14ac:dyDescent="0.3">
      <c r="B352" s="52">
        <v>295</v>
      </c>
      <c r="C352" s="33">
        <v>178.10494049555996</v>
      </c>
      <c r="D352" s="52">
        <v>295</v>
      </c>
      <c r="E352" s="33">
        <v>82.650951774282575</v>
      </c>
      <c r="F352" s="52">
        <v>295</v>
      </c>
      <c r="G352" s="104">
        <v>230.04671396052186</v>
      </c>
    </row>
    <row r="353" spans="2:7" x14ac:dyDescent="0.3">
      <c r="B353" s="52">
        <v>296</v>
      </c>
      <c r="C353" s="33">
        <v>277.04948741005495</v>
      </c>
      <c r="D353" s="52">
        <v>296</v>
      </c>
      <c r="E353" s="33">
        <v>44.055683127413907</v>
      </c>
      <c r="F353" s="52">
        <v>296</v>
      </c>
      <c r="G353" s="104">
        <v>215.94242588935583</v>
      </c>
    </row>
    <row r="354" spans="2:7" x14ac:dyDescent="0.3">
      <c r="B354" s="52">
        <v>297</v>
      </c>
      <c r="C354" s="33">
        <v>351.51741130150231</v>
      </c>
      <c r="D354" s="52">
        <v>297</v>
      </c>
      <c r="E354" s="33">
        <v>35.142686278716866</v>
      </c>
      <c r="F354" s="52">
        <v>297</v>
      </c>
      <c r="G354" s="104">
        <v>257.35087771491243</v>
      </c>
    </row>
    <row r="355" spans="2:7" x14ac:dyDescent="0.3">
      <c r="B355" s="52">
        <v>298</v>
      </c>
      <c r="C355" s="33">
        <v>266.72660950229346</v>
      </c>
      <c r="D355" s="52">
        <v>298</v>
      </c>
      <c r="E355" s="33">
        <v>22.063195180985346</v>
      </c>
      <c r="F355" s="52">
        <v>298</v>
      </c>
      <c r="G355" s="104">
        <v>146.76335847512433</v>
      </c>
    </row>
    <row r="356" spans="2:7" x14ac:dyDescent="0.3">
      <c r="B356" s="52">
        <v>299</v>
      </c>
      <c r="C356" s="33">
        <v>244.81429790375358</v>
      </c>
      <c r="D356" s="52">
        <v>299</v>
      </c>
      <c r="E356" s="33">
        <v>18.615986476927887</v>
      </c>
      <c r="F356" s="52">
        <v>299</v>
      </c>
      <c r="G356" s="104">
        <v>143.07178043567421</v>
      </c>
    </row>
    <row r="357" spans="2:7" x14ac:dyDescent="0.3">
      <c r="B357" s="52">
        <v>300</v>
      </c>
      <c r="C357" s="33">
        <v>167.8118491167051</v>
      </c>
      <c r="D357" s="52">
        <v>300</v>
      </c>
      <c r="E357" s="33">
        <v>-2.8787009374068546</v>
      </c>
      <c r="F357" s="52">
        <v>300</v>
      </c>
      <c r="G357" s="104">
        <v>205.46532082190322</v>
      </c>
    </row>
    <row r="358" spans="2:7" x14ac:dyDescent="0.3">
      <c r="B358" s="52">
        <v>301</v>
      </c>
      <c r="C358" s="33">
        <v>216.5385721182312</v>
      </c>
      <c r="D358" s="52">
        <v>301</v>
      </c>
      <c r="E358" s="33">
        <v>11.218506469283916</v>
      </c>
      <c r="F358" s="52">
        <v>301</v>
      </c>
      <c r="G358" s="104">
        <v>253.25205553936428</v>
      </c>
    </row>
    <row r="359" spans="2:7" x14ac:dyDescent="0.3">
      <c r="B359" s="52">
        <v>302</v>
      </c>
      <c r="C359" s="33">
        <v>245.0605078504459</v>
      </c>
      <c r="D359" s="52">
        <v>302</v>
      </c>
      <c r="E359" s="33">
        <v>61.34453471580936</v>
      </c>
      <c r="F359" s="52">
        <v>302</v>
      </c>
      <c r="G359" s="104">
        <v>224.87752851076522</v>
      </c>
    </row>
    <row r="360" spans="2:7" x14ac:dyDescent="0.3">
      <c r="B360" s="52">
        <v>303</v>
      </c>
      <c r="C360" s="33">
        <v>232.64042405970505</v>
      </c>
      <c r="D360" s="52">
        <v>303</v>
      </c>
      <c r="E360" s="33">
        <v>23.086149385368465</v>
      </c>
      <c r="F360" s="52">
        <v>303</v>
      </c>
      <c r="G360" s="104">
        <v>241.43995395929807</v>
      </c>
    </row>
    <row r="361" spans="2:7" x14ac:dyDescent="0.3">
      <c r="B361" s="52">
        <v>304</v>
      </c>
      <c r="C361" s="33">
        <v>204.69382151142958</v>
      </c>
      <c r="D361" s="52">
        <v>304</v>
      </c>
      <c r="E361" s="33">
        <v>16.65409841758887</v>
      </c>
      <c r="F361" s="52">
        <v>304</v>
      </c>
      <c r="G361" s="104">
        <v>37.640869685899759</v>
      </c>
    </row>
    <row r="362" spans="2:7" x14ac:dyDescent="0.3">
      <c r="B362" s="52">
        <v>305</v>
      </c>
      <c r="C362" s="33">
        <v>116.20143256912083</v>
      </c>
      <c r="D362" s="52">
        <v>305</v>
      </c>
      <c r="E362" s="33">
        <v>18.960864728605966</v>
      </c>
      <c r="F362" s="52">
        <v>305</v>
      </c>
      <c r="G362" s="104">
        <v>300.00632458196139</v>
      </c>
    </row>
    <row r="363" spans="2:7" x14ac:dyDescent="0.3">
      <c r="B363" s="52">
        <v>306</v>
      </c>
      <c r="C363" s="33">
        <v>275.49631416429276</v>
      </c>
      <c r="D363" s="52">
        <v>306</v>
      </c>
      <c r="E363" s="33">
        <v>26.313480272586446</v>
      </c>
      <c r="F363" s="52">
        <v>306</v>
      </c>
      <c r="G363" s="104">
        <v>308.44473034250467</v>
      </c>
    </row>
    <row r="364" spans="2:7" x14ac:dyDescent="0.3">
      <c r="B364" s="52">
        <v>307</v>
      </c>
      <c r="C364" s="33">
        <v>127.59799640882507</v>
      </c>
      <c r="D364" s="52">
        <v>307</v>
      </c>
      <c r="E364" s="33">
        <v>56.063181835737353</v>
      </c>
      <c r="F364" s="52">
        <v>307</v>
      </c>
      <c r="G364" s="104">
        <v>220.45151242382136</v>
      </c>
    </row>
    <row r="365" spans="2:7" x14ac:dyDescent="0.3">
      <c r="B365" s="52">
        <v>308</v>
      </c>
      <c r="C365" s="33">
        <v>237.33959802828969</v>
      </c>
      <c r="D365" s="52">
        <v>308</v>
      </c>
      <c r="E365" s="33">
        <v>63.597119409278491</v>
      </c>
      <c r="F365" s="52">
        <v>308</v>
      </c>
      <c r="G365" s="104">
        <v>289.76134301879546</v>
      </c>
    </row>
    <row r="366" spans="2:7" x14ac:dyDescent="0.3">
      <c r="B366" s="52">
        <v>309</v>
      </c>
      <c r="C366" s="33">
        <v>98.070918623739573</v>
      </c>
      <c r="D366" s="52">
        <v>309</v>
      </c>
      <c r="E366" s="33">
        <v>42.899876538568961</v>
      </c>
      <c r="F366" s="52">
        <v>309</v>
      </c>
      <c r="G366" s="104">
        <v>194.60376758491401</v>
      </c>
    </row>
    <row r="367" spans="2:7" x14ac:dyDescent="0.3">
      <c r="B367" s="52">
        <v>310</v>
      </c>
      <c r="C367" s="33">
        <v>263.43453667171633</v>
      </c>
      <c r="D367" s="52">
        <v>310</v>
      </c>
      <c r="E367" s="33">
        <v>33.717113408859767</v>
      </c>
      <c r="F367" s="52">
        <v>310</v>
      </c>
      <c r="G367" s="104">
        <v>213.56218546998727</v>
      </c>
    </row>
    <row r="368" spans="2:7" x14ac:dyDescent="0.3">
      <c r="B368" s="52">
        <v>311</v>
      </c>
      <c r="C368" s="33">
        <v>180.26565274351125</v>
      </c>
      <c r="D368" s="52">
        <v>311</v>
      </c>
      <c r="E368" s="33">
        <v>33.387884587397714</v>
      </c>
      <c r="F368" s="52">
        <v>311</v>
      </c>
      <c r="G368" s="104">
        <v>250.37630243751059</v>
      </c>
    </row>
    <row r="369" spans="2:7" x14ac:dyDescent="0.3">
      <c r="B369" s="52">
        <v>312</v>
      </c>
      <c r="C369" s="33">
        <v>154.95801266071803</v>
      </c>
      <c r="D369" s="52">
        <v>312</v>
      </c>
      <c r="E369" s="33">
        <v>44.289917421221546</v>
      </c>
      <c r="F369" s="52">
        <v>312</v>
      </c>
      <c r="G369" s="104">
        <v>213.35410594401969</v>
      </c>
    </row>
    <row r="370" spans="2:7" x14ac:dyDescent="0.3">
      <c r="B370" s="52">
        <v>313</v>
      </c>
      <c r="C370" s="33">
        <v>145.55754253415631</v>
      </c>
      <c r="D370" s="52">
        <v>313</v>
      </c>
      <c r="E370" s="33">
        <v>54.248530570865839</v>
      </c>
      <c r="F370" s="52">
        <v>313</v>
      </c>
      <c r="G370" s="104">
        <v>223.38924981289716</v>
      </c>
    </row>
    <row r="371" spans="2:7" x14ac:dyDescent="0.3">
      <c r="B371" s="52">
        <v>314</v>
      </c>
      <c r="C371" s="33">
        <v>244.88686432552237</v>
      </c>
      <c r="D371" s="52">
        <v>314</v>
      </c>
      <c r="E371" s="33">
        <v>21.498256199960483</v>
      </c>
      <c r="F371" s="52">
        <v>314</v>
      </c>
      <c r="G371" s="104">
        <v>183.65286202879082</v>
      </c>
    </row>
    <row r="372" spans="2:7" x14ac:dyDescent="0.3">
      <c r="B372" s="52">
        <v>315</v>
      </c>
      <c r="C372" s="33">
        <v>216.79272234552644</v>
      </c>
      <c r="D372" s="52">
        <v>315</v>
      </c>
      <c r="E372" s="33">
        <v>45.731245841045336</v>
      </c>
      <c r="F372" s="52">
        <v>315</v>
      </c>
      <c r="G372" s="104">
        <v>182.44669754233274</v>
      </c>
    </row>
    <row r="373" spans="2:7" x14ac:dyDescent="0.3">
      <c r="B373" s="52">
        <v>316</v>
      </c>
      <c r="C373" s="33">
        <v>135.67525337135797</v>
      </c>
      <c r="D373" s="52">
        <v>316</v>
      </c>
      <c r="E373" s="33">
        <v>-32.314986173345567</v>
      </c>
      <c r="F373" s="52">
        <v>316</v>
      </c>
      <c r="G373" s="104">
        <v>154.44155923207705</v>
      </c>
    </row>
    <row r="374" spans="2:7" x14ac:dyDescent="0.3">
      <c r="B374" s="52">
        <v>317</v>
      </c>
      <c r="C374" s="33">
        <v>93.028950098823614</v>
      </c>
      <c r="D374" s="52">
        <v>317</v>
      </c>
      <c r="E374" s="33">
        <v>57.839195457039914</v>
      </c>
      <c r="F374" s="52">
        <v>317</v>
      </c>
      <c r="G374" s="104">
        <v>278.37586261554725</v>
      </c>
    </row>
    <row r="375" spans="2:7" x14ac:dyDescent="0.3">
      <c r="B375" s="52">
        <v>318</v>
      </c>
      <c r="C375" s="33">
        <v>181.89419769302413</v>
      </c>
      <c r="D375" s="52">
        <v>318</v>
      </c>
      <c r="E375" s="33">
        <v>87.960532777452741</v>
      </c>
      <c r="F375" s="52">
        <v>318</v>
      </c>
      <c r="G375" s="104">
        <v>235.80794805649919</v>
      </c>
    </row>
    <row r="376" spans="2:7" x14ac:dyDescent="0.3">
      <c r="B376" s="52">
        <v>319</v>
      </c>
      <c r="C376" s="33">
        <v>227.81826588488761</v>
      </c>
      <c r="D376" s="52">
        <v>319</v>
      </c>
      <c r="E376" s="33">
        <v>-7.2894855837797294</v>
      </c>
      <c r="F376" s="52">
        <v>319</v>
      </c>
      <c r="G376" s="104">
        <v>183.52853275344705</v>
      </c>
    </row>
    <row r="377" spans="2:7" x14ac:dyDescent="0.3">
      <c r="B377" s="52">
        <v>320</v>
      </c>
      <c r="C377" s="33">
        <v>260.99219975350354</v>
      </c>
      <c r="D377" s="52">
        <v>320</v>
      </c>
      <c r="E377" s="33">
        <v>-27.272597468715212</v>
      </c>
      <c r="F377" s="52">
        <v>320</v>
      </c>
      <c r="G377" s="104">
        <v>213.30963878823545</v>
      </c>
    </row>
    <row r="378" spans="2:7" x14ac:dyDescent="0.3">
      <c r="B378" s="52">
        <v>321</v>
      </c>
      <c r="C378" s="33">
        <v>180.76005603860997</v>
      </c>
      <c r="D378" s="52">
        <v>321</v>
      </c>
      <c r="E378" s="33">
        <v>21.071083980813427</v>
      </c>
      <c r="F378" s="52">
        <v>321</v>
      </c>
      <c r="G378" s="104">
        <v>208.28547733323245</v>
      </c>
    </row>
    <row r="379" spans="2:7" x14ac:dyDescent="0.3">
      <c r="B379" s="52">
        <v>322</v>
      </c>
      <c r="C379" s="33">
        <v>194.54001528556475</v>
      </c>
      <c r="D379" s="52">
        <v>322</v>
      </c>
      <c r="E379" s="33">
        <v>10.861977933023081</v>
      </c>
      <c r="F379" s="52">
        <v>322</v>
      </c>
      <c r="G379" s="104">
        <v>286.85543202834361</v>
      </c>
    </row>
    <row r="380" spans="2:7" x14ac:dyDescent="0.3">
      <c r="B380" s="52">
        <v>323</v>
      </c>
      <c r="C380" s="33">
        <v>280.73501552970208</v>
      </c>
      <c r="D380" s="52">
        <v>323</v>
      </c>
      <c r="E380" s="33">
        <v>48.54532771124201</v>
      </c>
      <c r="F380" s="52">
        <v>323</v>
      </c>
      <c r="G380" s="104">
        <v>232.99523631559896</v>
      </c>
    </row>
    <row r="381" spans="2:7" x14ac:dyDescent="0.3">
      <c r="B381" s="52">
        <v>324</v>
      </c>
      <c r="C381" s="33">
        <v>252.11589950292935</v>
      </c>
      <c r="D381" s="52">
        <v>324</v>
      </c>
      <c r="E381" s="33">
        <v>68.917780515252787</v>
      </c>
      <c r="F381" s="52">
        <v>324</v>
      </c>
      <c r="G381" s="104">
        <v>114.73004966422448</v>
      </c>
    </row>
    <row r="382" spans="2:7" x14ac:dyDescent="0.3">
      <c r="B382" s="52">
        <v>325</v>
      </c>
      <c r="C382" s="33">
        <v>307.82794201741081</v>
      </c>
      <c r="D382" s="52">
        <v>325</v>
      </c>
      <c r="E382" s="33">
        <v>24.601796513381114</v>
      </c>
      <c r="F382" s="52">
        <v>325</v>
      </c>
      <c r="G382" s="104">
        <v>197.44798048390561</v>
      </c>
    </row>
    <row r="383" spans="2:7" x14ac:dyDescent="0.3">
      <c r="B383" s="52">
        <v>326</v>
      </c>
      <c r="C383" s="33">
        <v>212.37659631885981</v>
      </c>
      <c r="D383" s="52">
        <v>326</v>
      </c>
      <c r="E383" s="33">
        <v>16.938791477547774</v>
      </c>
      <c r="F383" s="52">
        <v>326</v>
      </c>
      <c r="G383" s="104">
        <v>235.17730662899618</v>
      </c>
    </row>
    <row r="384" spans="2:7" x14ac:dyDescent="0.3">
      <c r="B384" s="52">
        <v>327</v>
      </c>
      <c r="C384" s="33">
        <v>169.6154974853774</v>
      </c>
      <c r="D384" s="52">
        <v>327</v>
      </c>
      <c r="E384" s="33">
        <v>22.276783488299177</v>
      </c>
      <c r="F384" s="52">
        <v>327</v>
      </c>
      <c r="G384" s="104">
        <v>150.18173282172805</v>
      </c>
    </row>
    <row r="385" spans="2:7" x14ac:dyDescent="0.3">
      <c r="B385" s="52">
        <v>328</v>
      </c>
      <c r="C385" s="33">
        <v>219.28918830070251</v>
      </c>
      <c r="D385" s="52">
        <v>328</v>
      </c>
      <c r="E385" s="33">
        <v>50.59654041096389</v>
      </c>
      <c r="F385" s="52">
        <v>328</v>
      </c>
      <c r="G385" s="104">
        <v>276.19045104895184</v>
      </c>
    </row>
    <row r="386" spans="2:7" x14ac:dyDescent="0.3">
      <c r="B386" s="52">
        <v>329</v>
      </c>
      <c r="C386" s="33">
        <v>279.67060889979609</v>
      </c>
      <c r="D386" s="52">
        <v>329</v>
      </c>
      <c r="E386" s="33">
        <v>68.76740198824335</v>
      </c>
      <c r="F386" s="52">
        <v>329</v>
      </c>
      <c r="G386" s="104">
        <v>249.27440284442099</v>
      </c>
    </row>
    <row r="387" spans="2:7" x14ac:dyDescent="0.3">
      <c r="B387" s="52">
        <v>330</v>
      </c>
      <c r="C387" s="33">
        <v>175.37812821308623</v>
      </c>
      <c r="D387" s="52">
        <v>330</v>
      </c>
      <c r="E387" s="33">
        <v>45.585970946379859</v>
      </c>
      <c r="F387" s="52">
        <v>330</v>
      </c>
      <c r="G387" s="104">
        <v>173.02781039998382</v>
      </c>
    </row>
    <row r="388" spans="2:7" x14ac:dyDescent="0.3">
      <c r="B388" s="52">
        <v>331</v>
      </c>
      <c r="C388" s="33">
        <v>228.81462269902798</v>
      </c>
      <c r="D388" s="52">
        <v>331</v>
      </c>
      <c r="E388" s="33">
        <v>22.998625305643976</v>
      </c>
      <c r="F388" s="52">
        <v>331</v>
      </c>
      <c r="G388" s="104">
        <v>256.96951355179863</v>
      </c>
    </row>
    <row r="389" spans="2:7" x14ac:dyDescent="0.3">
      <c r="B389" s="52">
        <v>332</v>
      </c>
      <c r="C389" s="33">
        <v>218.59387374714359</v>
      </c>
      <c r="D389" s="52">
        <v>332</v>
      </c>
      <c r="E389" s="33">
        <v>33.867640088408692</v>
      </c>
      <c r="F389" s="52">
        <v>332</v>
      </c>
      <c r="G389" s="104">
        <v>311.10990986907115</v>
      </c>
    </row>
    <row r="390" spans="2:7" x14ac:dyDescent="0.3">
      <c r="B390" s="52">
        <v>333</v>
      </c>
      <c r="C390" s="33">
        <v>211.98703443873626</v>
      </c>
      <c r="D390" s="52">
        <v>333</v>
      </c>
      <c r="E390" s="33">
        <v>25.949030204162419</v>
      </c>
      <c r="F390" s="52">
        <v>333</v>
      </c>
      <c r="G390" s="104">
        <v>111.05110991167911</v>
      </c>
    </row>
    <row r="391" spans="2:7" x14ac:dyDescent="0.3">
      <c r="B391" s="52">
        <v>334</v>
      </c>
      <c r="C391" s="33">
        <v>160.16480487337063</v>
      </c>
      <c r="D391" s="52">
        <v>334</v>
      </c>
      <c r="E391" s="33">
        <v>11.572409376157765</v>
      </c>
      <c r="F391" s="52">
        <v>334</v>
      </c>
      <c r="G391" s="104">
        <v>36.759784521344443</v>
      </c>
    </row>
    <row r="392" spans="2:7" x14ac:dyDescent="0.3">
      <c r="B392" s="52">
        <v>335</v>
      </c>
      <c r="C392" s="33">
        <v>279.37874165117876</v>
      </c>
      <c r="D392" s="52">
        <v>335</v>
      </c>
      <c r="E392" s="33">
        <v>30.366072834245678</v>
      </c>
      <c r="F392" s="52">
        <v>335</v>
      </c>
      <c r="G392" s="104">
        <v>113.80488840160558</v>
      </c>
    </row>
    <row r="393" spans="2:7" x14ac:dyDescent="0.3">
      <c r="B393" s="52">
        <v>336</v>
      </c>
      <c r="C393" s="33">
        <v>332.25724254462864</v>
      </c>
      <c r="D393" s="52">
        <v>336</v>
      </c>
      <c r="E393" s="33">
        <v>29.11647858170365</v>
      </c>
      <c r="F393" s="52">
        <v>336</v>
      </c>
      <c r="G393" s="104">
        <v>187.25932511174099</v>
      </c>
    </row>
    <row r="394" spans="2:7" x14ac:dyDescent="0.3">
      <c r="B394" s="52">
        <v>337</v>
      </c>
      <c r="C394" s="33">
        <v>73.026519058121082</v>
      </c>
      <c r="D394" s="52">
        <v>337</v>
      </c>
      <c r="E394" s="33">
        <v>23.224773923959642</v>
      </c>
      <c r="F394" s="52">
        <v>337</v>
      </c>
      <c r="G394" s="104">
        <v>294.23505331608936</v>
      </c>
    </row>
    <row r="395" spans="2:7" x14ac:dyDescent="0.3">
      <c r="B395" s="52">
        <v>338</v>
      </c>
      <c r="C395" s="33">
        <v>181.35005142047527</v>
      </c>
      <c r="D395" s="52">
        <v>338</v>
      </c>
      <c r="E395" s="33">
        <v>32.844829336690445</v>
      </c>
      <c r="F395" s="52">
        <v>338</v>
      </c>
      <c r="G395" s="104">
        <v>245.14194839001178</v>
      </c>
    </row>
    <row r="396" spans="2:7" x14ac:dyDescent="0.3">
      <c r="B396" s="52">
        <v>339</v>
      </c>
      <c r="C396" s="33">
        <v>277.91131398827878</v>
      </c>
      <c r="D396" s="52">
        <v>339</v>
      </c>
      <c r="E396" s="33">
        <v>40.063227931663171</v>
      </c>
      <c r="F396" s="52">
        <v>339</v>
      </c>
      <c r="G396" s="104">
        <v>210.55655326230695</v>
      </c>
    </row>
    <row r="397" spans="2:7" x14ac:dyDescent="0.3">
      <c r="B397" s="52">
        <v>340</v>
      </c>
      <c r="C397" s="33">
        <v>211.85586734976425</v>
      </c>
      <c r="D397" s="52">
        <v>340</v>
      </c>
      <c r="E397" s="33">
        <v>84.652961404752517</v>
      </c>
      <c r="F397" s="52">
        <v>340</v>
      </c>
      <c r="G397" s="104">
        <v>80.438677061372204</v>
      </c>
    </row>
    <row r="398" spans="2:7" x14ac:dyDescent="0.3">
      <c r="B398" s="52">
        <v>341</v>
      </c>
      <c r="C398" s="33">
        <v>266.26041960997873</v>
      </c>
      <c r="D398" s="52">
        <v>341</v>
      </c>
      <c r="E398" s="33">
        <v>29.62175851219239</v>
      </c>
      <c r="F398" s="52">
        <v>341</v>
      </c>
      <c r="G398" s="104">
        <v>261.77660035278893</v>
      </c>
    </row>
    <row r="399" spans="2:7" x14ac:dyDescent="0.3">
      <c r="B399" s="52">
        <v>342</v>
      </c>
      <c r="C399" s="33">
        <v>221.44102494258351</v>
      </c>
      <c r="D399" s="52">
        <v>342</v>
      </c>
      <c r="E399" s="33">
        <v>26.700595140300287</v>
      </c>
      <c r="F399" s="52">
        <v>342</v>
      </c>
      <c r="G399" s="104">
        <v>292.11524845582534</v>
      </c>
    </row>
    <row r="400" spans="2:7" x14ac:dyDescent="0.3">
      <c r="B400" s="52">
        <v>343</v>
      </c>
      <c r="C400" s="33">
        <v>207.79705294772845</v>
      </c>
      <c r="D400" s="52">
        <v>343</v>
      </c>
      <c r="E400" s="33">
        <v>-18.281772017501773</v>
      </c>
      <c r="F400" s="52">
        <v>343</v>
      </c>
      <c r="G400" s="104">
        <v>219.48846581137997</v>
      </c>
    </row>
    <row r="401" spans="2:7" x14ac:dyDescent="0.3">
      <c r="B401" s="52">
        <v>344</v>
      </c>
      <c r="C401" s="33">
        <v>139.53127374590156</v>
      </c>
      <c r="D401" s="52">
        <v>344</v>
      </c>
      <c r="E401" s="33">
        <v>98.438196778395834</v>
      </c>
      <c r="F401" s="52">
        <v>344</v>
      </c>
      <c r="G401" s="104">
        <v>215.1356903604883</v>
      </c>
    </row>
    <row r="402" spans="2:7" x14ac:dyDescent="0.3">
      <c r="B402" s="52">
        <v>345</v>
      </c>
      <c r="C402" s="33">
        <v>318.97629157595577</v>
      </c>
      <c r="D402" s="52">
        <v>345</v>
      </c>
      <c r="E402" s="33">
        <v>54.794687144234331</v>
      </c>
      <c r="F402" s="52">
        <v>345</v>
      </c>
      <c r="G402" s="104">
        <v>120.50068736229454</v>
      </c>
    </row>
    <row r="403" spans="2:7" x14ac:dyDescent="0.3">
      <c r="B403" s="52">
        <v>346</v>
      </c>
      <c r="C403" s="33">
        <v>329.57607903636034</v>
      </c>
      <c r="D403" s="52">
        <v>346</v>
      </c>
      <c r="E403" s="33">
        <v>26.372150266998062</v>
      </c>
      <c r="F403" s="52">
        <v>346</v>
      </c>
      <c r="G403" s="104">
        <v>373.98850752214275</v>
      </c>
    </row>
    <row r="404" spans="2:7" x14ac:dyDescent="0.3">
      <c r="B404" s="52">
        <v>347</v>
      </c>
      <c r="C404" s="33">
        <v>267.96715101130468</v>
      </c>
      <c r="D404" s="52">
        <v>347</v>
      </c>
      <c r="E404" s="33">
        <v>53.890476149107378</v>
      </c>
      <c r="F404" s="52">
        <v>347</v>
      </c>
      <c r="G404" s="104">
        <v>195.99300508488108</v>
      </c>
    </row>
    <row r="405" spans="2:7" x14ac:dyDescent="0.3">
      <c r="B405" s="52">
        <v>348</v>
      </c>
      <c r="C405" s="33">
        <v>138.91540259742015</v>
      </c>
      <c r="D405" s="52">
        <v>348</v>
      </c>
      <c r="E405" s="33">
        <v>-16.374484977709969</v>
      </c>
      <c r="F405" s="52">
        <v>348</v>
      </c>
      <c r="G405" s="104">
        <v>258.35477838245458</v>
      </c>
    </row>
    <row r="406" spans="2:7" x14ac:dyDescent="0.3">
      <c r="B406" s="52">
        <v>349</v>
      </c>
      <c r="C406" s="33">
        <v>180.16454486835582</v>
      </c>
      <c r="D406" s="52">
        <v>349</v>
      </c>
      <c r="E406" s="33">
        <v>53.168485810368864</v>
      </c>
      <c r="F406" s="52">
        <v>349</v>
      </c>
      <c r="G406" s="104">
        <v>221.59832194200902</v>
      </c>
    </row>
    <row r="407" spans="2:7" x14ac:dyDescent="0.3">
      <c r="B407" s="52">
        <v>350</v>
      </c>
      <c r="C407" s="33">
        <v>170.28266828068911</v>
      </c>
      <c r="D407" s="52">
        <v>350</v>
      </c>
      <c r="E407" s="33">
        <v>44.177896396005977</v>
      </c>
      <c r="F407" s="52">
        <v>350</v>
      </c>
      <c r="G407" s="104">
        <v>93.844749365036705</v>
      </c>
    </row>
    <row r="408" spans="2:7" x14ac:dyDescent="0.3">
      <c r="B408" s="52">
        <v>351</v>
      </c>
      <c r="C408" s="33">
        <v>314.22448983252201</v>
      </c>
      <c r="D408" s="52">
        <v>351</v>
      </c>
      <c r="E408" s="33">
        <v>9.9853824215814626</v>
      </c>
      <c r="F408" s="52">
        <v>351</v>
      </c>
      <c r="G408" s="104">
        <v>301.9299533502313</v>
      </c>
    </row>
    <row r="409" spans="2:7" x14ac:dyDescent="0.3">
      <c r="B409" s="52">
        <v>352</v>
      </c>
      <c r="C409" s="33">
        <v>133.42818989841649</v>
      </c>
      <c r="D409" s="52">
        <v>352</v>
      </c>
      <c r="E409" s="33">
        <v>67.43036938815186</v>
      </c>
      <c r="F409" s="52">
        <v>352</v>
      </c>
      <c r="G409" s="104">
        <v>207.88427439589489</v>
      </c>
    </row>
    <row r="410" spans="2:7" x14ac:dyDescent="0.3">
      <c r="B410" s="52">
        <v>353</v>
      </c>
      <c r="C410" s="33">
        <v>187.36557954652841</v>
      </c>
      <c r="D410" s="52">
        <v>353</v>
      </c>
      <c r="E410" s="33">
        <v>37.034745008914427</v>
      </c>
      <c r="F410" s="52">
        <v>353</v>
      </c>
      <c r="G410" s="104">
        <v>165.52126314883338</v>
      </c>
    </row>
    <row r="411" spans="2:7" x14ac:dyDescent="0.3">
      <c r="B411" s="52">
        <v>354</v>
      </c>
      <c r="C411" s="33">
        <v>119.40636429059037</v>
      </c>
      <c r="D411" s="52">
        <v>354</v>
      </c>
      <c r="E411" s="33">
        <v>-18.609896289380416</v>
      </c>
      <c r="F411" s="52">
        <v>354</v>
      </c>
      <c r="G411" s="104">
        <v>165.62316831811609</v>
      </c>
    </row>
    <row r="412" spans="2:7" x14ac:dyDescent="0.3">
      <c r="B412" s="52">
        <v>355</v>
      </c>
      <c r="C412" s="33">
        <v>175.21545453837101</v>
      </c>
      <c r="D412" s="52">
        <v>355</v>
      </c>
      <c r="E412" s="33">
        <v>74.595965666657492</v>
      </c>
      <c r="F412" s="52">
        <v>355</v>
      </c>
      <c r="G412" s="104">
        <v>299.98095583629811</v>
      </c>
    </row>
    <row r="413" spans="2:7" x14ac:dyDescent="0.3">
      <c r="B413" s="52">
        <v>356</v>
      </c>
      <c r="C413" s="33">
        <v>186.66437386076444</v>
      </c>
      <c r="D413" s="52">
        <v>356</v>
      </c>
      <c r="E413" s="33">
        <v>36.928268815004984</v>
      </c>
      <c r="F413" s="52">
        <v>356</v>
      </c>
      <c r="G413" s="104">
        <v>179.79225417345157</v>
      </c>
    </row>
    <row r="414" spans="2:7" x14ac:dyDescent="0.3">
      <c r="B414" s="52">
        <v>357</v>
      </c>
      <c r="C414" s="33">
        <v>215.53048859163249</v>
      </c>
      <c r="D414" s="52">
        <v>357</v>
      </c>
      <c r="E414" s="33">
        <v>60.176622148350518</v>
      </c>
      <c r="F414" s="52">
        <v>357</v>
      </c>
      <c r="G414" s="104">
        <v>238.87832627861161</v>
      </c>
    </row>
    <row r="415" spans="2:7" x14ac:dyDescent="0.3">
      <c r="B415" s="52">
        <v>358</v>
      </c>
      <c r="C415" s="33">
        <v>208.82982014905804</v>
      </c>
      <c r="D415" s="52">
        <v>358</v>
      </c>
      <c r="E415" s="33">
        <v>10.958839920082504</v>
      </c>
      <c r="F415" s="52">
        <v>358</v>
      </c>
      <c r="G415" s="104">
        <v>160.654087754995</v>
      </c>
    </row>
    <row r="416" spans="2:7" x14ac:dyDescent="0.3">
      <c r="B416" s="52">
        <v>359</v>
      </c>
      <c r="C416" s="33">
        <v>198.87372689455964</v>
      </c>
      <c r="D416" s="52">
        <v>359</v>
      </c>
      <c r="E416" s="33">
        <v>32.128617057864496</v>
      </c>
      <c r="F416" s="52">
        <v>359</v>
      </c>
      <c r="G416" s="104">
        <v>220.50203603311292</v>
      </c>
    </row>
    <row r="417" spans="2:7" x14ac:dyDescent="0.3">
      <c r="B417" s="52">
        <v>360</v>
      </c>
      <c r="C417" s="33">
        <v>223.74085068501481</v>
      </c>
      <c r="D417" s="52">
        <v>360</v>
      </c>
      <c r="E417" s="33">
        <v>14.916436074377355</v>
      </c>
      <c r="F417" s="52">
        <v>360</v>
      </c>
      <c r="G417" s="104">
        <v>162.92886610314784</v>
      </c>
    </row>
    <row r="418" spans="2:7" x14ac:dyDescent="0.3">
      <c r="B418" s="52">
        <v>361</v>
      </c>
      <c r="C418" s="33">
        <v>222.5550341204906</v>
      </c>
      <c r="D418" s="52">
        <v>361</v>
      </c>
      <c r="E418" s="33">
        <v>12.188590426334862</v>
      </c>
      <c r="F418" s="52">
        <v>361</v>
      </c>
      <c r="G418" s="104">
        <v>217.12526814203696</v>
      </c>
    </row>
    <row r="419" spans="2:7" x14ac:dyDescent="0.3">
      <c r="B419" s="52">
        <v>362</v>
      </c>
      <c r="C419" s="33">
        <v>290.10968118200492</v>
      </c>
      <c r="D419" s="52">
        <v>362</v>
      </c>
      <c r="E419" s="33">
        <v>-7.4258179959517499</v>
      </c>
      <c r="F419" s="52">
        <v>362</v>
      </c>
      <c r="G419" s="104">
        <v>265.99545882344034</v>
      </c>
    </row>
    <row r="420" spans="2:7" x14ac:dyDescent="0.3">
      <c r="B420" s="52">
        <v>363</v>
      </c>
      <c r="C420" s="33">
        <v>186.57166544568753</v>
      </c>
      <c r="D420" s="52">
        <v>363</v>
      </c>
      <c r="E420" s="33">
        <v>32.053508629247176</v>
      </c>
      <c r="F420" s="52">
        <v>363</v>
      </c>
      <c r="G420" s="104">
        <v>247.68430350316572</v>
      </c>
    </row>
    <row r="421" spans="2:7" x14ac:dyDescent="0.3">
      <c r="B421" s="52">
        <v>364</v>
      </c>
      <c r="C421" s="33">
        <v>129.56302197350618</v>
      </c>
      <c r="D421" s="52">
        <v>364</v>
      </c>
      <c r="E421" s="33">
        <v>87.964315096949676</v>
      </c>
      <c r="F421" s="52">
        <v>364</v>
      </c>
      <c r="G421" s="104">
        <v>286.17070452947678</v>
      </c>
    </row>
    <row r="422" spans="2:7" x14ac:dyDescent="0.3">
      <c r="B422" s="52">
        <v>365</v>
      </c>
      <c r="C422" s="33">
        <v>269.19703658371355</v>
      </c>
      <c r="D422" s="52">
        <v>365</v>
      </c>
      <c r="E422" s="33">
        <v>14.029724867846507</v>
      </c>
      <c r="F422" s="52">
        <v>365</v>
      </c>
      <c r="G422" s="104">
        <v>58.051952548228201</v>
      </c>
    </row>
    <row r="423" spans="2:7" x14ac:dyDescent="0.3">
      <c r="B423" s="52">
        <v>366</v>
      </c>
      <c r="C423" s="33">
        <v>268.62275021402434</v>
      </c>
      <c r="D423" s="52">
        <v>366</v>
      </c>
      <c r="E423" s="33">
        <v>47.147377662449237</v>
      </c>
      <c r="F423" s="52">
        <v>366</v>
      </c>
      <c r="G423" s="104">
        <v>76.537840598455432</v>
      </c>
    </row>
    <row r="424" spans="2:7" x14ac:dyDescent="0.3">
      <c r="B424" s="52">
        <v>367</v>
      </c>
      <c r="C424" s="33">
        <v>198.16032380211709</v>
      </c>
      <c r="D424" s="52">
        <v>367</v>
      </c>
      <c r="E424" s="33">
        <v>20.59599001462589</v>
      </c>
      <c r="F424" s="52">
        <v>367</v>
      </c>
      <c r="G424" s="104">
        <v>291.05420904676794</v>
      </c>
    </row>
    <row r="425" spans="2:7" x14ac:dyDescent="0.3">
      <c r="B425" s="52">
        <v>368</v>
      </c>
      <c r="C425" s="33">
        <v>423.26214647480134</v>
      </c>
      <c r="D425" s="52">
        <v>368</v>
      </c>
      <c r="E425" s="33">
        <v>10.8913153271772</v>
      </c>
      <c r="F425" s="52">
        <v>368</v>
      </c>
      <c r="G425" s="104">
        <v>264.10140503171618</v>
      </c>
    </row>
    <row r="426" spans="2:7" x14ac:dyDescent="0.3">
      <c r="B426" s="52">
        <v>369</v>
      </c>
      <c r="C426" s="33">
        <v>265.29356643736367</v>
      </c>
      <c r="D426" s="52">
        <v>369</v>
      </c>
      <c r="E426" s="33">
        <v>68.655404717444327</v>
      </c>
      <c r="F426" s="52">
        <v>369</v>
      </c>
      <c r="G426" s="104">
        <v>196.90511077317205</v>
      </c>
    </row>
    <row r="427" spans="2:7" x14ac:dyDescent="0.3">
      <c r="B427" s="52">
        <v>370</v>
      </c>
      <c r="C427" s="33">
        <v>158.47508960954679</v>
      </c>
      <c r="D427" s="52">
        <v>370</v>
      </c>
      <c r="E427" s="33">
        <v>56.889106190584201</v>
      </c>
      <c r="F427" s="52">
        <v>370</v>
      </c>
      <c r="G427" s="104">
        <v>249.62930823233424</v>
      </c>
    </row>
    <row r="428" spans="2:7" x14ac:dyDescent="0.3">
      <c r="B428" s="52">
        <v>371</v>
      </c>
      <c r="C428" s="33">
        <v>169.80925000580163</v>
      </c>
      <c r="D428" s="52">
        <v>371</v>
      </c>
      <c r="E428" s="33">
        <v>47.06166787206692</v>
      </c>
      <c r="F428" s="52">
        <v>371</v>
      </c>
      <c r="G428" s="104">
        <v>269.77826813371013</v>
      </c>
    </row>
    <row r="429" spans="2:7" x14ac:dyDescent="0.3">
      <c r="B429" s="52">
        <v>372</v>
      </c>
      <c r="C429" s="33">
        <v>275.8338473717173</v>
      </c>
      <c r="D429" s="52">
        <v>372</v>
      </c>
      <c r="E429" s="33">
        <v>-0.40174342159383514</v>
      </c>
      <c r="F429" s="52">
        <v>372</v>
      </c>
      <c r="G429" s="104">
        <v>383.45427709011949</v>
      </c>
    </row>
    <row r="430" spans="2:7" x14ac:dyDescent="0.3">
      <c r="B430" s="52">
        <v>373</v>
      </c>
      <c r="C430" s="33">
        <v>209.99116638484398</v>
      </c>
      <c r="D430" s="52">
        <v>373</v>
      </c>
      <c r="E430" s="33">
        <v>14.428316221772128</v>
      </c>
      <c r="F430" s="52">
        <v>373</v>
      </c>
      <c r="G430" s="104">
        <v>242.61563494886451</v>
      </c>
    </row>
    <row r="431" spans="2:7" x14ac:dyDescent="0.3">
      <c r="B431" s="52">
        <v>374</v>
      </c>
      <c r="C431" s="33">
        <v>388.17005992994143</v>
      </c>
      <c r="D431" s="52">
        <v>374</v>
      </c>
      <c r="E431" s="33">
        <v>36.360040625583451</v>
      </c>
      <c r="F431" s="52">
        <v>374</v>
      </c>
      <c r="G431" s="104">
        <v>129.04006983443202</v>
      </c>
    </row>
    <row r="432" spans="2:7" x14ac:dyDescent="0.3">
      <c r="B432" s="52">
        <v>375</v>
      </c>
      <c r="C432" s="33">
        <v>319.41455016009513</v>
      </c>
      <c r="D432" s="52">
        <v>375</v>
      </c>
      <c r="E432" s="33">
        <v>34.1693497469346</v>
      </c>
      <c r="F432" s="52">
        <v>375</v>
      </c>
      <c r="G432" s="104">
        <v>152.05576478413468</v>
      </c>
    </row>
    <row r="433" spans="2:7" x14ac:dyDescent="0.3">
      <c r="B433" s="52">
        <v>376</v>
      </c>
      <c r="C433" s="33">
        <v>210.6258040814534</v>
      </c>
      <c r="D433" s="52">
        <v>376</v>
      </c>
      <c r="E433" s="33">
        <v>22.508957334640183</v>
      </c>
      <c r="F433" s="52">
        <v>376</v>
      </c>
      <c r="G433" s="104">
        <v>159.69509523247666</v>
      </c>
    </row>
    <row r="434" spans="2:7" x14ac:dyDescent="0.3">
      <c r="B434" s="52">
        <v>377</v>
      </c>
      <c r="C434" s="33">
        <v>282.30966259023222</v>
      </c>
      <c r="D434" s="52">
        <v>377</v>
      </c>
      <c r="E434" s="33">
        <v>29.094921379867678</v>
      </c>
      <c r="F434" s="52">
        <v>377</v>
      </c>
      <c r="G434" s="104">
        <v>153.31939568033192</v>
      </c>
    </row>
    <row r="435" spans="2:7" x14ac:dyDescent="0.3">
      <c r="B435" s="52">
        <v>378</v>
      </c>
      <c r="C435" s="33">
        <v>210.7726085264953</v>
      </c>
      <c r="D435" s="52">
        <v>378</v>
      </c>
      <c r="E435" s="33">
        <v>34.246367536995578</v>
      </c>
      <c r="F435" s="52">
        <v>378</v>
      </c>
      <c r="G435" s="104">
        <v>187.39727544971436</v>
      </c>
    </row>
    <row r="436" spans="2:7" x14ac:dyDescent="0.3">
      <c r="B436" s="52">
        <v>379</v>
      </c>
      <c r="C436" s="33">
        <v>147.5093303135427</v>
      </c>
      <c r="D436" s="52">
        <v>379</v>
      </c>
      <c r="E436" s="33">
        <v>77.397351036662769</v>
      </c>
      <c r="F436" s="52">
        <v>379</v>
      </c>
      <c r="G436" s="104">
        <v>312.98221744795978</v>
      </c>
    </row>
    <row r="437" spans="2:7" x14ac:dyDescent="0.3">
      <c r="B437" s="52">
        <v>380</v>
      </c>
      <c r="C437" s="33">
        <v>132.95548019757297</v>
      </c>
      <c r="D437" s="52">
        <v>380</v>
      </c>
      <c r="E437" s="33">
        <v>39.047243365945903</v>
      </c>
      <c r="F437" s="52">
        <v>380</v>
      </c>
      <c r="G437" s="104">
        <v>405.2972518158324</v>
      </c>
    </row>
    <row r="438" spans="2:7" x14ac:dyDescent="0.3">
      <c r="B438" s="52">
        <v>381</v>
      </c>
      <c r="C438" s="33">
        <v>187.07401862286724</v>
      </c>
      <c r="D438" s="52">
        <v>381</v>
      </c>
      <c r="E438" s="33">
        <v>-19.167318573042838</v>
      </c>
      <c r="F438" s="52">
        <v>381</v>
      </c>
      <c r="G438" s="104">
        <v>53.090981248581215</v>
      </c>
    </row>
    <row r="439" spans="2:7" x14ac:dyDescent="0.3">
      <c r="B439" s="52">
        <v>382</v>
      </c>
      <c r="C439" s="33">
        <v>202.36798710858289</v>
      </c>
      <c r="D439" s="52">
        <v>382</v>
      </c>
      <c r="E439" s="33">
        <v>48.654070416785338</v>
      </c>
      <c r="F439" s="52">
        <v>382</v>
      </c>
      <c r="G439" s="104">
        <v>104.7877167666001</v>
      </c>
    </row>
    <row r="440" spans="2:7" x14ac:dyDescent="0.3">
      <c r="B440" s="52">
        <v>383</v>
      </c>
      <c r="C440" s="33">
        <v>133.97365116330622</v>
      </c>
      <c r="D440" s="52">
        <v>383</v>
      </c>
      <c r="E440" s="33">
        <v>35.712976173449121</v>
      </c>
      <c r="F440" s="52">
        <v>383</v>
      </c>
      <c r="G440" s="104">
        <v>245.75380040276559</v>
      </c>
    </row>
    <row r="441" spans="2:7" x14ac:dyDescent="0.3">
      <c r="B441" s="52">
        <v>384</v>
      </c>
      <c r="C441" s="33">
        <v>40.215673822630748</v>
      </c>
      <c r="D441" s="52">
        <v>384</v>
      </c>
      <c r="E441" s="33">
        <v>24.499325622596146</v>
      </c>
      <c r="F441" s="52">
        <v>384</v>
      </c>
      <c r="G441" s="104">
        <v>91.566027561348918</v>
      </c>
    </row>
    <row r="442" spans="2:7" x14ac:dyDescent="0.3">
      <c r="B442" s="52">
        <v>385</v>
      </c>
      <c r="C442" s="33">
        <v>169.55290651541407</v>
      </c>
      <c r="D442" s="52">
        <v>385</v>
      </c>
      <c r="E442" s="33">
        <v>28.651275443834422</v>
      </c>
      <c r="F442" s="52">
        <v>385</v>
      </c>
      <c r="G442" s="104">
        <v>95.033577797295067</v>
      </c>
    </row>
    <row r="443" spans="2:7" x14ac:dyDescent="0.3">
      <c r="B443" s="52">
        <v>386</v>
      </c>
      <c r="C443" s="33">
        <v>111.07050777968736</v>
      </c>
      <c r="D443" s="52">
        <v>386</v>
      </c>
      <c r="E443" s="33">
        <v>43.67837552364783</v>
      </c>
      <c r="F443" s="52">
        <v>386</v>
      </c>
      <c r="G443" s="104">
        <v>297.03246492784103</v>
      </c>
    </row>
    <row r="444" spans="2:7" x14ac:dyDescent="0.3">
      <c r="B444" s="52">
        <v>387</v>
      </c>
      <c r="C444" s="33">
        <v>301.64485855176173</v>
      </c>
      <c r="D444" s="52">
        <v>387</v>
      </c>
      <c r="E444" s="33">
        <v>37.970754337394595</v>
      </c>
      <c r="F444" s="52">
        <v>387</v>
      </c>
      <c r="G444" s="104">
        <v>171.14282119300066</v>
      </c>
    </row>
    <row r="445" spans="2:7" x14ac:dyDescent="0.3">
      <c r="B445" s="52">
        <v>388</v>
      </c>
      <c r="C445" s="33">
        <v>275.21846748443204</v>
      </c>
      <c r="D445" s="52">
        <v>388</v>
      </c>
      <c r="E445" s="33">
        <v>12.39685309443017</v>
      </c>
      <c r="F445" s="52">
        <v>388</v>
      </c>
      <c r="G445" s="104">
        <v>175.69345977622623</v>
      </c>
    </row>
    <row r="446" spans="2:7" x14ac:dyDescent="0.3">
      <c r="B446" s="52">
        <v>389</v>
      </c>
      <c r="C446" s="33">
        <v>288.78381324261375</v>
      </c>
      <c r="D446" s="52">
        <v>389</v>
      </c>
      <c r="E446" s="33">
        <v>15.290075883428329</v>
      </c>
      <c r="F446" s="52">
        <v>389</v>
      </c>
      <c r="G446" s="104">
        <v>324.5782901421307</v>
      </c>
    </row>
    <row r="447" spans="2:7" x14ac:dyDescent="0.3">
      <c r="B447" s="52">
        <v>390</v>
      </c>
      <c r="C447" s="33">
        <v>190.57452903275518</v>
      </c>
      <c r="D447" s="52">
        <v>390</v>
      </c>
      <c r="E447" s="33">
        <v>61.41595596459986</v>
      </c>
      <c r="F447" s="52">
        <v>390</v>
      </c>
      <c r="G447" s="104">
        <v>179.83486130141125</v>
      </c>
    </row>
    <row r="448" spans="2:7" x14ac:dyDescent="0.3">
      <c r="B448" s="52">
        <v>391</v>
      </c>
      <c r="C448" s="33">
        <v>219.61949077063079</v>
      </c>
      <c r="D448" s="52">
        <v>391</v>
      </c>
      <c r="E448" s="33">
        <v>48.558038642799673</v>
      </c>
      <c r="F448" s="52">
        <v>391</v>
      </c>
      <c r="G448" s="104">
        <v>75.525456928939263</v>
      </c>
    </row>
    <row r="449" spans="2:7" x14ac:dyDescent="0.3">
      <c r="B449" s="52">
        <v>392</v>
      </c>
      <c r="C449" s="33">
        <v>278.35850914623916</v>
      </c>
      <c r="D449" s="52">
        <v>392</v>
      </c>
      <c r="E449" s="33">
        <v>60.743389935411507</v>
      </c>
      <c r="F449" s="52">
        <v>392</v>
      </c>
      <c r="G449" s="104">
        <v>135.99414064896516</v>
      </c>
    </row>
    <row r="450" spans="2:7" x14ac:dyDescent="0.3">
      <c r="B450" s="52">
        <v>393</v>
      </c>
      <c r="C450" s="33">
        <v>361.11634755502212</v>
      </c>
      <c r="D450" s="52">
        <v>393</v>
      </c>
      <c r="E450" s="33">
        <v>44.438966134814144</v>
      </c>
      <c r="F450" s="52">
        <v>393</v>
      </c>
      <c r="G450" s="104">
        <v>125.22681921088042</v>
      </c>
    </row>
    <row r="451" spans="2:7" x14ac:dyDescent="0.3">
      <c r="B451" s="52">
        <v>394</v>
      </c>
      <c r="C451" s="33">
        <v>388.31885259670833</v>
      </c>
      <c r="D451" s="52">
        <v>394</v>
      </c>
      <c r="E451" s="33">
        <v>29.857636210854135</v>
      </c>
      <c r="F451" s="52">
        <v>394</v>
      </c>
      <c r="G451" s="104">
        <v>324.40870613305128</v>
      </c>
    </row>
    <row r="452" spans="2:7" x14ac:dyDescent="0.3">
      <c r="B452" s="52">
        <v>395</v>
      </c>
      <c r="C452" s="33">
        <v>80.433877189471033</v>
      </c>
      <c r="D452" s="52">
        <v>395</v>
      </c>
      <c r="E452" s="33">
        <v>28.162383384155319</v>
      </c>
      <c r="F452" s="52">
        <v>395</v>
      </c>
      <c r="G452" s="104">
        <v>107.40782030295915</v>
      </c>
    </row>
    <row r="453" spans="2:7" x14ac:dyDescent="0.3">
      <c r="B453" s="52">
        <v>396</v>
      </c>
      <c r="C453" s="33">
        <v>248.03012667469474</v>
      </c>
      <c r="D453" s="52">
        <v>396</v>
      </c>
      <c r="E453" s="33">
        <v>13.161675560006103</v>
      </c>
      <c r="F453" s="52">
        <v>396</v>
      </c>
      <c r="G453" s="104">
        <v>281.99715045357908</v>
      </c>
    </row>
    <row r="454" spans="2:7" x14ac:dyDescent="0.3">
      <c r="B454" s="52">
        <v>397</v>
      </c>
      <c r="C454" s="33">
        <v>136.04335144792768</v>
      </c>
      <c r="D454" s="52">
        <v>397</v>
      </c>
      <c r="E454" s="33">
        <v>48.367167868175969</v>
      </c>
      <c r="F454" s="52">
        <v>397</v>
      </c>
      <c r="G454" s="104">
        <v>248.58493619042463</v>
      </c>
    </row>
    <row r="455" spans="2:7" x14ac:dyDescent="0.3">
      <c r="B455" s="52">
        <v>398</v>
      </c>
      <c r="C455" s="33">
        <v>170.18937701987946</v>
      </c>
      <c r="D455" s="52">
        <v>398</v>
      </c>
      <c r="E455" s="33">
        <v>44.713948907067795</v>
      </c>
      <c r="F455" s="52">
        <v>398</v>
      </c>
      <c r="G455" s="104">
        <v>306.7557115965617</v>
      </c>
    </row>
    <row r="456" spans="2:7" x14ac:dyDescent="0.3">
      <c r="B456" s="52">
        <v>399</v>
      </c>
      <c r="C456" s="33">
        <v>151.8948810584389</v>
      </c>
      <c r="D456" s="52">
        <v>399</v>
      </c>
      <c r="E456" s="33">
        <v>73.988563932001838</v>
      </c>
      <c r="F456" s="52">
        <v>399</v>
      </c>
      <c r="G456" s="104">
        <v>187.4545549463399</v>
      </c>
    </row>
    <row r="457" spans="2:7" x14ac:dyDescent="0.3">
      <c r="B457" s="52">
        <v>400</v>
      </c>
      <c r="C457" s="33">
        <v>123.6116504736536</v>
      </c>
      <c r="D457" s="52">
        <v>400</v>
      </c>
      <c r="E457" s="33">
        <v>16.124358099960094</v>
      </c>
      <c r="F457" s="52">
        <v>400</v>
      </c>
      <c r="G457" s="104">
        <v>336.3024921969635</v>
      </c>
    </row>
    <row r="458" spans="2:7" x14ac:dyDescent="0.3">
      <c r="B458" s="52">
        <v>401</v>
      </c>
      <c r="C458" s="33">
        <v>252.31828293112287</v>
      </c>
      <c r="D458" s="52">
        <v>401</v>
      </c>
      <c r="E458" s="33">
        <v>61.214179433772102</v>
      </c>
      <c r="F458" s="52">
        <v>401</v>
      </c>
      <c r="G458" s="104">
        <v>329.11828348220604</v>
      </c>
    </row>
    <row r="459" spans="2:7" x14ac:dyDescent="0.3">
      <c r="B459" s="52">
        <v>402</v>
      </c>
      <c r="C459" s="33">
        <v>265.21757686346746</v>
      </c>
      <c r="D459" s="52">
        <v>402</v>
      </c>
      <c r="E459" s="33">
        <v>4.1077477796360924</v>
      </c>
      <c r="F459" s="52">
        <v>402</v>
      </c>
      <c r="G459" s="104">
        <v>208.13420142510216</v>
      </c>
    </row>
    <row r="460" spans="2:7" x14ac:dyDescent="0.3">
      <c r="B460" s="52">
        <v>403</v>
      </c>
      <c r="C460" s="33">
        <v>198.93676341791976</v>
      </c>
      <c r="D460" s="52">
        <v>403</v>
      </c>
      <c r="E460" s="33">
        <v>44.175521397935476</v>
      </c>
      <c r="F460" s="52">
        <v>403</v>
      </c>
      <c r="G460" s="104">
        <v>237.3308360802061</v>
      </c>
    </row>
    <row r="461" spans="2:7" x14ac:dyDescent="0.3">
      <c r="B461" s="52">
        <v>404</v>
      </c>
      <c r="C461" s="33">
        <v>243.18200860490475</v>
      </c>
      <c r="D461" s="52">
        <v>404</v>
      </c>
      <c r="E461" s="33">
        <v>63.533473555188863</v>
      </c>
      <c r="F461" s="52">
        <v>404</v>
      </c>
      <c r="G461" s="104">
        <v>194.31026587272484</v>
      </c>
    </row>
    <row r="462" spans="2:7" x14ac:dyDescent="0.3">
      <c r="B462" s="52">
        <v>405</v>
      </c>
      <c r="C462" s="33">
        <v>165.01180419154073</v>
      </c>
      <c r="D462" s="52">
        <v>405</v>
      </c>
      <c r="E462" s="33">
        <v>44.848520368955747</v>
      </c>
      <c r="F462" s="52">
        <v>405</v>
      </c>
      <c r="G462" s="104">
        <v>172.99107845720673</v>
      </c>
    </row>
    <row r="463" spans="2:7" x14ac:dyDescent="0.3">
      <c r="B463" s="52">
        <v>406</v>
      </c>
      <c r="C463" s="33">
        <v>169.93400496204237</v>
      </c>
      <c r="D463" s="52">
        <v>406</v>
      </c>
      <c r="E463" s="33">
        <v>16.425541479809066</v>
      </c>
      <c r="F463" s="52">
        <v>406</v>
      </c>
      <c r="G463" s="104">
        <v>167.50174980970939</v>
      </c>
    </row>
    <row r="464" spans="2:7" x14ac:dyDescent="0.3">
      <c r="B464" s="52">
        <v>407</v>
      </c>
      <c r="C464" s="33">
        <v>345.39760260089577</v>
      </c>
      <c r="D464" s="52">
        <v>407</v>
      </c>
      <c r="E464" s="33">
        <v>43.73885174655156</v>
      </c>
      <c r="F464" s="52">
        <v>407</v>
      </c>
      <c r="G464" s="104">
        <v>273.31989811884932</v>
      </c>
    </row>
    <row r="465" spans="2:7" x14ac:dyDescent="0.3">
      <c r="B465" s="52">
        <v>408</v>
      </c>
      <c r="C465" s="33">
        <v>195.20630384333819</v>
      </c>
      <c r="D465" s="52">
        <v>408</v>
      </c>
      <c r="E465" s="33">
        <v>49.722099055425652</v>
      </c>
      <c r="F465" s="52">
        <v>408</v>
      </c>
      <c r="G465" s="104">
        <v>153.27021877888882</v>
      </c>
    </row>
    <row r="466" spans="2:7" x14ac:dyDescent="0.3">
      <c r="B466" s="52">
        <v>409</v>
      </c>
      <c r="C466" s="33">
        <v>192.81202023511091</v>
      </c>
      <c r="D466" s="52">
        <v>409</v>
      </c>
      <c r="E466" s="33">
        <v>-22.131890471701738</v>
      </c>
      <c r="F466" s="52">
        <v>409</v>
      </c>
      <c r="G466" s="104">
        <v>260.88229713068324</v>
      </c>
    </row>
    <row r="467" spans="2:7" x14ac:dyDescent="0.3">
      <c r="B467" s="52">
        <v>410</v>
      </c>
      <c r="C467" s="33">
        <v>170.23754455456861</v>
      </c>
      <c r="D467" s="52">
        <v>410</v>
      </c>
      <c r="E467" s="33">
        <v>38.948323211517902</v>
      </c>
      <c r="F467" s="52">
        <v>410</v>
      </c>
      <c r="G467" s="104">
        <v>207.85151750675712</v>
      </c>
    </row>
    <row r="468" spans="2:7" x14ac:dyDescent="0.3">
      <c r="B468" s="52">
        <v>411</v>
      </c>
      <c r="C468" s="33">
        <v>144.27603162611371</v>
      </c>
      <c r="D468" s="52">
        <v>411</v>
      </c>
      <c r="E468" s="33">
        <v>78.471100472488729</v>
      </c>
      <c r="F468" s="52">
        <v>411</v>
      </c>
      <c r="G468" s="104">
        <v>108.60799223013566</v>
      </c>
    </row>
    <row r="469" spans="2:7" x14ac:dyDescent="0.3">
      <c r="B469" s="52">
        <v>412</v>
      </c>
      <c r="C469" s="33">
        <v>202.76566257036131</v>
      </c>
      <c r="D469" s="52">
        <v>412</v>
      </c>
      <c r="E469" s="33">
        <v>9.4629058626472116</v>
      </c>
      <c r="F469" s="52">
        <v>412</v>
      </c>
      <c r="G469" s="104">
        <v>-55.210195916995929</v>
      </c>
    </row>
    <row r="470" spans="2:7" x14ac:dyDescent="0.3">
      <c r="B470" s="52">
        <v>413</v>
      </c>
      <c r="C470" s="33">
        <v>89.035014826623694</v>
      </c>
      <c r="D470" s="52">
        <v>413</v>
      </c>
      <c r="E470" s="33">
        <v>82.729530607821104</v>
      </c>
      <c r="F470" s="52">
        <v>413</v>
      </c>
      <c r="G470" s="104">
        <v>184.63688997847032</v>
      </c>
    </row>
    <row r="471" spans="2:7" x14ac:dyDescent="0.3">
      <c r="B471" s="52">
        <v>414</v>
      </c>
      <c r="C471" s="33">
        <v>189.54786760635142</v>
      </c>
      <c r="D471" s="52">
        <v>414</v>
      </c>
      <c r="E471" s="33">
        <v>30.828507877217007</v>
      </c>
      <c r="F471" s="52">
        <v>414</v>
      </c>
      <c r="G471" s="104">
        <v>255.02785434591928</v>
      </c>
    </row>
    <row r="472" spans="2:7" x14ac:dyDescent="0.3">
      <c r="B472" s="52">
        <v>415</v>
      </c>
      <c r="C472" s="33">
        <v>300.89792727522882</v>
      </c>
      <c r="D472" s="52">
        <v>415</v>
      </c>
      <c r="E472" s="33">
        <v>59.635451456706207</v>
      </c>
      <c r="F472" s="52">
        <v>415</v>
      </c>
      <c r="G472" s="104">
        <v>280.73659758633096</v>
      </c>
    </row>
    <row r="473" spans="2:7" x14ac:dyDescent="0.3">
      <c r="B473" s="52">
        <v>416</v>
      </c>
      <c r="C473" s="33">
        <v>168.14400731154188</v>
      </c>
      <c r="D473" s="52">
        <v>416</v>
      </c>
      <c r="E473" s="33">
        <v>86.851413789191938</v>
      </c>
      <c r="F473" s="52">
        <v>416</v>
      </c>
      <c r="G473" s="104">
        <v>274.30885352197447</v>
      </c>
    </row>
    <row r="474" spans="2:7" x14ac:dyDescent="0.3">
      <c r="B474" s="52">
        <v>417</v>
      </c>
      <c r="C474" s="33">
        <v>22.03045472528828</v>
      </c>
      <c r="D474" s="52">
        <v>417</v>
      </c>
      <c r="E474" s="33">
        <v>18.886429793288634</v>
      </c>
      <c r="F474" s="52">
        <v>417</v>
      </c>
      <c r="G474" s="104">
        <v>268.71405285669795</v>
      </c>
    </row>
    <row r="475" spans="2:7" x14ac:dyDescent="0.3">
      <c r="B475" s="52">
        <v>418</v>
      </c>
      <c r="C475" s="33">
        <v>101.49470808948837</v>
      </c>
      <c r="D475" s="52">
        <v>418</v>
      </c>
      <c r="E475" s="33">
        <v>-34.750854037272362</v>
      </c>
      <c r="F475" s="52">
        <v>418</v>
      </c>
      <c r="G475" s="104">
        <v>147.90797170763989</v>
      </c>
    </row>
    <row r="476" spans="2:7" x14ac:dyDescent="0.3">
      <c r="B476" s="52">
        <v>419</v>
      </c>
      <c r="C476" s="33">
        <v>205.51886019018497</v>
      </c>
      <c r="D476" s="52">
        <v>419</v>
      </c>
      <c r="E476" s="33">
        <v>33.06889115601664</v>
      </c>
      <c r="F476" s="52">
        <v>419</v>
      </c>
      <c r="G476" s="104">
        <v>305.15383641767625</v>
      </c>
    </row>
    <row r="477" spans="2:7" x14ac:dyDescent="0.3">
      <c r="B477" s="52">
        <v>420</v>
      </c>
      <c r="C477" s="33">
        <v>216.28860232988893</v>
      </c>
      <c r="D477" s="52">
        <v>420</v>
      </c>
      <c r="E477" s="33">
        <v>30.519109942722391</v>
      </c>
      <c r="F477" s="52">
        <v>420</v>
      </c>
      <c r="G477" s="104">
        <v>183.7227076780548</v>
      </c>
    </row>
    <row r="478" spans="2:7" x14ac:dyDescent="0.3">
      <c r="B478" s="52">
        <v>421</v>
      </c>
      <c r="C478" s="33">
        <v>397.95449936774958</v>
      </c>
      <c r="D478" s="52">
        <v>421</v>
      </c>
      <c r="E478" s="33">
        <v>53.2025216445344</v>
      </c>
      <c r="F478" s="52">
        <v>421</v>
      </c>
      <c r="G478" s="104">
        <v>366.10045490703402</v>
      </c>
    </row>
    <row r="479" spans="2:7" x14ac:dyDescent="0.3">
      <c r="B479" s="52">
        <v>422</v>
      </c>
      <c r="C479" s="33">
        <v>208.97038203225284</v>
      </c>
      <c r="D479" s="52">
        <v>422</v>
      </c>
      <c r="E479" s="33">
        <v>50.00056256843687</v>
      </c>
      <c r="F479" s="52">
        <v>422</v>
      </c>
      <c r="G479" s="104">
        <v>188.01322810171283</v>
      </c>
    </row>
    <row r="480" spans="2:7" x14ac:dyDescent="0.3">
      <c r="B480" s="52">
        <v>423</v>
      </c>
      <c r="C480" s="33">
        <v>261.03817893554822</v>
      </c>
      <c r="D480" s="52">
        <v>423</v>
      </c>
      <c r="E480" s="33">
        <v>13.100521038595879</v>
      </c>
      <c r="F480" s="52">
        <v>423</v>
      </c>
      <c r="G480" s="104">
        <v>36.912362267615805</v>
      </c>
    </row>
    <row r="481" spans="2:7" x14ac:dyDescent="0.3">
      <c r="B481" s="52">
        <v>424</v>
      </c>
      <c r="C481" s="33">
        <v>64.750384361067574</v>
      </c>
      <c r="D481" s="52">
        <v>424</v>
      </c>
      <c r="E481" s="33">
        <v>23.010483263981907</v>
      </c>
      <c r="F481" s="52">
        <v>424</v>
      </c>
      <c r="G481" s="104">
        <v>91.66050849569325</v>
      </c>
    </row>
    <row r="482" spans="2:7" x14ac:dyDescent="0.3">
      <c r="B482" s="52">
        <v>425</v>
      </c>
      <c r="C482" s="33">
        <v>184.62561293220551</v>
      </c>
      <c r="D482" s="52">
        <v>425</v>
      </c>
      <c r="E482" s="33">
        <v>56.935756517909468</v>
      </c>
      <c r="F482" s="52">
        <v>425</v>
      </c>
      <c r="G482" s="104">
        <v>80.467602893475714</v>
      </c>
    </row>
    <row r="483" spans="2:7" x14ac:dyDescent="0.3">
      <c r="B483" s="52">
        <v>426</v>
      </c>
      <c r="C483" s="33">
        <v>226.05528473732448</v>
      </c>
      <c r="D483" s="52">
        <v>426</v>
      </c>
      <c r="E483" s="33">
        <v>32.430970209895996</v>
      </c>
      <c r="F483" s="52">
        <v>426</v>
      </c>
      <c r="G483" s="104">
        <v>270.04805072811928</v>
      </c>
    </row>
    <row r="484" spans="2:7" x14ac:dyDescent="0.3">
      <c r="B484" s="52">
        <v>427</v>
      </c>
      <c r="C484" s="33">
        <v>207.71143911302539</v>
      </c>
      <c r="D484" s="52">
        <v>427</v>
      </c>
      <c r="E484" s="33">
        <v>50.962536784375153</v>
      </c>
      <c r="F484" s="52">
        <v>427</v>
      </c>
      <c r="G484" s="104">
        <v>308.72274913944864</v>
      </c>
    </row>
    <row r="485" spans="2:7" x14ac:dyDescent="0.3">
      <c r="B485" s="52">
        <v>428</v>
      </c>
      <c r="C485" s="33">
        <v>150.06059784681912</v>
      </c>
      <c r="D485" s="52">
        <v>428</v>
      </c>
      <c r="E485" s="33">
        <v>76.500662302151753</v>
      </c>
      <c r="F485" s="52">
        <v>428</v>
      </c>
      <c r="G485" s="104">
        <v>209.24682455356307</v>
      </c>
    </row>
    <row r="486" spans="2:7" x14ac:dyDescent="0.3">
      <c r="B486" s="52">
        <v>429</v>
      </c>
      <c r="C486" s="33">
        <v>191.57462555377674</v>
      </c>
      <c r="D486" s="52">
        <v>429</v>
      </c>
      <c r="E486" s="33">
        <v>57.403959873276392</v>
      </c>
      <c r="F486" s="52">
        <v>429</v>
      </c>
      <c r="G486" s="104">
        <v>36.163974481950049</v>
      </c>
    </row>
    <row r="487" spans="2:7" x14ac:dyDescent="0.3">
      <c r="B487" s="52">
        <v>430</v>
      </c>
      <c r="C487" s="33">
        <v>354.79269176483331</v>
      </c>
      <c r="D487" s="52">
        <v>430</v>
      </c>
      <c r="E487" s="33">
        <v>-4.7300588798902865</v>
      </c>
      <c r="F487" s="52">
        <v>430</v>
      </c>
      <c r="G487" s="104">
        <v>286.13700199218732</v>
      </c>
    </row>
    <row r="488" spans="2:7" x14ac:dyDescent="0.3">
      <c r="B488" s="52">
        <v>431</v>
      </c>
      <c r="C488" s="33">
        <v>160.61498894747484</v>
      </c>
      <c r="D488" s="52">
        <v>431</v>
      </c>
      <c r="E488" s="33">
        <v>65.096521031208653</v>
      </c>
      <c r="F488" s="52">
        <v>431</v>
      </c>
      <c r="G488" s="104">
        <v>232.65394020208075</v>
      </c>
    </row>
    <row r="489" spans="2:7" x14ac:dyDescent="0.3">
      <c r="B489" s="52">
        <v>432</v>
      </c>
      <c r="C489" s="33">
        <v>35.064965860192302</v>
      </c>
      <c r="D489" s="52">
        <v>432</v>
      </c>
      <c r="E489" s="33">
        <v>64.434185506008077</v>
      </c>
      <c r="F489" s="52">
        <v>432</v>
      </c>
      <c r="G489" s="104">
        <v>72.903435428950445</v>
      </c>
    </row>
    <row r="490" spans="2:7" x14ac:dyDescent="0.3">
      <c r="B490" s="52">
        <v>433</v>
      </c>
      <c r="C490" s="33">
        <v>248.1875752688772</v>
      </c>
      <c r="D490" s="52">
        <v>433</v>
      </c>
      <c r="E490" s="33">
        <v>92.694998706433765</v>
      </c>
      <c r="F490" s="52">
        <v>433</v>
      </c>
      <c r="G490" s="104">
        <v>310.33636512475681</v>
      </c>
    </row>
    <row r="491" spans="2:7" x14ac:dyDescent="0.3">
      <c r="B491" s="52">
        <v>434</v>
      </c>
      <c r="C491" s="33">
        <v>119.15334149006615</v>
      </c>
      <c r="D491" s="52">
        <v>434</v>
      </c>
      <c r="E491" s="33">
        <v>26.051600300359443</v>
      </c>
      <c r="F491" s="52">
        <v>434</v>
      </c>
      <c r="G491" s="104">
        <v>256.67483998450172</v>
      </c>
    </row>
    <row r="492" spans="2:7" x14ac:dyDescent="0.3">
      <c r="B492" s="52">
        <v>435</v>
      </c>
      <c r="C492" s="33">
        <v>272.69787214597994</v>
      </c>
      <c r="D492" s="52">
        <v>435</v>
      </c>
      <c r="E492" s="33">
        <v>-6.3660829524329827</v>
      </c>
      <c r="F492" s="52">
        <v>435</v>
      </c>
      <c r="G492" s="104">
        <v>256.05823845237376</v>
      </c>
    </row>
    <row r="493" spans="2:7" x14ac:dyDescent="0.3">
      <c r="B493" s="52">
        <v>436</v>
      </c>
      <c r="C493" s="33">
        <v>439.73370330865725</v>
      </c>
      <c r="D493" s="52">
        <v>436</v>
      </c>
      <c r="E493" s="33">
        <v>91.951272480751314</v>
      </c>
      <c r="F493" s="52">
        <v>436</v>
      </c>
      <c r="G493" s="104">
        <v>125.55883022322008</v>
      </c>
    </row>
    <row r="494" spans="2:7" x14ac:dyDescent="0.3">
      <c r="B494" s="52">
        <v>437</v>
      </c>
      <c r="C494" s="33">
        <v>347.57354581374784</v>
      </c>
      <c r="D494" s="52">
        <v>437</v>
      </c>
      <c r="E494" s="33">
        <v>44.403096918023536</v>
      </c>
      <c r="F494" s="52">
        <v>437</v>
      </c>
      <c r="G494" s="104">
        <v>172.54378050671738</v>
      </c>
    </row>
    <row r="495" spans="2:7" x14ac:dyDescent="0.3">
      <c r="B495" s="52">
        <v>438</v>
      </c>
      <c r="C495" s="33">
        <v>142.73981709448336</v>
      </c>
      <c r="D495" s="52">
        <v>438</v>
      </c>
      <c r="E495" s="33">
        <v>28.79610801597984</v>
      </c>
      <c r="F495" s="52">
        <v>438</v>
      </c>
      <c r="G495" s="104">
        <v>228.75422539964302</v>
      </c>
    </row>
    <row r="496" spans="2:7" x14ac:dyDescent="0.3">
      <c r="B496" s="52">
        <v>439</v>
      </c>
      <c r="C496" s="33">
        <v>228.240668767442</v>
      </c>
      <c r="D496" s="52">
        <v>439</v>
      </c>
      <c r="E496" s="33">
        <v>26.004153298628168</v>
      </c>
      <c r="F496" s="52">
        <v>439</v>
      </c>
      <c r="G496" s="104">
        <v>165.10386404766172</v>
      </c>
    </row>
    <row r="497" spans="2:7" x14ac:dyDescent="0.3">
      <c r="B497" s="52">
        <v>440</v>
      </c>
      <c r="C497" s="33">
        <v>263.15904732469403</v>
      </c>
      <c r="D497" s="52">
        <v>440</v>
      </c>
      <c r="E497" s="33">
        <v>18.435207982029652</v>
      </c>
      <c r="F497" s="52">
        <v>440</v>
      </c>
      <c r="G497" s="104">
        <v>360.47114843419246</v>
      </c>
    </row>
    <row r="498" spans="2:7" x14ac:dyDescent="0.3">
      <c r="B498" s="52">
        <v>441</v>
      </c>
      <c r="C498" s="33">
        <v>177.34701616494772</v>
      </c>
      <c r="D498" s="52">
        <v>441</v>
      </c>
      <c r="E498" s="33">
        <v>87.803950311660557</v>
      </c>
      <c r="F498" s="52">
        <v>441</v>
      </c>
      <c r="G498" s="104">
        <v>124.29943711475997</v>
      </c>
    </row>
    <row r="499" spans="2:7" x14ac:dyDescent="0.3">
      <c r="B499" s="52">
        <v>442</v>
      </c>
      <c r="C499" s="33">
        <v>202.69328738098869</v>
      </c>
      <c r="D499" s="52">
        <v>442</v>
      </c>
      <c r="E499" s="33">
        <v>17.958814326327282</v>
      </c>
      <c r="F499" s="52">
        <v>442</v>
      </c>
      <c r="G499" s="104">
        <v>173.94462768101118</v>
      </c>
    </row>
    <row r="500" spans="2:7" x14ac:dyDescent="0.3">
      <c r="B500" s="52">
        <v>443</v>
      </c>
      <c r="C500" s="33">
        <v>232.68907108138296</v>
      </c>
      <c r="D500" s="52">
        <v>443</v>
      </c>
      <c r="E500" s="33">
        <v>16.028106847264091</v>
      </c>
      <c r="F500" s="52">
        <v>443</v>
      </c>
      <c r="G500" s="104">
        <v>198.38293659780601</v>
      </c>
    </row>
    <row r="501" spans="2:7" x14ac:dyDescent="0.3">
      <c r="B501" s="52">
        <v>444</v>
      </c>
      <c r="C501" s="33">
        <v>242.62507098100224</v>
      </c>
      <c r="D501" s="52">
        <v>444</v>
      </c>
      <c r="E501" s="33">
        <v>-6.7505344445888582</v>
      </c>
      <c r="F501" s="52">
        <v>444</v>
      </c>
      <c r="G501" s="104">
        <v>235.17636274822024</v>
      </c>
    </row>
    <row r="502" spans="2:7" x14ac:dyDescent="0.3">
      <c r="B502" s="52">
        <v>445</v>
      </c>
      <c r="C502" s="33">
        <v>230.49496353825805</v>
      </c>
      <c r="D502" s="52">
        <v>445</v>
      </c>
      <c r="E502" s="33">
        <v>66.021888379645048</v>
      </c>
      <c r="F502" s="52">
        <v>445</v>
      </c>
      <c r="G502" s="104">
        <v>160.86410194184953</v>
      </c>
    </row>
    <row r="503" spans="2:7" x14ac:dyDescent="0.3">
      <c r="B503" s="52">
        <v>446</v>
      </c>
      <c r="C503" s="33">
        <v>54.037370829523027</v>
      </c>
      <c r="D503" s="52">
        <v>446</v>
      </c>
      <c r="E503" s="33">
        <v>61.234031609594965</v>
      </c>
      <c r="F503" s="52">
        <v>446</v>
      </c>
      <c r="G503" s="104">
        <v>211.17683329224542</v>
      </c>
    </row>
    <row r="504" spans="2:7" x14ac:dyDescent="0.3">
      <c r="B504" s="52">
        <v>447</v>
      </c>
      <c r="C504" s="33">
        <v>380.86568326873714</v>
      </c>
      <c r="D504" s="52">
        <v>447</v>
      </c>
      <c r="E504" s="33">
        <v>56.860658904369835</v>
      </c>
      <c r="F504" s="52">
        <v>447</v>
      </c>
      <c r="G504" s="104">
        <v>193.40722012549958</v>
      </c>
    </row>
    <row r="505" spans="2:7" x14ac:dyDescent="0.3">
      <c r="B505" s="52">
        <v>448</v>
      </c>
      <c r="C505" s="33">
        <v>265.27547629236392</v>
      </c>
      <c r="D505" s="52">
        <v>448</v>
      </c>
      <c r="E505" s="33">
        <v>45.214239131919292</v>
      </c>
      <c r="F505" s="52">
        <v>448</v>
      </c>
      <c r="G505" s="104">
        <v>336.52151002043001</v>
      </c>
    </row>
    <row r="506" spans="2:7" x14ac:dyDescent="0.3">
      <c r="B506" s="52">
        <v>449</v>
      </c>
      <c r="C506" s="33">
        <v>212.86480142985582</v>
      </c>
      <c r="D506" s="52">
        <v>449</v>
      </c>
      <c r="E506" s="33">
        <v>111.89318174992616</v>
      </c>
      <c r="F506" s="52">
        <v>449</v>
      </c>
      <c r="G506" s="104">
        <v>301.9352760480067</v>
      </c>
    </row>
    <row r="507" spans="2:7" x14ac:dyDescent="0.3">
      <c r="B507" s="52">
        <v>450</v>
      </c>
      <c r="C507" s="33">
        <v>42.945770917194096</v>
      </c>
      <c r="D507" s="52">
        <v>450</v>
      </c>
      <c r="E507" s="33">
        <v>25.369322491880883</v>
      </c>
      <c r="F507" s="52">
        <v>450</v>
      </c>
      <c r="G507" s="104">
        <v>118.80924040422173</v>
      </c>
    </row>
    <row r="508" spans="2:7" x14ac:dyDescent="0.3">
      <c r="B508" s="52">
        <v>451</v>
      </c>
      <c r="C508" s="33">
        <v>153.52832948139712</v>
      </c>
      <c r="D508" s="52">
        <v>451</v>
      </c>
      <c r="E508" s="33">
        <v>-2.2020035544348744</v>
      </c>
      <c r="F508" s="52">
        <v>451</v>
      </c>
      <c r="G508" s="104">
        <v>351.43896372046709</v>
      </c>
    </row>
    <row r="509" spans="2:7" x14ac:dyDescent="0.3">
      <c r="B509" s="52">
        <v>452</v>
      </c>
      <c r="C509" s="33">
        <v>231.94453250628189</v>
      </c>
      <c r="D509" s="52">
        <v>452</v>
      </c>
      <c r="E509" s="33">
        <v>-26.317658739121857</v>
      </c>
      <c r="F509" s="52">
        <v>452</v>
      </c>
      <c r="G509" s="104">
        <v>168.41132038184762</v>
      </c>
    </row>
    <row r="510" spans="2:7" x14ac:dyDescent="0.3">
      <c r="B510" s="52">
        <v>453</v>
      </c>
      <c r="C510" s="33">
        <v>129.39332585222363</v>
      </c>
      <c r="D510" s="52">
        <v>453</v>
      </c>
      <c r="E510" s="33">
        <v>7.8245687344296897</v>
      </c>
      <c r="F510" s="52">
        <v>453</v>
      </c>
      <c r="G510" s="104">
        <v>239.52449614990525</v>
      </c>
    </row>
    <row r="511" spans="2:7" x14ac:dyDescent="0.3">
      <c r="B511" s="52">
        <v>454</v>
      </c>
      <c r="C511" s="33">
        <v>195.76659781546027</v>
      </c>
      <c r="D511" s="52">
        <v>454</v>
      </c>
      <c r="E511" s="33">
        <v>49.759270866451658</v>
      </c>
      <c r="F511" s="52">
        <v>454</v>
      </c>
      <c r="G511" s="104">
        <v>68.160076993278636</v>
      </c>
    </row>
    <row r="512" spans="2:7" x14ac:dyDescent="0.3">
      <c r="B512" s="52">
        <v>455</v>
      </c>
      <c r="C512" s="33">
        <v>215.89386125324631</v>
      </c>
      <c r="D512" s="52">
        <v>455</v>
      </c>
      <c r="E512" s="33">
        <v>28.071705744106133</v>
      </c>
      <c r="F512" s="52">
        <v>455</v>
      </c>
      <c r="G512" s="104">
        <v>248.53079872835758</v>
      </c>
    </row>
    <row r="513" spans="2:7" x14ac:dyDescent="0.3">
      <c r="B513" s="52">
        <v>456</v>
      </c>
      <c r="C513" s="33">
        <v>124.09433351371059</v>
      </c>
      <c r="D513" s="52">
        <v>456</v>
      </c>
      <c r="E513" s="33">
        <v>-43.408159836121712</v>
      </c>
      <c r="F513" s="52">
        <v>456</v>
      </c>
      <c r="G513" s="104">
        <v>249.74513690173703</v>
      </c>
    </row>
    <row r="514" spans="2:7" x14ac:dyDescent="0.3">
      <c r="B514" s="52">
        <v>457</v>
      </c>
      <c r="C514" s="33">
        <v>320.03739500705876</v>
      </c>
      <c r="D514" s="52">
        <v>457</v>
      </c>
      <c r="E514" s="33">
        <v>33.065595901685491</v>
      </c>
      <c r="F514" s="52">
        <v>457</v>
      </c>
      <c r="G514" s="104">
        <v>192.91108548041552</v>
      </c>
    </row>
    <row r="515" spans="2:7" x14ac:dyDescent="0.3">
      <c r="B515" s="52">
        <v>458</v>
      </c>
      <c r="C515" s="33">
        <v>249.76772844831538</v>
      </c>
      <c r="D515" s="52">
        <v>458</v>
      </c>
      <c r="E515" s="33">
        <v>18.59904802222669</v>
      </c>
      <c r="F515" s="52">
        <v>458</v>
      </c>
      <c r="G515" s="104">
        <v>118.11335479170579</v>
      </c>
    </row>
    <row r="516" spans="2:7" x14ac:dyDescent="0.3">
      <c r="B516" s="52">
        <v>459</v>
      </c>
      <c r="C516" s="33">
        <v>302.14673679282339</v>
      </c>
      <c r="D516" s="52">
        <v>459</v>
      </c>
      <c r="E516" s="33">
        <v>54.857389074503907</v>
      </c>
      <c r="F516" s="52">
        <v>459</v>
      </c>
      <c r="G516" s="104">
        <v>218.16201273983981</v>
      </c>
    </row>
    <row r="517" spans="2:7" x14ac:dyDescent="0.3">
      <c r="B517" s="52">
        <v>460</v>
      </c>
      <c r="C517" s="33">
        <v>165.97617573141019</v>
      </c>
      <c r="D517" s="52">
        <v>460</v>
      </c>
      <c r="E517" s="33">
        <v>20.385595677989127</v>
      </c>
      <c r="F517" s="52">
        <v>460</v>
      </c>
      <c r="G517" s="104">
        <v>289.99946779214838</v>
      </c>
    </row>
    <row r="518" spans="2:7" x14ac:dyDescent="0.3">
      <c r="B518" s="52">
        <v>461</v>
      </c>
      <c r="C518" s="33">
        <v>181.69464556159579</v>
      </c>
      <c r="D518" s="52">
        <v>461</v>
      </c>
      <c r="E518" s="33">
        <v>40.779607803590842</v>
      </c>
      <c r="F518" s="52">
        <v>461</v>
      </c>
      <c r="G518" s="104">
        <v>349.86192871593857</v>
      </c>
    </row>
    <row r="519" spans="2:7" x14ac:dyDescent="0.3">
      <c r="B519" s="52">
        <v>462</v>
      </c>
      <c r="C519" s="33">
        <v>240.54310592553347</v>
      </c>
      <c r="D519" s="52">
        <v>462</v>
      </c>
      <c r="E519" s="33">
        <v>41.057571823287553</v>
      </c>
      <c r="F519" s="52">
        <v>462</v>
      </c>
      <c r="G519" s="104">
        <v>192.91592787246668</v>
      </c>
    </row>
    <row r="520" spans="2:7" x14ac:dyDescent="0.3">
      <c r="B520" s="52">
        <v>463</v>
      </c>
      <c r="C520" s="33">
        <v>92.072677834750323</v>
      </c>
      <c r="D520" s="52">
        <v>463</v>
      </c>
      <c r="E520" s="33">
        <v>44.223003722099946</v>
      </c>
      <c r="F520" s="52">
        <v>463</v>
      </c>
      <c r="G520" s="104">
        <v>103.01625362445034</v>
      </c>
    </row>
    <row r="521" spans="2:7" x14ac:dyDescent="0.3">
      <c r="B521" s="52">
        <v>464</v>
      </c>
      <c r="C521" s="33">
        <v>118.82491433228257</v>
      </c>
      <c r="D521" s="52">
        <v>464</v>
      </c>
      <c r="E521" s="33">
        <v>-7.9279927371671306</v>
      </c>
      <c r="F521" s="52">
        <v>464</v>
      </c>
      <c r="G521" s="104">
        <v>169.04885280021153</v>
      </c>
    </row>
    <row r="522" spans="2:7" x14ac:dyDescent="0.3">
      <c r="B522" s="52">
        <v>465</v>
      </c>
      <c r="C522" s="33">
        <v>385.29847768045329</v>
      </c>
      <c r="D522" s="52">
        <v>465</v>
      </c>
      <c r="E522" s="33">
        <v>23.229130287642917</v>
      </c>
      <c r="F522" s="52">
        <v>465</v>
      </c>
      <c r="G522" s="104">
        <v>257.44111763829619</v>
      </c>
    </row>
    <row r="523" spans="2:7" x14ac:dyDescent="0.3">
      <c r="B523" s="52">
        <v>466</v>
      </c>
      <c r="C523" s="33">
        <v>95.131976572093322</v>
      </c>
      <c r="D523" s="52">
        <v>466</v>
      </c>
      <c r="E523" s="33">
        <v>45.077388329933264</v>
      </c>
      <c r="F523" s="52">
        <v>466</v>
      </c>
      <c r="G523" s="104">
        <v>140.48728214817379</v>
      </c>
    </row>
    <row r="524" spans="2:7" x14ac:dyDescent="0.3">
      <c r="B524" s="52">
        <v>467</v>
      </c>
      <c r="C524" s="33">
        <v>98.695818685268534</v>
      </c>
      <c r="D524" s="52">
        <v>467</v>
      </c>
      <c r="E524" s="33">
        <v>54.819344197334665</v>
      </c>
      <c r="F524" s="52">
        <v>467</v>
      </c>
      <c r="G524" s="104">
        <v>91.201922960823509</v>
      </c>
    </row>
    <row r="525" spans="2:7" x14ac:dyDescent="0.3">
      <c r="B525" s="52">
        <v>468</v>
      </c>
      <c r="C525" s="33">
        <v>146.39174480441326</v>
      </c>
      <c r="D525" s="52">
        <v>468</v>
      </c>
      <c r="E525" s="33">
        <v>26.667124600897772</v>
      </c>
      <c r="F525" s="52">
        <v>468</v>
      </c>
      <c r="G525" s="104">
        <v>182.31686402906513</v>
      </c>
    </row>
    <row r="526" spans="2:7" x14ac:dyDescent="0.3">
      <c r="B526" s="52">
        <v>469</v>
      </c>
      <c r="C526" s="33">
        <v>277.09683923657775</v>
      </c>
      <c r="D526" s="52">
        <v>469</v>
      </c>
      <c r="E526" s="33">
        <v>85.656262548007618</v>
      </c>
      <c r="F526" s="52">
        <v>469</v>
      </c>
      <c r="G526" s="104">
        <v>317.32611179288813</v>
      </c>
    </row>
    <row r="527" spans="2:7" x14ac:dyDescent="0.3">
      <c r="B527" s="52">
        <v>470</v>
      </c>
      <c r="C527" s="33">
        <v>429.98555500878473</v>
      </c>
      <c r="D527" s="52">
        <v>470</v>
      </c>
      <c r="E527" s="33">
        <v>30.736219139037782</v>
      </c>
      <c r="F527" s="52">
        <v>470</v>
      </c>
      <c r="G527" s="104">
        <v>122.16622650775773</v>
      </c>
    </row>
    <row r="528" spans="2:7" x14ac:dyDescent="0.3">
      <c r="B528" s="52">
        <v>471</v>
      </c>
      <c r="C528" s="33">
        <v>227.99428985274969</v>
      </c>
      <c r="D528" s="52">
        <v>471</v>
      </c>
      <c r="E528" s="33">
        <v>37.241422289237683</v>
      </c>
      <c r="F528" s="52">
        <v>471</v>
      </c>
      <c r="G528" s="104">
        <v>217.71270074864697</v>
      </c>
    </row>
    <row r="529" spans="2:7" x14ac:dyDescent="0.3">
      <c r="B529" s="52">
        <v>472</v>
      </c>
      <c r="C529" s="33">
        <v>246.68349123298538</v>
      </c>
      <c r="D529" s="52">
        <v>472</v>
      </c>
      <c r="E529" s="33">
        <v>76.125371667788869</v>
      </c>
      <c r="F529" s="52">
        <v>472</v>
      </c>
      <c r="G529" s="104">
        <v>421.17693249916078</v>
      </c>
    </row>
    <row r="530" spans="2:7" x14ac:dyDescent="0.3">
      <c r="B530" s="52">
        <v>473</v>
      </c>
      <c r="C530" s="33">
        <v>288.13830850160946</v>
      </c>
      <c r="D530" s="52">
        <v>473</v>
      </c>
      <c r="E530" s="33">
        <v>53.842320923911728</v>
      </c>
      <c r="F530" s="52">
        <v>473</v>
      </c>
      <c r="G530" s="104">
        <v>163.22194206841203</v>
      </c>
    </row>
    <row r="531" spans="2:7" x14ac:dyDescent="0.3">
      <c r="B531" s="52">
        <v>474</v>
      </c>
      <c r="C531" s="33">
        <v>226.90764917909701</v>
      </c>
      <c r="D531" s="52">
        <v>474</v>
      </c>
      <c r="E531" s="33">
        <v>16.527210873223424</v>
      </c>
      <c r="F531" s="52">
        <v>474</v>
      </c>
      <c r="G531" s="104">
        <v>-37.010807927917881</v>
      </c>
    </row>
    <row r="532" spans="2:7" x14ac:dyDescent="0.3">
      <c r="B532" s="52">
        <v>475</v>
      </c>
      <c r="C532" s="33">
        <v>222.27225456483453</v>
      </c>
      <c r="D532" s="52">
        <v>475</v>
      </c>
      <c r="E532" s="33">
        <v>21.819206350768454</v>
      </c>
      <c r="F532" s="52">
        <v>475</v>
      </c>
      <c r="G532" s="104">
        <v>245.35146365691361</v>
      </c>
    </row>
    <row r="533" spans="2:7" x14ac:dyDescent="0.3">
      <c r="B533" s="52">
        <v>476</v>
      </c>
      <c r="C533" s="33">
        <v>269.95399155059744</v>
      </c>
      <c r="D533" s="52">
        <v>476</v>
      </c>
      <c r="E533" s="33">
        <v>-16.959098074323329</v>
      </c>
      <c r="F533" s="52">
        <v>476</v>
      </c>
      <c r="G533" s="104">
        <v>102.08201676970214</v>
      </c>
    </row>
    <row r="534" spans="2:7" x14ac:dyDescent="0.3">
      <c r="B534" s="52">
        <v>477</v>
      </c>
      <c r="C534" s="33">
        <v>229.98477505632451</v>
      </c>
      <c r="D534" s="52">
        <v>477</v>
      </c>
      <c r="E534" s="33">
        <v>9.7705704841972434</v>
      </c>
      <c r="F534" s="52">
        <v>477</v>
      </c>
      <c r="G534" s="104">
        <v>267.5292589907815</v>
      </c>
    </row>
    <row r="535" spans="2:7" x14ac:dyDescent="0.3">
      <c r="B535" s="52">
        <v>478</v>
      </c>
      <c r="C535" s="33">
        <v>317.17248395633698</v>
      </c>
      <c r="D535" s="52">
        <v>478</v>
      </c>
      <c r="E535" s="33">
        <v>49.245384354567904</v>
      </c>
      <c r="F535" s="52">
        <v>478</v>
      </c>
      <c r="G535" s="104">
        <v>300.03536497359619</v>
      </c>
    </row>
    <row r="536" spans="2:7" x14ac:dyDescent="0.3">
      <c r="B536" s="52">
        <v>479</v>
      </c>
      <c r="C536" s="33">
        <v>210.66755172040308</v>
      </c>
      <c r="D536" s="52">
        <v>479</v>
      </c>
      <c r="E536" s="33">
        <v>39.940692475743759</v>
      </c>
      <c r="F536" s="52">
        <v>479</v>
      </c>
      <c r="G536" s="104">
        <v>253.23121791946016</v>
      </c>
    </row>
    <row r="537" spans="2:7" x14ac:dyDescent="0.3">
      <c r="B537" s="52">
        <v>480</v>
      </c>
      <c r="C537" s="33">
        <v>220.30666472285358</v>
      </c>
      <c r="D537" s="52">
        <v>480</v>
      </c>
      <c r="E537" s="33">
        <v>64.32851025053273</v>
      </c>
      <c r="F537" s="52">
        <v>480</v>
      </c>
      <c r="G537" s="104">
        <v>264.30724328048848</v>
      </c>
    </row>
    <row r="538" spans="2:7" x14ac:dyDescent="0.3">
      <c r="B538" s="52">
        <v>481</v>
      </c>
      <c r="C538" s="33">
        <v>177.6361307304025</v>
      </c>
      <c r="D538" s="52">
        <v>481</v>
      </c>
      <c r="E538" s="33">
        <v>50.748115691925271</v>
      </c>
      <c r="F538" s="52">
        <v>481</v>
      </c>
      <c r="G538" s="104">
        <v>98.470411559677245</v>
      </c>
    </row>
    <row r="539" spans="2:7" x14ac:dyDescent="0.3">
      <c r="B539" s="52">
        <v>482</v>
      </c>
      <c r="C539" s="33">
        <v>50.896372875384202</v>
      </c>
      <c r="D539" s="52">
        <v>482</v>
      </c>
      <c r="E539" s="33">
        <v>38.871258206040437</v>
      </c>
      <c r="F539" s="52">
        <v>482</v>
      </c>
      <c r="G539" s="104">
        <v>179.17121328711903</v>
      </c>
    </row>
    <row r="540" spans="2:7" x14ac:dyDescent="0.3">
      <c r="B540" s="52">
        <v>483</v>
      </c>
      <c r="C540" s="33">
        <v>251.85846471778873</v>
      </c>
      <c r="D540" s="52">
        <v>483</v>
      </c>
      <c r="E540" s="33">
        <v>13.152132243941068</v>
      </c>
      <c r="F540" s="52">
        <v>483</v>
      </c>
      <c r="G540" s="104">
        <v>240.72348256452125</v>
      </c>
    </row>
    <row r="541" spans="2:7" x14ac:dyDescent="0.3">
      <c r="B541" s="52">
        <v>484</v>
      </c>
      <c r="C541" s="33">
        <v>125.94733719305279</v>
      </c>
      <c r="D541" s="52">
        <v>484</v>
      </c>
      <c r="E541" s="33">
        <v>10.079328486788881</v>
      </c>
      <c r="F541" s="52">
        <v>484</v>
      </c>
      <c r="G541" s="104">
        <v>203.07518436939955</v>
      </c>
    </row>
    <row r="542" spans="2:7" x14ac:dyDescent="0.3">
      <c r="B542" s="52">
        <v>485</v>
      </c>
      <c r="C542" s="33">
        <v>251.15809846262258</v>
      </c>
      <c r="D542" s="52">
        <v>485</v>
      </c>
      <c r="E542" s="33">
        <v>53.768367368782187</v>
      </c>
      <c r="F542" s="52">
        <v>485</v>
      </c>
      <c r="G542" s="104">
        <v>281.63838985403441</v>
      </c>
    </row>
    <row r="543" spans="2:7" x14ac:dyDescent="0.3">
      <c r="B543" s="52">
        <v>486</v>
      </c>
      <c r="C543" s="33">
        <v>268.49509282083955</v>
      </c>
      <c r="D543" s="52">
        <v>486</v>
      </c>
      <c r="E543" s="33">
        <v>47.995245449657858</v>
      </c>
      <c r="F543" s="52">
        <v>486</v>
      </c>
      <c r="G543" s="104">
        <v>204.90492510556629</v>
      </c>
    </row>
    <row r="544" spans="2:7" x14ac:dyDescent="0.3">
      <c r="B544" s="52">
        <v>487</v>
      </c>
      <c r="C544" s="33">
        <v>323.22519477365427</v>
      </c>
      <c r="D544" s="52">
        <v>487</v>
      </c>
      <c r="E544" s="33">
        <v>21.782543907773984</v>
      </c>
      <c r="F544" s="52">
        <v>487</v>
      </c>
      <c r="G544" s="104">
        <v>281.09205872794507</v>
      </c>
    </row>
    <row r="545" spans="2:7" x14ac:dyDescent="0.3">
      <c r="B545" s="52">
        <v>488</v>
      </c>
      <c r="C545" s="33">
        <v>260.64932106023366</v>
      </c>
      <c r="D545" s="52">
        <v>488</v>
      </c>
      <c r="E545" s="33">
        <v>83.855932914142471</v>
      </c>
      <c r="F545" s="52">
        <v>488</v>
      </c>
      <c r="G545" s="104">
        <v>42.851527486498611</v>
      </c>
    </row>
    <row r="546" spans="2:7" x14ac:dyDescent="0.3">
      <c r="B546" s="52">
        <v>489</v>
      </c>
      <c r="C546" s="33">
        <v>334.1692737486751</v>
      </c>
      <c r="D546" s="52">
        <v>489</v>
      </c>
      <c r="E546" s="33">
        <v>28.08366958161076</v>
      </c>
      <c r="F546" s="52">
        <v>489</v>
      </c>
      <c r="G546" s="104">
        <v>113.75185778035758</v>
      </c>
    </row>
    <row r="547" spans="2:7" x14ac:dyDescent="0.3">
      <c r="B547" s="52">
        <v>490</v>
      </c>
      <c r="C547" s="33">
        <v>157.59417174987897</v>
      </c>
      <c r="D547" s="52">
        <v>490</v>
      </c>
      <c r="E547" s="33">
        <v>29.317128807366348</v>
      </c>
      <c r="F547" s="52">
        <v>490</v>
      </c>
      <c r="G547" s="104">
        <v>125.03576530253248</v>
      </c>
    </row>
    <row r="548" spans="2:7" x14ac:dyDescent="0.3">
      <c r="B548" s="52">
        <v>491</v>
      </c>
      <c r="C548" s="33">
        <v>307.58967272023386</v>
      </c>
      <c r="D548" s="52">
        <v>491</v>
      </c>
      <c r="E548" s="33">
        <v>32.894612516172437</v>
      </c>
      <c r="F548" s="52">
        <v>491</v>
      </c>
      <c r="G548" s="104">
        <v>98.629137616992324</v>
      </c>
    </row>
    <row r="549" spans="2:7" x14ac:dyDescent="0.3">
      <c r="B549" s="52">
        <v>492</v>
      </c>
      <c r="C549" s="33">
        <v>361.4484238622299</v>
      </c>
      <c r="D549" s="52">
        <v>492</v>
      </c>
      <c r="E549" s="33">
        <v>47.299619595774288</v>
      </c>
      <c r="F549" s="52">
        <v>492</v>
      </c>
      <c r="G549" s="104">
        <v>136.26297259771326</v>
      </c>
    </row>
    <row r="550" spans="2:7" x14ac:dyDescent="0.3">
      <c r="B550" s="52">
        <v>493</v>
      </c>
      <c r="C550" s="33">
        <v>349.10569600080163</v>
      </c>
      <c r="D550" s="52">
        <v>493</v>
      </c>
      <c r="E550" s="33">
        <v>66.902460305948509</v>
      </c>
      <c r="F550" s="52">
        <v>493</v>
      </c>
      <c r="G550" s="104">
        <v>268.22006823461794</v>
      </c>
    </row>
    <row r="551" spans="2:7" x14ac:dyDescent="0.3">
      <c r="B551" s="52">
        <v>494</v>
      </c>
      <c r="C551" s="33">
        <v>203.61392299388922</v>
      </c>
      <c r="D551" s="52">
        <v>494</v>
      </c>
      <c r="E551" s="33">
        <v>39.961103550054759</v>
      </c>
      <c r="F551" s="52">
        <v>494</v>
      </c>
      <c r="G551" s="104">
        <v>207.5612229280556</v>
      </c>
    </row>
    <row r="552" spans="2:7" x14ac:dyDescent="0.3">
      <c r="B552" s="52">
        <v>495</v>
      </c>
      <c r="C552" s="33">
        <v>263.9939944914459</v>
      </c>
      <c r="D552" s="52">
        <v>495</v>
      </c>
      <c r="E552" s="33">
        <v>47.766183671512792</v>
      </c>
      <c r="F552" s="52">
        <v>495</v>
      </c>
      <c r="G552" s="104">
        <v>158.76963703031237</v>
      </c>
    </row>
    <row r="553" spans="2:7" x14ac:dyDescent="0.3">
      <c r="B553" s="52">
        <v>496</v>
      </c>
      <c r="C553" s="33">
        <v>254.02501444782501</v>
      </c>
      <c r="D553" s="52">
        <v>496</v>
      </c>
      <c r="E553" s="33">
        <v>20.857282381045639</v>
      </c>
      <c r="F553" s="52">
        <v>496</v>
      </c>
      <c r="G553" s="104">
        <v>238.18003125434319</v>
      </c>
    </row>
    <row r="554" spans="2:7" x14ac:dyDescent="0.3">
      <c r="B554" s="52">
        <v>497</v>
      </c>
      <c r="C554" s="33">
        <v>248.44030878721719</v>
      </c>
      <c r="D554" s="52">
        <v>497</v>
      </c>
      <c r="E554" s="33">
        <v>78.259087457927961</v>
      </c>
      <c r="F554" s="52">
        <v>497</v>
      </c>
      <c r="G554" s="104">
        <v>186.60433106125481</v>
      </c>
    </row>
    <row r="555" spans="2:7" x14ac:dyDescent="0.3">
      <c r="B555" s="52">
        <v>498</v>
      </c>
      <c r="C555" s="33">
        <v>250.65179579733996</v>
      </c>
      <c r="D555" s="52">
        <v>498</v>
      </c>
      <c r="E555" s="33">
        <v>57.506433042803181</v>
      </c>
      <c r="F555" s="52">
        <v>498</v>
      </c>
      <c r="G555" s="104">
        <v>203.7496442367584</v>
      </c>
    </row>
    <row r="556" spans="2:7" x14ac:dyDescent="0.3">
      <c r="B556" s="52">
        <v>499</v>
      </c>
      <c r="C556" s="33">
        <v>217.38399058697118</v>
      </c>
      <c r="D556" s="52">
        <v>499</v>
      </c>
      <c r="E556" s="33">
        <v>76.299319503602646</v>
      </c>
      <c r="F556" s="52">
        <v>499</v>
      </c>
      <c r="G556" s="104">
        <v>172.53387329070625</v>
      </c>
    </row>
    <row r="557" spans="2:7" x14ac:dyDescent="0.3">
      <c r="B557" s="52">
        <v>500</v>
      </c>
      <c r="C557" s="33">
        <v>364.59752960966102</v>
      </c>
      <c r="D557" s="52">
        <v>500</v>
      </c>
      <c r="E557" s="33">
        <v>20.574588912897916</v>
      </c>
      <c r="F557" s="52">
        <v>500</v>
      </c>
      <c r="G557" s="104">
        <v>231.71587236400245</v>
      </c>
    </row>
    <row r="558" spans="2:7" x14ac:dyDescent="0.3">
      <c r="C558" s="33"/>
      <c r="E558" s="33"/>
      <c r="G558" s="104"/>
    </row>
    <row r="559" spans="2:7" x14ac:dyDescent="0.3">
      <c r="C559" s="33"/>
      <c r="E559" s="33"/>
      <c r="G559" s="104"/>
    </row>
    <row r="560" spans="2:7" x14ac:dyDescent="0.3">
      <c r="C560" s="33"/>
      <c r="E560" s="33"/>
      <c r="G560" s="104"/>
    </row>
    <row r="561" spans="3:7" x14ac:dyDescent="0.3">
      <c r="C561" s="33"/>
      <c r="E561" s="33"/>
      <c r="G561" s="104"/>
    </row>
    <row r="562" spans="3:7" x14ac:dyDescent="0.3">
      <c r="C562" s="33"/>
      <c r="E562" s="33"/>
      <c r="G562" s="104"/>
    </row>
    <row r="563" spans="3:7" x14ac:dyDescent="0.3">
      <c r="C563" s="33"/>
      <c r="E563" s="33"/>
      <c r="G563" s="104"/>
    </row>
    <row r="564" spans="3:7" x14ac:dyDescent="0.3">
      <c r="C564" s="33"/>
      <c r="E564" s="33"/>
      <c r="G564" s="104"/>
    </row>
    <row r="565" spans="3:7" x14ac:dyDescent="0.3">
      <c r="C565" s="33"/>
      <c r="E565" s="33"/>
      <c r="G565" s="104"/>
    </row>
    <row r="566" spans="3:7" x14ac:dyDescent="0.3">
      <c r="C566" s="33"/>
      <c r="E566" s="33"/>
      <c r="G566" s="104"/>
    </row>
    <row r="567" spans="3:7" x14ac:dyDescent="0.3">
      <c r="C567" s="33"/>
      <c r="E567" s="33"/>
      <c r="G567" s="104"/>
    </row>
    <row r="568" spans="3:7" x14ac:dyDescent="0.3">
      <c r="C568" s="33"/>
      <c r="E568" s="33"/>
      <c r="G568" s="104"/>
    </row>
    <row r="569" spans="3:7" x14ac:dyDescent="0.3">
      <c r="C569" s="33"/>
      <c r="E569" s="33"/>
      <c r="G569" s="104"/>
    </row>
    <row r="570" spans="3:7" x14ac:dyDescent="0.3">
      <c r="C570" s="33"/>
      <c r="E570" s="33"/>
      <c r="G570" s="104"/>
    </row>
    <row r="571" spans="3:7" x14ac:dyDescent="0.3">
      <c r="C571" s="33"/>
      <c r="E571" s="33"/>
      <c r="G571" s="104"/>
    </row>
    <row r="572" spans="3:7" x14ac:dyDescent="0.3">
      <c r="C572" s="33"/>
      <c r="E572" s="33"/>
      <c r="G572" s="104"/>
    </row>
    <row r="573" spans="3:7" x14ac:dyDescent="0.3">
      <c r="C573" s="33"/>
      <c r="E573" s="33"/>
      <c r="G573" s="104"/>
    </row>
    <row r="574" spans="3:7" x14ac:dyDescent="0.3">
      <c r="C574" s="33"/>
      <c r="E574" s="33"/>
      <c r="G574" s="104"/>
    </row>
    <row r="575" spans="3:7" x14ac:dyDescent="0.3">
      <c r="C575" s="33"/>
      <c r="E575" s="33"/>
      <c r="G575" s="104"/>
    </row>
    <row r="576" spans="3:7" x14ac:dyDescent="0.3">
      <c r="C576" s="33"/>
      <c r="E576" s="33"/>
      <c r="G576" s="104"/>
    </row>
    <row r="577" spans="3:7" x14ac:dyDescent="0.3">
      <c r="C577" s="33"/>
      <c r="E577" s="33"/>
      <c r="G577" s="104"/>
    </row>
    <row r="578" spans="3:7" x14ac:dyDescent="0.3">
      <c r="C578" s="33"/>
      <c r="E578" s="33"/>
      <c r="G578" s="104"/>
    </row>
    <row r="579" spans="3:7" x14ac:dyDescent="0.3">
      <c r="C579" s="33"/>
      <c r="E579" s="33"/>
      <c r="G579" s="104"/>
    </row>
    <row r="580" spans="3:7" x14ac:dyDescent="0.3">
      <c r="C580" s="33"/>
      <c r="E580" s="33"/>
      <c r="G580" s="104"/>
    </row>
    <row r="581" spans="3:7" x14ac:dyDescent="0.3">
      <c r="C581" s="33"/>
      <c r="E581" s="33"/>
      <c r="G581" s="104"/>
    </row>
    <row r="582" spans="3:7" x14ac:dyDescent="0.3">
      <c r="C582" s="33"/>
      <c r="E582" s="33"/>
      <c r="G582" s="104"/>
    </row>
    <row r="583" spans="3:7" x14ac:dyDescent="0.3">
      <c r="C583" s="33"/>
      <c r="E583" s="33"/>
      <c r="G583" s="104"/>
    </row>
    <row r="584" spans="3:7" x14ac:dyDescent="0.3">
      <c r="C584" s="33"/>
      <c r="E584" s="33"/>
      <c r="G584" s="104"/>
    </row>
    <row r="585" spans="3:7" x14ac:dyDescent="0.3">
      <c r="C585" s="33"/>
      <c r="E585" s="33"/>
      <c r="G585" s="104"/>
    </row>
    <row r="586" spans="3:7" x14ac:dyDescent="0.3">
      <c r="C586" s="33"/>
      <c r="E586" s="33"/>
      <c r="G586" s="104"/>
    </row>
    <row r="587" spans="3:7" x14ac:dyDescent="0.3">
      <c r="C587" s="33"/>
      <c r="E587" s="33"/>
      <c r="G587" s="104"/>
    </row>
    <row r="588" spans="3:7" x14ac:dyDescent="0.3">
      <c r="C588" s="33"/>
      <c r="E588" s="33"/>
      <c r="G588" s="104"/>
    </row>
    <row r="589" spans="3:7" x14ac:dyDescent="0.3">
      <c r="C589" s="33"/>
      <c r="E589" s="33"/>
      <c r="G589" s="104"/>
    </row>
    <row r="590" spans="3:7" x14ac:dyDescent="0.3">
      <c r="C590" s="33"/>
      <c r="E590" s="33"/>
      <c r="G590" s="104"/>
    </row>
    <row r="591" spans="3:7" x14ac:dyDescent="0.3">
      <c r="C591" s="33"/>
      <c r="E591" s="33"/>
      <c r="G591" s="104"/>
    </row>
    <row r="592" spans="3:7" x14ac:dyDescent="0.3">
      <c r="C592" s="33"/>
      <c r="E592" s="33"/>
      <c r="G592" s="104"/>
    </row>
    <row r="593" spans="3:7" x14ac:dyDescent="0.3">
      <c r="C593" s="33"/>
      <c r="E593" s="33"/>
      <c r="G593" s="104"/>
    </row>
    <row r="594" spans="3:7" x14ac:dyDescent="0.3">
      <c r="C594" s="33"/>
      <c r="E594" s="33"/>
      <c r="G594" s="104"/>
    </row>
    <row r="595" spans="3:7" x14ac:dyDescent="0.3">
      <c r="C595" s="33"/>
      <c r="E595" s="33"/>
      <c r="G595" s="104"/>
    </row>
    <row r="596" spans="3:7" x14ac:dyDescent="0.3">
      <c r="C596" s="33"/>
      <c r="E596" s="33"/>
      <c r="G596" s="104"/>
    </row>
    <row r="597" spans="3:7" x14ac:dyDescent="0.3">
      <c r="C597" s="33"/>
      <c r="E597" s="33"/>
      <c r="G597" s="104"/>
    </row>
    <row r="598" spans="3:7" x14ac:dyDescent="0.3">
      <c r="C598" s="33"/>
      <c r="E598" s="33"/>
      <c r="G598" s="104"/>
    </row>
    <row r="599" spans="3:7" x14ac:dyDescent="0.3">
      <c r="C599" s="33"/>
      <c r="E599" s="33"/>
      <c r="G599" s="104"/>
    </row>
    <row r="600" spans="3:7" x14ac:dyDescent="0.3">
      <c r="C600" s="33"/>
      <c r="E600" s="33"/>
      <c r="G600" s="104"/>
    </row>
    <row r="601" spans="3:7" x14ac:dyDescent="0.3">
      <c r="C601" s="33"/>
      <c r="E601" s="33"/>
      <c r="G601" s="104"/>
    </row>
    <row r="602" spans="3:7" x14ac:dyDescent="0.3">
      <c r="C602" s="33"/>
      <c r="E602" s="33"/>
      <c r="G602" s="104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562"/>
  <sheetViews>
    <sheetView zoomScaleNormal="100" workbookViewId="0">
      <selection activeCell="B47" sqref="B47:C47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1" t="s">
        <v>89</v>
      </c>
      <c r="C1" s="121"/>
      <c r="D1" s="121"/>
      <c r="E1" s="121"/>
    </row>
    <row r="2" spans="1:12" x14ac:dyDescent="0.3">
      <c r="A2" s="2" t="s">
        <v>64</v>
      </c>
      <c r="B2" s="130" t="s">
        <v>104</v>
      </c>
      <c r="C2" s="130"/>
      <c r="D2" s="130" t="s">
        <v>105</v>
      </c>
      <c r="E2" s="130"/>
    </row>
    <row r="3" spans="1:12" x14ac:dyDescent="0.3">
      <c r="A3" t="s">
        <v>15</v>
      </c>
      <c r="B3" s="119">
        <f>[1]All!$L$12*L17</f>
        <v>0.48314833998105799</v>
      </c>
      <c r="C3" s="119"/>
      <c r="D3" s="119">
        <f>[1]All!$L$13*L17</f>
        <v>0.5946441107459175</v>
      </c>
      <c r="E3" s="119"/>
    </row>
    <row r="4" spans="1:12" x14ac:dyDescent="0.3">
      <c r="A4" t="s">
        <v>16</v>
      </c>
      <c r="B4" s="119">
        <f>[2]prod_herd_data!J17</f>
        <v>367.30829304581511</v>
      </c>
      <c r="C4" s="119"/>
      <c r="D4" s="119">
        <f>[2]prod_herd_data!J18</f>
        <v>1424.0802472278533</v>
      </c>
      <c r="E4" s="119"/>
      <c r="K4" s="56"/>
    </row>
    <row r="5" spans="1:12" ht="15.6" x14ac:dyDescent="0.3">
      <c r="A5" t="s">
        <v>4</v>
      </c>
      <c r="B5" s="119">
        <f>B4*B3</f>
        <v>177.46439204636155</v>
      </c>
      <c r="C5" s="119"/>
      <c r="D5" s="119">
        <f>D4*D3</f>
        <v>846.82093224363314</v>
      </c>
      <c r="E5" s="119"/>
      <c r="K5" s="55"/>
    </row>
    <row r="6" spans="1:12" s="56" customFormat="1" ht="15.6" x14ac:dyDescent="0.3">
      <c r="B6" s="120"/>
      <c r="C6" s="120"/>
      <c r="D6" s="119"/>
      <c r="E6" s="119"/>
      <c r="K6" s="55"/>
    </row>
    <row r="7" spans="1:12" x14ac:dyDescent="0.3">
      <c r="A7" s="2" t="s">
        <v>60</v>
      </c>
      <c r="B7" s="119"/>
      <c r="C7" s="119"/>
      <c r="D7" s="119"/>
      <c r="E7" s="119"/>
    </row>
    <row r="8" spans="1:12" x14ac:dyDescent="0.3">
      <c r="A8" s="56" t="s">
        <v>29</v>
      </c>
      <c r="B8" s="119">
        <f xml:space="preserve"> (([2]FEEDING_base!$J$17*L30)+([2]FEEDING_base!$J$18*L31))</f>
        <v>79.444873766804676</v>
      </c>
      <c r="C8" s="119"/>
      <c r="D8" s="119">
        <f>(([2]FEEDING_base!$J$23*L30)+([2]FEEDING_base!$J$24*L31))</f>
        <v>241.16030694690787</v>
      </c>
      <c r="E8" s="119"/>
    </row>
    <row r="9" spans="1:12" x14ac:dyDescent="0.3">
      <c r="A9" s="56" t="s">
        <v>1</v>
      </c>
      <c r="B9" s="119">
        <f>[1]All!$P$12*L17</f>
        <v>3.7037541262095375</v>
      </c>
      <c r="C9" s="119"/>
      <c r="D9" s="119">
        <f>[1]All!$P$13*L17</f>
        <v>9.9618214429084109</v>
      </c>
      <c r="E9" s="119"/>
    </row>
    <row r="10" spans="1:12" x14ac:dyDescent="0.3">
      <c r="A10" s="56" t="s">
        <v>61</v>
      </c>
      <c r="B10" s="119">
        <f>[1]All!$Q$12*L17</f>
        <v>9.4509588048105453</v>
      </c>
      <c r="C10" s="119"/>
      <c r="D10" s="119">
        <f>[1]All!$Q$13*L17</f>
        <v>8.9400961667126779</v>
      </c>
      <c r="E10" s="119"/>
      <c r="K10" s="2" t="str">
        <f>Dairy_Income_Roadmap!K10</f>
        <v>Basic income parameters</v>
      </c>
      <c r="L10" s="2"/>
    </row>
    <row r="11" spans="1:12" x14ac:dyDescent="0.3">
      <c r="A11" s="56" t="s">
        <v>62</v>
      </c>
      <c r="B11" s="119">
        <f>[1]All!$R$12*L17</f>
        <v>0.12771565952446681</v>
      </c>
      <c r="C11" s="119"/>
      <c r="D11" s="119">
        <f>[1]All!$R$13*L17</f>
        <v>1.0217252761957345</v>
      </c>
      <c r="E11" s="119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63</v>
      </c>
      <c r="B12" s="119">
        <f>0*L17</f>
        <v>0</v>
      </c>
      <c r="C12" s="119"/>
      <c r="D12" s="119">
        <f>0*L17</f>
        <v>0</v>
      </c>
      <c r="E12" s="119"/>
      <c r="K12" s="54"/>
      <c r="L12" s="54"/>
    </row>
    <row r="13" spans="1:12" s="56" customFormat="1" x14ac:dyDescent="0.3">
      <c r="B13" s="120"/>
      <c r="C13" s="120"/>
      <c r="D13" s="119"/>
      <c r="E13" s="119"/>
      <c r="K13" s="54"/>
      <c r="L13" s="54"/>
    </row>
    <row r="14" spans="1:12" x14ac:dyDescent="0.3">
      <c r="A14" s="2" t="s">
        <v>96</v>
      </c>
      <c r="B14" s="119">
        <f>SUM(B8:B12)</f>
        <v>92.727302357349217</v>
      </c>
      <c r="C14" s="119"/>
      <c r="D14" s="119">
        <f>SUM(D8:D12)</f>
        <v>261.08394983272473</v>
      </c>
      <c r="E14" s="119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20"/>
      <c r="C15" s="120"/>
      <c r="D15" s="119"/>
      <c r="E15" s="119"/>
      <c r="K15" s="54"/>
      <c r="L15" s="54"/>
    </row>
    <row r="16" spans="1:12" x14ac:dyDescent="0.3">
      <c r="B16" s="120"/>
      <c r="C16" s="120"/>
      <c r="D16" s="119"/>
      <c r="E16" s="119"/>
      <c r="K16" s="54"/>
      <c r="L16" s="54"/>
    </row>
    <row r="17" spans="1:12" x14ac:dyDescent="0.3">
      <c r="A17" s="56"/>
      <c r="B17" s="119"/>
      <c r="C17" s="119"/>
      <c r="D17" s="119"/>
      <c r="E17" s="119"/>
      <c r="K17" s="54" t="str">
        <f>Dairy_Income_Roadmap!K16</f>
        <v>Price deflator</v>
      </c>
      <c r="L17" s="61">
        <f>Dairy_Income_Roadmap!L16</f>
        <v>1.2771565952446682</v>
      </c>
    </row>
    <row r="18" spans="1:12" x14ac:dyDescent="0.3">
      <c r="B18" s="73" t="s">
        <v>76</v>
      </c>
      <c r="C18" s="73"/>
      <c r="D18" s="126"/>
      <c r="E18" s="126"/>
      <c r="K18" s="54"/>
      <c r="L18" s="54"/>
    </row>
    <row r="19" spans="1:12" x14ac:dyDescent="0.3">
      <c r="A19" t="s">
        <v>7</v>
      </c>
      <c r="B19" s="119">
        <f>L36*L17</f>
        <v>473.19051384219415</v>
      </c>
      <c r="C19" s="119"/>
      <c r="D19" s="119">
        <f>L38*L17</f>
        <v>626.19041111347224</v>
      </c>
      <c r="E19" s="119"/>
      <c r="K19" s="2"/>
      <c r="L19" s="54"/>
    </row>
    <row r="20" spans="1:12" x14ac:dyDescent="0.3">
      <c r="A20" t="s">
        <v>77</v>
      </c>
      <c r="B20" s="119">
        <f>( [5]Sheet1!$QH$65*[2]feeding_change_data!$J$4+      [5]Sheet1!$QH$56*[2]feeding_change_data!$K$4)/([2]feeding_change_data!$J$4+[2]feeding_change_data!$K$4)</f>
        <v>146.80537326217234</v>
      </c>
      <c r="C20" s="119"/>
      <c r="D20" s="119">
        <f>( [5]Sheet1!$QG$65*[2]feeding_change_data!$J$4+      [5]Sheet1!$QG$56*[2]feeding_change_data!$K$4)/([2]feeding_change_data!$J$4+[2]feeding_change_data!$K$4)</f>
        <v>410.46318105569441</v>
      </c>
      <c r="E20" s="119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78</v>
      </c>
      <c r="B21" s="119">
        <f>(((1/1000)*(1/L23)/L33))*B20</f>
        <v>1.5056961360222804E-2</v>
      </c>
      <c r="C21" s="119"/>
      <c r="D21" s="119">
        <f>(((1/1000)*(1/L23)/L33))*D20</f>
        <v>4.2098787800584042E-2</v>
      </c>
      <c r="E21" s="119"/>
      <c r="K21" s="54"/>
      <c r="L21" s="54"/>
    </row>
    <row r="22" spans="1:12" x14ac:dyDescent="0.3">
      <c r="A22" t="s">
        <v>79</v>
      </c>
      <c r="B22" s="119">
        <f>( [5]Sheet1!$QP$65*[2]feeding_change_data_pasture!$J$4+      [5]Sheet1!$QP$56*[2]feeding_change_data_pasture!$K$4)/([2]feeding_change_data_pasture!$J$4+[2]feeding_change_data_pasture!$K$4)</f>
        <v>96.509350562910655</v>
      </c>
      <c r="C22" s="119"/>
      <c r="D22" s="119">
        <f>( [5]Sheet1!$QO$65*[2]feeding_change_data_pasture!$J$4+      [5]Sheet1!$QO$56*[2]feeding_change_data_pasture!$K$4)/([2]feeding_change_data_pasture!$J$4+[2]feeding_change_data_pasture!$K$4)</f>
        <v>300.37899968817578</v>
      </c>
      <c r="E22" s="119"/>
      <c r="K22" s="54"/>
      <c r="L22" s="54"/>
    </row>
    <row r="23" spans="1:12" x14ac:dyDescent="0.3">
      <c r="A23" t="s">
        <v>80</v>
      </c>
      <c r="B23" s="119">
        <f>(((1/1000)*(1/L25)/L34))*B22</f>
        <v>3.8603740225164267E-2</v>
      </c>
      <c r="C23" s="119"/>
      <c r="D23" s="119">
        <f>(((1/1000)*(1/L25)/L34))*D22</f>
        <v>0.12015159987527031</v>
      </c>
      <c r="E23" s="119"/>
      <c r="K23" s="54" t="str">
        <f>Dairy_Income_Roadmap!K23</f>
        <v>Use efficiency napier</v>
      </c>
      <c r="L23" s="54">
        <f>Dairy_Income_Roadmap!L23</f>
        <v>0.75</v>
      </c>
    </row>
    <row r="24" spans="1:12" s="70" customFormat="1" x14ac:dyDescent="0.3">
      <c r="A24" s="70" t="s">
        <v>82</v>
      </c>
      <c r="B24" s="119">
        <f>B21+B23</f>
        <v>5.366070158538707E-2</v>
      </c>
      <c r="C24" s="119"/>
      <c r="D24" s="119">
        <f>D21+D23</f>
        <v>0.16225038767585437</v>
      </c>
      <c r="E24" s="119"/>
      <c r="K24" s="54"/>
      <c r="L24" s="54"/>
    </row>
    <row r="25" spans="1:12" x14ac:dyDescent="0.3">
      <c r="A25" t="s">
        <v>71</v>
      </c>
      <c r="B25" s="119">
        <f>(B21+B23)*L17*L20</f>
        <v>1.9189273301865273</v>
      </c>
      <c r="C25" s="119"/>
      <c r="D25" s="119">
        <f>(D21+D23)*L17*L20</f>
        <v>5.8021362756342052</v>
      </c>
      <c r="E25" s="119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19">
        <f>(B21+B23)*B19+B25</f>
        <v>27.310662286508478</v>
      </c>
      <c r="C26" s="119"/>
      <c r="D26" s="119">
        <f>(D21+D23)*D19+D25</f>
        <v>107.40177323769771</v>
      </c>
      <c r="E26" s="119"/>
      <c r="K26" s="54"/>
      <c r="L26" s="54"/>
    </row>
    <row r="27" spans="1:12" x14ac:dyDescent="0.3">
      <c r="B27" s="120"/>
      <c r="C27" s="120"/>
      <c r="D27" s="119"/>
      <c r="E27" s="119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47</v>
      </c>
      <c r="B28" s="119">
        <f>B5-B14</f>
        <v>84.737089689012336</v>
      </c>
      <c r="C28" s="119"/>
      <c r="D28" s="119">
        <f>D5-D14</f>
        <v>585.73698241090847</v>
      </c>
      <c r="E28" s="119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27"/>
      <c r="C29" s="127"/>
      <c r="D29" s="57"/>
      <c r="E29" s="57"/>
      <c r="K29" s="54"/>
      <c r="L29" s="54"/>
    </row>
    <row r="30" spans="1:12" x14ac:dyDescent="0.3">
      <c r="B30" s="120"/>
      <c r="C30" s="120"/>
      <c r="D30" s="21"/>
      <c r="E30" s="21"/>
      <c r="K30" s="54" t="str">
        <f>Dairy_Income_Roadmap!K29</f>
        <v>Market price Sunflower cake (USD/kg)</v>
      </c>
      <c r="L30" s="61">
        <f>Dairy_Income_Roadmap!L29</f>
        <v>0.31928914881116705</v>
      </c>
    </row>
    <row r="31" spans="1:12" x14ac:dyDescent="0.3">
      <c r="B31" s="120"/>
      <c r="C31" s="120"/>
      <c r="D31" s="21"/>
      <c r="E31" s="21"/>
      <c r="K31" s="54" t="str">
        <f>Dairy_Income_Roadmap!K30</f>
        <v>Market price Maize bran (USD/kg)</v>
      </c>
      <c r="L31" s="61">
        <f>Dairy_Income_Roadmap!L30</f>
        <v>0.26820288500138029</v>
      </c>
    </row>
    <row r="32" spans="1:12" x14ac:dyDescent="0.3">
      <c r="B32" s="120"/>
      <c r="C32" s="120"/>
      <c r="D32" s="21"/>
      <c r="E32" s="21"/>
      <c r="K32" s="54"/>
      <c r="L32" s="54"/>
    </row>
    <row r="33" spans="1:12" x14ac:dyDescent="0.3">
      <c r="B33" s="120"/>
      <c r="C33" s="120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1" t="s">
        <v>56</v>
      </c>
      <c r="B34" s="120"/>
      <c r="C34" s="120"/>
      <c r="D34" s="120"/>
      <c r="E34" s="120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20" t="s">
        <v>54</v>
      </c>
      <c r="B35" s="120"/>
      <c r="C35" s="120"/>
      <c r="D35" s="120"/>
      <c r="E35" s="120"/>
      <c r="F35" s="58"/>
      <c r="G35" s="58"/>
      <c r="K35" s="54"/>
      <c r="L35" s="54"/>
    </row>
    <row r="36" spans="1:12" x14ac:dyDescent="0.3">
      <c r="A36" t="s">
        <v>17</v>
      </c>
      <c r="B36" s="119">
        <f>[1]All!$S$12*L17</f>
        <v>0.11494409357202014</v>
      </c>
      <c r="C36" s="119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1">
        <f>[1]All!$N$12*L17</f>
        <v>370.50312828047828</v>
      </c>
    </row>
    <row r="37" spans="1:12" x14ac:dyDescent="0.3">
      <c r="B37" s="120"/>
      <c r="C37" s="120"/>
      <c r="D37" s="21"/>
      <c r="E37" s="57"/>
      <c r="K37" s="54" t="str">
        <f>Dairy_Income_Roadmap!K36</f>
        <v>SE (fraction)</v>
      </c>
      <c r="L37" s="61">
        <f>[1]All!$U$12*L17/L36</f>
        <v>0.53119613926232334</v>
      </c>
    </row>
    <row r="38" spans="1:12" x14ac:dyDescent="0.3">
      <c r="A38" t="s">
        <v>0</v>
      </c>
      <c r="B38" s="119">
        <f>[1]All!$V$12*L17</f>
        <v>169.09553321039408</v>
      </c>
      <c r="C38" s="119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1">
        <f>[1]All!$N$13*L17</f>
        <v>490.30041691442807</v>
      </c>
    </row>
    <row r="39" spans="1:12" x14ac:dyDescent="0.3">
      <c r="A39" t="s">
        <v>1</v>
      </c>
      <c r="B39" s="119">
        <f>[1]All!$W$12*L17</f>
        <v>22.09480909773276</v>
      </c>
      <c r="C39" s="119"/>
      <c r="D39" s="21"/>
      <c r="E39" s="57">
        <f>[1]All!$W$13*L17</f>
        <v>64.36869240033127</v>
      </c>
      <c r="K39" s="54" t="str">
        <f>Dairy_Income_Roadmap!K38</f>
        <v>SE (fraction)</v>
      </c>
      <c r="L39" s="61">
        <f>[1]All!$U$13*L17/L38</f>
        <v>0.4540244855431102</v>
      </c>
    </row>
    <row r="40" spans="1:12" x14ac:dyDescent="0.3">
      <c r="A40" t="s">
        <v>2</v>
      </c>
      <c r="B40" s="119">
        <f>[1]All!$X$12*L17</f>
        <v>11.62212501672648</v>
      </c>
      <c r="C40" s="119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19">
        <f>[1]All!$Y$12*L17</f>
        <v>0.89400961667126766</v>
      </c>
      <c r="C41" s="119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19">
        <f>B12*L17</f>
        <v>0</v>
      </c>
      <c r="C42" s="119"/>
      <c r="D42" s="57"/>
      <c r="E42" s="57">
        <f>D12*L17</f>
        <v>0</v>
      </c>
      <c r="K42" s="54"/>
      <c r="L42" s="54"/>
    </row>
    <row r="43" spans="1:12" x14ac:dyDescent="0.3">
      <c r="B43" s="120"/>
      <c r="C43" s="120"/>
      <c r="D43" s="21"/>
      <c r="E43" s="21"/>
      <c r="K43" s="54"/>
      <c r="L43" s="54"/>
    </row>
    <row r="44" spans="1:12" s="58" customFormat="1" x14ac:dyDescent="0.3">
      <c r="B44" s="120"/>
      <c r="C44" s="120"/>
      <c r="D44" s="21"/>
      <c r="E44" s="21"/>
      <c r="K44" s="54"/>
      <c r="L44" s="54"/>
    </row>
    <row r="45" spans="1:12" x14ac:dyDescent="0.3">
      <c r="B45" s="126" t="s">
        <v>55</v>
      </c>
      <c r="C45" s="126"/>
      <c r="D45" s="126"/>
      <c r="E45" s="126"/>
      <c r="K45" s="54"/>
      <c r="L45" s="54"/>
    </row>
    <row r="46" spans="1:12" x14ac:dyDescent="0.3">
      <c r="A46" t="s">
        <v>9</v>
      </c>
      <c r="B46" s="119">
        <f ca="1">_xlfn.NORM.INV(RAND(),B3,B36)</f>
        <v>0.67622003384869622</v>
      </c>
      <c r="C46" s="119"/>
      <c r="D46" s="57"/>
      <c r="E46" s="57">
        <f ca="1">_xlfn.NORM.INV(RAND(),D3,E36)</f>
        <v>0.7375356914384138</v>
      </c>
      <c r="K46" s="54"/>
      <c r="L46" s="54"/>
    </row>
    <row r="47" spans="1:12" s="107" customFormat="1" x14ac:dyDescent="0.3">
      <c r="A47" s="107" t="s">
        <v>100</v>
      </c>
      <c r="B47" s="119">
        <f>Dairy_Income_Baseline!B4*Dairy_Income_Roadmap!L21</f>
        <v>51.423161026414121</v>
      </c>
      <c r="C47" s="119"/>
      <c r="D47" s="106"/>
      <c r="E47" s="106">
        <f>D4*Dairy_Income_Roadmap!L21</f>
        <v>199.3712346118995</v>
      </c>
      <c r="K47" s="54"/>
      <c r="L47" s="54"/>
    </row>
    <row r="48" spans="1:12" x14ac:dyDescent="0.3">
      <c r="B48" s="120"/>
      <c r="C48" s="120"/>
      <c r="D48" s="57"/>
      <c r="E48" s="57"/>
      <c r="K48" s="54"/>
      <c r="L48" s="54"/>
    </row>
    <row r="49" spans="1:12" x14ac:dyDescent="0.3">
      <c r="A49" t="s">
        <v>10</v>
      </c>
      <c r="B49" s="119">
        <f ca="1">_xlfn.NORM.INV(RAND(),B8,B38)</f>
        <v>140.84516117641095</v>
      </c>
      <c r="C49" s="119"/>
      <c r="D49" s="57"/>
      <c r="E49" s="57">
        <f ca="1">_xlfn.NORM.INV(RAND(),D8,E38)</f>
        <v>246.55576486343392</v>
      </c>
      <c r="K49" s="54"/>
      <c r="L49" s="54"/>
    </row>
    <row r="50" spans="1:12" x14ac:dyDescent="0.3">
      <c r="A50" t="s">
        <v>1</v>
      </c>
      <c r="B50" s="119">
        <f ca="1">_xlfn.NORM.INV(RAND(),B9,B39)</f>
        <v>24.959248247602197</v>
      </c>
      <c r="C50" s="119"/>
      <c r="D50" s="57"/>
      <c r="E50" s="57">
        <f ca="1">_xlfn.NORM.INV(RAND(),D9,E39)</f>
        <v>165.70171324125533</v>
      </c>
      <c r="K50" s="54"/>
      <c r="L50" s="54"/>
    </row>
    <row r="51" spans="1:12" x14ac:dyDescent="0.3">
      <c r="A51" t="s">
        <v>2</v>
      </c>
      <c r="B51" s="119">
        <f ca="1">_xlfn.NORM.INV(RAND(),B10,B40)</f>
        <v>26.282551707896538</v>
      </c>
      <c r="C51" s="119"/>
      <c r="D51" s="57"/>
      <c r="E51" s="57">
        <f ca="1">_xlfn.NORM.INV(RAND(),D10,E40)</f>
        <v>12.957019638535387</v>
      </c>
      <c r="K51" s="54"/>
      <c r="L51" s="54"/>
    </row>
    <row r="52" spans="1:12" x14ac:dyDescent="0.3">
      <c r="A52" t="s">
        <v>12</v>
      </c>
      <c r="B52" s="119">
        <f ca="1">_xlfn.NORM.INV(RAND(),B11,B41)</f>
        <v>0.1505129996327419</v>
      </c>
      <c r="C52" s="119"/>
      <c r="D52" s="57"/>
      <c r="E52" s="57">
        <f ca="1">_xlfn.NORM.INV(RAND(),D11,E41)</f>
        <v>-1.3520453155125545</v>
      </c>
      <c r="K52" s="54"/>
      <c r="L52" s="54"/>
    </row>
    <row r="53" spans="1:12" x14ac:dyDescent="0.3">
      <c r="A53" t="s">
        <v>3</v>
      </c>
      <c r="B53" s="119">
        <v>1E-4</v>
      </c>
      <c r="C53" s="119"/>
      <c r="D53" s="57"/>
      <c r="E53" s="57">
        <v>1E-4</v>
      </c>
      <c r="K53" s="54"/>
      <c r="L53" s="54"/>
    </row>
    <row r="54" spans="1:12" x14ac:dyDescent="0.3">
      <c r="B54" s="120"/>
      <c r="C54" s="120"/>
      <c r="D54" s="57"/>
      <c r="E54" s="57"/>
      <c r="K54" s="54"/>
      <c r="L54" s="54"/>
    </row>
    <row r="55" spans="1:12" x14ac:dyDescent="0.3">
      <c r="A55" s="2" t="s">
        <v>74</v>
      </c>
      <c r="B55" s="119">
        <f ca="1">SUM(B49:B53)</f>
        <v>192.23757413154246</v>
      </c>
      <c r="C55" s="119"/>
      <c r="D55" s="57"/>
      <c r="E55" s="57">
        <f ca="1">SUM(E49:E53)</f>
        <v>423.86255242771205</v>
      </c>
      <c r="K55" s="54"/>
      <c r="L55" s="54"/>
    </row>
    <row r="56" spans="1:12" x14ac:dyDescent="0.3">
      <c r="A56" s="2"/>
      <c r="B56" s="120"/>
      <c r="C56" s="120"/>
      <c r="D56" s="57"/>
      <c r="E56" s="57"/>
      <c r="K56" s="54"/>
      <c r="L56" s="54"/>
    </row>
    <row r="57" spans="1:12" x14ac:dyDescent="0.3">
      <c r="A57" s="2" t="s">
        <v>47</v>
      </c>
      <c r="B57" s="119">
        <f ca="1">B46*B47-B55</f>
        <v>-157.46420244165375</v>
      </c>
      <c r="C57" s="119"/>
      <c r="D57" s="57"/>
      <c r="E57" s="57">
        <f ca="1">E46*E47-E55</f>
        <v>-276.81915105529453</v>
      </c>
      <c r="K57" s="54"/>
      <c r="L57" s="54"/>
    </row>
    <row r="58" spans="1:12" x14ac:dyDescent="0.3">
      <c r="A58" s="2"/>
      <c r="B58" s="120"/>
      <c r="C58" s="120"/>
      <c r="D58" s="57"/>
      <c r="E58" s="57"/>
      <c r="K58" s="54"/>
      <c r="L58" s="54"/>
    </row>
    <row r="59" spans="1:12" x14ac:dyDescent="0.3">
      <c r="A59" s="2" t="s">
        <v>13</v>
      </c>
      <c r="B59" s="119">
        <f ca="1">AVERAGE(C63:C562)</f>
        <v>-65.206550167168288</v>
      </c>
      <c r="C59" s="119"/>
      <c r="D59" s="57"/>
      <c r="E59" s="57">
        <f ca="1">AVERAGE(E63:E562)</f>
        <v>-137.33444594810049</v>
      </c>
      <c r="K59" s="54"/>
      <c r="L59" s="54"/>
    </row>
    <row r="60" spans="1:12" x14ac:dyDescent="0.3">
      <c r="A60" s="2" t="s">
        <v>11</v>
      </c>
      <c r="B60" s="119">
        <f ca="1">STDEVA(C63:C562)</f>
        <v>174.55850908723815</v>
      </c>
      <c r="C60" s="119"/>
      <c r="D60" s="57"/>
      <c r="E60" s="57">
        <f t="shared" ref="E60" ca="1" si="0">STDEVA(E63:E562)</f>
        <v>125.68342268537572</v>
      </c>
      <c r="K60" s="54"/>
      <c r="L60" s="54"/>
    </row>
    <row r="61" spans="1:12" x14ac:dyDescent="0.3">
      <c r="B61" s="120"/>
      <c r="C61" s="120"/>
      <c r="K61" s="54"/>
      <c r="L61" s="54"/>
    </row>
    <row r="62" spans="1:12" x14ac:dyDescent="0.3">
      <c r="A62" s="2" t="s">
        <v>70</v>
      </c>
      <c r="B62" s="120"/>
      <c r="C62" s="120"/>
      <c r="K62" s="54"/>
      <c r="L62" s="54"/>
    </row>
    <row r="63" spans="1:12" x14ac:dyDescent="0.3">
      <c r="B63">
        <v>1</v>
      </c>
      <c r="C63" s="33">
        <f ca="1">B57</f>
        <v>-157.46420244165375</v>
      </c>
      <c r="D63">
        <f>B63</f>
        <v>1</v>
      </c>
      <c r="E63" s="33">
        <f ca="1">E57</f>
        <v>-276.81915105529453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-221.65931090524148</v>
      </c>
      <c r="D64" s="56">
        <f>B64</f>
        <v>2</v>
      </c>
      <c r="E64" s="33">
        <f t="dataTable" ref="E64:E562" dt2D="0" dtr="0" r1="E62" ca="1"/>
        <v>-239.67251081237862</v>
      </c>
      <c r="K64" s="54"/>
      <c r="L64" s="54"/>
    </row>
    <row r="65" spans="2:12" x14ac:dyDescent="0.3">
      <c r="B65" s="56">
        <v>3</v>
      </c>
      <c r="C65" s="33">
        <v>44.545300264822245</v>
      </c>
      <c r="D65" s="56">
        <f t="shared" ref="D65:D128" si="1">B65</f>
        <v>3</v>
      </c>
      <c r="E65" s="33">
        <v>-146.29433740952635</v>
      </c>
      <c r="K65" s="54"/>
      <c r="L65" s="54"/>
    </row>
    <row r="66" spans="2:12" x14ac:dyDescent="0.3">
      <c r="B66" s="56">
        <v>4</v>
      </c>
      <c r="C66" s="33">
        <v>-483.23628499251822</v>
      </c>
      <c r="D66" s="56">
        <f t="shared" si="1"/>
        <v>4</v>
      </c>
      <c r="E66" s="33">
        <v>-348.14723992062926</v>
      </c>
      <c r="K66" s="54"/>
      <c r="L66" s="54"/>
    </row>
    <row r="67" spans="2:12" x14ac:dyDescent="0.3">
      <c r="B67" s="56">
        <v>5</v>
      </c>
      <c r="C67" s="33">
        <v>-6.7573324512024868</v>
      </c>
      <c r="D67" s="56">
        <f t="shared" si="1"/>
        <v>5</v>
      </c>
      <c r="E67" s="33">
        <v>63.547652469509444</v>
      </c>
      <c r="K67" s="54"/>
      <c r="L67" s="54"/>
    </row>
    <row r="68" spans="2:12" x14ac:dyDescent="0.3">
      <c r="B68" s="56">
        <v>6</v>
      </c>
      <c r="C68" s="33">
        <v>-242.63217395208858</v>
      </c>
      <c r="D68" s="56">
        <f t="shared" si="1"/>
        <v>6</v>
      </c>
      <c r="E68" s="33">
        <v>-29.210733786125587</v>
      </c>
      <c r="K68" s="54"/>
      <c r="L68" s="54"/>
    </row>
    <row r="69" spans="2:12" x14ac:dyDescent="0.3">
      <c r="B69" s="56">
        <v>7</v>
      </c>
      <c r="C69" s="33">
        <v>-265.97108696656039</v>
      </c>
      <c r="D69" s="56">
        <f t="shared" si="1"/>
        <v>7</v>
      </c>
      <c r="E69" s="33">
        <v>-248.95621953920761</v>
      </c>
      <c r="K69" s="54"/>
      <c r="L69" s="54"/>
    </row>
    <row r="70" spans="2:12" x14ac:dyDescent="0.3">
      <c r="B70" s="56">
        <v>8</v>
      </c>
      <c r="C70" s="33">
        <v>-109.08925166743329</v>
      </c>
      <c r="D70" s="56">
        <f t="shared" si="1"/>
        <v>8</v>
      </c>
      <c r="E70" s="33">
        <v>-4.8496692017390899</v>
      </c>
      <c r="K70" s="54"/>
      <c r="L70" s="54"/>
    </row>
    <row r="71" spans="2:12" x14ac:dyDescent="0.3">
      <c r="B71" s="56">
        <v>9</v>
      </c>
      <c r="C71" s="33">
        <v>-234.47015898739224</v>
      </c>
      <c r="D71" s="56">
        <f t="shared" si="1"/>
        <v>9</v>
      </c>
      <c r="E71" s="33">
        <v>-116.07516938970915</v>
      </c>
      <c r="K71" s="54"/>
      <c r="L71" s="54"/>
    </row>
    <row r="72" spans="2:12" x14ac:dyDescent="0.3">
      <c r="B72" s="56">
        <v>10</v>
      </c>
      <c r="C72" s="33">
        <v>-196.9172508369451</v>
      </c>
      <c r="D72" s="56">
        <f t="shared" si="1"/>
        <v>10</v>
      </c>
      <c r="E72" s="33">
        <v>-127.41785688365241</v>
      </c>
      <c r="K72" s="54"/>
      <c r="L72" s="54"/>
    </row>
    <row r="73" spans="2:12" x14ac:dyDescent="0.3">
      <c r="B73" s="56">
        <v>11</v>
      </c>
      <c r="C73" s="33">
        <v>209.45035687680934</v>
      </c>
      <c r="D73" s="56">
        <f t="shared" si="1"/>
        <v>11</v>
      </c>
      <c r="E73" s="33">
        <v>-245.89857300222747</v>
      </c>
      <c r="K73" s="54"/>
      <c r="L73" s="54"/>
    </row>
    <row r="74" spans="2:12" x14ac:dyDescent="0.3">
      <c r="B74" s="56">
        <v>12</v>
      </c>
      <c r="C74" s="33">
        <v>-236.9873394000002</v>
      </c>
      <c r="D74" s="56">
        <f t="shared" si="1"/>
        <v>12</v>
      </c>
      <c r="E74" s="33">
        <v>-190.22848306674592</v>
      </c>
      <c r="K74" s="54"/>
      <c r="L74" s="54"/>
    </row>
    <row r="75" spans="2:12" x14ac:dyDescent="0.3">
      <c r="B75" s="56">
        <v>13</v>
      </c>
      <c r="C75" s="33">
        <v>-26.707541874218016</v>
      </c>
      <c r="D75" s="56">
        <f t="shared" si="1"/>
        <v>13</v>
      </c>
      <c r="E75" s="33">
        <v>-8.8267956090216728</v>
      </c>
      <c r="K75" s="54"/>
      <c r="L75" s="54"/>
    </row>
    <row r="76" spans="2:12" x14ac:dyDescent="0.3">
      <c r="B76" s="56">
        <v>14</v>
      </c>
      <c r="C76" s="33">
        <v>-61.566802396075339</v>
      </c>
      <c r="D76" s="56">
        <f t="shared" si="1"/>
        <v>14</v>
      </c>
      <c r="E76" s="33">
        <v>-62.479201896474507</v>
      </c>
      <c r="K76" s="54"/>
      <c r="L76" s="54"/>
    </row>
    <row r="77" spans="2:12" x14ac:dyDescent="0.3">
      <c r="B77" s="56">
        <v>15</v>
      </c>
      <c r="C77" s="33">
        <v>-249.42101624795913</v>
      </c>
      <c r="D77" s="56">
        <f t="shared" si="1"/>
        <v>15</v>
      </c>
      <c r="E77" s="33">
        <v>-60.850241978667839</v>
      </c>
      <c r="K77" s="54"/>
      <c r="L77" s="54"/>
    </row>
    <row r="78" spans="2:12" x14ac:dyDescent="0.3">
      <c r="B78" s="56">
        <v>16</v>
      </c>
      <c r="C78" s="33">
        <v>-115.10162330224401</v>
      </c>
      <c r="D78" s="56">
        <f t="shared" si="1"/>
        <v>16</v>
      </c>
      <c r="E78" s="33">
        <v>-298.67021044298031</v>
      </c>
      <c r="K78" s="54"/>
      <c r="L78" s="54"/>
    </row>
    <row r="79" spans="2:12" x14ac:dyDescent="0.3">
      <c r="B79" s="56">
        <v>17</v>
      </c>
      <c r="C79" s="33">
        <v>191.34734151422907</v>
      </c>
      <c r="D79" s="56">
        <f t="shared" si="1"/>
        <v>17</v>
      </c>
      <c r="E79" s="33">
        <v>147.29575950883037</v>
      </c>
      <c r="K79" s="54"/>
      <c r="L79" s="54"/>
    </row>
    <row r="80" spans="2:12" x14ac:dyDescent="0.3">
      <c r="B80" s="56">
        <v>18</v>
      </c>
      <c r="C80" s="33">
        <v>326.20351488832364</v>
      </c>
      <c r="D80" s="56">
        <f t="shared" si="1"/>
        <v>18</v>
      </c>
      <c r="E80" s="33">
        <v>-331.4888788439539</v>
      </c>
      <c r="K80" s="54"/>
      <c r="L80" s="54"/>
    </row>
    <row r="81" spans="2:12" x14ac:dyDescent="0.3">
      <c r="B81" s="56">
        <v>19</v>
      </c>
      <c r="C81" s="33">
        <v>-394.68429532428894</v>
      </c>
      <c r="D81" s="56">
        <f t="shared" si="1"/>
        <v>19</v>
      </c>
      <c r="E81" s="33">
        <v>-95.961885827606125</v>
      </c>
      <c r="K81" s="54"/>
      <c r="L81" s="54"/>
    </row>
    <row r="82" spans="2:12" x14ac:dyDescent="0.3">
      <c r="B82" s="56">
        <v>20</v>
      </c>
      <c r="C82" s="33">
        <v>-9.3719950342130822</v>
      </c>
      <c r="D82" s="56">
        <f t="shared" si="1"/>
        <v>20</v>
      </c>
      <c r="E82" s="33">
        <v>-126.48414812199498</v>
      </c>
      <c r="K82" s="54"/>
      <c r="L82" s="54"/>
    </row>
    <row r="83" spans="2:12" x14ac:dyDescent="0.3">
      <c r="B83" s="56">
        <v>21</v>
      </c>
      <c r="C83" s="33">
        <v>34.364751193054197</v>
      </c>
      <c r="D83" s="56">
        <f t="shared" si="1"/>
        <v>21</v>
      </c>
      <c r="E83" s="33">
        <v>60.514451379474409</v>
      </c>
      <c r="K83" s="54"/>
      <c r="L83" s="54"/>
    </row>
    <row r="84" spans="2:12" x14ac:dyDescent="0.3">
      <c r="B84" s="56">
        <v>22</v>
      </c>
      <c r="C84" s="33">
        <v>35.005157822384383</v>
      </c>
      <c r="D84" s="56">
        <f t="shared" si="1"/>
        <v>22</v>
      </c>
      <c r="E84" s="33">
        <v>-108.70918139242448</v>
      </c>
      <c r="K84" s="54"/>
      <c r="L84" s="54"/>
    </row>
    <row r="85" spans="2:12" x14ac:dyDescent="0.3">
      <c r="B85" s="56">
        <v>23</v>
      </c>
      <c r="C85" s="33">
        <v>176.65159431863103</v>
      </c>
      <c r="D85" s="56">
        <f t="shared" si="1"/>
        <v>23</v>
      </c>
      <c r="E85" s="33">
        <v>39.136303586359276</v>
      </c>
      <c r="K85" s="54"/>
      <c r="L85" s="54"/>
    </row>
    <row r="86" spans="2:12" x14ac:dyDescent="0.3">
      <c r="B86" s="56">
        <v>24</v>
      </c>
      <c r="C86" s="33">
        <v>-40.423670288167223</v>
      </c>
      <c r="D86" s="56">
        <f t="shared" si="1"/>
        <v>24</v>
      </c>
      <c r="E86" s="33">
        <v>-35.161309066380383</v>
      </c>
      <c r="K86" s="54"/>
      <c r="L86" s="54"/>
    </row>
    <row r="87" spans="2:12" x14ac:dyDescent="0.3">
      <c r="B87" s="56">
        <v>25</v>
      </c>
      <c r="C87" s="33">
        <v>-158.44734013670671</v>
      </c>
      <c r="D87" s="56">
        <f t="shared" si="1"/>
        <v>25</v>
      </c>
      <c r="E87" s="33">
        <v>-169.35914643266253</v>
      </c>
      <c r="K87" s="54"/>
      <c r="L87" s="54"/>
    </row>
    <row r="88" spans="2:12" x14ac:dyDescent="0.3">
      <c r="B88" s="56">
        <v>26</v>
      </c>
      <c r="C88" s="33">
        <v>151.91538812242266</v>
      </c>
      <c r="D88" s="56">
        <f t="shared" si="1"/>
        <v>26</v>
      </c>
      <c r="E88" s="33">
        <v>-57.84583791208938</v>
      </c>
      <c r="K88" s="54"/>
      <c r="L88" s="54"/>
    </row>
    <row r="89" spans="2:12" x14ac:dyDescent="0.3">
      <c r="B89" s="56">
        <v>27</v>
      </c>
      <c r="C89" s="33">
        <v>74.457947107882461</v>
      </c>
      <c r="D89" s="56">
        <f t="shared" si="1"/>
        <v>27</v>
      </c>
      <c r="E89" s="33">
        <v>-85.893744488339394</v>
      </c>
      <c r="K89" s="54"/>
      <c r="L89" s="54"/>
    </row>
    <row r="90" spans="2:12" x14ac:dyDescent="0.3">
      <c r="B90" s="56">
        <v>28</v>
      </c>
      <c r="C90" s="33">
        <v>-101.66170734622817</v>
      </c>
      <c r="D90" s="56">
        <f t="shared" si="1"/>
        <v>28</v>
      </c>
      <c r="E90" s="33">
        <v>-187.06883218563183</v>
      </c>
      <c r="K90" s="54"/>
      <c r="L90" s="54"/>
    </row>
    <row r="91" spans="2:12" x14ac:dyDescent="0.3">
      <c r="B91" s="56">
        <v>29</v>
      </c>
      <c r="C91" s="33">
        <v>-27.971068705894915</v>
      </c>
      <c r="D91" s="56">
        <f t="shared" si="1"/>
        <v>29</v>
      </c>
      <c r="E91" s="33">
        <v>-265.07827921079468</v>
      </c>
      <c r="K91" s="54"/>
      <c r="L91" s="54"/>
    </row>
    <row r="92" spans="2:12" x14ac:dyDescent="0.3">
      <c r="B92" s="56">
        <v>30</v>
      </c>
      <c r="C92" s="33">
        <v>-274.69291968604949</v>
      </c>
      <c r="D92" s="56">
        <f t="shared" si="1"/>
        <v>30</v>
      </c>
      <c r="E92" s="33">
        <v>-149.16202158016569</v>
      </c>
      <c r="K92" s="54"/>
      <c r="L92" s="54"/>
    </row>
    <row r="93" spans="2:12" x14ac:dyDescent="0.3">
      <c r="B93" s="56">
        <v>31</v>
      </c>
      <c r="C93" s="33">
        <v>56.569755551615209</v>
      </c>
      <c r="D93" s="56">
        <f t="shared" si="1"/>
        <v>31</v>
      </c>
      <c r="E93" s="33">
        <v>-186.72193763192746</v>
      </c>
      <c r="K93" s="54"/>
      <c r="L93" s="54"/>
    </row>
    <row r="94" spans="2:12" x14ac:dyDescent="0.3">
      <c r="B94" s="56">
        <v>32</v>
      </c>
      <c r="C94" s="33">
        <v>-194.14528144207523</v>
      </c>
      <c r="D94" s="56">
        <f t="shared" si="1"/>
        <v>32</v>
      </c>
      <c r="E94" s="33">
        <v>-341.40886187057902</v>
      </c>
      <c r="K94" s="54"/>
      <c r="L94" s="54"/>
    </row>
    <row r="95" spans="2:12" x14ac:dyDescent="0.3">
      <c r="B95" s="56">
        <v>33</v>
      </c>
      <c r="C95" s="33">
        <v>105.36356467749525</v>
      </c>
      <c r="D95" s="56">
        <f t="shared" si="1"/>
        <v>33</v>
      </c>
      <c r="E95" s="33">
        <v>-161.78785615122885</v>
      </c>
      <c r="K95" s="54"/>
      <c r="L95" s="54"/>
    </row>
    <row r="96" spans="2:12" x14ac:dyDescent="0.3">
      <c r="B96" s="56">
        <v>34</v>
      </c>
      <c r="C96" s="33">
        <v>-264.25170028425674</v>
      </c>
      <c r="D96" s="56">
        <f t="shared" si="1"/>
        <v>34</v>
      </c>
      <c r="E96" s="33">
        <v>-297.23040028887004</v>
      </c>
      <c r="K96" s="54"/>
      <c r="L96" s="54"/>
    </row>
    <row r="97" spans="2:12" x14ac:dyDescent="0.3">
      <c r="B97" s="56">
        <v>35</v>
      </c>
      <c r="C97" s="33">
        <v>-1.0101249813263671</v>
      </c>
      <c r="D97" s="56">
        <f t="shared" si="1"/>
        <v>35</v>
      </c>
      <c r="E97" s="33">
        <v>-230.00835074267559</v>
      </c>
      <c r="K97" s="54"/>
      <c r="L97" s="54"/>
    </row>
    <row r="98" spans="2:12" x14ac:dyDescent="0.3">
      <c r="B98" s="56">
        <v>36</v>
      </c>
      <c r="C98" s="33">
        <v>-19.508658298424759</v>
      </c>
      <c r="D98" s="56">
        <f t="shared" si="1"/>
        <v>36</v>
      </c>
      <c r="E98" s="33">
        <v>-107.04014137982541</v>
      </c>
      <c r="K98" s="54"/>
      <c r="L98" s="54"/>
    </row>
    <row r="99" spans="2:12" x14ac:dyDescent="0.3">
      <c r="B99" s="56">
        <v>37</v>
      </c>
      <c r="C99" s="33">
        <v>-390.7655587361013</v>
      </c>
      <c r="D99" s="56">
        <f t="shared" si="1"/>
        <v>37</v>
      </c>
      <c r="E99" s="33">
        <v>37.901032885012725</v>
      </c>
      <c r="K99" s="54"/>
      <c r="L99" s="54"/>
    </row>
    <row r="100" spans="2:12" x14ac:dyDescent="0.3">
      <c r="B100" s="56">
        <v>38</v>
      </c>
      <c r="C100" s="33">
        <v>51.294740702776636</v>
      </c>
      <c r="D100" s="56">
        <f t="shared" si="1"/>
        <v>38</v>
      </c>
      <c r="E100" s="33">
        <v>-173.61028011563391</v>
      </c>
      <c r="K100" s="54"/>
      <c r="L100" s="54"/>
    </row>
    <row r="101" spans="2:12" x14ac:dyDescent="0.3">
      <c r="B101" s="56">
        <v>39</v>
      </c>
      <c r="C101" s="33">
        <v>-404.6305966486039</v>
      </c>
      <c r="D101" s="56">
        <f t="shared" si="1"/>
        <v>39</v>
      </c>
      <c r="E101" s="33">
        <v>-211.96800976906971</v>
      </c>
      <c r="K101" s="54"/>
      <c r="L101" s="54"/>
    </row>
    <row r="102" spans="2:12" x14ac:dyDescent="0.3">
      <c r="B102" s="56">
        <v>40</v>
      </c>
      <c r="C102" s="33">
        <v>-76.689906061210706</v>
      </c>
      <c r="D102" s="56">
        <f t="shared" si="1"/>
        <v>40</v>
      </c>
      <c r="E102" s="33">
        <v>-303.10882612431425</v>
      </c>
      <c r="K102" s="54"/>
      <c r="L102" s="54"/>
    </row>
    <row r="103" spans="2:12" x14ac:dyDescent="0.3">
      <c r="B103" s="56">
        <v>41</v>
      </c>
      <c r="C103" s="33">
        <v>30.935621964268925</v>
      </c>
      <c r="D103" s="56">
        <f t="shared" si="1"/>
        <v>41</v>
      </c>
      <c r="E103" s="33">
        <v>-6.2043031795504646</v>
      </c>
      <c r="K103" s="54"/>
      <c r="L103" s="54"/>
    </row>
    <row r="104" spans="2:12" x14ac:dyDescent="0.3">
      <c r="B104" s="56">
        <v>42</v>
      </c>
      <c r="C104" s="33">
        <v>-28.462678656480513</v>
      </c>
      <c r="D104" s="56">
        <f t="shared" si="1"/>
        <v>42</v>
      </c>
      <c r="E104" s="33">
        <v>-346.5526982938888</v>
      </c>
      <c r="K104" s="54"/>
      <c r="L104" s="54"/>
    </row>
    <row r="105" spans="2:12" x14ac:dyDescent="0.3">
      <c r="B105" s="56">
        <v>43</v>
      </c>
      <c r="C105" s="33">
        <v>-93.934154457189123</v>
      </c>
      <c r="D105" s="56">
        <f t="shared" si="1"/>
        <v>43</v>
      </c>
      <c r="E105" s="33">
        <v>-56.810557177381611</v>
      </c>
      <c r="K105" s="54"/>
      <c r="L105" s="54"/>
    </row>
    <row r="106" spans="2:12" x14ac:dyDescent="0.3">
      <c r="B106" s="56">
        <v>44</v>
      </c>
      <c r="C106" s="33">
        <v>65.37353405661085</v>
      </c>
      <c r="D106" s="56">
        <f t="shared" si="1"/>
        <v>44</v>
      </c>
      <c r="E106" s="33">
        <v>192.04903311497918</v>
      </c>
      <c r="K106" s="54"/>
      <c r="L106" s="54"/>
    </row>
    <row r="107" spans="2:12" x14ac:dyDescent="0.3">
      <c r="B107" s="56">
        <v>45</v>
      </c>
      <c r="C107" s="33">
        <v>16.944934580037582</v>
      </c>
      <c r="D107" s="56">
        <f t="shared" si="1"/>
        <v>45</v>
      </c>
      <c r="E107" s="33">
        <v>-413.38774917658304</v>
      </c>
      <c r="K107" s="54"/>
      <c r="L107" s="54"/>
    </row>
    <row r="108" spans="2:12" x14ac:dyDescent="0.3">
      <c r="B108" s="56">
        <v>46</v>
      </c>
      <c r="C108" s="33">
        <v>-26.930380959737125</v>
      </c>
      <c r="D108" s="56">
        <f t="shared" si="1"/>
        <v>46</v>
      </c>
      <c r="E108" s="33">
        <v>-209.42251466942713</v>
      </c>
      <c r="K108" s="54"/>
      <c r="L108" s="54"/>
    </row>
    <row r="109" spans="2:12" x14ac:dyDescent="0.3">
      <c r="B109" s="56">
        <v>47</v>
      </c>
      <c r="C109" s="33">
        <v>51.20115992740611</v>
      </c>
      <c r="D109" s="56">
        <f t="shared" si="1"/>
        <v>47</v>
      </c>
      <c r="E109" s="33">
        <v>-269.43118655985194</v>
      </c>
      <c r="K109" s="54"/>
      <c r="L109" s="54"/>
    </row>
    <row r="110" spans="2:12" x14ac:dyDescent="0.3">
      <c r="B110" s="56">
        <v>48</v>
      </c>
      <c r="C110" s="33">
        <v>-69.849880410633432</v>
      </c>
      <c r="D110" s="56">
        <f t="shared" si="1"/>
        <v>48</v>
      </c>
      <c r="E110" s="33">
        <v>-29.79731714910352</v>
      </c>
      <c r="K110" s="54"/>
      <c r="L110" s="54"/>
    </row>
    <row r="111" spans="2:12" x14ac:dyDescent="0.3">
      <c r="B111" s="56">
        <v>49</v>
      </c>
      <c r="C111" s="33">
        <v>-63.848604327664553</v>
      </c>
      <c r="D111" s="56">
        <f t="shared" si="1"/>
        <v>49</v>
      </c>
      <c r="E111" s="33">
        <v>-45.771668362084768</v>
      </c>
      <c r="K111" s="54"/>
      <c r="L111" s="54"/>
    </row>
    <row r="112" spans="2:12" x14ac:dyDescent="0.3">
      <c r="B112" s="56">
        <v>50</v>
      </c>
      <c r="C112" s="33">
        <v>-38.58736630149609</v>
      </c>
      <c r="D112" s="56">
        <f t="shared" si="1"/>
        <v>50</v>
      </c>
      <c r="E112" s="33">
        <v>-171.32336597542928</v>
      </c>
      <c r="K112" s="54"/>
      <c r="L112" s="54"/>
    </row>
    <row r="113" spans="2:12" x14ac:dyDescent="0.3">
      <c r="B113" s="56">
        <v>51</v>
      </c>
      <c r="C113" s="33">
        <v>116.62058473313147</v>
      </c>
      <c r="D113" s="56">
        <f t="shared" si="1"/>
        <v>51</v>
      </c>
      <c r="E113" s="33">
        <v>-114.0258279205751</v>
      </c>
      <c r="K113" s="54"/>
      <c r="L113" s="54"/>
    </row>
    <row r="114" spans="2:12" x14ac:dyDescent="0.3">
      <c r="B114" s="56">
        <v>52</v>
      </c>
      <c r="C114" s="33">
        <v>-188.83314088689187</v>
      </c>
      <c r="D114" s="56">
        <f t="shared" si="1"/>
        <v>52</v>
      </c>
      <c r="E114" s="33">
        <v>-99.092548161571855</v>
      </c>
      <c r="K114" s="54"/>
      <c r="L114" s="54"/>
    </row>
    <row r="115" spans="2:12" x14ac:dyDescent="0.3">
      <c r="B115" s="56">
        <v>53</v>
      </c>
      <c r="C115" s="33">
        <v>-81.14879762759594</v>
      </c>
      <c r="D115" s="56">
        <f t="shared" si="1"/>
        <v>53</v>
      </c>
      <c r="E115" s="33">
        <v>-111.25162326299581</v>
      </c>
      <c r="K115" s="54"/>
      <c r="L115" s="54"/>
    </row>
    <row r="116" spans="2:12" x14ac:dyDescent="0.3">
      <c r="B116" s="56">
        <v>54</v>
      </c>
      <c r="C116" s="33">
        <v>-271.54103619600636</v>
      </c>
      <c r="D116" s="56">
        <f t="shared" si="1"/>
        <v>54</v>
      </c>
      <c r="E116" s="33">
        <v>-253.71627924130647</v>
      </c>
      <c r="K116" s="54"/>
      <c r="L116" s="54"/>
    </row>
    <row r="117" spans="2:12" x14ac:dyDescent="0.3">
      <c r="B117" s="56">
        <v>55</v>
      </c>
      <c r="C117" s="33">
        <v>-227.36578619882633</v>
      </c>
      <c r="D117" s="56">
        <f t="shared" si="1"/>
        <v>55</v>
      </c>
      <c r="E117" s="33">
        <v>-137.76373486349831</v>
      </c>
      <c r="K117" s="54"/>
      <c r="L117" s="54"/>
    </row>
    <row r="118" spans="2:12" x14ac:dyDescent="0.3">
      <c r="B118" s="56">
        <v>56</v>
      </c>
      <c r="C118" s="33">
        <v>99.782388238494875</v>
      </c>
      <c r="D118" s="56">
        <f t="shared" si="1"/>
        <v>56</v>
      </c>
      <c r="E118" s="33">
        <v>-155.80663305277773</v>
      </c>
      <c r="K118" s="54"/>
      <c r="L118" s="54"/>
    </row>
    <row r="119" spans="2:12" x14ac:dyDescent="0.3">
      <c r="B119" s="56">
        <v>57</v>
      </c>
      <c r="C119" s="33">
        <v>-194.54133807055325</v>
      </c>
      <c r="D119" s="56">
        <f t="shared" si="1"/>
        <v>57</v>
      </c>
      <c r="E119" s="33">
        <v>-110.69619534007839</v>
      </c>
      <c r="K119" s="54"/>
      <c r="L119" s="54"/>
    </row>
    <row r="120" spans="2:12" x14ac:dyDescent="0.3">
      <c r="B120" s="56">
        <v>58</v>
      </c>
      <c r="C120" s="33">
        <v>-76.998495612514532</v>
      </c>
      <c r="D120" s="56">
        <f t="shared" si="1"/>
        <v>58</v>
      </c>
      <c r="E120" s="33">
        <v>-250.39139265580815</v>
      </c>
      <c r="K120" s="54"/>
      <c r="L120" s="54"/>
    </row>
    <row r="121" spans="2:12" x14ac:dyDescent="0.3">
      <c r="B121" s="56">
        <v>59</v>
      </c>
      <c r="C121" s="33">
        <v>-47.288223533386038</v>
      </c>
      <c r="D121" s="56">
        <f t="shared" si="1"/>
        <v>59</v>
      </c>
      <c r="E121" s="33">
        <v>22.782664468251284</v>
      </c>
      <c r="K121" s="54"/>
      <c r="L121" s="54"/>
    </row>
    <row r="122" spans="2:12" x14ac:dyDescent="0.3">
      <c r="B122" s="56">
        <v>60</v>
      </c>
      <c r="C122" s="33">
        <v>-2.6751855887751539</v>
      </c>
      <c r="D122" s="56">
        <f t="shared" si="1"/>
        <v>60</v>
      </c>
      <c r="E122" s="33">
        <v>-70.622507167339705</v>
      </c>
      <c r="K122" s="54"/>
      <c r="L122" s="54"/>
    </row>
    <row r="123" spans="2:12" x14ac:dyDescent="0.3">
      <c r="B123" s="56">
        <v>61</v>
      </c>
      <c r="C123" s="33">
        <v>-233.71426332451995</v>
      </c>
      <c r="D123" s="56">
        <f t="shared" si="1"/>
        <v>61</v>
      </c>
      <c r="E123" s="33">
        <v>-49.854164134983677</v>
      </c>
      <c r="K123" s="54"/>
      <c r="L123" s="54"/>
    </row>
    <row r="124" spans="2:12" x14ac:dyDescent="0.3">
      <c r="B124" s="56">
        <v>62</v>
      </c>
      <c r="C124" s="33">
        <v>-241.66585105026621</v>
      </c>
      <c r="D124" s="56">
        <f t="shared" si="1"/>
        <v>62</v>
      </c>
      <c r="E124" s="33">
        <v>-277.5893277271058</v>
      </c>
      <c r="K124" s="54"/>
      <c r="L124" s="54"/>
    </row>
    <row r="125" spans="2:12" x14ac:dyDescent="0.3">
      <c r="B125" s="56">
        <v>63</v>
      </c>
      <c r="C125" s="33">
        <v>-266.48376230648472</v>
      </c>
      <c r="D125" s="56">
        <f t="shared" si="1"/>
        <v>63</v>
      </c>
      <c r="E125" s="33">
        <v>-364.66536445235857</v>
      </c>
      <c r="K125" s="54"/>
      <c r="L125" s="54"/>
    </row>
    <row r="126" spans="2:12" x14ac:dyDescent="0.3">
      <c r="B126" s="56">
        <v>64</v>
      </c>
      <c r="C126" s="33">
        <v>59.774770823856208</v>
      </c>
      <c r="D126" s="56">
        <f t="shared" si="1"/>
        <v>64</v>
      </c>
      <c r="E126" s="33">
        <v>-69.456810408268908</v>
      </c>
      <c r="K126" s="54"/>
      <c r="L126" s="54"/>
    </row>
    <row r="127" spans="2:12" x14ac:dyDescent="0.3">
      <c r="B127" s="56">
        <v>65</v>
      </c>
      <c r="C127" s="33">
        <v>140.84475046240377</v>
      </c>
      <c r="D127" s="56">
        <f t="shared" si="1"/>
        <v>65</v>
      </c>
      <c r="E127" s="33">
        <v>28.723700775289274</v>
      </c>
      <c r="K127" s="54"/>
      <c r="L127" s="54"/>
    </row>
    <row r="128" spans="2:12" x14ac:dyDescent="0.3">
      <c r="B128" s="56">
        <v>66</v>
      </c>
      <c r="C128" s="33">
        <v>-70.648556237772482</v>
      </c>
      <c r="D128" s="56">
        <f t="shared" si="1"/>
        <v>66</v>
      </c>
      <c r="E128" s="33">
        <v>-276.28421730821339</v>
      </c>
      <c r="K128" s="54"/>
      <c r="L128" s="54"/>
    </row>
    <row r="129" spans="2:12" x14ac:dyDescent="0.3">
      <c r="B129" s="56">
        <v>67</v>
      </c>
      <c r="C129" s="33">
        <v>-310.9765044390723</v>
      </c>
      <c r="D129" s="56">
        <f t="shared" ref="D129:D192" si="2">B129</f>
        <v>67</v>
      </c>
      <c r="E129" s="33">
        <v>-115.65008349920376</v>
      </c>
      <c r="K129" s="54"/>
      <c r="L129" s="54"/>
    </row>
    <row r="130" spans="2:12" x14ac:dyDescent="0.3">
      <c r="B130" s="56">
        <v>68</v>
      </c>
      <c r="C130" s="33">
        <v>-454.17588240611519</v>
      </c>
      <c r="D130" s="56">
        <f t="shared" si="2"/>
        <v>68</v>
      </c>
      <c r="E130" s="33">
        <v>-166.65860838039904</v>
      </c>
      <c r="K130" s="54"/>
      <c r="L130" s="54"/>
    </row>
    <row r="131" spans="2:12" x14ac:dyDescent="0.3">
      <c r="B131" s="56">
        <v>69</v>
      </c>
      <c r="C131" s="33">
        <v>214.25452979217138</v>
      </c>
      <c r="D131" s="56">
        <f t="shared" si="2"/>
        <v>69</v>
      </c>
      <c r="E131" s="33">
        <v>-61.954148631116155</v>
      </c>
      <c r="K131" s="54"/>
      <c r="L131" s="54"/>
    </row>
    <row r="132" spans="2:12" x14ac:dyDescent="0.3">
      <c r="B132" s="56">
        <v>70</v>
      </c>
      <c r="C132" s="33">
        <v>136.50611964030526</v>
      </c>
      <c r="D132" s="56">
        <f t="shared" si="2"/>
        <v>70</v>
      </c>
      <c r="E132" s="33">
        <v>-163.49696086467617</v>
      </c>
      <c r="K132" s="54"/>
      <c r="L132" s="54"/>
    </row>
    <row r="133" spans="2:12" x14ac:dyDescent="0.3">
      <c r="B133" s="56">
        <v>71</v>
      </c>
      <c r="C133" s="33">
        <v>-30.347326385734466</v>
      </c>
      <c r="D133" s="56">
        <f t="shared" si="2"/>
        <v>71</v>
      </c>
      <c r="E133" s="33">
        <v>-40.760122748104365</v>
      </c>
      <c r="K133" s="54"/>
      <c r="L133" s="54"/>
    </row>
    <row r="134" spans="2:12" x14ac:dyDescent="0.3">
      <c r="B134" s="56">
        <v>72</v>
      </c>
      <c r="C134" s="33">
        <v>-10.410285185045584</v>
      </c>
      <c r="D134" s="56">
        <f t="shared" si="2"/>
        <v>72</v>
      </c>
      <c r="E134" s="33">
        <v>-41.674776966929272</v>
      </c>
      <c r="K134" s="54"/>
      <c r="L134" s="54"/>
    </row>
    <row r="135" spans="2:12" x14ac:dyDescent="0.3">
      <c r="B135" s="56">
        <v>73</v>
      </c>
      <c r="C135" s="33">
        <v>-20.174648398320134</v>
      </c>
      <c r="D135" s="56">
        <f t="shared" si="2"/>
        <v>73</v>
      </c>
      <c r="E135" s="33">
        <v>-291.06077158257057</v>
      </c>
      <c r="K135" s="54"/>
      <c r="L135" s="54"/>
    </row>
    <row r="136" spans="2:12" x14ac:dyDescent="0.3">
      <c r="B136" s="56">
        <v>74</v>
      </c>
      <c r="C136" s="33">
        <v>-39.809733131355983</v>
      </c>
      <c r="D136" s="56">
        <f t="shared" si="2"/>
        <v>74</v>
      </c>
      <c r="E136" s="33">
        <v>-523.40238526454721</v>
      </c>
      <c r="K136" s="54"/>
      <c r="L136" s="54"/>
    </row>
    <row r="137" spans="2:12" x14ac:dyDescent="0.3">
      <c r="B137" s="56">
        <v>75</v>
      </c>
      <c r="C137" s="33">
        <v>146.82694823521237</v>
      </c>
      <c r="D137" s="56">
        <f t="shared" si="2"/>
        <v>75</v>
      </c>
      <c r="E137" s="33">
        <v>-165.11899358572322</v>
      </c>
      <c r="K137" s="54"/>
      <c r="L137" s="54"/>
    </row>
    <row r="138" spans="2:12" x14ac:dyDescent="0.3">
      <c r="B138" s="56">
        <v>76</v>
      </c>
      <c r="C138" s="33">
        <v>28.381159078354155</v>
      </c>
      <c r="D138" s="56">
        <f t="shared" si="2"/>
        <v>76</v>
      </c>
      <c r="E138" s="33">
        <v>-77.829514881187578</v>
      </c>
      <c r="K138" s="54"/>
      <c r="L138" s="54"/>
    </row>
    <row r="139" spans="2:12" x14ac:dyDescent="0.3">
      <c r="B139" s="56">
        <v>77</v>
      </c>
      <c r="C139" s="33">
        <v>233.68236299003456</v>
      </c>
      <c r="D139" s="56">
        <f t="shared" si="2"/>
        <v>77</v>
      </c>
      <c r="E139" s="33">
        <v>-258.06662445263146</v>
      </c>
      <c r="K139" s="54"/>
      <c r="L139" s="54"/>
    </row>
    <row r="140" spans="2:12" x14ac:dyDescent="0.3">
      <c r="B140" s="56">
        <v>78</v>
      </c>
      <c r="C140" s="33">
        <v>-323.81719463495153</v>
      </c>
      <c r="D140" s="56">
        <f t="shared" si="2"/>
        <v>78</v>
      </c>
      <c r="E140" s="33">
        <v>19.252334266235408</v>
      </c>
      <c r="K140" s="54"/>
      <c r="L140" s="54"/>
    </row>
    <row r="141" spans="2:12" x14ac:dyDescent="0.3">
      <c r="B141" s="56">
        <v>79</v>
      </c>
      <c r="C141" s="33">
        <v>6.4898350567831855</v>
      </c>
      <c r="D141" s="56">
        <f t="shared" si="2"/>
        <v>79</v>
      </c>
      <c r="E141" s="33">
        <v>-104.28491660730619</v>
      </c>
      <c r="K141" s="54"/>
      <c r="L141" s="54"/>
    </row>
    <row r="142" spans="2:12" x14ac:dyDescent="0.3">
      <c r="B142" s="56">
        <v>80</v>
      </c>
      <c r="C142" s="33">
        <v>-131.42702749328407</v>
      </c>
      <c r="D142" s="56">
        <f t="shared" si="2"/>
        <v>80</v>
      </c>
      <c r="E142" s="33">
        <v>-324.76449075062578</v>
      </c>
      <c r="K142" s="54"/>
      <c r="L142" s="54"/>
    </row>
    <row r="143" spans="2:12" x14ac:dyDescent="0.3">
      <c r="B143" s="56">
        <v>81</v>
      </c>
      <c r="C143" s="33">
        <v>-239.95897604667741</v>
      </c>
      <c r="D143" s="56">
        <f t="shared" si="2"/>
        <v>81</v>
      </c>
      <c r="E143" s="33">
        <v>-58.140525165238515</v>
      </c>
      <c r="K143" s="54"/>
      <c r="L143" s="54"/>
    </row>
    <row r="144" spans="2:12" x14ac:dyDescent="0.3">
      <c r="B144" s="56">
        <v>82</v>
      </c>
      <c r="C144" s="33">
        <v>-277.30635503944529</v>
      </c>
      <c r="D144" s="56">
        <f t="shared" si="2"/>
        <v>82</v>
      </c>
      <c r="E144" s="33">
        <v>-142.19079013154001</v>
      </c>
      <c r="K144" s="54"/>
      <c r="L144" s="54"/>
    </row>
    <row r="145" spans="2:12" x14ac:dyDescent="0.3">
      <c r="B145" s="56">
        <v>83</v>
      </c>
      <c r="C145" s="33">
        <v>-215.55613901533752</v>
      </c>
      <c r="D145" s="56">
        <f t="shared" si="2"/>
        <v>83</v>
      </c>
      <c r="E145" s="33">
        <v>-297.7293933438288</v>
      </c>
      <c r="K145" s="54"/>
      <c r="L145" s="54"/>
    </row>
    <row r="146" spans="2:12" x14ac:dyDescent="0.3">
      <c r="B146" s="56">
        <v>84</v>
      </c>
      <c r="C146" s="33">
        <v>-106.11540453117622</v>
      </c>
      <c r="D146" s="56">
        <f t="shared" si="2"/>
        <v>84</v>
      </c>
      <c r="E146" s="33">
        <v>88.994667276337012</v>
      </c>
      <c r="K146" s="54"/>
      <c r="L146" s="54"/>
    </row>
    <row r="147" spans="2:12" x14ac:dyDescent="0.3">
      <c r="B147" s="56">
        <v>85</v>
      </c>
      <c r="C147" s="33">
        <v>-24.800273508635385</v>
      </c>
      <c r="D147" s="56">
        <f t="shared" si="2"/>
        <v>85</v>
      </c>
      <c r="E147" s="33">
        <v>-123.63403682694653</v>
      </c>
      <c r="K147" s="54"/>
      <c r="L147" s="54"/>
    </row>
    <row r="148" spans="2:12" x14ac:dyDescent="0.3">
      <c r="B148" s="56">
        <v>86</v>
      </c>
      <c r="C148" s="33">
        <v>-312.3649655101633</v>
      </c>
      <c r="D148" s="56">
        <f t="shared" si="2"/>
        <v>86</v>
      </c>
      <c r="E148" s="33">
        <v>-300.64666029234627</v>
      </c>
      <c r="K148" s="54"/>
      <c r="L148" s="54"/>
    </row>
    <row r="149" spans="2:12" x14ac:dyDescent="0.3">
      <c r="B149" s="56">
        <v>87</v>
      </c>
      <c r="C149" s="33">
        <v>-202.97920819413972</v>
      </c>
      <c r="D149" s="56">
        <f t="shared" si="2"/>
        <v>87</v>
      </c>
      <c r="E149" s="33">
        <v>-103.132866871405</v>
      </c>
      <c r="K149" s="54"/>
      <c r="L149" s="54"/>
    </row>
    <row r="150" spans="2:12" x14ac:dyDescent="0.3">
      <c r="B150" s="56">
        <v>88</v>
      </c>
      <c r="C150" s="33">
        <v>296.10415960445471</v>
      </c>
      <c r="D150" s="56">
        <f t="shared" si="2"/>
        <v>88</v>
      </c>
      <c r="E150" s="33">
        <v>-141.4232303905047</v>
      </c>
      <c r="K150" s="54"/>
      <c r="L150" s="54"/>
    </row>
    <row r="151" spans="2:12" x14ac:dyDescent="0.3">
      <c r="B151" s="56">
        <v>89</v>
      </c>
      <c r="C151" s="33">
        <v>-131.06654919041858</v>
      </c>
      <c r="D151" s="56">
        <f t="shared" si="2"/>
        <v>89</v>
      </c>
      <c r="E151" s="33">
        <v>-39.73812256491513</v>
      </c>
      <c r="K151" s="54"/>
      <c r="L151" s="54"/>
    </row>
    <row r="152" spans="2:12" x14ac:dyDescent="0.3">
      <c r="B152" s="56">
        <v>90</v>
      </c>
      <c r="C152" s="33">
        <v>-156.33204702598476</v>
      </c>
      <c r="D152" s="56">
        <f t="shared" si="2"/>
        <v>90</v>
      </c>
      <c r="E152" s="33">
        <v>-101.52430654025446</v>
      </c>
      <c r="K152" s="54"/>
      <c r="L152" s="54"/>
    </row>
    <row r="153" spans="2:12" x14ac:dyDescent="0.3">
      <c r="B153" s="56">
        <v>91</v>
      </c>
      <c r="C153" s="33">
        <v>-105.42784574301184</v>
      </c>
      <c r="D153" s="56">
        <f t="shared" si="2"/>
        <v>91</v>
      </c>
      <c r="E153" s="33">
        <v>-190.01554520518874</v>
      </c>
      <c r="K153" s="54"/>
      <c r="L153" s="54"/>
    </row>
    <row r="154" spans="2:12" x14ac:dyDescent="0.3">
      <c r="B154" s="56">
        <v>92</v>
      </c>
      <c r="C154" s="33">
        <v>214.41629801643586</v>
      </c>
      <c r="D154" s="56">
        <f t="shared" si="2"/>
        <v>92</v>
      </c>
      <c r="E154" s="33">
        <v>33.294250618021707</v>
      </c>
      <c r="K154" s="54"/>
      <c r="L154" s="54"/>
    </row>
    <row r="155" spans="2:12" x14ac:dyDescent="0.3">
      <c r="B155" s="56">
        <v>93</v>
      </c>
      <c r="C155" s="33">
        <v>333.34409919697839</v>
      </c>
      <c r="D155" s="56">
        <f t="shared" si="2"/>
        <v>93</v>
      </c>
      <c r="E155" s="33">
        <v>-195.92652184435093</v>
      </c>
      <c r="K155" s="54"/>
      <c r="L155" s="54"/>
    </row>
    <row r="156" spans="2:12" x14ac:dyDescent="0.3">
      <c r="B156" s="56">
        <v>94</v>
      </c>
      <c r="C156" s="33">
        <v>-8.6615520335371805</v>
      </c>
      <c r="D156" s="56">
        <f t="shared" si="2"/>
        <v>94</v>
      </c>
      <c r="E156" s="33">
        <v>-342.67220272047746</v>
      </c>
      <c r="K156" s="54"/>
      <c r="L156" s="54"/>
    </row>
    <row r="157" spans="2:12" x14ac:dyDescent="0.3">
      <c r="B157" s="56">
        <v>95</v>
      </c>
      <c r="C157" s="33">
        <v>-174.61155102015144</v>
      </c>
      <c r="D157" s="56">
        <f t="shared" si="2"/>
        <v>95</v>
      </c>
      <c r="E157" s="33">
        <v>-388.93040449775299</v>
      </c>
      <c r="K157" s="54"/>
      <c r="L157" s="54"/>
    </row>
    <row r="158" spans="2:12" x14ac:dyDescent="0.3">
      <c r="B158" s="56">
        <v>96</v>
      </c>
      <c r="C158" s="33">
        <v>140.67936025270041</v>
      </c>
      <c r="D158" s="56">
        <f t="shared" si="2"/>
        <v>96</v>
      </c>
      <c r="E158" s="33">
        <v>-43.261315258834529</v>
      </c>
      <c r="K158" s="54"/>
      <c r="L158" s="54"/>
    </row>
    <row r="159" spans="2:12" x14ac:dyDescent="0.3">
      <c r="B159" s="56">
        <v>97</v>
      </c>
      <c r="C159" s="33">
        <v>-62.570182182759652</v>
      </c>
      <c r="D159" s="56">
        <f t="shared" si="2"/>
        <v>97</v>
      </c>
      <c r="E159" s="33">
        <v>-34.702561027357874</v>
      </c>
      <c r="K159" s="54"/>
      <c r="L159" s="54"/>
    </row>
    <row r="160" spans="2:12" x14ac:dyDescent="0.3">
      <c r="B160" s="56">
        <v>98</v>
      </c>
      <c r="C160" s="33">
        <v>-402.54701996584083</v>
      </c>
      <c r="D160" s="56">
        <f t="shared" si="2"/>
        <v>98</v>
      </c>
      <c r="E160" s="33">
        <v>48.548688138376214</v>
      </c>
      <c r="K160" s="54"/>
      <c r="L160" s="54"/>
    </row>
    <row r="161" spans="2:12" x14ac:dyDescent="0.3">
      <c r="B161" s="56">
        <v>99</v>
      </c>
      <c r="C161" s="33">
        <v>271.85827879574549</v>
      </c>
      <c r="D161" s="56">
        <f t="shared" si="2"/>
        <v>99</v>
      </c>
      <c r="E161" s="33">
        <v>-380.98524682079142</v>
      </c>
      <c r="K161" s="54"/>
      <c r="L161" s="54"/>
    </row>
    <row r="162" spans="2:12" x14ac:dyDescent="0.3">
      <c r="B162" s="56">
        <v>100</v>
      </c>
      <c r="C162" s="33">
        <v>175.25960989533814</v>
      </c>
      <c r="D162" s="56">
        <f t="shared" si="2"/>
        <v>100</v>
      </c>
      <c r="E162" s="33">
        <v>-162.17036637754202</v>
      </c>
      <c r="K162" s="54"/>
      <c r="L162" s="54"/>
    </row>
    <row r="163" spans="2:12" x14ac:dyDescent="0.3">
      <c r="B163" s="56">
        <v>101</v>
      </c>
      <c r="C163" s="33">
        <v>78.642264217432981</v>
      </c>
      <c r="D163" s="56">
        <f t="shared" si="2"/>
        <v>101</v>
      </c>
      <c r="E163" s="33">
        <v>-18.584549570749957</v>
      </c>
      <c r="K163" s="54"/>
      <c r="L163" s="54"/>
    </row>
    <row r="164" spans="2:12" x14ac:dyDescent="0.3">
      <c r="B164" s="56">
        <v>102</v>
      </c>
      <c r="C164" s="33">
        <v>-124.15002463864067</v>
      </c>
      <c r="D164" s="56">
        <f t="shared" si="2"/>
        <v>102</v>
      </c>
      <c r="E164" s="33">
        <v>36.512063856740511</v>
      </c>
      <c r="K164" s="54"/>
      <c r="L164" s="54"/>
    </row>
    <row r="165" spans="2:12" x14ac:dyDescent="0.3">
      <c r="B165" s="56">
        <v>103</v>
      </c>
      <c r="C165" s="33">
        <v>15.412677560946188</v>
      </c>
      <c r="D165" s="56">
        <f t="shared" si="2"/>
        <v>103</v>
      </c>
      <c r="E165" s="33">
        <v>-166.04529915541872</v>
      </c>
      <c r="K165" s="54"/>
      <c r="L165" s="54"/>
    </row>
    <row r="166" spans="2:12" x14ac:dyDescent="0.3">
      <c r="B166" s="56">
        <v>104</v>
      </c>
      <c r="C166" s="33">
        <v>3.803016893521395</v>
      </c>
      <c r="D166" s="56">
        <f t="shared" si="2"/>
        <v>104</v>
      </c>
      <c r="E166" s="33">
        <v>-130.82969340346665</v>
      </c>
    </row>
    <row r="167" spans="2:12" x14ac:dyDescent="0.3">
      <c r="B167" s="56">
        <v>105</v>
      </c>
      <c r="C167" s="33">
        <v>66.663346266758424</v>
      </c>
      <c r="D167" s="56">
        <f t="shared" si="2"/>
        <v>105</v>
      </c>
      <c r="E167" s="33">
        <v>-58.180395014226946</v>
      </c>
    </row>
    <row r="168" spans="2:12" x14ac:dyDescent="0.3">
      <c r="B168" s="56">
        <v>106</v>
      </c>
      <c r="C168" s="33">
        <v>-289.92811210754769</v>
      </c>
      <c r="D168" s="56">
        <f t="shared" si="2"/>
        <v>106</v>
      </c>
      <c r="E168" s="33">
        <v>7.4548207141973393</v>
      </c>
    </row>
    <row r="169" spans="2:12" x14ac:dyDescent="0.3">
      <c r="B169" s="56">
        <v>107</v>
      </c>
      <c r="C169" s="33">
        <v>-150.65197287159825</v>
      </c>
      <c r="D169" s="56">
        <f t="shared" si="2"/>
        <v>107</v>
      </c>
      <c r="E169" s="33">
        <v>-137.0138574804063</v>
      </c>
    </row>
    <row r="170" spans="2:12" x14ac:dyDescent="0.3">
      <c r="B170" s="56">
        <v>108</v>
      </c>
      <c r="C170" s="33">
        <v>-167.12797250431714</v>
      </c>
      <c r="D170" s="56">
        <f t="shared" si="2"/>
        <v>108</v>
      </c>
      <c r="E170" s="33">
        <v>-128.63217116053647</v>
      </c>
    </row>
    <row r="171" spans="2:12" x14ac:dyDescent="0.3">
      <c r="B171" s="56">
        <v>109</v>
      </c>
      <c r="C171" s="33">
        <v>-29.205490156595637</v>
      </c>
      <c r="D171" s="56">
        <f t="shared" si="2"/>
        <v>109</v>
      </c>
      <c r="E171" s="33">
        <v>-146.18320295972941</v>
      </c>
    </row>
    <row r="172" spans="2:12" x14ac:dyDescent="0.3">
      <c r="B172" s="56">
        <v>110</v>
      </c>
      <c r="C172" s="33">
        <v>-182.93411960580127</v>
      </c>
      <c r="D172" s="56">
        <f t="shared" si="2"/>
        <v>110</v>
      </c>
      <c r="E172" s="33">
        <v>-358.0057493066052</v>
      </c>
    </row>
    <row r="173" spans="2:12" x14ac:dyDescent="0.3">
      <c r="B173" s="56">
        <v>111</v>
      </c>
      <c r="C173" s="33">
        <v>296.26445070170615</v>
      </c>
      <c r="D173" s="56">
        <f t="shared" si="2"/>
        <v>111</v>
      </c>
      <c r="E173" s="33">
        <v>-45.380101651840533</v>
      </c>
    </row>
    <row r="174" spans="2:12" x14ac:dyDescent="0.3">
      <c r="B174" s="56">
        <v>112</v>
      </c>
      <c r="C174" s="33">
        <v>-137.06440377405553</v>
      </c>
      <c r="D174" s="56">
        <f t="shared" si="2"/>
        <v>112</v>
      </c>
      <c r="E174" s="33">
        <v>-354.9279150555322</v>
      </c>
    </row>
    <row r="175" spans="2:12" x14ac:dyDescent="0.3">
      <c r="B175" s="56">
        <v>113</v>
      </c>
      <c r="C175" s="33">
        <v>-241.42713491017426</v>
      </c>
      <c r="D175" s="56">
        <f t="shared" si="2"/>
        <v>113</v>
      </c>
      <c r="E175" s="33">
        <v>-243.49084928490211</v>
      </c>
    </row>
    <row r="176" spans="2:12" x14ac:dyDescent="0.3">
      <c r="B176" s="56">
        <v>114</v>
      </c>
      <c r="C176" s="33">
        <v>-314.01219458338579</v>
      </c>
      <c r="D176" s="56">
        <f t="shared" si="2"/>
        <v>114</v>
      </c>
      <c r="E176" s="33">
        <v>39.604290745196721</v>
      </c>
    </row>
    <row r="177" spans="2:5" x14ac:dyDescent="0.3">
      <c r="B177" s="56">
        <v>115</v>
      </c>
      <c r="C177" s="33">
        <v>-181.99593124469268</v>
      </c>
      <c r="D177" s="56">
        <f t="shared" si="2"/>
        <v>115</v>
      </c>
      <c r="E177" s="33">
        <v>-106.15081771468202</v>
      </c>
    </row>
    <row r="178" spans="2:5" x14ac:dyDescent="0.3">
      <c r="B178" s="56">
        <v>116</v>
      </c>
      <c r="C178" s="33">
        <v>-130.32173421596087</v>
      </c>
      <c r="D178" s="56">
        <f t="shared" si="2"/>
        <v>116</v>
      </c>
      <c r="E178" s="33">
        <v>-62.529547482908512</v>
      </c>
    </row>
    <row r="179" spans="2:5" x14ac:dyDescent="0.3">
      <c r="B179" s="56">
        <v>117</v>
      </c>
      <c r="C179" s="33">
        <v>-376.72416795730783</v>
      </c>
      <c r="D179" s="56">
        <f t="shared" si="2"/>
        <v>117</v>
      </c>
      <c r="E179" s="33">
        <v>-100.83389437379769</v>
      </c>
    </row>
    <row r="180" spans="2:5" x14ac:dyDescent="0.3">
      <c r="B180" s="56">
        <v>118</v>
      </c>
      <c r="C180" s="33">
        <v>23.996812589663008</v>
      </c>
      <c r="D180" s="56">
        <f t="shared" si="2"/>
        <v>118</v>
      </c>
      <c r="E180" s="33">
        <v>-229.67773796251333</v>
      </c>
    </row>
    <row r="181" spans="2:5" x14ac:dyDescent="0.3">
      <c r="B181" s="56">
        <v>119</v>
      </c>
      <c r="C181" s="33">
        <v>-379.17781711488902</v>
      </c>
      <c r="D181" s="56">
        <f t="shared" si="2"/>
        <v>119</v>
      </c>
      <c r="E181" s="33">
        <v>-169.19245229066379</v>
      </c>
    </row>
    <row r="182" spans="2:5" x14ac:dyDescent="0.3">
      <c r="B182" s="56">
        <v>120</v>
      </c>
      <c r="C182" s="33">
        <v>6.0521053781551579</v>
      </c>
      <c r="D182" s="56">
        <f t="shared" si="2"/>
        <v>120</v>
      </c>
      <c r="E182" s="33">
        <v>-219.34707587075383</v>
      </c>
    </row>
    <row r="183" spans="2:5" x14ac:dyDescent="0.3">
      <c r="B183" s="56">
        <v>121</v>
      </c>
      <c r="C183" s="33">
        <v>-251.68853110724871</v>
      </c>
      <c r="D183" s="56">
        <f t="shared" si="2"/>
        <v>121</v>
      </c>
      <c r="E183" s="33">
        <v>5.0284287209653087</v>
      </c>
    </row>
    <row r="184" spans="2:5" x14ac:dyDescent="0.3">
      <c r="B184" s="56">
        <v>122</v>
      </c>
      <c r="C184" s="33">
        <v>73.816595875600299</v>
      </c>
      <c r="D184" s="56">
        <f t="shared" si="2"/>
        <v>122</v>
      </c>
      <c r="E184" s="33">
        <v>-289.77685818134864</v>
      </c>
    </row>
    <row r="185" spans="2:5" x14ac:dyDescent="0.3">
      <c r="B185" s="56">
        <v>123</v>
      </c>
      <c r="C185" s="33">
        <v>352.86240269409018</v>
      </c>
      <c r="D185" s="56">
        <f t="shared" si="2"/>
        <v>123</v>
      </c>
      <c r="E185" s="33">
        <v>-270.32448536826695</v>
      </c>
    </row>
    <row r="186" spans="2:5" x14ac:dyDescent="0.3">
      <c r="B186" s="56">
        <v>124</v>
      </c>
      <c r="C186" s="33">
        <v>-429.44202146647416</v>
      </c>
      <c r="D186" s="56">
        <f t="shared" si="2"/>
        <v>124</v>
      </c>
      <c r="E186" s="33">
        <v>-37.813477233409031</v>
      </c>
    </row>
    <row r="187" spans="2:5" x14ac:dyDescent="0.3">
      <c r="B187" s="56">
        <v>125</v>
      </c>
      <c r="C187" s="33">
        <v>-243.91955483927171</v>
      </c>
      <c r="D187" s="56">
        <f t="shared" si="2"/>
        <v>125</v>
      </c>
      <c r="E187" s="33">
        <v>-154.66261133801433</v>
      </c>
    </row>
    <row r="188" spans="2:5" x14ac:dyDescent="0.3">
      <c r="B188" s="56">
        <v>126</v>
      </c>
      <c r="C188" s="33">
        <v>-62.384968943645966</v>
      </c>
      <c r="D188" s="56">
        <f t="shared" si="2"/>
        <v>126</v>
      </c>
      <c r="E188" s="33">
        <v>-77.883237628891635</v>
      </c>
    </row>
    <row r="189" spans="2:5" x14ac:dyDescent="0.3">
      <c r="B189" s="56">
        <v>127</v>
      </c>
      <c r="C189" s="33">
        <v>27.936390101377064</v>
      </c>
      <c r="D189" s="56">
        <f t="shared" si="2"/>
        <v>127</v>
      </c>
      <c r="E189" s="33">
        <v>66.371282963959175</v>
      </c>
    </row>
    <row r="190" spans="2:5" x14ac:dyDescent="0.3">
      <c r="B190" s="56">
        <v>128</v>
      </c>
      <c r="C190" s="33">
        <v>381.03044204213961</v>
      </c>
      <c r="D190" s="56">
        <f t="shared" si="2"/>
        <v>128</v>
      </c>
      <c r="E190" s="33">
        <v>36.471106624539971</v>
      </c>
    </row>
    <row r="191" spans="2:5" x14ac:dyDescent="0.3">
      <c r="B191" s="56">
        <v>129</v>
      </c>
      <c r="C191" s="33">
        <v>-308.57688480955693</v>
      </c>
      <c r="D191" s="56">
        <f t="shared" si="2"/>
        <v>129</v>
      </c>
      <c r="E191" s="33">
        <v>-152.80289528021467</v>
      </c>
    </row>
    <row r="192" spans="2:5" x14ac:dyDescent="0.3">
      <c r="B192" s="56">
        <v>130</v>
      </c>
      <c r="C192" s="33">
        <v>-111.12580224267234</v>
      </c>
      <c r="D192" s="56">
        <f t="shared" si="2"/>
        <v>130</v>
      </c>
      <c r="E192" s="33">
        <v>-131.59928892868305</v>
      </c>
    </row>
    <row r="193" spans="2:5" x14ac:dyDescent="0.3">
      <c r="B193" s="56">
        <v>131</v>
      </c>
      <c r="C193" s="33">
        <v>-22.775144143781496</v>
      </c>
      <c r="D193" s="56">
        <f t="shared" ref="D193:D256" si="3">B193</f>
        <v>131</v>
      </c>
      <c r="E193" s="33">
        <v>-100.65140959196991</v>
      </c>
    </row>
    <row r="194" spans="2:5" x14ac:dyDescent="0.3">
      <c r="B194" s="56">
        <v>132</v>
      </c>
      <c r="C194" s="33">
        <v>-170.40712409920317</v>
      </c>
      <c r="D194" s="56">
        <f t="shared" si="3"/>
        <v>132</v>
      </c>
      <c r="E194" s="33">
        <v>-136.54862427527613</v>
      </c>
    </row>
    <row r="195" spans="2:5" x14ac:dyDescent="0.3">
      <c r="B195" s="56">
        <v>133</v>
      </c>
      <c r="C195" s="33">
        <v>-91.931643123984458</v>
      </c>
      <c r="D195" s="56">
        <f t="shared" si="3"/>
        <v>133</v>
      </c>
      <c r="E195" s="33">
        <v>-291.60110945038997</v>
      </c>
    </row>
    <row r="196" spans="2:5" x14ac:dyDescent="0.3">
      <c r="B196" s="56">
        <v>134</v>
      </c>
      <c r="C196" s="33">
        <v>-138.19834890341545</v>
      </c>
      <c r="D196" s="56">
        <f t="shared" si="3"/>
        <v>134</v>
      </c>
      <c r="E196" s="33">
        <v>-103.18652944345622</v>
      </c>
    </row>
    <row r="197" spans="2:5" x14ac:dyDescent="0.3">
      <c r="B197" s="56">
        <v>135</v>
      </c>
      <c r="C197" s="33">
        <v>-136.78789472733769</v>
      </c>
      <c r="D197" s="56">
        <f t="shared" si="3"/>
        <v>135</v>
      </c>
      <c r="E197" s="33">
        <v>-72.040955802962515</v>
      </c>
    </row>
    <row r="198" spans="2:5" x14ac:dyDescent="0.3">
      <c r="B198" s="56">
        <v>136</v>
      </c>
      <c r="C198" s="33">
        <v>-92.302463703517603</v>
      </c>
      <c r="D198" s="56">
        <f t="shared" si="3"/>
        <v>136</v>
      </c>
      <c r="E198" s="33">
        <v>8.8539801856016709</v>
      </c>
    </row>
    <row r="199" spans="2:5" x14ac:dyDescent="0.3">
      <c r="B199" s="56">
        <v>137</v>
      </c>
      <c r="C199" s="33">
        <v>197.97936979313721</v>
      </c>
      <c r="D199" s="56">
        <f t="shared" si="3"/>
        <v>137</v>
      </c>
      <c r="E199" s="33">
        <v>29.123524528946234</v>
      </c>
    </row>
    <row r="200" spans="2:5" x14ac:dyDescent="0.3">
      <c r="B200" s="56">
        <v>138</v>
      </c>
      <c r="C200" s="33">
        <v>-87.585057576599766</v>
      </c>
      <c r="D200" s="56">
        <f t="shared" si="3"/>
        <v>138</v>
      </c>
      <c r="E200" s="33">
        <v>-206.47899535838292</v>
      </c>
    </row>
    <row r="201" spans="2:5" x14ac:dyDescent="0.3">
      <c r="B201" s="56">
        <v>139</v>
      </c>
      <c r="C201" s="33">
        <v>-156.7686412633212</v>
      </c>
      <c r="D201" s="56">
        <f t="shared" si="3"/>
        <v>139</v>
      </c>
      <c r="E201" s="33">
        <v>-245.41495825845126</v>
      </c>
    </row>
    <row r="202" spans="2:5" x14ac:dyDescent="0.3">
      <c r="B202" s="56">
        <v>140</v>
      </c>
      <c r="C202" s="33">
        <v>-222.2406634001286</v>
      </c>
      <c r="D202" s="56">
        <f t="shared" si="3"/>
        <v>140</v>
      </c>
      <c r="E202" s="33">
        <v>-8.3793240019515736</v>
      </c>
    </row>
    <row r="203" spans="2:5" x14ac:dyDescent="0.3">
      <c r="B203" s="56">
        <v>141</v>
      </c>
      <c r="C203" s="33">
        <v>-104.22689928746155</v>
      </c>
      <c r="D203" s="56">
        <f t="shared" si="3"/>
        <v>141</v>
      </c>
      <c r="E203" s="33">
        <v>16.321404774057712</v>
      </c>
    </row>
    <row r="204" spans="2:5" x14ac:dyDescent="0.3">
      <c r="B204" s="56">
        <v>142</v>
      </c>
      <c r="C204" s="33">
        <v>-93.479071146471853</v>
      </c>
      <c r="D204" s="56">
        <f t="shared" si="3"/>
        <v>142</v>
      </c>
      <c r="E204" s="33">
        <v>87.442444234554443</v>
      </c>
    </row>
    <row r="205" spans="2:5" x14ac:dyDescent="0.3">
      <c r="B205" s="56">
        <v>143</v>
      </c>
      <c r="C205" s="33">
        <v>-364.3414081813807</v>
      </c>
      <c r="D205" s="56">
        <f t="shared" si="3"/>
        <v>143</v>
      </c>
      <c r="E205" s="33">
        <v>-26.937720480191189</v>
      </c>
    </row>
    <row r="206" spans="2:5" x14ac:dyDescent="0.3">
      <c r="B206" s="56">
        <v>144</v>
      </c>
      <c r="C206" s="33">
        <v>-202.32621421583141</v>
      </c>
      <c r="D206" s="56">
        <f t="shared" si="3"/>
        <v>144</v>
      </c>
      <c r="E206" s="33">
        <v>24.895145291803914</v>
      </c>
    </row>
    <row r="207" spans="2:5" x14ac:dyDescent="0.3">
      <c r="B207" s="56">
        <v>145</v>
      </c>
      <c r="C207" s="33">
        <v>-168.57455191014532</v>
      </c>
      <c r="D207" s="56">
        <f t="shared" si="3"/>
        <v>145</v>
      </c>
      <c r="E207" s="33">
        <v>-76.757507584118429</v>
      </c>
    </row>
    <row r="208" spans="2:5" x14ac:dyDescent="0.3">
      <c r="B208" s="56">
        <v>146</v>
      </c>
      <c r="C208" s="33">
        <v>-355.4221906760809</v>
      </c>
      <c r="D208" s="56">
        <f t="shared" si="3"/>
        <v>146</v>
      </c>
      <c r="E208" s="33">
        <v>43.721498164868137</v>
      </c>
    </row>
    <row r="209" spans="2:5" x14ac:dyDescent="0.3">
      <c r="B209" s="56">
        <v>147</v>
      </c>
      <c r="C209" s="33">
        <v>-293.30593811666239</v>
      </c>
      <c r="D209" s="56">
        <f t="shared" si="3"/>
        <v>147</v>
      </c>
      <c r="E209" s="33">
        <v>-126.54276537734518</v>
      </c>
    </row>
    <row r="210" spans="2:5" x14ac:dyDescent="0.3">
      <c r="B210" s="56">
        <v>148</v>
      </c>
      <c r="C210" s="33">
        <v>-151.0384689065406</v>
      </c>
      <c r="D210" s="56">
        <f t="shared" si="3"/>
        <v>148</v>
      </c>
      <c r="E210" s="33">
        <v>-20.99782786309305</v>
      </c>
    </row>
    <row r="211" spans="2:5" x14ac:dyDescent="0.3">
      <c r="B211" s="56">
        <v>149</v>
      </c>
      <c r="C211" s="33">
        <v>-141.69515082939753</v>
      </c>
      <c r="D211" s="56">
        <f t="shared" si="3"/>
        <v>149</v>
      </c>
      <c r="E211" s="33">
        <v>11.009047765573342</v>
      </c>
    </row>
    <row r="212" spans="2:5" x14ac:dyDescent="0.3">
      <c r="B212" s="56">
        <v>150</v>
      </c>
      <c r="C212" s="33">
        <v>-222.34059272056078</v>
      </c>
      <c r="D212" s="56">
        <f t="shared" si="3"/>
        <v>150</v>
      </c>
      <c r="E212" s="33">
        <v>78.659457594611922</v>
      </c>
    </row>
    <row r="213" spans="2:5" x14ac:dyDescent="0.3">
      <c r="B213" s="56">
        <v>151</v>
      </c>
      <c r="C213" s="33">
        <v>-195.54838389670113</v>
      </c>
      <c r="D213" s="56">
        <f t="shared" si="3"/>
        <v>151</v>
      </c>
      <c r="E213" s="33">
        <v>-90.278273601856924</v>
      </c>
    </row>
    <row r="214" spans="2:5" x14ac:dyDescent="0.3">
      <c r="B214" s="56">
        <v>152</v>
      </c>
      <c r="C214" s="33">
        <v>-59.402231125787551</v>
      </c>
      <c r="D214" s="56">
        <f t="shared" si="3"/>
        <v>152</v>
      </c>
      <c r="E214" s="33">
        <v>-126.19253620566045</v>
      </c>
    </row>
    <row r="215" spans="2:5" x14ac:dyDescent="0.3">
      <c r="B215" s="56">
        <v>153</v>
      </c>
      <c r="C215" s="33">
        <v>131.02479395604368</v>
      </c>
      <c r="D215" s="56">
        <f t="shared" si="3"/>
        <v>153</v>
      </c>
      <c r="E215" s="33">
        <v>-28.625484046660986</v>
      </c>
    </row>
    <row r="216" spans="2:5" x14ac:dyDescent="0.3">
      <c r="B216" s="56">
        <v>154</v>
      </c>
      <c r="C216" s="33">
        <v>-84.624530493448361</v>
      </c>
      <c r="D216" s="56">
        <f t="shared" si="3"/>
        <v>154</v>
      </c>
      <c r="E216" s="33">
        <v>-97.626569548385419</v>
      </c>
    </row>
    <row r="217" spans="2:5" x14ac:dyDescent="0.3">
      <c r="B217" s="56">
        <v>155</v>
      </c>
      <c r="C217" s="33">
        <v>-58.128801975032523</v>
      </c>
      <c r="D217" s="56">
        <f t="shared" si="3"/>
        <v>155</v>
      </c>
      <c r="E217" s="33">
        <v>-212.39685421447939</v>
      </c>
    </row>
    <row r="218" spans="2:5" x14ac:dyDescent="0.3">
      <c r="B218" s="56">
        <v>156</v>
      </c>
      <c r="C218" s="33">
        <v>-242.01298809416568</v>
      </c>
      <c r="D218" s="56">
        <f t="shared" si="3"/>
        <v>156</v>
      </c>
      <c r="E218" s="33">
        <v>-15.001921147505982</v>
      </c>
    </row>
    <row r="219" spans="2:5" x14ac:dyDescent="0.3">
      <c r="B219" s="56">
        <v>157</v>
      </c>
      <c r="C219" s="33">
        <v>-193.73221197337529</v>
      </c>
      <c r="D219" s="56">
        <f t="shared" si="3"/>
        <v>157</v>
      </c>
      <c r="E219" s="33">
        <v>-47.023717008988655</v>
      </c>
    </row>
    <row r="220" spans="2:5" x14ac:dyDescent="0.3">
      <c r="B220" s="56">
        <v>158</v>
      </c>
      <c r="C220" s="33">
        <v>23.45006714764963</v>
      </c>
      <c r="D220" s="56">
        <f t="shared" si="3"/>
        <v>158</v>
      </c>
      <c r="E220" s="33">
        <v>27.418748676873861</v>
      </c>
    </row>
    <row r="221" spans="2:5" x14ac:dyDescent="0.3">
      <c r="B221" s="56">
        <v>159</v>
      </c>
      <c r="C221" s="33">
        <v>-170.91332967931788</v>
      </c>
      <c r="D221" s="56">
        <f t="shared" si="3"/>
        <v>159</v>
      </c>
      <c r="E221" s="33">
        <v>-28.418827630101006</v>
      </c>
    </row>
    <row r="222" spans="2:5" x14ac:dyDescent="0.3">
      <c r="B222" s="56">
        <v>160</v>
      </c>
      <c r="C222" s="33">
        <v>198.55742613567912</v>
      </c>
      <c r="D222" s="56">
        <f t="shared" si="3"/>
        <v>160</v>
      </c>
      <c r="E222" s="33">
        <v>-195.01237465176587</v>
      </c>
    </row>
    <row r="223" spans="2:5" x14ac:dyDescent="0.3">
      <c r="B223" s="56">
        <v>161</v>
      </c>
      <c r="C223" s="33">
        <v>139.37018112806425</v>
      </c>
      <c r="D223" s="56">
        <f t="shared" si="3"/>
        <v>161</v>
      </c>
      <c r="E223" s="33">
        <v>-118.57972326750433</v>
      </c>
    </row>
    <row r="224" spans="2:5" x14ac:dyDescent="0.3">
      <c r="B224" s="56">
        <v>162</v>
      </c>
      <c r="C224" s="33">
        <v>340.68333347368309</v>
      </c>
      <c r="D224" s="56">
        <f t="shared" si="3"/>
        <v>162</v>
      </c>
      <c r="E224" s="33">
        <v>-169.88964447005822</v>
      </c>
    </row>
    <row r="225" spans="2:5" x14ac:dyDescent="0.3">
      <c r="B225" s="56">
        <v>163</v>
      </c>
      <c r="C225" s="33">
        <v>-123.68595786706854</v>
      </c>
      <c r="D225" s="56">
        <f t="shared" si="3"/>
        <v>163</v>
      </c>
      <c r="E225" s="33">
        <v>-178.25212994562116</v>
      </c>
    </row>
    <row r="226" spans="2:5" x14ac:dyDescent="0.3">
      <c r="B226" s="56">
        <v>164</v>
      </c>
      <c r="C226" s="33">
        <v>-197.54235537382843</v>
      </c>
      <c r="D226" s="56">
        <f t="shared" si="3"/>
        <v>164</v>
      </c>
      <c r="E226" s="33">
        <v>-102.21035110726892</v>
      </c>
    </row>
    <row r="227" spans="2:5" x14ac:dyDescent="0.3">
      <c r="B227" s="56">
        <v>165</v>
      </c>
      <c r="C227" s="33">
        <v>-61.954423103861814</v>
      </c>
      <c r="D227" s="56">
        <f t="shared" si="3"/>
        <v>165</v>
      </c>
      <c r="E227" s="33">
        <v>-131.53939899920172</v>
      </c>
    </row>
    <row r="228" spans="2:5" x14ac:dyDescent="0.3">
      <c r="B228" s="56">
        <v>166</v>
      </c>
      <c r="C228" s="33">
        <v>-151.97911898643937</v>
      </c>
      <c r="D228" s="56">
        <f t="shared" si="3"/>
        <v>166</v>
      </c>
      <c r="E228" s="33">
        <v>-7.8086079259299197</v>
      </c>
    </row>
    <row r="229" spans="2:5" x14ac:dyDescent="0.3">
      <c r="B229" s="56">
        <v>167</v>
      </c>
      <c r="C229" s="33">
        <v>-169.96920616719945</v>
      </c>
      <c r="D229" s="56">
        <f t="shared" si="3"/>
        <v>167</v>
      </c>
      <c r="E229" s="33">
        <v>-136.81318651274222</v>
      </c>
    </row>
    <row r="230" spans="2:5" x14ac:dyDescent="0.3">
      <c r="B230" s="56">
        <v>168</v>
      </c>
      <c r="C230" s="33">
        <v>-373.69909454878467</v>
      </c>
      <c r="D230" s="56">
        <f t="shared" si="3"/>
        <v>168</v>
      </c>
      <c r="E230" s="33">
        <v>-360.08967199033316</v>
      </c>
    </row>
    <row r="231" spans="2:5" x14ac:dyDescent="0.3">
      <c r="B231" s="56">
        <v>169</v>
      </c>
      <c r="C231" s="33">
        <v>-322.72591596230939</v>
      </c>
      <c r="D231" s="56">
        <f t="shared" si="3"/>
        <v>169</v>
      </c>
      <c r="E231" s="33">
        <v>-323.21133564433933</v>
      </c>
    </row>
    <row r="232" spans="2:5" x14ac:dyDescent="0.3">
      <c r="B232" s="56">
        <v>170</v>
      </c>
      <c r="C232" s="33">
        <v>-45.461067336964177</v>
      </c>
      <c r="D232" s="56">
        <f t="shared" si="3"/>
        <v>170</v>
      </c>
      <c r="E232" s="33">
        <v>-376.19090252452065</v>
      </c>
    </row>
    <row r="233" spans="2:5" x14ac:dyDescent="0.3">
      <c r="B233" s="56">
        <v>171</v>
      </c>
      <c r="C233" s="33">
        <v>-12.630216389513322</v>
      </c>
      <c r="D233" s="56">
        <f t="shared" si="3"/>
        <v>171</v>
      </c>
      <c r="E233" s="33">
        <v>-138.56914115699084</v>
      </c>
    </row>
    <row r="234" spans="2:5" x14ac:dyDescent="0.3">
      <c r="B234" s="56">
        <v>172</v>
      </c>
      <c r="C234" s="33">
        <v>6.7746421768302341</v>
      </c>
      <c r="D234" s="56">
        <f t="shared" si="3"/>
        <v>172</v>
      </c>
      <c r="E234" s="33">
        <v>-207.45769328152517</v>
      </c>
    </row>
    <row r="235" spans="2:5" x14ac:dyDescent="0.3">
      <c r="B235" s="56">
        <v>173</v>
      </c>
      <c r="C235" s="33">
        <v>-185.255724179445</v>
      </c>
      <c r="D235" s="56">
        <f t="shared" si="3"/>
        <v>173</v>
      </c>
      <c r="E235" s="33">
        <v>-351.30863670950311</v>
      </c>
    </row>
    <row r="236" spans="2:5" x14ac:dyDescent="0.3">
      <c r="B236" s="56">
        <v>174</v>
      </c>
      <c r="C236" s="33">
        <v>-149.42419281998576</v>
      </c>
      <c r="D236" s="56">
        <f t="shared" si="3"/>
        <v>174</v>
      </c>
      <c r="E236" s="33">
        <v>-137.21270031232567</v>
      </c>
    </row>
    <row r="237" spans="2:5" x14ac:dyDescent="0.3">
      <c r="B237" s="56">
        <v>175</v>
      </c>
      <c r="C237" s="33">
        <v>63.436929495893267</v>
      </c>
      <c r="D237" s="56">
        <f t="shared" si="3"/>
        <v>175</v>
      </c>
      <c r="E237" s="33">
        <v>-100.857530676786</v>
      </c>
    </row>
    <row r="238" spans="2:5" x14ac:dyDescent="0.3">
      <c r="B238" s="56">
        <v>176</v>
      </c>
      <c r="C238" s="33">
        <v>95.408887958722886</v>
      </c>
      <c r="D238" s="56">
        <f t="shared" si="3"/>
        <v>176</v>
      </c>
      <c r="E238" s="33">
        <v>-26.391172863335484</v>
      </c>
    </row>
    <row r="239" spans="2:5" x14ac:dyDescent="0.3">
      <c r="B239" s="56">
        <v>177</v>
      </c>
      <c r="C239" s="33">
        <v>-251.01701271544135</v>
      </c>
      <c r="D239" s="56">
        <f t="shared" si="3"/>
        <v>177</v>
      </c>
      <c r="E239" s="33">
        <v>-41.462091049876321</v>
      </c>
    </row>
    <row r="240" spans="2:5" x14ac:dyDescent="0.3">
      <c r="B240" s="56">
        <v>178</v>
      </c>
      <c r="C240" s="33">
        <v>195.76565568312503</v>
      </c>
      <c r="D240" s="56">
        <f t="shared" si="3"/>
        <v>178</v>
      </c>
      <c r="E240" s="33">
        <v>-39.077876334458722</v>
      </c>
    </row>
    <row r="241" spans="2:5" x14ac:dyDescent="0.3">
      <c r="B241" s="56">
        <v>179</v>
      </c>
      <c r="C241" s="33">
        <v>-156.3203592625361</v>
      </c>
      <c r="D241" s="56">
        <f t="shared" si="3"/>
        <v>179</v>
      </c>
      <c r="E241" s="33">
        <v>-40.580021207477415</v>
      </c>
    </row>
    <row r="242" spans="2:5" x14ac:dyDescent="0.3">
      <c r="B242" s="56">
        <v>180</v>
      </c>
      <c r="C242" s="33">
        <v>-155.14604923912265</v>
      </c>
      <c r="D242" s="56">
        <f t="shared" si="3"/>
        <v>180</v>
      </c>
      <c r="E242" s="33">
        <v>51.790161450010103</v>
      </c>
    </row>
    <row r="243" spans="2:5" x14ac:dyDescent="0.3">
      <c r="B243" s="56">
        <v>181</v>
      </c>
      <c r="C243" s="33">
        <v>-297.37929688757896</v>
      </c>
      <c r="D243" s="56">
        <f t="shared" si="3"/>
        <v>181</v>
      </c>
      <c r="E243" s="33">
        <v>-94.061041178589022</v>
      </c>
    </row>
    <row r="244" spans="2:5" x14ac:dyDescent="0.3">
      <c r="B244" s="56">
        <v>182</v>
      </c>
      <c r="C244" s="33">
        <v>34.921501202680886</v>
      </c>
      <c r="D244" s="56">
        <f t="shared" si="3"/>
        <v>182</v>
      </c>
      <c r="E244" s="33">
        <v>153.53214152986541</v>
      </c>
    </row>
    <row r="245" spans="2:5" x14ac:dyDescent="0.3">
      <c r="B245" s="56">
        <v>183</v>
      </c>
      <c r="C245" s="33">
        <v>-69.53554114170052</v>
      </c>
      <c r="D245" s="56">
        <f t="shared" si="3"/>
        <v>183</v>
      </c>
      <c r="E245" s="33">
        <v>-49.558399103641534</v>
      </c>
    </row>
    <row r="246" spans="2:5" x14ac:dyDescent="0.3">
      <c r="B246" s="56">
        <v>184</v>
      </c>
      <c r="C246" s="33">
        <v>-234.04953960694803</v>
      </c>
      <c r="D246" s="56">
        <f t="shared" si="3"/>
        <v>184</v>
      </c>
      <c r="E246" s="33">
        <v>-122.28029520486811</v>
      </c>
    </row>
    <row r="247" spans="2:5" x14ac:dyDescent="0.3">
      <c r="B247" s="56">
        <v>185</v>
      </c>
      <c r="C247" s="33">
        <v>-84.504371189592163</v>
      </c>
      <c r="D247" s="56">
        <f t="shared" si="3"/>
        <v>185</v>
      </c>
      <c r="E247" s="33">
        <v>-327.777553693806</v>
      </c>
    </row>
    <row r="248" spans="2:5" x14ac:dyDescent="0.3">
      <c r="B248" s="56">
        <v>186</v>
      </c>
      <c r="C248" s="33">
        <v>-92.599493752905772</v>
      </c>
      <c r="D248" s="56">
        <f t="shared" si="3"/>
        <v>186</v>
      </c>
      <c r="E248" s="33">
        <v>36.662661041093429</v>
      </c>
    </row>
    <row r="249" spans="2:5" x14ac:dyDescent="0.3">
      <c r="B249" s="56">
        <v>187</v>
      </c>
      <c r="C249" s="33">
        <v>145.58406778030883</v>
      </c>
      <c r="D249" s="56">
        <f t="shared" si="3"/>
        <v>187</v>
      </c>
      <c r="E249" s="33">
        <v>-25.472668536681851</v>
      </c>
    </row>
    <row r="250" spans="2:5" x14ac:dyDescent="0.3">
      <c r="B250" s="56">
        <v>188</v>
      </c>
      <c r="C250" s="33">
        <v>-174.11639795235405</v>
      </c>
      <c r="D250" s="56">
        <f t="shared" si="3"/>
        <v>188</v>
      </c>
      <c r="E250" s="33">
        <v>-367.72624314140324</v>
      </c>
    </row>
    <row r="251" spans="2:5" x14ac:dyDescent="0.3">
      <c r="B251" s="56">
        <v>189</v>
      </c>
      <c r="C251" s="33">
        <v>-367.57817487916395</v>
      </c>
      <c r="D251" s="56">
        <f t="shared" si="3"/>
        <v>189</v>
      </c>
      <c r="E251" s="33">
        <v>-122.07681904301216</v>
      </c>
    </row>
    <row r="252" spans="2:5" x14ac:dyDescent="0.3">
      <c r="B252" s="56">
        <v>190</v>
      </c>
      <c r="C252" s="33">
        <v>197.19171235119487</v>
      </c>
      <c r="D252" s="56">
        <f t="shared" si="3"/>
        <v>190</v>
      </c>
      <c r="E252" s="33">
        <v>56.422431666219218</v>
      </c>
    </row>
    <row r="253" spans="2:5" x14ac:dyDescent="0.3">
      <c r="B253" s="56">
        <v>191</v>
      </c>
      <c r="C253" s="33">
        <v>108.93858457731397</v>
      </c>
      <c r="D253" s="56">
        <f t="shared" si="3"/>
        <v>191</v>
      </c>
      <c r="E253" s="33">
        <v>-93.115413604169277</v>
      </c>
    </row>
    <row r="254" spans="2:5" x14ac:dyDescent="0.3">
      <c r="B254" s="56">
        <v>192</v>
      </c>
      <c r="C254" s="33">
        <v>-272.27089113262934</v>
      </c>
      <c r="D254" s="56">
        <f t="shared" si="3"/>
        <v>192</v>
      </c>
      <c r="E254" s="33">
        <v>-235.98644426651077</v>
      </c>
    </row>
    <row r="255" spans="2:5" x14ac:dyDescent="0.3">
      <c r="B255" s="56">
        <v>193</v>
      </c>
      <c r="C255" s="33">
        <v>-317.78033812674244</v>
      </c>
      <c r="D255" s="56">
        <f t="shared" si="3"/>
        <v>193</v>
      </c>
      <c r="E255" s="33">
        <v>-118.40438297149737</v>
      </c>
    </row>
    <row r="256" spans="2:5" x14ac:dyDescent="0.3">
      <c r="B256" s="56">
        <v>194</v>
      </c>
      <c r="C256" s="33">
        <v>176.82529529005026</v>
      </c>
      <c r="D256" s="56">
        <f t="shared" si="3"/>
        <v>194</v>
      </c>
      <c r="E256" s="33">
        <v>-176.93203839645446</v>
      </c>
    </row>
    <row r="257" spans="2:5" x14ac:dyDescent="0.3">
      <c r="B257" s="56">
        <v>195</v>
      </c>
      <c r="C257" s="33">
        <v>26.249975083147319</v>
      </c>
      <c r="D257" s="56">
        <f t="shared" ref="D257:D274" si="4">B257</f>
        <v>195</v>
      </c>
      <c r="E257" s="33">
        <v>-351.15291597333487</v>
      </c>
    </row>
    <row r="258" spans="2:5" x14ac:dyDescent="0.3">
      <c r="B258" s="56">
        <v>196</v>
      </c>
      <c r="C258" s="33">
        <v>-81.739359219145157</v>
      </c>
      <c r="D258" s="56">
        <f t="shared" si="4"/>
        <v>196</v>
      </c>
      <c r="E258" s="33">
        <v>-241.09136037956682</v>
      </c>
    </row>
    <row r="259" spans="2:5" x14ac:dyDescent="0.3">
      <c r="B259" s="56">
        <v>197</v>
      </c>
      <c r="C259" s="33">
        <v>-186.63453426015141</v>
      </c>
      <c r="D259" s="56">
        <f t="shared" si="4"/>
        <v>197</v>
      </c>
      <c r="E259" s="33">
        <v>-137.11379240335259</v>
      </c>
    </row>
    <row r="260" spans="2:5" x14ac:dyDescent="0.3">
      <c r="B260" s="56">
        <v>198</v>
      </c>
      <c r="C260" s="33">
        <v>430.53324575177902</v>
      </c>
      <c r="D260" s="56">
        <f t="shared" si="4"/>
        <v>198</v>
      </c>
      <c r="E260" s="33">
        <v>-87.833844986795526</v>
      </c>
    </row>
    <row r="261" spans="2:5" x14ac:dyDescent="0.3">
      <c r="B261" s="56">
        <v>199</v>
      </c>
      <c r="C261" s="33">
        <v>-169.00413191235637</v>
      </c>
      <c r="D261" s="56">
        <f t="shared" si="4"/>
        <v>199</v>
      </c>
      <c r="E261" s="33">
        <v>-182.28560211079164</v>
      </c>
    </row>
    <row r="262" spans="2:5" x14ac:dyDescent="0.3">
      <c r="B262" s="56">
        <v>200</v>
      </c>
      <c r="C262" s="33">
        <v>14.426029331841891</v>
      </c>
      <c r="D262" s="56">
        <f t="shared" si="4"/>
        <v>200</v>
      </c>
      <c r="E262" s="33">
        <v>-196.48884150855022</v>
      </c>
    </row>
    <row r="263" spans="2:5" x14ac:dyDescent="0.3">
      <c r="B263" s="56">
        <v>201</v>
      </c>
      <c r="C263" s="33">
        <v>-347.9462262004032</v>
      </c>
      <c r="D263" s="56">
        <f t="shared" si="4"/>
        <v>201</v>
      </c>
      <c r="E263" s="33">
        <v>-93.413647711638163</v>
      </c>
    </row>
    <row r="264" spans="2:5" x14ac:dyDescent="0.3">
      <c r="B264" s="56">
        <v>202</v>
      </c>
      <c r="C264" s="33">
        <v>-90.970415735719143</v>
      </c>
      <c r="D264" s="56">
        <f t="shared" si="4"/>
        <v>202</v>
      </c>
      <c r="E264" s="33">
        <v>1.4213031682768644</v>
      </c>
    </row>
    <row r="265" spans="2:5" x14ac:dyDescent="0.3">
      <c r="B265" s="56">
        <v>203</v>
      </c>
      <c r="C265" s="33">
        <v>-62.242157329465883</v>
      </c>
      <c r="D265" s="56">
        <f t="shared" si="4"/>
        <v>203</v>
      </c>
      <c r="E265" s="33">
        <v>-120.38608621384206</v>
      </c>
    </row>
    <row r="266" spans="2:5" x14ac:dyDescent="0.3">
      <c r="B266" s="56">
        <v>204</v>
      </c>
      <c r="C266" s="33">
        <v>161.49162614876366</v>
      </c>
      <c r="D266" s="56">
        <f t="shared" si="4"/>
        <v>204</v>
      </c>
      <c r="E266" s="33">
        <v>-59.962013151312064</v>
      </c>
    </row>
    <row r="267" spans="2:5" x14ac:dyDescent="0.3">
      <c r="B267" s="56">
        <v>205</v>
      </c>
      <c r="C267" s="33">
        <v>-113.74606016412167</v>
      </c>
      <c r="D267" s="56">
        <f t="shared" si="4"/>
        <v>205</v>
      </c>
      <c r="E267" s="33">
        <v>-215.26210162205962</v>
      </c>
    </row>
    <row r="268" spans="2:5" x14ac:dyDescent="0.3">
      <c r="B268" s="56">
        <v>206</v>
      </c>
      <c r="C268" s="33">
        <v>-269.49469871713109</v>
      </c>
      <c r="D268" s="56">
        <f t="shared" si="4"/>
        <v>206</v>
      </c>
      <c r="E268" s="33">
        <v>-116.51581022854414</v>
      </c>
    </row>
    <row r="269" spans="2:5" x14ac:dyDescent="0.3">
      <c r="B269" s="56">
        <v>207</v>
      </c>
      <c r="C269" s="33">
        <v>260.06473427735813</v>
      </c>
      <c r="D269" s="56">
        <f t="shared" si="4"/>
        <v>207</v>
      </c>
      <c r="E269" s="33">
        <v>-239.21454333826239</v>
      </c>
    </row>
    <row r="270" spans="2:5" x14ac:dyDescent="0.3">
      <c r="B270" s="56">
        <v>208</v>
      </c>
      <c r="C270" s="33">
        <v>-127.2821963065208</v>
      </c>
      <c r="D270" s="56">
        <f t="shared" si="4"/>
        <v>208</v>
      </c>
      <c r="E270" s="33">
        <v>-287.71422661236272</v>
      </c>
    </row>
    <row r="271" spans="2:5" x14ac:dyDescent="0.3">
      <c r="B271" s="56">
        <v>209</v>
      </c>
      <c r="C271" s="33">
        <v>158.6364977735989</v>
      </c>
      <c r="D271" s="56">
        <f t="shared" si="4"/>
        <v>209</v>
      </c>
      <c r="E271" s="33">
        <v>-114.07844053879934</v>
      </c>
    </row>
    <row r="272" spans="2:5" x14ac:dyDescent="0.3">
      <c r="B272" s="56">
        <v>210</v>
      </c>
      <c r="C272" s="33">
        <v>7.7237676091730272</v>
      </c>
      <c r="D272" s="56">
        <f t="shared" si="4"/>
        <v>210</v>
      </c>
      <c r="E272" s="33">
        <v>-105.8718806336924</v>
      </c>
    </row>
    <row r="273" spans="2:5" x14ac:dyDescent="0.3">
      <c r="B273" s="56">
        <v>211</v>
      </c>
      <c r="C273" s="33">
        <v>108.28742858367886</v>
      </c>
      <c r="D273" s="56">
        <f t="shared" si="4"/>
        <v>211</v>
      </c>
      <c r="E273" s="33">
        <v>-207.46349581066161</v>
      </c>
    </row>
    <row r="274" spans="2:5" x14ac:dyDescent="0.3">
      <c r="B274" s="56">
        <v>212</v>
      </c>
      <c r="C274" s="33">
        <v>-138.28316969720132</v>
      </c>
      <c r="D274" s="56">
        <f t="shared" si="4"/>
        <v>212</v>
      </c>
      <c r="E274" s="33">
        <v>-208.3564136412586</v>
      </c>
    </row>
    <row r="275" spans="2:5" x14ac:dyDescent="0.3">
      <c r="B275" s="56">
        <v>213</v>
      </c>
      <c r="C275" s="33">
        <v>130.55745697107929</v>
      </c>
      <c r="D275" s="56">
        <f t="shared" ref="D275:D338" si="5">B275</f>
        <v>213</v>
      </c>
      <c r="E275" s="33">
        <v>-55.5501535621908</v>
      </c>
    </row>
    <row r="276" spans="2:5" x14ac:dyDescent="0.3">
      <c r="B276" s="56">
        <v>214</v>
      </c>
      <c r="C276" s="33">
        <v>306.62132655156682</v>
      </c>
      <c r="D276" s="56">
        <f t="shared" si="5"/>
        <v>214</v>
      </c>
      <c r="E276" s="33">
        <v>-159.26347148645027</v>
      </c>
    </row>
    <row r="277" spans="2:5" x14ac:dyDescent="0.3">
      <c r="B277" s="56">
        <v>215</v>
      </c>
      <c r="C277" s="33">
        <v>-133.1681527817336</v>
      </c>
      <c r="D277" s="56">
        <f t="shared" si="5"/>
        <v>215</v>
      </c>
      <c r="E277" s="33">
        <v>53.994945808698802</v>
      </c>
    </row>
    <row r="278" spans="2:5" x14ac:dyDescent="0.3">
      <c r="B278" s="56">
        <v>216</v>
      </c>
      <c r="C278" s="33">
        <v>-168.30609839799209</v>
      </c>
      <c r="D278" s="56">
        <f t="shared" si="5"/>
        <v>216</v>
      </c>
      <c r="E278" s="33">
        <v>-148.18674531549124</v>
      </c>
    </row>
    <row r="279" spans="2:5" x14ac:dyDescent="0.3">
      <c r="B279" s="56">
        <v>217</v>
      </c>
      <c r="C279" s="33">
        <v>-71.804622536834344</v>
      </c>
      <c r="D279" s="56">
        <f t="shared" si="5"/>
        <v>217</v>
      </c>
      <c r="E279" s="33">
        <v>-215.81163593452683</v>
      </c>
    </row>
    <row r="280" spans="2:5" x14ac:dyDescent="0.3">
      <c r="B280" s="56">
        <v>218</v>
      </c>
      <c r="C280" s="33">
        <v>79.70612722302161</v>
      </c>
      <c r="D280" s="56">
        <f t="shared" si="5"/>
        <v>218</v>
      </c>
      <c r="E280" s="33">
        <v>-64.189626223677138</v>
      </c>
    </row>
    <row r="281" spans="2:5" x14ac:dyDescent="0.3">
      <c r="B281" s="56">
        <v>219</v>
      </c>
      <c r="C281" s="33">
        <v>295.68483085280127</v>
      </c>
      <c r="D281" s="56">
        <f t="shared" si="5"/>
        <v>219</v>
      </c>
      <c r="E281" s="33">
        <v>-150.40953704184363</v>
      </c>
    </row>
    <row r="282" spans="2:5" x14ac:dyDescent="0.3">
      <c r="B282" s="56">
        <v>220</v>
      </c>
      <c r="C282" s="33">
        <v>-1.4377352319308265</v>
      </c>
      <c r="D282" s="56">
        <f t="shared" si="5"/>
        <v>220</v>
      </c>
      <c r="E282" s="33">
        <v>-348.56898636390775</v>
      </c>
    </row>
    <row r="283" spans="2:5" x14ac:dyDescent="0.3">
      <c r="B283" s="56">
        <v>221</v>
      </c>
      <c r="C283" s="33">
        <v>-140.58708630161317</v>
      </c>
      <c r="D283" s="56">
        <f t="shared" si="5"/>
        <v>221</v>
      </c>
      <c r="E283" s="33">
        <v>-8.3384918879008012</v>
      </c>
    </row>
    <row r="284" spans="2:5" x14ac:dyDescent="0.3">
      <c r="B284" s="56">
        <v>222</v>
      </c>
      <c r="C284" s="33">
        <v>-55.973177961490897</v>
      </c>
      <c r="D284" s="56">
        <f t="shared" si="5"/>
        <v>222</v>
      </c>
      <c r="E284" s="33">
        <v>-198.69406232157945</v>
      </c>
    </row>
    <row r="285" spans="2:5" x14ac:dyDescent="0.3">
      <c r="B285" s="56">
        <v>223</v>
      </c>
      <c r="C285" s="33">
        <v>-482.35676168179424</v>
      </c>
      <c r="D285" s="56">
        <f t="shared" si="5"/>
        <v>223</v>
      </c>
      <c r="E285" s="33">
        <v>-268.67066700950102</v>
      </c>
    </row>
    <row r="286" spans="2:5" x14ac:dyDescent="0.3">
      <c r="B286" s="56">
        <v>224</v>
      </c>
      <c r="C286" s="33">
        <v>-113.84753774227497</v>
      </c>
      <c r="D286" s="56">
        <f t="shared" si="5"/>
        <v>224</v>
      </c>
      <c r="E286" s="33">
        <v>107.27425129213141</v>
      </c>
    </row>
    <row r="287" spans="2:5" x14ac:dyDescent="0.3">
      <c r="B287" s="56">
        <v>225</v>
      </c>
      <c r="C287" s="33">
        <v>-221.69412241106085</v>
      </c>
      <c r="D287" s="56">
        <f t="shared" si="5"/>
        <v>225</v>
      </c>
      <c r="E287" s="33">
        <v>-200.54711868510088</v>
      </c>
    </row>
    <row r="288" spans="2:5" x14ac:dyDescent="0.3">
      <c r="B288" s="56">
        <v>226</v>
      </c>
      <c r="C288" s="33">
        <v>-104.11042243365878</v>
      </c>
      <c r="D288" s="56">
        <f t="shared" si="5"/>
        <v>226</v>
      </c>
      <c r="E288" s="33">
        <v>-134.80616575031206</v>
      </c>
    </row>
    <row r="289" spans="2:5" x14ac:dyDescent="0.3">
      <c r="B289" s="56">
        <v>227</v>
      </c>
      <c r="C289" s="33">
        <v>-72.253535823822446</v>
      </c>
      <c r="D289" s="56">
        <f t="shared" si="5"/>
        <v>227</v>
      </c>
      <c r="E289" s="33">
        <v>-111.9509072229656</v>
      </c>
    </row>
    <row r="290" spans="2:5" x14ac:dyDescent="0.3">
      <c r="B290" s="56">
        <v>228</v>
      </c>
      <c r="C290" s="33">
        <v>-84.051067270156352</v>
      </c>
      <c r="D290" s="56">
        <f t="shared" si="5"/>
        <v>228</v>
      </c>
      <c r="E290" s="33">
        <v>18.11405257342598</v>
      </c>
    </row>
    <row r="291" spans="2:5" x14ac:dyDescent="0.3">
      <c r="B291" s="56">
        <v>229</v>
      </c>
      <c r="C291" s="33">
        <v>-83.405433228871374</v>
      </c>
      <c r="D291" s="56">
        <f t="shared" si="5"/>
        <v>229</v>
      </c>
      <c r="E291" s="33">
        <v>-101.48907507435658</v>
      </c>
    </row>
    <row r="292" spans="2:5" x14ac:dyDescent="0.3">
      <c r="B292" s="56">
        <v>230</v>
      </c>
      <c r="C292" s="33">
        <v>34.374790888304418</v>
      </c>
      <c r="D292" s="56">
        <f t="shared" si="5"/>
        <v>230</v>
      </c>
      <c r="E292" s="33">
        <v>-161.4937206826082</v>
      </c>
    </row>
    <row r="293" spans="2:5" x14ac:dyDescent="0.3">
      <c r="B293" s="56">
        <v>231</v>
      </c>
      <c r="C293" s="33">
        <v>-36.285766280005959</v>
      </c>
      <c r="D293" s="56">
        <f t="shared" si="5"/>
        <v>231</v>
      </c>
      <c r="E293" s="33">
        <v>18.071762628147923</v>
      </c>
    </row>
    <row r="294" spans="2:5" x14ac:dyDescent="0.3">
      <c r="B294" s="56">
        <v>232</v>
      </c>
      <c r="C294" s="33">
        <v>70.621910675392016</v>
      </c>
      <c r="D294" s="56">
        <f t="shared" si="5"/>
        <v>232</v>
      </c>
      <c r="E294" s="33">
        <v>-155.98558458781585</v>
      </c>
    </row>
    <row r="295" spans="2:5" x14ac:dyDescent="0.3">
      <c r="B295" s="56">
        <v>233</v>
      </c>
      <c r="C295" s="33">
        <v>78.067737444266953</v>
      </c>
      <c r="D295" s="56">
        <f t="shared" si="5"/>
        <v>233</v>
      </c>
      <c r="E295" s="33">
        <v>-139.85650904990885</v>
      </c>
    </row>
    <row r="296" spans="2:5" x14ac:dyDescent="0.3">
      <c r="B296" s="56">
        <v>234</v>
      </c>
      <c r="C296" s="33">
        <v>-235.90903260883317</v>
      </c>
      <c r="D296" s="56">
        <f t="shared" si="5"/>
        <v>234</v>
      </c>
      <c r="E296" s="33">
        <v>-58.597194962690224</v>
      </c>
    </row>
    <row r="297" spans="2:5" x14ac:dyDescent="0.3">
      <c r="B297" s="56">
        <v>235</v>
      </c>
      <c r="C297" s="33">
        <v>-38.434998382597229</v>
      </c>
      <c r="D297" s="56">
        <f t="shared" si="5"/>
        <v>235</v>
      </c>
      <c r="E297" s="33">
        <v>-200.39264659972588</v>
      </c>
    </row>
    <row r="298" spans="2:5" x14ac:dyDescent="0.3">
      <c r="B298" s="56">
        <v>236</v>
      </c>
      <c r="C298" s="33">
        <v>-190.32042063509982</v>
      </c>
      <c r="D298" s="56">
        <f t="shared" si="5"/>
        <v>236</v>
      </c>
      <c r="E298" s="33">
        <v>-246.61660863452335</v>
      </c>
    </row>
    <row r="299" spans="2:5" x14ac:dyDescent="0.3">
      <c r="B299" s="56">
        <v>237</v>
      </c>
      <c r="C299" s="33">
        <v>-19.682864347495602</v>
      </c>
      <c r="D299" s="56">
        <f t="shared" si="5"/>
        <v>237</v>
      </c>
      <c r="E299" s="33">
        <v>-208.10956594322812</v>
      </c>
    </row>
    <row r="300" spans="2:5" x14ac:dyDescent="0.3">
      <c r="B300" s="56">
        <v>238</v>
      </c>
      <c r="C300" s="33">
        <v>-111.2169627544676</v>
      </c>
      <c r="D300" s="56">
        <f t="shared" si="5"/>
        <v>238</v>
      </c>
      <c r="E300" s="33">
        <v>-207.93932092619957</v>
      </c>
    </row>
    <row r="301" spans="2:5" x14ac:dyDescent="0.3">
      <c r="B301" s="56">
        <v>239</v>
      </c>
      <c r="C301" s="33">
        <v>-63.789384714740024</v>
      </c>
      <c r="D301" s="56">
        <f t="shared" si="5"/>
        <v>239</v>
      </c>
      <c r="E301" s="33">
        <v>-94.473761002669164</v>
      </c>
    </row>
    <row r="302" spans="2:5" x14ac:dyDescent="0.3">
      <c r="B302" s="56">
        <v>240</v>
      </c>
      <c r="C302" s="33">
        <v>-244.80239722423431</v>
      </c>
      <c r="D302" s="56">
        <f t="shared" si="5"/>
        <v>240</v>
      </c>
      <c r="E302" s="33">
        <v>-231.68510827652284</v>
      </c>
    </row>
    <row r="303" spans="2:5" x14ac:dyDescent="0.3">
      <c r="B303" s="56">
        <v>241</v>
      </c>
      <c r="C303" s="33">
        <v>193.76971195827056</v>
      </c>
      <c r="D303" s="56">
        <f t="shared" si="5"/>
        <v>241</v>
      </c>
      <c r="E303" s="33">
        <v>-270.3593947102662</v>
      </c>
    </row>
    <row r="304" spans="2:5" x14ac:dyDescent="0.3">
      <c r="B304" s="56">
        <v>242</v>
      </c>
      <c r="C304" s="33">
        <v>214.69888383460315</v>
      </c>
      <c r="D304" s="56">
        <f t="shared" si="5"/>
        <v>242</v>
      </c>
      <c r="E304" s="33">
        <v>84.581585011781115</v>
      </c>
    </row>
    <row r="305" spans="2:5" x14ac:dyDescent="0.3">
      <c r="B305" s="56">
        <v>243</v>
      </c>
      <c r="C305" s="33">
        <v>-277.58078586208899</v>
      </c>
      <c r="D305" s="56">
        <f t="shared" si="5"/>
        <v>243</v>
      </c>
      <c r="E305" s="33">
        <v>17.21642880504605</v>
      </c>
    </row>
    <row r="306" spans="2:5" x14ac:dyDescent="0.3">
      <c r="B306" s="56">
        <v>244</v>
      </c>
      <c r="C306" s="33">
        <v>-274.6951699927597</v>
      </c>
      <c r="D306" s="56">
        <f t="shared" si="5"/>
        <v>244</v>
      </c>
      <c r="E306" s="33">
        <v>-347.38938649374234</v>
      </c>
    </row>
    <row r="307" spans="2:5" x14ac:dyDescent="0.3">
      <c r="B307" s="56">
        <v>245</v>
      </c>
      <c r="C307" s="33">
        <v>-65.991379749261966</v>
      </c>
      <c r="D307" s="56">
        <f t="shared" si="5"/>
        <v>245</v>
      </c>
      <c r="E307" s="33">
        <v>18.381292214769928</v>
      </c>
    </row>
    <row r="308" spans="2:5" x14ac:dyDescent="0.3">
      <c r="B308" s="56">
        <v>246</v>
      </c>
      <c r="C308" s="33">
        <v>55.967703313769846</v>
      </c>
      <c r="D308" s="56">
        <f t="shared" si="5"/>
        <v>246</v>
      </c>
      <c r="E308" s="33">
        <v>-314.93793128513346</v>
      </c>
    </row>
    <row r="309" spans="2:5" x14ac:dyDescent="0.3">
      <c r="B309" s="56">
        <v>247</v>
      </c>
      <c r="C309" s="33">
        <v>132.53827873438993</v>
      </c>
      <c r="D309" s="56">
        <f t="shared" si="5"/>
        <v>247</v>
      </c>
      <c r="E309" s="33">
        <v>-265.26197930679666</v>
      </c>
    </row>
    <row r="310" spans="2:5" x14ac:dyDescent="0.3">
      <c r="B310" s="56">
        <v>248</v>
      </c>
      <c r="C310" s="33">
        <v>-128.90595271585744</v>
      </c>
      <c r="D310" s="56">
        <f t="shared" si="5"/>
        <v>248</v>
      </c>
      <c r="E310" s="33">
        <v>-48.086994259491334</v>
      </c>
    </row>
    <row r="311" spans="2:5" x14ac:dyDescent="0.3">
      <c r="B311" s="56">
        <v>249</v>
      </c>
      <c r="C311" s="33">
        <v>-47.455134163722938</v>
      </c>
      <c r="D311" s="56">
        <f t="shared" si="5"/>
        <v>249</v>
      </c>
      <c r="E311" s="33">
        <v>-98.715202547821264</v>
      </c>
    </row>
    <row r="312" spans="2:5" x14ac:dyDescent="0.3">
      <c r="B312" s="56">
        <v>250</v>
      </c>
      <c r="C312" s="33">
        <v>-453.68651602397392</v>
      </c>
      <c r="D312" s="56">
        <f t="shared" si="5"/>
        <v>250</v>
      </c>
      <c r="E312" s="33">
        <v>-191.74689670299585</v>
      </c>
    </row>
    <row r="313" spans="2:5" x14ac:dyDescent="0.3">
      <c r="B313" s="56">
        <v>251</v>
      </c>
      <c r="C313" s="33">
        <v>158.07717246879827</v>
      </c>
      <c r="D313" s="56">
        <f t="shared" si="5"/>
        <v>251</v>
      </c>
      <c r="E313" s="33">
        <v>-31.430530003088933</v>
      </c>
    </row>
    <row r="314" spans="2:5" x14ac:dyDescent="0.3">
      <c r="B314" s="56">
        <v>252</v>
      </c>
      <c r="C314" s="33">
        <v>11.065184439150224</v>
      </c>
      <c r="D314" s="56">
        <f t="shared" si="5"/>
        <v>252</v>
      </c>
      <c r="E314" s="33">
        <v>-101.73462454530788</v>
      </c>
    </row>
    <row r="315" spans="2:5" x14ac:dyDescent="0.3">
      <c r="B315" s="56">
        <v>253</v>
      </c>
      <c r="C315" s="33">
        <v>-35.094593487497178</v>
      </c>
      <c r="D315" s="56">
        <f t="shared" si="5"/>
        <v>253</v>
      </c>
      <c r="E315" s="33">
        <v>-181.74947160551775</v>
      </c>
    </row>
    <row r="316" spans="2:5" x14ac:dyDescent="0.3">
      <c r="B316" s="56">
        <v>254</v>
      </c>
      <c r="C316" s="33">
        <v>119.39087593169288</v>
      </c>
      <c r="D316" s="56">
        <f t="shared" si="5"/>
        <v>254</v>
      </c>
      <c r="E316" s="33">
        <v>-34.388122879231162</v>
      </c>
    </row>
    <row r="317" spans="2:5" x14ac:dyDescent="0.3">
      <c r="B317" s="56">
        <v>255</v>
      </c>
      <c r="C317" s="33">
        <v>-316.02038280890548</v>
      </c>
      <c r="D317" s="56">
        <f t="shared" si="5"/>
        <v>255</v>
      </c>
      <c r="E317" s="33">
        <v>-256.96638674233259</v>
      </c>
    </row>
    <row r="318" spans="2:5" x14ac:dyDescent="0.3">
      <c r="B318" s="56">
        <v>256</v>
      </c>
      <c r="C318" s="33">
        <v>-285.26851022130273</v>
      </c>
      <c r="D318" s="56">
        <f t="shared" si="5"/>
        <v>256</v>
      </c>
      <c r="E318" s="33">
        <v>25.254079232390524</v>
      </c>
    </row>
    <row r="319" spans="2:5" x14ac:dyDescent="0.3">
      <c r="B319" s="56">
        <v>257</v>
      </c>
      <c r="C319" s="33">
        <v>-222.86011754846709</v>
      </c>
      <c r="D319" s="56">
        <f t="shared" si="5"/>
        <v>257</v>
      </c>
      <c r="E319" s="33">
        <v>-152.65264583955934</v>
      </c>
    </row>
    <row r="320" spans="2:5" x14ac:dyDescent="0.3">
      <c r="B320" s="56">
        <v>258</v>
      </c>
      <c r="C320" s="33">
        <v>203.82039060852631</v>
      </c>
      <c r="D320" s="56">
        <f t="shared" si="5"/>
        <v>258</v>
      </c>
      <c r="E320" s="33">
        <v>-76.752272453380115</v>
      </c>
    </row>
    <row r="321" spans="2:5" x14ac:dyDescent="0.3">
      <c r="B321" s="56">
        <v>259</v>
      </c>
      <c r="C321" s="33">
        <v>48.151777852344765</v>
      </c>
      <c r="D321" s="56">
        <f t="shared" si="5"/>
        <v>259</v>
      </c>
      <c r="E321" s="33">
        <v>-12.378348455576315</v>
      </c>
    </row>
    <row r="322" spans="2:5" x14ac:dyDescent="0.3">
      <c r="B322" s="56">
        <v>260</v>
      </c>
      <c r="C322" s="33">
        <v>-211.33325182310998</v>
      </c>
      <c r="D322" s="56">
        <f t="shared" si="5"/>
        <v>260</v>
      </c>
      <c r="E322" s="33">
        <v>-125.94221733178202</v>
      </c>
    </row>
    <row r="323" spans="2:5" x14ac:dyDescent="0.3">
      <c r="B323" s="56">
        <v>261</v>
      </c>
      <c r="C323" s="33">
        <v>-385.44731388246868</v>
      </c>
      <c r="D323" s="56">
        <f t="shared" si="5"/>
        <v>261</v>
      </c>
      <c r="E323" s="33">
        <v>-236.94324781789237</v>
      </c>
    </row>
    <row r="324" spans="2:5" x14ac:dyDescent="0.3">
      <c r="B324" s="56">
        <v>262</v>
      </c>
      <c r="C324" s="33">
        <v>-77.804227438519462</v>
      </c>
      <c r="D324" s="56">
        <f t="shared" si="5"/>
        <v>262</v>
      </c>
      <c r="E324" s="33">
        <v>18.037374133312397</v>
      </c>
    </row>
    <row r="325" spans="2:5" x14ac:dyDescent="0.3">
      <c r="B325" s="56">
        <v>263</v>
      </c>
      <c r="C325" s="33">
        <v>-95.114386367008194</v>
      </c>
      <c r="D325" s="56">
        <f t="shared" si="5"/>
        <v>263</v>
      </c>
      <c r="E325" s="33">
        <v>-129.82255821870092</v>
      </c>
    </row>
    <row r="326" spans="2:5" x14ac:dyDescent="0.3">
      <c r="B326" s="56">
        <v>264</v>
      </c>
      <c r="C326" s="33">
        <v>155.0079187170698</v>
      </c>
      <c r="D326" s="56">
        <f t="shared" si="5"/>
        <v>264</v>
      </c>
      <c r="E326" s="33">
        <v>-307.28074380528051</v>
      </c>
    </row>
    <row r="327" spans="2:5" x14ac:dyDescent="0.3">
      <c r="B327" s="56">
        <v>265</v>
      </c>
      <c r="C327" s="33">
        <v>-112.93226555858848</v>
      </c>
      <c r="D327" s="56">
        <f t="shared" si="5"/>
        <v>265</v>
      </c>
      <c r="E327" s="33">
        <v>-192.2839819163911</v>
      </c>
    </row>
    <row r="328" spans="2:5" x14ac:dyDescent="0.3">
      <c r="B328" s="56">
        <v>266</v>
      </c>
      <c r="C328" s="33">
        <v>-229.11921956615865</v>
      </c>
      <c r="D328" s="56">
        <f t="shared" si="5"/>
        <v>266</v>
      </c>
      <c r="E328" s="33">
        <v>-195.05923345909946</v>
      </c>
    </row>
    <row r="329" spans="2:5" x14ac:dyDescent="0.3">
      <c r="B329" s="56">
        <v>267</v>
      </c>
      <c r="C329" s="33">
        <v>-119.50860673493267</v>
      </c>
      <c r="D329" s="56">
        <f t="shared" si="5"/>
        <v>267</v>
      </c>
      <c r="E329" s="33">
        <v>93.564150633126943</v>
      </c>
    </row>
    <row r="330" spans="2:5" x14ac:dyDescent="0.3">
      <c r="B330" s="56">
        <v>268</v>
      </c>
      <c r="C330" s="33">
        <v>31.445843643443428</v>
      </c>
      <c r="D330" s="56">
        <f t="shared" si="5"/>
        <v>268</v>
      </c>
      <c r="E330" s="33">
        <v>-133.03217958782869</v>
      </c>
    </row>
    <row r="331" spans="2:5" x14ac:dyDescent="0.3">
      <c r="B331" s="56">
        <v>269</v>
      </c>
      <c r="C331" s="33">
        <v>15.608546016756238</v>
      </c>
      <c r="D331" s="56">
        <f t="shared" si="5"/>
        <v>269</v>
      </c>
      <c r="E331" s="33">
        <v>-47.279769446552564</v>
      </c>
    </row>
    <row r="332" spans="2:5" x14ac:dyDescent="0.3">
      <c r="B332" s="56">
        <v>270</v>
      </c>
      <c r="C332" s="33">
        <v>-363.45182456937766</v>
      </c>
      <c r="D332" s="56">
        <f t="shared" si="5"/>
        <v>270</v>
      </c>
      <c r="E332" s="33">
        <v>-127.02408746650761</v>
      </c>
    </row>
    <row r="333" spans="2:5" x14ac:dyDescent="0.3">
      <c r="B333" s="56">
        <v>271</v>
      </c>
      <c r="C333" s="33">
        <v>-207.54285479306898</v>
      </c>
      <c r="D333" s="56">
        <f t="shared" si="5"/>
        <v>271</v>
      </c>
      <c r="E333" s="33">
        <v>-442.72663952859057</v>
      </c>
    </row>
    <row r="334" spans="2:5" x14ac:dyDescent="0.3">
      <c r="B334" s="56">
        <v>272</v>
      </c>
      <c r="C334" s="33">
        <v>328.36360481585206</v>
      </c>
      <c r="D334" s="56">
        <f t="shared" si="5"/>
        <v>272</v>
      </c>
      <c r="E334" s="33">
        <v>-212.18077300069257</v>
      </c>
    </row>
    <row r="335" spans="2:5" x14ac:dyDescent="0.3">
      <c r="B335" s="56">
        <v>273</v>
      </c>
      <c r="C335" s="33">
        <v>-25.643814962757684</v>
      </c>
      <c r="D335" s="56">
        <f t="shared" si="5"/>
        <v>273</v>
      </c>
      <c r="E335" s="33">
        <v>-41.743221004064665</v>
      </c>
    </row>
    <row r="336" spans="2:5" x14ac:dyDescent="0.3">
      <c r="B336" s="56">
        <v>274</v>
      </c>
      <c r="C336" s="33">
        <v>13.016796266792312</v>
      </c>
      <c r="D336" s="56">
        <f t="shared" si="5"/>
        <v>274</v>
      </c>
      <c r="E336" s="33">
        <v>6.1281155413824564</v>
      </c>
    </row>
    <row r="337" spans="2:5" x14ac:dyDescent="0.3">
      <c r="B337" s="56">
        <v>275</v>
      </c>
      <c r="C337" s="33">
        <v>-286.97406716688442</v>
      </c>
      <c r="D337" s="56">
        <f t="shared" si="5"/>
        <v>275</v>
      </c>
      <c r="E337" s="33">
        <v>-231.326937804246</v>
      </c>
    </row>
    <row r="338" spans="2:5" x14ac:dyDescent="0.3">
      <c r="B338" s="56">
        <v>276</v>
      </c>
      <c r="C338" s="33">
        <v>148.79184345573302</v>
      </c>
      <c r="D338" s="56">
        <f t="shared" si="5"/>
        <v>276</v>
      </c>
      <c r="E338" s="33">
        <v>-78.309969639566958</v>
      </c>
    </row>
    <row r="339" spans="2:5" x14ac:dyDescent="0.3">
      <c r="B339" s="56">
        <v>277</v>
      </c>
      <c r="C339" s="33">
        <v>-134.27445657822855</v>
      </c>
      <c r="D339" s="56">
        <f t="shared" ref="D339:D402" si="6">B339</f>
        <v>277</v>
      </c>
      <c r="E339" s="33">
        <v>-100.36343876449284</v>
      </c>
    </row>
    <row r="340" spans="2:5" x14ac:dyDescent="0.3">
      <c r="B340" s="56">
        <v>278</v>
      </c>
      <c r="C340" s="33">
        <v>-59.981227712427611</v>
      </c>
      <c r="D340" s="56">
        <f t="shared" si="6"/>
        <v>278</v>
      </c>
      <c r="E340" s="33">
        <v>-53.2702937420909</v>
      </c>
    </row>
    <row r="341" spans="2:5" x14ac:dyDescent="0.3">
      <c r="B341" s="56">
        <v>279</v>
      </c>
      <c r="C341" s="33">
        <v>-210.68238016676318</v>
      </c>
      <c r="D341" s="56">
        <f t="shared" si="6"/>
        <v>279</v>
      </c>
      <c r="E341" s="33">
        <v>-91.428604913590462</v>
      </c>
    </row>
    <row r="342" spans="2:5" x14ac:dyDescent="0.3">
      <c r="B342" s="56">
        <v>280</v>
      </c>
      <c r="C342" s="33">
        <v>-5.8241432067283938E-2</v>
      </c>
      <c r="D342" s="56">
        <f t="shared" si="6"/>
        <v>280</v>
      </c>
      <c r="E342" s="33">
        <v>-277.00167660082894</v>
      </c>
    </row>
    <row r="343" spans="2:5" x14ac:dyDescent="0.3">
      <c r="B343" s="56">
        <v>281</v>
      </c>
      <c r="C343" s="33">
        <v>-285.22470723325182</v>
      </c>
      <c r="D343" s="56">
        <f t="shared" si="6"/>
        <v>281</v>
      </c>
      <c r="E343" s="33">
        <v>-214.85862041193099</v>
      </c>
    </row>
    <row r="344" spans="2:5" x14ac:dyDescent="0.3">
      <c r="B344" s="56">
        <v>282</v>
      </c>
      <c r="C344" s="33">
        <v>-220.41438178613504</v>
      </c>
      <c r="D344" s="56">
        <f t="shared" si="6"/>
        <v>282</v>
      </c>
      <c r="E344" s="33">
        <v>20.577207348082041</v>
      </c>
    </row>
    <row r="345" spans="2:5" x14ac:dyDescent="0.3">
      <c r="B345" s="56">
        <v>283</v>
      </c>
      <c r="C345" s="33">
        <v>6.9062051422340325</v>
      </c>
      <c r="D345" s="56">
        <f t="shared" si="6"/>
        <v>283</v>
      </c>
      <c r="E345" s="33">
        <v>-232.92727885605376</v>
      </c>
    </row>
    <row r="346" spans="2:5" x14ac:dyDescent="0.3">
      <c r="B346" s="56">
        <v>284</v>
      </c>
      <c r="C346" s="33">
        <v>138.15666828871139</v>
      </c>
      <c r="D346" s="56">
        <f t="shared" si="6"/>
        <v>284</v>
      </c>
      <c r="E346" s="33">
        <v>19.10748306428458</v>
      </c>
    </row>
    <row r="347" spans="2:5" x14ac:dyDescent="0.3">
      <c r="B347" s="56">
        <v>285</v>
      </c>
      <c r="C347" s="33">
        <v>295.63977781648919</v>
      </c>
      <c r="D347" s="56">
        <f t="shared" si="6"/>
        <v>285</v>
      </c>
      <c r="E347" s="33">
        <v>-45.074772253003744</v>
      </c>
    </row>
    <row r="348" spans="2:5" x14ac:dyDescent="0.3">
      <c r="B348" s="56">
        <v>286</v>
      </c>
      <c r="C348" s="33">
        <v>40.306904278896305</v>
      </c>
      <c r="D348" s="56">
        <f t="shared" si="6"/>
        <v>286</v>
      </c>
      <c r="E348" s="33">
        <v>-254.25136362639682</v>
      </c>
    </row>
    <row r="349" spans="2:5" x14ac:dyDescent="0.3">
      <c r="B349" s="56">
        <v>287</v>
      </c>
      <c r="C349" s="33">
        <v>-38.991389151107299</v>
      </c>
      <c r="D349" s="56">
        <f t="shared" si="6"/>
        <v>287</v>
      </c>
      <c r="E349" s="33">
        <v>-222.46811377413252</v>
      </c>
    </row>
    <row r="350" spans="2:5" x14ac:dyDescent="0.3">
      <c r="B350" s="56">
        <v>288</v>
      </c>
      <c r="C350" s="33">
        <v>127.75544055357547</v>
      </c>
      <c r="D350" s="56">
        <f t="shared" si="6"/>
        <v>288</v>
      </c>
      <c r="E350" s="33">
        <v>-255.17889949739478</v>
      </c>
    </row>
    <row r="351" spans="2:5" x14ac:dyDescent="0.3">
      <c r="B351" s="56">
        <v>289</v>
      </c>
      <c r="C351" s="33">
        <v>-172.37711781021653</v>
      </c>
      <c r="D351" s="56">
        <f t="shared" si="6"/>
        <v>289</v>
      </c>
      <c r="E351" s="33">
        <v>-214.03557973107232</v>
      </c>
    </row>
    <row r="352" spans="2:5" x14ac:dyDescent="0.3">
      <c r="B352" s="56">
        <v>290</v>
      </c>
      <c r="C352" s="33">
        <v>-33.088500452892191</v>
      </c>
      <c r="D352" s="56">
        <f t="shared" si="6"/>
        <v>290</v>
      </c>
      <c r="E352" s="33">
        <v>61.132590379991676</v>
      </c>
    </row>
    <row r="353" spans="2:5" x14ac:dyDescent="0.3">
      <c r="B353" s="56">
        <v>291</v>
      </c>
      <c r="C353" s="33">
        <v>-122.78095618697274</v>
      </c>
      <c r="D353" s="56">
        <f t="shared" si="6"/>
        <v>291</v>
      </c>
      <c r="E353" s="33">
        <v>-73.126018673413512</v>
      </c>
    </row>
    <row r="354" spans="2:5" x14ac:dyDescent="0.3">
      <c r="B354" s="56">
        <v>292</v>
      </c>
      <c r="C354" s="33">
        <v>-217.45871780122977</v>
      </c>
      <c r="D354" s="56">
        <f t="shared" si="6"/>
        <v>292</v>
      </c>
      <c r="E354" s="33">
        <v>-100.51241960135381</v>
      </c>
    </row>
    <row r="355" spans="2:5" x14ac:dyDescent="0.3">
      <c r="B355" s="56">
        <v>293</v>
      </c>
      <c r="C355" s="33">
        <v>226.32068096217927</v>
      </c>
      <c r="D355" s="56">
        <f t="shared" si="6"/>
        <v>293</v>
      </c>
      <c r="E355" s="33">
        <v>-48.113855584025828</v>
      </c>
    </row>
    <row r="356" spans="2:5" x14ac:dyDescent="0.3">
      <c r="B356" s="56">
        <v>294</v>
      </c>
      <c r="C356" s="33">
        <v>-221.91859298730745</v>
      </c>
      <c r="D356" s="56">
        <f t="shared" si="6"/>
        <v>294</v>
      </c>
      <c r="E356" s="33">
        <v>-145.83367386846902</v>
      </c>
    </row>
    <row r="357" spans="2:5" x14ac:dyDescent="0.3">
      <c r="B357" s="56">
        <v>295</v>
      </c>
      <c r="C357" s="33">
        <v>-78.436227182257852</v>
      </c>
      <c r="D357" s="56">
        <f t="shared" si="6"/>
        <v>295</v>
      </c>
      <c r="E357" s="33">
        <v>-39.874410041834722</v>
      </c>
    </row>
    <row r="358" spans="2:5" x14ac:dyDescent="0.3">
      <c r="B358" s="56">
        <v>296</v>
      </c>
      <c r="C358" s="33">
        <v>-47.332960223858564</v>
      </c>
      <c r="D358" s="56">
        <f t="shared" si="6"/>
        <v>296</v>
      </c>
      <c r="E358" s="33">
        <v>118.02872327177043</v>
      </c>
    </row>
    <row r="359" spans="2:5" x14ac:dyDescent="0.3">
      <c r="B359" s="56">
        <v>297</v>
      </c>
      <c r="C359" s="33">
        <v>-70.057904739251413</v>
      </c>
      <c r="D359" s="56">
        <f t="shared" si="6"/>
        <v>297</v>
      </c>
      <c r="E359" s="33">
        <v>54.273491718874112</v>
      </c>
    </row>
    <row r="360" spans="2:5" x14ac:dyDescent="0.3">
      <c r="B360" s="56">
        <v>298</v>
      </c>
      <c r="C360" s="33">
        <v>-0.92031243429463672</v>
      </c>
      <c r="D360" s="56">
        <f t="shared" si="6"/>
        <v>298</v>
      </c>
      <c r="E360" s="33">
        <v>-455.60680655706585</v>
      </c>
    </row>
    <row r="361" spans="2:5" x14ac:dyDescent="0.3">
      <c r="B361" s="56">
        <v>299</v>
      </c>
      <c r="C361" s="33">
        <v>150.84232688902054</v>
      </c>
      <c r="D361" s="56">
        <f t="shared" si="6"/>
        <v>299</v>
      </c>
      <c r="E361" s="33">
        <v>-198.75071246188148</v>
      </c>
    </row>
    <row r="362" spans="2:5" x14ac:dyDescent="0.3">
      <c r="B362" s="56">
        <v>300</v>
      </c>
      <c r="C362" s="33">
        <v>-254.69004428046188</v>
      </c>
      <c r="D362" s="56">
        <f t="shared" si="6"/>
        <v>300</v>
      </c>
      <c r="E362" s="33">
        <v>-29.460059737372177</v>
      </c>
    </row>
    <row r="363" spans="2:5" x14ac:dyDescent="0.3">
      <c r="B363" s="56">
        <v>301</v>
      </c>
      <c r="C363" s="33">
        <v>77.415767108521464</v>
      </c>
      <c r="D363" s="56">
        <f t="shared" si="6"/>
        <v>301</v>
      </c>
      <c r="E363" s="33">
        <v>-102.08405529908009</v>
      </c>
    </row>
    <row r="364" spans="2:5" x14ac:dyDescent="0.3">
      <c r="B364" s="56">
        <v>302</v>
      </c>
      <c r="C364" s="33">
        <v>-117.05163697827015</v>
      </c>
      <c r="D364" s="56">
        <f t="shared" si="6"/>
        <v>302</v>
      </c>
      <c r="E364" s="33">
        <v>-482.11719832077165</v>
      </c>
    </row>
    <row r="365" spans="2:5" x14ac:dyDescent="0.3">
      <c r="B365" s="56">
        <v>303</v>
      </c>
      <c r="C365" s="33">
        <v>-4.6717346933817616</v>
      </c>
      <c r="D365" s="56">
        <f t="shared" si="6"/>
        <v>303</v>
      </c>
      <c r="E365" s="33">
        <v>-134.80166122810107</v>
      </c>
    </row>
    <row r="366" spans="2:5" x14ac:dyDescent="0.3">
      <c r="B366" s="56">
        <v>304</v>
      </c>
      <c r="C366" s="33">
        <v>-382.13091593836924</v>
      </c>
      <c r="D366" s="56">
        <f t="shared" si="6"/>
        <v>304</v>
      </c>
      <c r="E366" s="33">
        <v>-103.89534949658167</v>
      </c>
    </row>
    <row r="367" spans="2:5" x14ac:dyDescent="0.3">
      <c r="B367" s="56">
        <v>305</v>
      </c>
      <c r="C367" s="33">
        <v>127.86276965284897</v>
      </c>
      <c r="D367" s="56">
        <f t="shared" si="6"/>
        <v>305</v>
      </c>
      <c r="E367" s="33">
        <v>-80.261403904591717</v>
      </c>
    </row>
    <row r="368" spans="2:5" x14ac:dyDescent="0.3">
      <c r="B368" s="56">
        <v>306</v>
      </c>
      <c r="C368" s="33">
        <v>137.07256870094591</v>
      </c>
      <c r="D368" s="56">
        <f t="shared" si="6"/>
        <v>306</v>
      </c>
      <c r="E368" s="33">
        <v>-147.69263177364013</v>
      </c>
    </row>
    <row r="369" spans="2:5" x14ac:dyDescent="0.3">
      <c r="B369" s="56">
        <v>307</v>
      </c>
      <c r="C369" s="33">
        <v>-154.53472528642175</v>
      </c>
      <c r="D369" s="56">
        <f t="shared" si="6"/>
        <v>307</v>
      </c>
      <c r="E369" s="33">
        <v>-207.61925604000265</v>
      </c>
    </row>
    <row r="370" spans="2:5" x14ac:dyDescent="0.3">
      <c r="B370" s="56">
        <v>308</v>
      </c>
      <c r="C370" s="33">
        <v>-67.457865067682576</v>
      </c>
      <c r="D370" s="56">
        <f t="shared" si="6"/>
        <v>308</v>
      </c>
      <c r="E370" s="33">
        <v>-212.82766512607733</v>
      </c>
    </row>
    <row r="371" spans="2:5" x14ac:dyDescent="0.3">
      <c r="B371" s="56">
        <v>309</v>
      </c>
      <c r="C371" s="33">
        <v>145.55152226959339</v>
      </c>
      <c r="D371" s="56">
        <f t="shared" si="6"/>
        <v>309</v>
      </c>
      <c r="E371" s="33">
        <v>-237.09849663488217</v>
      </c>
    </row>
    <row r="372" spans="2:5" x14ac:dyDescent="0.3">
      <c r="B372" s="56">
        <v>310</v>
      </c>
      <c r="C372" s="33">
        <v>-39.762147830501732</v>
      </c>
      <c r="D372" s="56">
        <f t="shared" si="6"/>
        <v>310</v>
      </c>
      <c r="E372" s="33">
        <v>-399.87244761691539</v>
      </c>
    </row>
    <row r="373" spans="2:5" x14ac:dyDescent="0.3">
      <c r="B373" s="56">
        <v>311</v>
      </c>
      <c r="C373" s="33">
        <v>3.4170595117021776</v>
      </c>
      <c r="D373" s="56">
        <f t="shared" si="6"/>
        <v>311</v>
      </c>
      <c r="E373" s="33">
        <v>8.5876996545039077</v>
      </c>
    </row>
    <row r="374" spans="2:5" x14ac:dyDescent="0.3">
      <c r="B374" s="56">
        <v>312</v>
      </c>
      <c r="C374" s="33">
        <v>-51.017436850091386</v>
      </c>
      <c r="D374" s="56">
        <f t="shared" si="6"/>
        <v>312</v>
      </c>
      <c r="E374" s="33">
        <v>-214.0160862591905</v>
      </c>
    </row>
    <row r="375" spans="2:5" x14ac:dyDescent="0.3">
      <c r="B375" s="56">
        <v>313</v>
      </c>
      <c r="C375" s="33">
        <v>2.7026236114440216</v>
      </c>
      <c r="D375" s="56">
        <f t="shared" si="6"/>
        <v>313</v>
      </c>
      <c r="E375" s="33">
        <v>-105.63863527173561</v>
      </c>
    </row>
    <row r="376" spans="2:5" x14ac:dyDescent="0.3">
      <c r="B376" s="56">
        <v>314</v>
      </c>
      <c r="C376" s="33">
        <v>-232.8114894205184</v>
      </c>
      <c r="D376" s="56">
        <f t="shared" si="6"/>
        <v>314</v>
      </c>
      <c r="E376" s="33">
        <v>-164.13075574118611</v>
      </c>
    </row>
    <row r="377" spans="2:5" x14ac:dyDescent="0.3">
      <c r="B377" s="56">
        <v>315</v>
      </c>
      <c r="C377" s="33">
        <v>198.5065382359391</v>
      </c>
      <c r="D377" s="56">
        <f t="shared" si="6"/>
        <v>315</v>
      </c>
      <c r="E377" s="33">
        <v>-147.94372847137822</v>
      </c>
    </row>
    <row r="378" spans="2:5" x14ac:dyDescent="0.3">
      <c r="B378" s="56">
        <v>316</v>
      </c>
      <c r="C378" s="33">
        <v>124.96310366488383</v>
      </c>
      <c r="D378" s="56">
        <f t="shared" si="6"/>
        <v>316</v>
      </c>
      <c r="E378" s="33">
        <v>-24.829459236085412</v>
      </c>
    </row>
    <row r="379" spans="2:5" x14ac:dyDescent="0.3">
      <c r="B379" s="56">
        <v>317</v>
      </c>
      <c r="C379" s="33">
        <v>-171.50446352332014</v>
      </c>
      <c r="D379" s="56">
        <f t="shared" si="6"/>
        <v>317</v>
      </c>
      <c r="E379" s="33">
        <v>-291.22647050454805</v>
      </c>
    </row>
    <row r="380" spans="2:5" x14ac:dyDescent="0.3">
      <c r="B380" s="56">
        <v>318</v>
      </c>
      <c r="C380" s="33">
        <v>69.461472428920757</v>
      </c>
      <c r="D380" s="56">
        <f t="shared" si="6"/>
        <v>318</v>
      </c>
      <c r="E380" s="33">
        <v>-239.58517989235838</v>
      </c>
    </row>
    <row r="381" spans="2:5" x14ac:dyDescent="0.3">
      <c r="B381" s="56">
        <v>319</v>
      </c>
      <c r="C381" s="33">
        <v>311.11573634438929</v>
      </c>
      <c r="D381" s="56">
        <f t="shared" si="6"/>
        <v>319</v>
      </c>
      <c r="E381" s="33">
        <v>-78.947424747514447</v>
      </c>
    </row>
    <row r="382" spans="2:5" x14ac:dyDescent="0.3">
      <c r="B382" s="56">
        <v>320</v>
      </c>
      <c r="C382" s="33">
        <v>-115.24714480230152</v>
      </c>
      <c r="D382" s="56">
        <f t="shared" si="6"/>
        <v>320</v>
      </c>
      <c r="E382" s="33">
        <v>-126.67045670942811</v>
      </c>
    </row>
    <row r="383" spans="2:5" x14ac:dyDescent="0.3">
      <c r="B383" s="56">
        <v>321</v>
      </c>
      <c r="C383" s="33">
        <v>34.199590984954604</v>
      </c>
      <c r="D383" s="56">
        <f t="shared" si="6"/>
        <v>321</v>
      </c>
      <c r="E383" s="33">
        <v>167.52543528932193</v>
      </c>
    </row>
    <row r="384" spans="2:5" x14ac:dyDescent="0.3">
      <c r="B384" s="56">
        <v>322</v>
      </c>
      <c r="C384" s="33">
        <v>-223.60223477095118</v>
      </c>
      <c r="D384" s="56">
        <f t="shared" si="6"/>
        <v>322</v>
      </c>
      <c r="E384" s="33">
        <v>-67.168041373374464</v>
      </c>
    </row>
    <row r="385" spans="2:5" x14ac:dyDescent="0.3">
      <c r="B385" s="56">
        <v>323</v>
      </c>
      <c r="C385" s="33">
        <v>-44.539368925884361</v>
      </c>
      <c r="D385" s="56">
        <f t="shared" si="6"/>
        <v>323</v>
      </c>
      <c r="E385" s="33">
        <v>-286.83266997717669</v>
      </c>
    </row>
    <row r="386" spans="2:5" x14ac:dyDescent="0.3">
      <c r="B386" s="56">
        <v>324</v>
      </c>
      <c r="C386" s="33">
        <v>-19.777320193449146</v>
      </c>
      <c r="D386" s="56">
        <f t="shared" si="6"/>
        <v>324</v>
      </c>
      <c r="E386" s="33">
        <v>29.990283458483432</v>
      </c>
    </row>
    <row r="387" spans="2:5" x14ac:dyDescent="0.3">
      <c r="B387" s="56">
        <v>325</v>
      </c>
      <c r="C387" s="33">
        <v>-77.04967529205021</v>
      </c>
      <c r="D387" s="56">
        <f t="shared" si="6"/>
        <v>325</v>
      </c>
      <c r="E387" s="33">
        <v>-213.64394019542382</v>
      </c>
    </row>
    <row r="388" spans="2:5" x14ac:dyDescent="0.3">
      <c r="B388" s="56">
        <v>326</v>
      </c>
      <c r="C388" s="33">
        <v>-82.375403612896974</v>
      </c>
      <c r="D388" s="56">
        <f t="shared" si="6"/>
        <v>326</v>
      </c>
      <c r="E388" s="33">
        <v>-355.87601927174359</v>
      </c>
    </row>
    <row r="389" spans="2:5" x14ac:dyDescent="0.3">
      <c r="B389" s="56">
        <v>327</v>
      </c>
      <c r="C389" s="33">
        <v>41.625905522575223</v>
      </c>
      <c r="D389" s="56">
        <f t="shared" si="6"/>
        <v>327</v>
      </c>
      <c r="E389" s="33">
        <v>-193.75389626099852</v>
      </c>
    </row>
    <row r="390" spans="2:5" x14ac:dyDescent="0.3">
      <c r="B390" s="56">
        <v>328</v>
      </c>
      <c r="C390" s="33">
        <v>-526.21439593541436</v>
      </c>
      <c r="D390" s="56">
        <f t="shared" si="6"/>
        <v>328</v>
      </c>
      <c r="E390" s="33">
        <v>56.700143638664365</v>
      </c>
    </row>
    <row r="391" spans="2:5" x14ac:dyDescent="0.3">
      <c r="B391" s="56">
        <v>329</v>
      </c>
      <c r="C391" s="33">
        <v>-17.209435674642183</v>
      </c>
      <c r="D391" s="56">
        <f t="shared" si="6"/>
        <v>329</v>
      </c>
      <c r="E391" s="33">
        <v>-307.2191951358551</v>
      </c>
    </row>
    <row r="392" spans="2:5" x14ac:dyDescent="0.3">
      <c r="B392" s="56">
        <v>330</v>
      </c>
      <c r="C392" s="33">
        <v>83.52674993857292</v>
      </c>
      <c r="D392" s="56">
        <f t="shared" si="6"/>
        <v>330</v>
      </c>
      <c r="E392" s="33">
        <v>-261.03174903007221</v>
      </c>
    </row>
    <row r="393" spans="2:5" x14ac:dyDescent="0.3">
      <c r="B393" s="56">
        <v>331</v>
      </c>
      <c r="C393" s="33">
        <v>6.0846643177818187</v>
      </c>
      <c r="D393" s="56">
        <f t="shared" si="6"/>
        <v>331</v>
      </c>
      <c r="E393" s="33">
        <v>16.897023960698448</v>
      </c>
    </row>
    <row r="394" spans="2:5" x14ac:dyDescent="0.3">
      <c r="B394" s="56">
        <v>332</v>
      </c>
      <c r="C394" s="33">
        <v>111.38104688598959</v>
      </c>
      <c r="D394" s="56">
        <f t="shared" si="6"/>
        <v>332</v>
      </c>
      <c r="E394" s="33">
        <v>-287.78879137869785</v>
      </c>
    </row>
    <row r="395" spans="2:5" x14ac:dyDescent="0.3">
      <c r="B395" s="56">
        <v>333</v>
      </c>
      <c r="C395" s="33">
        <v>181.66672912152467</v>
      </c>
      <c r="D395" s="56">
        <f t="shared" si="6"/>
        <v>333</v>
      </c>
      <c r="E395" s="33">
        <v>-169.58962522077485</v>
      </c>
    </row>
    <row r="396" spans="2:5" x14ac:dyDescent="0.3">
      <c r="B396" s="56">
        <v>334</v>
      </c>
      <c r="C396" s="33">
        <v>-220.18650684439322</v>
      </c>
      <c r="D396" s="56">
        <f t="shared" si="6"/>
        <v>334</v>
      </c>
      <c r="E396" s="33">
        <v>-411.11002438768992</v>
      </c>
    </row>
    <row r="397" spans="2:5" x14ac:dyDescent="0.3">
      <c r="B397" s="56">
        <v>335</v>
      </c>
      <c r="C397" s="33">
        <v>137.83611741220173</v>
      </c>
      <c r="D397" s="56">
        <f t="shared" si="6"/>
        <v>335</v>
      </c>
      <c r="E397" s="33">
        <v>-209.95884378485769</v>
      </c>
    </row>
    <row r="398" spans="2:5" x14ac:dyDescent="0.3">
      <c r="B398" s="56">
        <v>336</v>
      </c>
      <c r="C398" s="33">
        <v>285.45239893801681</v>
      </c>
      <c r="D398" s="56">
        <f t="shared" si="6"/>
        <v>336</v>
      </c>
      <c r="E398" s="33">
        <v>-268.88205035030597</v>
      </c>
    </row>
    <row r="399" spans="2:5" x14ac:dyDescent="0.3">
      <c r="B399" s="56">
        <v>337</v>
      </c>
      <c r="C399" s="33">
        <v>-189.32815973696299</v>
      </c>
      <c r="D399" s="56">
        <f t="shared" si="6"/>
        <v>337</v>
      </c>
      <c r="E399" s="33">
        <v>-494.03774829599911</v>
      </c>
    </row>
    <row r="400" spans="2:5" x14ac:dyDescent="0.3">
      <c r="B400" s="56">
        <v>338</v>
      </c>
      <c r="C400" s="33">
        <v>-15.327833205204069</v>
      </c>
      <c r="D400" s="56">
        <f t="shared" si="6"/>
        <v>338</v>
      </c>
      <c r="E400" s="33">
        <v>-119.92929482831154</v>
      </c>
    </row>
    <row r="401" spans="2:5" x14ac:dyDescent="0.3">
      <c r="B401" s="56">
        <v>339</v>
      </c>
      <c r="C401" s="33">
        <v>212.06711574916233</v>
      </c>
      <c r="D401" s="56">
        <f t="shared" si="6"/>
        <v>339</v>
      </c>
      <c r="E401" s="33">
        <v>-129.35651430822776</v>
      </c>
    </row>
    <row r="402" spans="2:5" x14ac:dyDescent="0.3">
      <c r="B402" s="56">
        <v>340</v>
      </c>
      <c r="C402" s="33">
        <v>-348.34206050486375</v>
      </c>
      <c r="D402" s="56">
        <f t="shared" si="6"/>
        <v>340</v>
      </c>
      <c r="E402" s="33">
        <v>-198.07441470195988</v>
      </c>
    </row>
    <row r="403" spans="2:5" x14ac:dyDescent="0.3">
      <c r="B403" s="56">
        <v>341</v>
      </c>
      <c r="C403" s="33">
        <v>-177.06887066057178</v>
      </c>
      <c r="D403" s="56">
        <f t="shared" ref="D403:D466" si="7">B403</f>
        <v>341</v>
      </c>
      <c r="E403" s="33">
        <v>-222.22212849139987</v>
      </c>
    </row>
    <row r="404" spans="2:5" x14ac:dyDescent="0.3">
      <c r="B404" s="56">
        <v>342</v>
      </c>
      <c r="C404" s="33">
        <v>-59.476910165767379</v>
      </c>
      <c r="D404" s="56">
        <f t="shared" si="7"/>
        <v>342</v>
      </c>
      <c r="E404" s="33">
        <v>-73.494345858209812</v>
      </c>
    </row>
    <row r="405" spans="2:5" x14ac:dyDescent="0.3">
      <c r="B405" s="56">
        <v>343</v>
      </c>
      <c r="C405" s="33">
        <v>-67.95816193858515</v>
      </c>
      <c r="D405" s="56">
        <f t="shared" si="7"/>
        <v>343</v>
      </c>
      <c r="E405" s="33">
        <v>-19.232570522520319</v>
      </c>
    </row>
    <row r="406" spans="2:5" x14ac:dyDescent="0.3">
      <c r="B406" s="56">
        <v>344</v>
      </c>
      <c r="C406" s="33">
        <v>-424.50854824095512</v>
      </c>
      <c r="D406" s="56">
        <f t="shared" si="7"/>
        <v>344</v>
      </c>
      <c r="E406" s="33">
        <v>-451.9478559101496</v>
      </c>
    </row>
    <row r="407" spans="2:5" x14ac:dyDescent="0.3">
      <c r="B407" s="56">
        <v>345</v>
      </c>
      <c r="C407" s="33">
        <v>117.41205323072154</v>
      </c>
      <c r="D407" s="56">
        <f t="shared" si="7"/>
        <v>345</v>
      </c>
      <c r="E407" s="33">
        <v>-155.87073564254746</v>
      </c>
    </row>
    <row r="408" spans="2:5" x14ac:dyDescent="0.3">
      <c r="B408" s="56">
        <v>346</v>
      </c>
      <c r="C408" s="33">
        <v>25.450763360489915</v>
      </c>
      <c r="D408" s="56">
        <f t="shared" si="7"/>
        <v>346</v>
      </c>
      <c r="E408" s="33">
        <v>-67.505977630670444</v>
      </c>
    </row>
    <row r="409" spans="2:5" x14ac:dyDescent="0.3">
      <c r="B409" s="56">
        <v>347</v>
      </c>
      <c r="C409" s="33">
        <v>33.598989610647074</v>
      </c>
      <c r="D409" s="56">
        <f t="shared" si="7"/>
        <v>347</v>
      </c>
      <c r="E409" s="33">
        <v>234.66062232519658</v>
      </c>
    </row>
    <row r="410" spans="2:5" x14ac:dyDescent="0.3">
      <c r="B410" s="56">
        <v>348</v>
      </c>
      <c r="C410" s="33">
        <v>-173.93475838010764</v>
      </c>
      <c r="D410" s="56">
        <f t="shared" si="7"/>
        <v>348</v>
      </c>
      <c r="E410" s="33">
        <v>-48.980520573049603</v>
      </c>
    </row>
    <row r="411" spans="2:5" x14ac:dyDescent="0.3">
      <c r="B411" s="56">
        <v>349</v>
      </c>
      <c r="C411" s="33">
        <v>-60.107291083321293</v>
      </c>
      <c r="D411" s="56">
        <f t="shared" si="7"/>
        <v>349</v>
      </c>
      <c r="E411" s="33">
        <v>-294.94822960698542</v>
      </c>
    </row>
    <row r="412" spans="2:5" x14ac:dyDescent="0.3">
      <c r="B412" s="56">
        <v>350</v>
      </c>
      <c r="C412" s="33">
        <v>165.27416037451366</v>
      </c>
      <c r="D412" s="56">
        <f t="shared" si="7"/>
        <v>350</v>
      </c>
      <c r="E412" s="33">
        <v>-16.771558158988228</v>
      </c>
    </row>
    <row r="413" spans="2:5" x14ac:dyDescent="0.3">
      <c r="B413" s="56">
        <v>351</v>
      </c>
      <c r="C413" s="33">
        <v>148.38091910609072</v>
      </c>
      <c r="D413" s="56">
        <f t="shared" si="7"/>
        <v>351</v>
      </c>
      <c r="E413" s="33">
        <v>-60.334164448751068</v>
      </c>
    </row>
    <row r="414" spans="2:5" x14ac:dyDescent="0.3">
      <c r="B414" s="56">
        <v>352</v>
      </c>
      <c r="C414" s="33">
        <v>-98.583890554470514</v>
      </c>
      <c r="D414" s="56">
        <f t="shared" si="7"/>
        <v>352</v>
      </c>
      <c r="E414" s="33">
        <v>-17.041841456615032</v>
      </c>
    </row>
    <row r="415" spans="2:5" x14ac:dyDescent="0.3">
      <c r="B415" s="56">
        <v>353</v>
      </c>
      <c r="C415" s="33">
        <v>1.9785773863994187</v>
      </c>
      <c r="D415" s="56">
        <f t="shared" si="7"/>
        <v>353</v>
      </c>
      <c r="E415" s="33">
        <v>-233.64191402113545</v>
      </c>
    </row>
    <row r="416" spans="2:5" x14ac:dyDescent="0.3">
      <c r="B416" s="56">
        <v>354</v>
      </c>
      <c r="C416" s="33">
        <v>101.65954881376916</v>
      </c>
      <c r="D416" s="56">
        <f t="shared" si="7"/>
        <v>354</v>
      </c>
      <c r="E416" s="33">
        <v>-206.90748945259915</v>
      </c>
    </row>
    <row r="417" spans="2:5" x14ac:dyDescent="0.3">
      <c r="B417" s="56">
        <v>355</v>
      </c>
      <c r="C417" s="33">
        <v>-194.70177663076643</v>
      </c>
      <c r="D417" s="56">
        <f t="shared" si="7"/>
        <v>355</v>
      </c>
      <c r="E417" s="33">
        <v>-302.26540073927441</v>
      </c>
    </row>
    <row r="418" spans="2:5" x14ac:dyDescent="0.3">
      <c r="B418" s="56">
        <v>356</v>
      </c>
      <c r="C418" s="33">
        <v>98.731537425923634</v>
      </c>
      <c r="D418" s="56">
        <f t="shared" si="7"/>
        <v>356</v>
      </c>
      <c r="E418" s="33">
        <v>-306.29858206431936</v>
      </c>
    </row>
    <row r="419" spans="2:5" x14ac:dyDescent="0.3">
      <c r="B419" s="56">
        <v>357</v>
      </c>
      <c r="C419" s="33">
        <v>-86.502485279591951</v>
      </c>
      <c r="D419" s="56">
        <f t="shared" si="7"/>
        <v>357</v>
      </c>
      <c r="E419" s="33">
        <v>-87.780514492688411</v>
      </c>
    </row>
    <row r="420" spans="2:5" x14ac:dyDescent="0.3">
      <c r="B420" s="56">
        <v>358</v>
      </c>
      <c r="C420" s="33">
        <v>-91.289144522927529</v>
      </c>
      <c r="D420" s="56">
        <f t="shared" si="7"/>
        <v>358</v>
      </c>
      <c r="E420" s="33">
        <v>-112.05297962257578</v>
      </c>
    </row>
    <row r="421" spans="2:5" x14ac:dyDescent="0.3">
      <c r="B421" s="56">
        <v>359</v>
      </c>
      <c r="C421" s="33">
        <v>90.227614246162815</v>
      </c>
      <c r="D421" s="56">
        <f t="shared" si="7"/>
        <v>359</v>
      </c>
      <c r="E421" s="33">
        <v>-132.42157198753864</v>
      </c>
    </row>
    <row r="422" spans="2:5" x14ac:dyDescent="0.3">
      <c r="B422" s="56">
        <v>360</v>
      </c>
      <c r="C422" s="33">
        <v>55.44657180445391</v>
      </c>
      <c r="D422" s="56">
        <f t="shared" si="7"/>
        <v>360</v>
      </c>
      <c r="E422" s="33">
        <v>-84.799590155916093</v>
      </c>
    </row>
    <row r="423" spans="2:5" x14ac:dyDescent="0.3">
      <c r="B423" s="56">
        <v>361</v>
      </c>
      <c r="C423" s="33">
        <v>-162.50416773304414</v>
      </c>
      <c r="D423" s="56">
        <f t="shared" si="7"/>
        <v>361</v>
      </c>
      <c r="E423" s="33">
        <v>-44.483588931898595</v>
      </c>
    </row>
    <row r="424" spans="2:5" x14ac:dyDescent="0.3">
      <c r="B424" s="56">
        <v>362</v>
      </c>
      <c r="C424" s="33">
        <v>49.15907304781409</v>
      </c>
      <c r="D424" s="56">
        <f t="shared" si="7"/>
        <v>362</v>
      </c>
      <c r="E424" s="33">
        <v>-20.428588948480183</v>
      </c>
    </row>
    <row r="425" spans="2:5" x14ac:dyDescent="0.3">
      <c r="B425" s="56">
        <v>363</v>
      </c>
      <c r="C425" s="33">
        <v>-352.90548271284655</v>
      </c>
      <c r="D425" s="56">
        <f t="shared" si="7"/>
        <v>363</v>
      </c>
      <c r="E425" s="33">
        <v>-201.75892636403597</v>
      </c>
    </row>
    <row r="426" spans="2:5" x14ac:dyDescent="0.3">
      <c r="B426" s="56">
        <v>364</v>
      </c>
      <c r="C426" s="33">
        <v>-270.03107056789617</v>
      </c>
      <c r="D426" s="56">
        <f t="shared" si="7"/>
        <v>364</v>
      </c>
      <c r="E426" s="33">
        <v>-168.76317703442669</v>
      </c>
    </row>
    <row r="427" spans="2:5" x14ac:dyDescent="0.3">
      <c r="B427" s="56">
        <v>365</v>
      </c>
      <c r="C427" s="33">
        <v>9.1770740059627158</v>
      </c>
      <c r="D427" s="56">
        <f t="shared" si="7"/>
        <v>365</v>
      </c>
      <c r="E427" s="33">
        <v>-329.43423356797268</v>
      </c>
    </row>
    <row r="428" spans="2:5" x14ac:dyDescent="0.3">
      <c r="B428" s="56">
        <v>366</v>
      </c>
      <c r="C428" s="33">
        <v>-228.45911184790145</v>
      </c>
      <c r="D428" s="56">
        <f t="shared" si="7"/>
        <v>366</v>
      </c>
      <c r="E428" s="33">
        <v>-217.8221882526459</v>
      </c>
    </row>
    <row r="429" spans="2:5" x14ac:dyDescent="0.3">
      <c r="B429" s="56">
        <v>367</v>
      </c>
      <c r="C429" s="33">
        <v>-3.8439325181262554</v>
      </c>
      <c r="D429" s="56">
        <f t="shared" si="7"/>
        <v>367</v>
      </c>
      <c r="E429" s="33">
        <v>-160.82369937414566</v>
      </c>
    </row>
    <row r="430" spans="2:5" x14ac:dyDescent="0.3">
      <c r="B430" s="56">
        <v>368</v>
      </c>
      <c r="C430" s="33">
        <v>-107.1446525466766</v>
      </c>
      <c r="D430" s="56">
        <f t="shared" si="7"/>
        <v>368</v>
      </c>
      <c r="E430" s="33">
        <v>-165.29993555549223</v>
      </c>
    </row>
    <row r="431" spans="2:5" x14ac:dyDescent="0.3">
      <c r="B431" s="56">
        <v>369</v>
      </c>
      <c r="C431" s="33">
        <v>255.5620877375257</v>
      </c>
      <c r="D431" s="56">
        <f t="shared" si="7"/>
        <v>369</v>
      </c>
      <c r="E431" s="33">
        <v>-255.13294950332195</v>
      </c>
    </row>
    <row r="432" spans="2:5" x14ac:dyDescent="0.3">
      <c r="B432" s="56">
        <v>370</v>
      </c>
      <c r="C432" s="33">
        <v>352.92000265592458</v>
      </c>
      <c r="D432" s="56">
        <f t="shared" si="7"/>
        <v>370</v>
      </c>
      <c r="E432" s="33">
        <v>-169.33305569837421</v>
      </c>
    </row>
    <row r="433" spans="2:5" x14ac:dyDescent="0.3">
      <c r="B433" s="56">
        <v>371</v>
      </c>
      <c r="C433" s="33">
        <v>146.15735790242795</v>
      </c>
      <c r="D433" s="56">
        <f t="shared" si="7"/>
        <v>371</v>
      </c>
      <c r="E433" s="33">
        <v>120.35635971822646</v>
      </c>
    </row>
    <row r="434" spans="2:5" x14ac:dyDescent="0.3">
      <c r="B434" s="56">
        <v>372</v>
      </c>
      <c r="C434" s="33">
        <v>-89.451759694793751</v>
      </c>
      <c r="D434" s="56">
        <f t="shared" si="7"/>
        <v>372</v>
      </c>
      <c r="E434" s="33">
        <v>-119.59989665523246</v>
      </c>
    </row>
    <row r="435" spans="2:5" x14ac:dyDescent="0.3">
      <c r="B435" s="56">
        <v>373</v>
      </c>
      <c r="C435" s="33">
        <v>-100.0328318668362</v>
      </c>
      <c r="D435" s="56">
        <f t="shared" si="7"/>
        <v>373</v>
      </c>
      <c r="E435" s="33">
        <v>-109.077270368781</v>
      </c>
    </row>
    <row r="436" spans="2:5" x14ac:dyDescent="0.3">
      <c r="B436" s="56">
        <v>374</v>
      </c>
      <c r="C436" s="33">
        <v>23.948796779832289</v>
      </c>
      <c r="D436" s="56">
        <f t="shared" si="7"/>
        <v>374</v>
      </c>
      <c r="E436" s="33">
        <v>-172.07943872280021</v>
      </c>
    </row>
    <row r="437" spans="2:5" x14ac:dyDescent="0.3">
      <c r="B437" s="56">
        <v>375</v>
      </c>
      <c r="C437" s="33">
        <v>-45.772272475601589</v>
      </c>
      <c r="D437" s="56">
        <f t="shared" si="7"/>
        <v>375</v>
      </c>
      <c r="E437" s="33">
        <v>-96.242431453208297</v>
      </c>
    </row>
    <row r="438" spans="2:5" x14ac:dyDescent="0.3">
      <c r="B438" s="56">
        <v>376</v>
      </c>
      <c r="C438" s="33">
        <v>-36.174279279039482</v>
      </c>
      <c r="D438" s="56">
        <f t="shared" si="7"/>
        <v>376</v>
      </c>
      <c r="E438" s="33">
        <v>-141.43801990205424</v>
      </c>
    </row>
    <row r="439" spans="2:5" x14ac:dyDescent="0.3">
      <c r="B439" s="56">
        <v>377</v>
      </c>
      <c r="C439" s="33">
        <v>20.271202024489007</v>
      </c>
      <c r="D439" s="56">
        <f t="shared" si="7"/>
        <v>377</v>
      </c>
      <c r="E439" s="33">
        <v>-207.17245550047076</v>
      </c>
    </row>
    <row r="440" spans="2:5" x14ac:dyDescent="0.3">
      <c r="B440" s="56">
        <v>378</v>
      </c>
      <c r="C440" s="33">
        <v>-230.66799165660336</v>
      </c>
      <c r="D440" s="56">
        <f t="shared" si="7"/>
        <v>378</v>
      </c>
      <c r="E440" s="33">
        <v>-119.9801297083502</v>
      </c>
    </row>
    <row r="441" spans="2:5" x14ac:dyDescent="0.3">
      <c r="B441" s="56">
        <v>379</v>
      </c>
      <c r="C441" s="33">
        <v>-278.20717729436376</v>
      </c>
      <c r="D441" s="56">
        <f t="shared" si="7"/>
        <v>379</v>
      </c>
      <c r="E441" s="33">
        <v>-120.36618937648802</v>
      </c>
    </row>
    <row r="442" spans="2:5" x14ac:dyDescent="0.3">
      <c r="B442" s="56">
        <v>380</v>
      </c>
      <c r="C442" s="33">
        <v>-184.24282316591956</v>
      </c>
      <c r="D442" s="56">
        <f t="shared" si="7"/>
        <v>380</v>
      </c>
      <c r="E442" s="33">
        <v>-12.213880038567993</v>
      </c>
    </row>
    <row r="443" spans="2:5" x14ac:dyDescent="0.3">
      <c r="B443" s="56">
        <v>381</v>
      </c>
      <c r="C443" s="33">
        <v>-11.227749684156009</v>
      </c>
      <c r="D443" s="56">
        <f t="shared" si="7"/>
        <v>381</v>
      </c>
      <c r="E443" s="33">
        <v>-258.4118282966283</v>
      </c>
    </row>
    <row r="444" spans="2:5" x14ac:dyDescent="0.3">
      <c r="B444" s="56">
        <v>382</v>
      </c>
      <c r="C444" s="33">
        <v>95.721435537947031</v>
      </c>
      <c r="D444" s="56">
        <f t="shared" si="7"/>
        <v>382</v>
      </c>
      <c r="E444" s="33">
        <v>-135.79123408739912</v>
      </c>
    </row>
    <row r="445" spans="2:5" x14ac:dyDescent="0.3">
      <c r="B445" s="56">
        <v>383</v>
      </c>
      <c r="C445" s="33">
        <v>-31.204326412548394</v>
      </c>
      <c r="D445" s="56">
        <f t="shared" si="7"/>
        <v>383</v>
      </c>
      <c r="E445" s="33">
        <v>-97.871279212959834</v>
      </c>
    </row>
    <row r="446" spans="2:5" x14ac:dyDescent="0.3">
      <c r="B446" s="56">
        <v>384</v>
      </c>
      <c r="C446" s="33">
        <v>-117.78785920887894</v>
      </c>
      <c r="D446" s="56">
        <f t="shared" si="7"/>
        <v>384</v>
      </c>
      <c r="E446" s="33">
        <v>-40.160250673518576</v>
      </c>
    </row>
    <row r="447" spans="2:5" x14ac:dyDescent="0.3">
      <c r="B447" s="56">
        <v>385</v>
      </c>
      <c r="C447" s="33">
        <v>4.332227784401752</v>
      </c>
      <c r="D447" s="56">
        <f t="shared" si="7"/>
        <v>385</v>
      </c>
      <c r="E447" s="33">
        <v>-22.850092645516185</v>
      </c>
    </row>
    <row r="448" spans="2:5" x14ac:dyDescent="0.3">
      <c r="B448" s="56">
        <v>386</v>
      </c>
      <c r="C448" s="33">
        <v>-260.44880707694972</v>
      </c>
      <c r="D448" s="56">
        <f t="shared" si="7"/>
        <v>386</v>
      </c>
      <c r="E448" s="33">
        <v>-299.81346655637981</v>
      </c>
    </row>
    <row r="449" spans="2:5" x14ac:dyDescent="0.3">
      <c r="B449" s="56">
        <v>387</v>
      </c>
      <c r="C449" s="33">
        <v>-32.074751283110089</v>
      </c>
      <c r="D449" s="56">
        <f t="shared" si="7"/>
        <v>387</v>
      </c>
      <c r="E449" s="33">
        <v>-188.44369336116651</v>
      </c>
    </row>
    <row r="450" spans="2:5" x14ac:dyDescent="0.3">
      <c r="B450" s="56">
        <v>388</v>
      </c>
      <c r="C450" s="33">
        <v>32.630238458416507</v>
      </c>
      <c r="D450" s="56">
        <f t="shared" si="7"/>
        <v>388</v>
      </c>
      <c r="E450" s="33">
        <v>-150.94181538753099</v>
      </c>
    </row>
    <row r="451" spans="2:5" x14ac:dyDescent="0.3">
      <c r="B451" s="56">
        <v>389</v>
      </c>
      <c r="C451" s="33">
        <v>-170.26144375211018</v>
      </c>
      <c r="D451" s="56">
        <f t="shared" si="7"/>
        <v>389</v>
      </c>
      <c r="E451" s="33">
        <v>-216.11435595849471</v>
      </c>
    </row>
    <row r="452" spans="2:5" x14ac:dyDescent="0.3">
      <c r="B452" s="56">
        <v>390</v>
      </c>
      <c r="C452" s="33">
        <v>-55.588576222524779</v>
      </c>
      <c r="D452" s="56">
        <f t="shared" si="7"/>
        <v>390</v>
      </c>
      <c r="E452" s="33">
        <v>10.346044468463631</v>
      </c>
    </row>
    <row r="453" spans="2:5" x14ac:dyDescent="0.3">
      <c r="B453" s="56">
        <v>391</v>
      </c>
      <c r="C453" s="33">
        <v>161.21593024378004</v>
      </c>
      <c r="D453" s="56">
        <f t="shared" si="7"/>
        <v>391</v>
      </c>
      <c r="E453" s="33">
        <v>-67.339213416550649</v>
      </c>
    </row>
    <row r="454" spans="2:5" x14ac:dyDescent="0.3">
      <c r="B454" s="56">
        <v>392</v>
      </c>
      <c r="C454" s="33">
        <v>-237.0744327438405</v>
      </c>
      <c r="D454" s="56">
        <f t="shared" si="7"/>
        <v>392</v>
      </c>
      <c r="E454" s="33">
        <v>105.14482077465023</v>
      </c>
    </row>
    <row r="455" spans="2:5" x14ac:dyDescent="0.3">
      <c r="B455" s="56">
        <v>393</v>
      </c>
      <c r="C455" s="33">
        <v>166.61841194952052</v>
      </c>
      <c r="D455" s="56">
        <f t="shared" si="7"/>
        <v>393</v>
      </c>
      <c r="E455" s="33">
        <v>5.4124063901367094</v>
      </c>
    </row>
    <row r="456" spans="2:5" x14ac:dyDescent="0.3">
      <c r="B456" s="56">
        <v>394</v>
      </c>
      <c r="C456" s="33">
        <v>119.53767210772595</v>
      </c>
      <c r="D456" s="56">
        <f t="shared" si="7"/>
        <v>394</v>
      </c>
      <c r="E456" s="33">
        <v>-312.10538653231208</v>
      </c>
    </row>
    <row r="457" spans="2:5" x14ac:dyDescent="0.3">
      <c r="B457" s="56">
        <v>395</v>
      </c>
      <c r="C457" s="33">
        <v>-142.51315233798044</v>
      </c>
      <c r="D457" s="56">
        <f t="shared" si="7"/>
        <v>395</v>
      </c>
      <c r="E457" s="33">
        <v>-68.473058436081672</v>
      </c>
    </row>
    <row r="458" spans="2:5" x14ac:dyDescent="0.3">
      <c r="B458" s="56">
        <v>396</v>
      </c>
      <c r="C458" s="33">
        <v>198.71866336677252</v>
      </c>
      <c r="D458" s="56">
        <f t="shared" si="7"/>
        <v>396</v>
      </c>
      <c r="E458" s="33">
        <v>-112.40481317212885</v>
      </c>
    </row>
    <row r="459" spans="2:5" x14ac:dyDescent="0.3">
      <c r="B459" s="56">
        <v>397</v>
      </c>
      <c r="C459" s="33">
        <v>49.789703279656202</v>
      </c>
      <c r="D459" s="56">
        <f t="shared" si="7"/>
        <v>397</v>
      </c>
      <c r="E459" s="33">
        <v>-105.05194625686286</v>
      </c>
    </row>
    <row r="460" spans="2:5" x14ac:dyDescent="0.3">
      <c r="B460" s="56">
        <v>398</v>
      </c>
      <c r="C460" s="33">
        <v>102.40233390524186</v>
      </c>
      <c r="D460" s="56">
        <f t="shared" si="7"/>
        <v>398</v>
      </c>
      <c r="E460" s="33">
        <v>-336.35946746182901</v>
      </c>
    </row>
    <row r="461" spans="2:5" x14ac:dyDescent="0.3">
      <c r="B461" s="56">
        <v>399</v>
      </c>
      <c r="C461" s="33">
        <v>-365.66837958048683</v>
      </c>
      <c r="D461" s="56">
        <f t="shared" si="7"/>
        <v>399</v>
      </c>
      <c r="E461" s="33">
        <v>-221.12008746472074</v>
      </c>
    </row>
    <row r="462" spans="2:5" x14ac:dyDescent="0.3">
      <c r="B462" s="56">
        <v>400</v>
      </c>
      <c r="C462" s="33">
        <v>-275.62084055403864</v>
      </c>
      <c r="D462" s="56">
        <f t="shared" si="7"/>
        <v>400</v>
      </c>
      <c r="E462" s="33">
        <v>-279.84822749522652</v>
      </c>
    </row>
    <row r="463" spans="2:5" x14ac:dyDescent="0.3">
      <c r="B463" s="56">
        <v>401</v>
      </c>
      <c r="C463" s="33">
        <v>98.975471963823097</v>
      </c>
      <c r="D463" s="56">
        <f t="shared" si="7"/>
        <v>401</v>
      </c>
      <c r="E463" s="33">
        <v>-117.8090372753702</v>
      </c>
    </row>
    <row r="464" spans="2:5" x14ac:dyDescent="0.3">
      <c r="B464" s="56">
        <v>402</v>
      </c>
      <c r="C464" s="33">
        <v>-48.482787107898879</v>
      </c>
      <c r="D464" s="56">
        <f t="shared" si="7"/>
        <v>402</v>
      </c>
      <c r="E464" s="33">
        <v>-59.086892190058094</v>
      </c>
    </row>
    <row r="465" spans="2:5" x14ac:dyDescent="0.3">
      <c r="B465" s="56">
        <v>403</v>
      </c>
      <c r="C465" s="33">
        <v>79.159188732117244</v>
      </c>
      <c r="D465" s="56">
        <f t="shared" si="7"/>
        <v>403</v>
      </c>
      <c r="E465" s="33">
        <v>-120.88876184743688</v>
      </c>
    </row>
    <row r="466" spans="2:5" x14ac:dyDescent="0.3">
      <c r="B466" s="56">
        <v>404</v>
      </c>
      <c r="C466" s="33">
        <v>-456.42831320518434</v>
      </c>
      <c r="D466" s="56">
        <f t="shared" si="7"/>
        <v>404</v>
      </c>
      <c r="E466" s="33">
        <v>-248.94289303911933</v>
      </c>
    </row>
    <row r="467" spans="2:5" x14ac:dyDescent="0.3">
      <c r="B467" s="56">
        <v>405</v>
      </c>
      <c r="C467" s="33">
        <v>-51.136943941126539</v>
      </c>
      <c r="D467" s="56">
        <f t="shared" ref="D467:D530" si="8">B467</f>
        <v>405</v>
      </c>
      <c r="E467" s="33">
        <v>-52.097156592274445</v>
      </c>
    </row>
    <row r="468" spans="2:5" x14ac:dyDescent="0.3">
      <c r="B468" s="56">
        <v>406</v>
      </c>
      <c r="C468" s="33">
        <v>-80.638708691573896</v>
      </c>
      <c r="D468" s="56">
        <f t="shared" si="8"/>
        <v>406</v>
      </c>
      <c r="E468" s="33">
        <v>-122.65305307837282</v>
      </c>
    </row>
    <row r="469" spans="2:5" x14ac:dyDescent="0.3">
      <c r="B469" s="56">
        <v>407</v>
      </c>
      <c r="C469" s="33">
        <v>-140.12782651951363</v>
      </c>
      <c r="D469" s="56">
        <f t="shared" si="8"/>
        <v>407</v>
      </c>
      <c r="E469" s="33">
        <v>-189.22812828664794</v>
      </c>
    </row>
    <row r="470" spans="2:5" x14ac:dyDescent="0.3">
      <c r="B470" s="56">
        <v>408</v>
      </c>
      <c r="C470" s="33">
        <v>132.87093419890658</v>
      </c>
      <c r="D470" s="56">
        <f t="shared" si="8"/>
        <v>408</v>
      </c>
      <c r="E470" s="33">
        <v>-209.50956983550583</v>
      </c>
    </row>
    <row r="471" spans="2:5" x14ac:dyDescent="0.3">
      <c r="B471" s="56">
        <v>409</v>
      </c>
      <c r="C471" s="33">
        <v>-77.200652239631538</v>
      </c>
      <c r="D471" s="56">
        <f t="shared" si="8"/>
        <v>409</v>
      </c>
      <c r="E471" s="33">
        <v>-256.18466476415324</v>
      </c>
    </row>
    <row r="472" spans="2:5" x14ac:dyDescent="0.3">
      <c r="B472" s="56">
        <v>410</v>
      </c>
      <c r="C472" s="33">
        <v>-329.63785608664506</v>
      </c>
      <c r="D472" s="56">
        <f t="shared" si="8"/>
        <v>410</v>
      </c>
      <c r="E472" s="33">
        <v>-150.01305496087366</v>
      </c>
    </row>
    <row r="473" spans="2:5" x14ac:dyDescent="0.3">
      <c r="B473" s="56">
        <v>411</v>
      </c>
      <c r="C473" s="33">
        <v>-111.31826452816807</v>
      </c>
      <c r="D473" s="56">
        <f t="shared" si="8"/>
        <v>411</v>
      </c>
      <c r="E473" s="33">
        <v>-331.61223794936132</v>
      </c>
    </row>
    <row r="474" spans="2:5" x14ac:dyDescent="0.3">
      <c r="B474" s="56">
        <v>412</v>
      </c>
      <c r="C474" s="33">
        <v>-462.76608455529458</v>
      </c>
      <c r="D474" s="56">
        <f t="shared" si="8"/>
        <v>412</v>
      </c>
      <c r="E474" s="33">
        <v>-182.16988289442509</v>
      </c>
    </row>
    <row r="475" spans="2:5" x14ac:dyDescent="0.3">
      <c r="B475" s="56">
        <v>413</v>
      </c>
      <c r="C475" s="33">
        <v>-86.149242253755745</v>
      </c>
      <c r="D475" s="56">
        <f t="shared" si="8"/>
        <v>413</v>
      </c>
      <c r="E475" s="33">
        <v>-302.0734789789596</v>
      </c>
    </row>
    <row r="476" spans="2:5" x14ac:dyDescent="0.3">
      <c r="B476" s="56">
        <v>414</v>
      </c>
      <c r="C476" s="33">
        <v>100.58544754446514</v>
      </c>
      <c r="D476" s="56">
        <f t="shared" si="8"/>
        <v>414</v>
      </c>
      <c r="E476" s="33">
        <v>-254.06608555577537</v>
      </c>
    </row>
    <row r="477" spans="2:5" x14ac:dyDescent="0.3">
      <c r="B477" s="56">
        <v>415</v>
      </c>
      <c r="C477" s="33">
        <v>266.03899082497895</v>
      </c>
      <c r="D477" s="56">
        <f t="shared" si="8"/>
        <v>415</v>
      </c>
      <c r="E477" s="33">
        <v>-138.25684109776998</v>
      </c>
    </row>
    <row r="478" spans="2:5" x14ac:dyDescent="0.3">
      <c r="B478" s="56">
        <v>416</v>
      </c>
      <c r="C478" s="33">
        <v>215.97062290545693</v>
      </c>
      <c r="D478" s="56">
        <f t="shared" si="8"/>
        <v>416</v>
      </c>
      <c r="E478" s="33">
        <v>12.6761697177527</v>
      </c>
    </row>
    <row r="479" spans="2:5" x14ac:dyDescent="0.3">
      <c r="B479" s="56">
        <v>417</v>
      </c>
      <c r="C479" s="33">
        <v>-57.112389097925579</v>
      </c>
      <c r="D479" s="56">
        <f t="shared" si="8"/>
        <v>417</v>
      </c>
      <c r="E479" s="33">
        <v>-77.829255081885194</v>
      </c>
    </row>
    <row r="480" spans="2:5" x14ac:dyDescent="0.3">
      <c r="B480" s="56">
        <v>418</v>
      </c>
      <c r="C480" s="33">
        <v>-32.130051630142106</v>
      </c>
      <c r="D480" s="56">
        <f t="shared" si="8"/>
        <v>418</v>
      </c>
      <c r="E480" s="33">
        <v>-295.74189720727054</v>
      </c>
    </row>
    <row r="481" spans="2:5" x14ac:dyDescent="0.3">
      <c r="B481" s="56">
        <v>419</v>
      </c>
      <c r="C481" s="33">
        <v>-71.39535245182482</v>
      </c>
      <c r="D481" s="56">
        <f t="shared" si="8"/>
        <v>419</v>
      </c>
      <c r="E481" s="33">
        <v>-98.03669158136951</v>
      </c>
    </row>
    <row r="482" spans="2:5" x14ac:dyDescent="0.3">
      <c r="B482" s="56">
        <v>420</v>
      </c>
      <c r="C482" s="33">
        <v>-126.9931565277314</v>
      </c>
      <c r="D482" s="56">
        <f t="shared" si="8"/>
        <v>420</v>
      </c>
      <c r="E482" s="33">
        <v>-219.01997072849932</v>
      </c>
    </row>
    <row r="483" spans="2:5" x14ac:dyDescent="0.3">
      <c r="B483" s="56">
        <v>421</v>
      </c>
      <c r="C483" s="33">
        <v>159.70219073179734</v>
      </c>
      <c r="D483" s="56">
        <f t="shared" si="8"/>
        <v>421</v>
      </c>
      <c r="E483" s="33">
        <v>-182.46188500745319</v>
      </c>
    </row>
    <row r="484" spans="2:5" x14ac:dyDescent="0.3">
      <c r="B484" s="56">
        <v>422</v>
      </c>
      <c r="C484" s="33">
        <v>-172.39690746933923</v>
      </c>
      <c r="D484" s="56">
        <f t="shared" si="8"/>
        <v>422</v>
      </c>
      <c r="E484" s="33">
        <v>-292.18733813888878</v>
      </c>
    </row>
    <row r="485" spans="2:5" x14ac:dyDescent="0.3">
      <c r="B485" s="56">
        <v>423</v>
      </c>
      <c r="C485" s="33">
        <v>-185.87464039968478</v>
      </c>
      <c r="D485" s="56">
        <f t="shared" si="8"/>
        <v>423</v>
      </c>
      <c r="E485" s="33">
        <v>63.129473993136557</v>
      </c>
    </row>
    <row r="486" spans="2:5" x14ac:dyDescent="0.3">
      <c r="B486" s="56">
        <v>424</v>
      </c>
      <c r="C486" s="33">
        <v>-221.51477410957727</v>
      </c>
      <c r="D486" s="56">
        <f t="shared" si="8"/>
        <v>424</v>
      </c>
      <c r="E486" s="33">
        <v>-108.92071249491892</v>
      </c>
    </row>
    <row r="487" spans="2:5" x14ac:dyDescent="0.3">
      <c r="B487" s="56">
        <v>425</v>
      </c>
      <c r="C487" s="33">
        <v>-173.19007860237281</v>
      </c>
      <c r="D487" s="56">
        <f t="shared" si="8"/>
        <v>425</v>
      </c>
      <c r="E487" s="33">
        <v>-180.05543730427419</v>
      </c>
    </row>
    <row r="488" spans="2:5" x14ac:dyDescent="0.3">
      <c r="B488" s="56">
        <v>426</v>
      </c>
      <c r="C488" s="33">
        <v>311.28723468994804</v>
      </c>
      <c r="D488" s="56">
        <f t="shared" si="8"/>
        <v>426</v>
      </c>
      <c r="E488" s="33">
        <v>-301.06728618387012</v>
      </c>
    </row>
    <row r="489" spans="2:5" x14ac:dyDescent="0.3">
      <c r="B489" s="56">
        <v>427</v>
      </c>
      <c r="C489" s="33">
        <v>-251.5501687793616</v>
      </c>
      <c r="D489" s="56">
        <f t="shared" si="8"/>
        <v>427</v>
      </c>
      <c r="E489" s="33">
        <v>-401.29183185914371</v>
      </c>
    </row>
    <row r="490" spans="2:5" x14ac:dyDescent="0.3">
      <c r="B490" s="56">
        <v>428</v>
      </c>
      <c r="C490" s="33">
        <v>-37.5051507090432</v>
      </c>
      <c r="D490" s="56">
        <f t="shared" si="8"/>
        <v>428</v>
      </c>
      <c r="E490" s="33">
        <v>-341.26107059988681</v>
      </c>
    </row>
    <row r="491" spans="2:5" x14ac:dyDescent="0.3">
      <c r="B491" s="56">
        <v>429</v>
      </c>
      <c r="C491" s="33">
        <v>-176.43876938065245</v>
      </c>
      <c r="D491" s="56">
        <f t="shared" si="8"/>
        <v>429</v>
      </c>
      <c r="E491" s="33">
        <v>-89.532449582927498</v>
      </c>
    </row>
    <row r="492" spans="2:5" x14ac:dyDescent="0.3">
      <c r="B492" s="56">
        <v>430</v>
      </c>
      <c r="C492" s="33">
        <v>-130.01637319980628</v>
      </c>
      <c r="D492" s="56">
        <f t="shared" si="8"/>
        <v>430</v>
      </c>
      <c r="E492" s="33">
        <v>-117.22517336441454</v>
      </c>
    </row>
    <row r="493" spans="2:5" x14ac:dyDescent="0.3">
      <c r="B493" s="56">
        <v>431</v>
      </c>
      <c r="C493" s="33">
        <v>-134.06744613405073</v>
      </c>
      <c r="D493" s="56">
        <f t="shared" si="8"/>
        <v>431</v>
      </c>
      <c r="E493" s="33">
        <v>54.422029697632993</v>
      </c>
    </row>
    <row r="494" spans="2:5" x14ac:dyDescent="0.3">
      <c r="B494" s="56">
        <v>432</v>
      </c>
      <c r="C494" s="33">
        <v>78.33116171106272</v>
      </c>
      <c r="D494" s="56">
        <f t="shared" si="8"/>
        <v>432</v>
      </c>
      <c r="E494" s="33">
        <v>-260.2347306536451</v>
      </c>
    </row>
    <row r="495" spans="2:5" x14ac:dyDescent="0.3">
      <c r="B495" s="56">
        <v>433</v>
      </c>
      <c r="C495" s="33">
        <v>-92.018633103631259</v>
      </c>
      <c r="D495" s="56">
        <f t="shared" si="8"/>
        <v>433</v>
      </c>
      <c r="E495" s="33">
        <v>-201.09189670874264</v>
      </c>
    </row>
    <row r="496" spans="2:5" x14ac:dyDescent="0.3">
      <c r="B496" s="56">
        <v>434</v>
      </c>
      <c r="C496" s="33">
        <v>-160.29605705675061</v>
      </c>
      <c r="D496" s="56">
        <f t="shared" si="8"/>
        <v>434</v>
      </c>
      <c r="E496" s="33">
        <v>-267.15445984443988</v>
      </c>
    </row>
    <row r="497" spans="2:5" x14ac:dyDescent="0.3">
      <c r="B497" s="56">
        <v>435</v>
      </c>
      <c r="C497" s="33">
        <v>-130.31591404847364</v>
      </c>
      <c r="D497" s="56">
        <f t="shared" si="8"/>
        <v>435</v>
      </c>
      <c r="E497" s="33">
        <v>-71.910835715082314</v>
      </c>
    </row>
    <row r="498" spans="2:5" x14ac:dyDescent="0.3">
      <c r="B498" s="56">
        <v>436</v>
      </c>
      <c r="C498" s="33">
        <v>-222.24492901462949</v>
      </c>
      <c r="D498" s="56">
        <f t="shared" si="8"/>
        <v>436</v>
      </c>
      <c r="E498" s="33">
        <v>153.43492049213256</v>
      </c>
    </row>
    <row r="499" spans="2:5" x14ac:dyDescent="0.3">
      <c r="B499" s="56">
        <v>437</v>
      </c>
      <c r="C499" s="33">
        <v>-395.70548745590133</v>
      </c>
      <c r="D499" s="56">
        <f t="shared" si="8"/>
        <v>437</v>
      </c>
      <c r="E499" s="33">
        <v>-45.988897849280974</v>
      </c>
    </row>
    <row r="500" spans="2:5" x14ac:dyDescent="0.3">
      <c r="B500" s="56">
        <v>438</v>
      </c>
      <c r="C500" s="33">
        <v>-81.091118041708455</v>
      </c>
      <c r="D500" s="56">
        <f t="shared" si="8"/>
        <v>438</v>
      </c>
      <c r="E500" s="33">
        <v>-195.86360420001853</v>
      </c>
    </row>
    <row r="501" spans="2:5" x14ac:dyDescent="0.3">
      <c r="B501" s="56">
        <v>439</v>
      </c>
      <c r="C501" s="33">
        <v>85.427217838366929</v>
      </c>
      <c r="D501" s="56">
        <f t="shared" si="8"/>
        <v>439</v>
      </c>
      <c r="E501" s="33">
        <v>-137.73221382264327</v>
      </c>
    </row>
    <row r="502" spans="2:5" x14ac:dyDescent="0.3">
      <c r="B502" s="56">
        <v>440</v>
      </c>
      <c r="C502" s="33">
        <v>-247.4744486155009</v>
      </c>
      <c r="D502" s="56">
        <f t="shared" si="8"/>
        <v>440</v>
      </c>
      <c r="E502" s="33">
        <v>-87.846911048749675</v>
      </c>
    </row>
    <row r="503" spans="2:5" x14ac:dyDescent="0.3">
      <c r="B503" s="56">
        <v>441</v>
      </c>
      <c r="C503" s="33">
        <v>93.118287917214886</v>
      </c>
      <c r="D503" s="56">
        <f t="shared" si="8"/>
        <v>441</v>
      </c>
      <c r="E503" s="33">
        <v>-337.8867387422012</v>
      </c>
    </row>
    <row r="504" spans="2:5" x14ac:dyDescent="0.3">
      <c r="B504" s="56">
        <v>442</v>
      </c>
      <c r="C504" s="33">
        <v>-183.04388021876602</v>
      </c>
      <c r="D504" s="56">
        <f t="shared" si="8"/>
        <v>442</v>
      </c>
      <c r="E504" s="33">
        <v>-110.83203907530763</v>
      </c>
    </row>
    <row r="505" spans="2:5" x14ac:dyDescent="0.3">
      <c r="B505" s="56">
        <v>443</v>
      </c>
      <c r="C505" s="33">
        <v>-152.685188902287</v>
      </c>
      <c r="D505" s="56">
        <f t="shared" si="8"/>
        <v>443</v>
      </c>
      <c r="E505" s="33">
        <v>-117.07648369407424</v>
      </c>
    </row>
    <row r="506" spans="2:5" x14ac:dyDescent="0.3">
      <c r="B506" s="56">
        <v>444</v>
      </c>
      <c r="C506" s="33">
        <v>-139.51240138418686</v>
      </c>
      <c r="D506" s="56">
        <f t="shared" si="8"/>
        <v>444</v>
      </c>
      <c r="E506" s="33">
        <v>28.575775880474296</v>
      </c>
    </row>
    <row r="507" spans="2:5" x14ac:dyDescent="0.3">
      <c r="B507" s="56">
        <v>445</v>
      </c>
      <c r="C507" s="33">
        <v>131.78860923625396</v>
      </c>
      <c r="D507" s="56">
        <f t="shared" si="8"/>
        <v>445</v>
      </c>
      <c r="E507" s="33">
        <v>-121.73967434519712</v>
      </c>
    </row>
    <row r="508" spans="2:5" x14ac:dyDescent="0.3">
      <c r="B508" s="56">
        <v>446</v>
      </c>
      <c r="C508" s="33">
        <v>-183.2469823483946</v>
      </c>
      <c r="D508" s="56">
        <f t="shared" si="8"/>
        <v>446</v>
      </c>
      <c r="E508" s="33">
        <v>-282.87262073807727</v>
      </c>
    </row>
    <row r="509" spans="2:5" x14ac:dyDescent="0.3">
      <c r="B509" s="56">
        <v>447</v>
      </c>
      <c r="C509" s="33">
        <v>127.8203895260426</v>
      </c>
      <c r="D509" s="56">
        <f t="shared" si="8"/>
        <v>447</v>
      </c>
      <c r="E509" s="33">
        <v>-354.81874513403727</v>
      </c>
    </row>
    <row r="510" spans="2:5" x14ac:dyDescent="0.3">
      <c r="B510" s="56">
        <v>448</v>
      </c>
      <c r="C510" s="33">
        <v>206.84564206556786</v>
      </c>
      <c r="D510" s="56">
        <f t="shared" si="8"/>
        <v>448</v>
      </c>
      <c r="E510" s="33">
        <v>-393.77592586523701</v>
      </c>
    </row>
    <row r="511" spans="2:5" x14ac:dyDescent="0.3">
      <c r="B511" s="56">
        <v>449</v>
      </c>
      <c r="C511" s="33">
        <v>-188.24532763493934</v>
      </c>
      <c r="D511" s="56">
        <f t="shared" si="8"/>
        <v>449</v>
      </c>
      <c r="E511" s="33">
        <v>140.24879738791719</v>
      </c>
    </row>
    <row r="512" spans="2:5" x14ac:dyDescent="0.3">
      <c r="B512" s="56">
        <v>450</v>
      </c>
      <c r="C512" s="33">
        <v>-36.033506318567468</v>
      </c>
      <c r="D512" s="56">
        <f t="shared" si="8"/>
        <v>450</v>
      </c>
      <c r="E512" s="33">
        <v>-126.20025172269567</v>
      </c>
    </row>
    <row r="513" spans="2:5" x14ac:dyDescent="0.3">
      <c r="B513" s="56">
        <v>451</v>
      </c>
      <c r="C513" s="33">
        <v>-168.66125914265322</v>
      </c>
      <c r="D513" s="56">
        <f t="shared" si="8"/>
        <v>451</v>
      </c>
      <c r="E513" s="33">
        <v>-355.73576195088714</v>
      </c>
    </row>
    <row r="514" spans="2:5" x14ac:dyDescent="0.3">
      <c r="B514" s="56">
        <v>452</v>
      </c>
      <c r="C514" s="33">
        <v>-180.97371329857242</v>
      </c>
      <c r="D514" s="56">
        <f t="shared" si="8"/>
        <v>452</v>
      </c>
      <c r="E514" s="33">
        <v>-27.998176784563839</v>
      </c>
    </row>
    <row r="515" spans="2:5" x14ac:dyDescent="0.3">
      <c r="B515" s="56">
        <v>453</v>
      </c>
      <c r="C515" s="33">
        <v>-155.62836904606863</v>
      </c>
      <c r="D515" s="56">
        <f t="shared" si="8"/>
        <v>453</v>
      </c>
      <c r="E515" s="33">
        <v>-351.11486111697809</v>
      </c>
    </row>
    <row r="516" spans="2:5" x14ac:dyDescent="0.3">
      <c r="B516" s="56">
        <v>454</v>
      </c>
      <c r="C516" s="33">
        <v>-264.72275434559066</v>
      </c>
      <c r="D516" s="56">
        <f t="shared" si="8"/>
        <v>454</v>
      </c>
      <c r="E516" s="33">
        <v>-10.682532234086779</v>
      </c>
    </row>
    <row r="517" spans="2:5" x14ac:dyDescent="0.3">
      <c r="B517" s="56">
        <v>455</v>
      </c>
      <c r="C517" s="33">
        <v>-29.33501346675893</v>
      </c>
      <c r="D517" s="56">
        <f t="shared" si="8"/>
        <v>455</v>
      </c>
      <c r="E517" s="33">
        <v>-170.73627131198356</v>
      </c>
    </row>
    <row r="518" spans="2:5" x14ac:dyDescent="0.3">
      <c r="B518" s="56">
        <v>456</v>
      </c>
      <c r="C518" s="33">
        <v>-39.421737441702803</v>
      </c>
      <c r="D518" s="56">
        <f t="shared" si="8"/>
        <v>456</v>
      </c>
      <c r="E518" s="33">
        <v>-143.49812871201277</v>
      </c>
    </row>
    <row r="519" spans="2:5" x14ac:dyDescent="0.3">
      <c r="B519" s="56">
        <v>457</v>
      </c>
      <c r="C519" s="33">
        <v>309.27069299248649</v>
      </c>
      <c r="D519" s="56">
        <f t="shared" si="8"/>
        <v>457</v>
      </c>
      <c r="E519" s="33">
        <v>-64.818691003885135</v>
      </c>
    </row>
    <row r="520" spans="2:5" x14ac:dyDescent="0.3">
      <c r="B520" s="56">
        <v>458</v>
      </c>
      <c r="C520" s="33">
        <v>-50.678808465142616</v>
      </c>
      <c r="D520" s="56">
        <f t="shared" si="8"/>
        <v>458</v>
      </c>
      <c r="E520" s="33">
        <v>-332.29422861192671</v>
      </c>
    </row>
    <row r="521" spans="2:5" x14ac:dyDescent="0.3">
      <c r="B521" s="56">
        <v>459</v>
      </c>
      <c r="C521" s="33">
        <v>-314.71191288545464</v>
      </c>
      <c r="D521" s="56">
        <f t="shared" si="8"/>
        <v>459</v>
      </c>
      <c r="E521" s="33">
        <v>-207.33055641071158</v>
      </c>
    </row>
    <row r="522" spans="2:5" x14ac:dyDescent="0.3">
      <c r="B522" s="56">
        <v>460</v>
      </c>
      <c r="C522" s="33">
        <v>155.94260652574027</v>
      </c>
      <c r="D522" s="56">
        <f t="shared" si="8"/>
        <v>460</v>
      </c>
      <c r="E522" s="33">
        <v>-54.348795880768492</v>
      </c>
    </row>
    <row r="523" spans="2:5" x14ac:dyDescent="0.3">
      <c r="B523" s="56">
        <v>461</v>
      </c>
      <c r="C523" s="33">
        <v>136.96451583432781</v>
      </c>
      <c r="D523" s="56">
        <f t="shared" si="8"/>
        <v>461</v>
      </c>
      <c r="E523" s="33">
        <v>-109.57461493467517</v>
      </c>
    </row>
    <row r="524" spans="2:5" x14ac:dyDescent="0.3">
      <c r="B524" s="56">
        <v>462</v>
      </c>
      <c r="C524" s="33">
        <v>-43.260984011441558</v>
      </c>
      <c r="D524" s="56">
        <f t="shared" si="8"/>
        <v>462</v>
      </c>
      <c r="E524" s="33">
        <v>-330.28906320633729</v>
      </c>
    </row>
    <row r="525" spans="2:5" x14ac:dyDescent="0.3">
      <c r="B525" s="56">
        <v>463</v>
      </c>
      <c r="C525" s="33">
        <v>20.608425837864413</v>
      </c>
      <c r="D525" s="56">
        <f t="shared" si="8"/>
        <v>463</v>
      </c>
      <c r="E525" s="33">
        <v>-235.64325765730194</v>
      </c>
    </row>
    <row r="526" spans="2:5" x14ac:dyDescent="0.3">
      <c r="B526" s="56">
        <v>464</v>
      </c>
      <c r="C526" s="33">
        <v>-153.81067983327287</v>
      </c>
      <c r="D526" s="56">
        <f t="shared" si="8"/>
        <v>464</v>
      </c>
      <c r="E526" s="33">
        <v>-90.691914874157703</v>
      </c>
    </row>
    <row r="527" spans="2:5" x14ac:dyDescent="0.3">
      <c r="B527" s="56">
        <v>465</v>
      </c>
      <c r="C527" s="33">
        <v>-540.04640209505669</v>
      </c>
      <c r="D527" s="56">
        <f t="shared" si="8"/>
        <v>465</v>
      </c>
      <c r="E527" s="33">
        <v>15.088437903645882</v>
      </c>
    </row>
    <row r="528" spans="2:5" x14ac:dyDescent="0.3">
      <c r="B528" s="56">
        <v>466</v>
      </c>
      <c r="C528" s="33">
        <v>19.462525305327443</v>
      </c>
      <c r="D528" s="56">
        <f t="shared" si="8"/>
        <v>466</v>
      </c>
      <c r="E528" s="33">
        <v>-232.99404736953142</v>
      </c>
    </row>
    <row r="529" spans="2:5" x14ac:dyDescent="0.3">
      <c r="B529" s="56">
        <v>467</v>
      </c>
      <c r="C529" s="33">
        <v>-156.58844204260146</v>
      </c>
      <c r="D529" s="56">
        <f t="shared" si="8"/>
        <v>467</v>
      </c>
      <c r="E529" s="33">
        <v>28.759801963147169</v>
      </c>
    </row>
    <row r="530" spans="2:5" x14ac:dyDescent="0.3">
      <c r="B530" s="56">
        <v>468</v>
      </c>
      <c r="C530" s="33">
        <v>-88.362714910509581</v>
      </c>
      <c r="D530" s="56">
        <f t="shared" si="8"/>
        <v>468</v>
      </c>
      <c r="E530" s="33">
        <v>-406.9079575518947</v>
      </c>
    </row>
    <row r="531" spans="2:5" x14ac:dyDescent="0.3">
      <c r="B531" s="56">
        <v>469</v>
      </c>
      <c r="C531" s="33">
        <v>-129.90364786047584</v>
      </c>
      <c r="D531" s="56">
        <f t="shared" ref="D531:D562" si="9">B531</f>
        <v>469</v>
      </c>
      <c r="E531" s="33">
        <v>35.627867447584876</v>
      </c>
    </row>
    <row r="532" spans="2:5" x14ac:dyDescent="0.3">
      <c r="B532" s="56">
        <v>470</v>
      </c>
      <c r="C532" s="33">
        <v>-70.107341774798272</v>
      </c>
      <c r="D532" s="56">
        <f t="shared" si="9"/>
        <v>470</v>
      </c>
      <c r="E532" s="33">
        <v>-34.741297422888991</v>
      </c>
    </row>
    <row r="533" spans="2:5" x14ac:dyDescent="0.3">
      <c r="B533" s="56">
        <v>471</v>
      </c>
      <c r="C533" s="33">
        <v>-82.497535185657341</v>
      </c>
      <c r="D533" s="56">
        <f t="shared" si="9"/>
        <v>471</v>
      </c>
      <c r="E533" s="33">
        <v>-124.79297730074754</v>
      </c>
    </row>
    <row r="534" spans="2:5" x14ac:dyDescent="0.3">
      <c r="B534" s="56">
        <v>472</v>
      </c>
      <c r="C534" s="33">
        <v>-306.95572116249906</v>
      </c>
      <c r="D534" s="56">
        <f t="shared" si="9"/>
        <v>472</v>
      </c>
      <c r="E534" s="33">
        <v>-136.12295712529988</v>
      </c>
    </row>
    <row r="535" spans="2:5" x14ac:dyDescent="0.3">
      <c r="B535" s="56">
        <v>473</v>
      </c>
      <c r="C535" s="33">
        <v>-103.55278432952073</v>
      </c>
      <c r="D535" s="56">
        <f t="shared" si="9"/>
        <v>473</v>
      </c>
      <c r="E535" s="33">
        <v>42.35677089331881</v>
      </c>
    </row>
    <row r="536" spans="2:5" x14ac:dyDescent="0.3">
      <c r="B536" s="56">
        <v>474</v>
      </c>
      <c r="C536" s="33">
        <v>267.35279956053137</v>
      </c>
      <c r="D536" s="56">
        <f t="shared" si="9"/>
        <v>474</v>
      </c>
      <c r="E536" s="33">
        <v>-98.590206910459386</v>
      </c>
    </row>
    <row r="537" spans="2:5" x14ac:dyDescent="0.3">
      <c r="B537" s="56">
        <v>475</v>
      </c>
      <c r="C537" s="33">
        <v>-258.68891137378085</v>
      </c>
      <c r="D537" s="56">
        <f t="shared" si="9"/>
        <v>475</v>
      </c>
      <c r="E537" s="33">
        <v>-52.956398300411763</v>
      </c>
    </row>
    <row r="538" spans="2:5" x14ac:dyDescent="0.3">
      <c r="B538" s="56">
        <v>476</v>
      </c>
      <c r="C538" s="33">
        <v>-60.960550422055483</v>
      </c>
      <c r="D538" s="56">
        <f t="shared" si="9"/>
        <v>476</v>
      </c>
      <c r="E538" s="33">
        <v>-245.61220245555324</v>
      </c>
    </row>
    <row r="539" spans="2:5" x14ac:dyDescent="0.3">
      <c r="B539" s="56">
        <v>477</v>
      </c>
      <c r="C539" s="33">
        <v>125.72327367321614</v>
      </c>
      <c r="D539" s="56">
        <f t="shared" si="9"/>
        <v>477</v>
      </c>
      <c r="E539" s="33">
        <v>-273.83328964564686</v>
      </c>
    </row>
    <row r="540" spans="2:5" x14ac:dyDescent="0.3">
      <c r="B540" s="56">
        <v>478</v>
      </c>
      <c r="C540" s="33">
        <v>-143.39193536039156</v>
      </c>
      <c r="D540" s="56">
        <f t="shared" si="9"/>
        <v>478</v>
      </c>
      <c r="E540" s="33">
        <v>-129.90622433677657</v>
      </c>
    </row>
    <row r="541" spans="2:5" x14ac:dyDescent="0.3">
      <c r="B541" s="56">
        <v>479</v>
      </c>
      <c r="C541" s="33">
        <v>-396.85838925645515</v>
      </c>
      <c r="D541" s="56">
        <f t="shared" si="9"/>
        <v>479</v>
      </c>
      <c r="E541" s="33">
        <v>-65.992411278925061</v>
      </c>
    </row>
    <row r="542" spans="2:5" x14ac:dyDescent="0.3">
      <c r="B542" s="56">
        <v>480</v>
      </c>
      <c r="C542" s="33">
        <v>-4.8715638229184819</v>
      </c>
      <c r="D542" s="56">
        <f t="shared" si="9"/>
        <v>480</v>
      </c>
      <c r="E542" s="33">
        <v>-135.99786713019111</v>
      </c>
    </row>
    <row r="543" spans="2:5" x14ac:dyDescent="0.3">
      <c r="B543" s="56">
        <v>481</v>
      </c>
      <c r="C543" s="33">
        <v>-128.06055777562165</v>
      </c>
      <c r="D543" s="56">
        <f t="shared" si="9"/>
        <v>481</v>
      </c>
      <c r="E543" s="33">
        <v>4.9607424690521356</v>
      </c>
    </row>
    <row r="544" spans="2:5" x14ac:dyDescent="0.3">
      <c r="B544" s="56">
        <v>482</v>
      </c>
      <c r="C544" s="33">
        <v>19.943790054945801</v>
      </c>
      <c r="D544" s="56">
        <f t="shared" si="9"/>
        <v>482</v>
      </c>
      <c r="E544" s="33">
        <v>-189.35321441648364</v>
      </c>
    </row>
    <row r="545" spans="2:5" x14ac:dyDescent="0.3">
      <c r="B545" s="56">
        <v>483</v>
      </c>
      <c r="C545" s="33">
        <v>-149.16074947946828</v>
      </c>
      <c r="D545" s="56">
        <f t="shared" si="9"/>
        <v>483</v>
      </c>
      <c r="E545" s="33">
        <v>-183.07428528631732</v>
      </c>
    </row>
    <row r="546" spans="2:5" x14ac:dyDescent="0.3">
      <c r="B546" s="56">
        <v>484</v>
      </c>
      <c r="C546" s="33">
        <v>-108.64939464823564</v>
      </c>
      <c r="D546" s="56">
        <f t="shared" si="9"/>
        <v>484</v>
      </c>
      <c r="E546" s="33">
        <v>-187.42786460679238</v>
      </c>
    </row>
    <row r="547" spans="2:5" x14ac:dyDescent="0.3">
      <c r="B547" s="56">
        <v>485</v>
      </c>
      <c r="C547" s="33">
        <v>-117.33516613956093</v>
      </c>
      <c r="D547" s="56">
        <f t="shared" si="9"/>
        <v>485</v>
      </c>
      <c r="E547" s="33">
        <v>-175.50324519655106</v>
      </c>
    </row>
    <row r="548" spans="2:5" x14ac:dyDescent="0.3">
      <c r="B548" s="56">
        <v>486</v>
      </c>
      <c r="C548" s="33">
        <v>4.4415789564176258</v>
      </c>
      <c r="D548" s="56">
        <f t="shared" si="9"/>
        <v>486</v>
      </c>
      <c r="E548" s="33">
        <v>-81.388794065204479</v>
      </c>
    </row>
    <row r="549" spans="2:5" x14ac:dyDescent="0.3">
      <c r="B549" s="56">
        <v>487</v>
      </c>
      <c r="C549" s="33">
        <v>-292.97683096815132</v>
      </c>
      <c r="D549" s="56">
        <f t="shared" si="9"/>
        <v>487</v>
      </c>
      <c r="E549" s="33">
        <v>-177.35402119527245</v>
      </c>
    </row>
    <row r="550" spans="2:5" x14ac:dyDescent="0.3">
      <c r="B550" s="56">
        <v>488</v>
      </c>
      <c r="C550" s="33">
        <v>-95.277313997158359</v>
      </c>
      <c r="D550" s="56">
        <f t="shared" si="9"/>
        <v>488</v>
      </c>
      <c r="E550" s="33">
        <v>-194.97025109955075</v>
      </c>
    </row>
    <row r="551" spans="2:5" x14ac:dyDescent="0.3">
      <c r="B551" s="56">
        <v>489</v>
      </c>
      <c r="C551" s="33">
        <v>17.993720338727471</v>
      </c>
      <c r="D551" s="56">
        <f t="shared" si="9"/>
        <v>489</v>
      </c>
      <c r="E551" s="33">
        <v>-192.69918435180955</v>
      </c>
    </row>
    <row r="552" spans="2:5" x14ac:dyDescent="0.3">
      <c r="B552" s="56">
        <v>490</v>
      </c>
      <c r="C552" s="33">
        <v>-128.90120426437363</v>
      </c>
      <c r="D552" s="56">
        <f t="shared" si="9"/>
        <v>490</v>
      </c>
      <c r="E552" s="33">
        <v>102.12070753698842</v>
      </c>
    </row>
    <row r="553" spans="2:5" x14ac:dyDescent="0.3">
      <c r="B553" s="56">
        <v>491</v>
      </c>
      <c r="C553" s="33">
        <v>125.21947982637701</v>
      </c>
      <c r="D553" s="56">
        <f t="shared" si="9"/>
        <v>491</v>
      </c>
      <c r="E553" s="33">
        <v>-198.22013914951032</v>
      </c>
    </row>
    <row r="554" spans="2:5" x14ac:dyDescent="0.3">
      <c r="B554" s="56">
        <v>492</v>
      </c>
      <c r="C554" s="33">
        <v>-135.18828219466562</v>
      </c>
      <c r="D554" s="56">
        <f t="shared" si="9"/>
        <v>492</v>
      </c>
      <c r="E554" s="33">
        <v>-21.064432674676993</v>
      </c>
    </row>
    <row r="555" spans="2:5" x14ac:dyDescent="0.3">
      <c r="B555" s="56">
        <v>493</v>
      </c>
      <c r="C555" s="33">
        <v>-194.59136490076958</v>
      </c>
      <c r="D555" s="56">
        <f t="shared" si="9"/>
        <v>493</v>
      </c>
      <c r="E555" s="33">
        <v>-26.76012530766063</v>
      </c>
    </row>
    <row r="556" spans="2:5" x14ac:dyDescent="0.3">
      <c r="B556" s="56">
        <v>494</v>
      </c>
      <c r="C556" s="33">
        <v>90.213997847462181</v>
      </c>
      <c r="D556" s="56">
        <f t="shared" si="9"/>
        <v>494</v>
      </c>
      <c r="E556" s="33">
        <v>-80.409531751886348</v>
      </c>
    </row>
    <row r="557" spans="2:5" x14ac:dyDescent="0.3">
      <c r="B557" s="56">
        <v>495</v>
      </c>
      <c r="C557" s="33">
        <v>-89.280816526206934</v>
      </c>
      <c r="D557" s="56">
        <f t="shared" si="9"/>
        <v>495</v>
      </c>
      <c r="E557" s="33">
        <v>-236.86673999473052</v>
      </c>
    </row>
    <row r="558" spans="2:5" x14ac:dyDescent="0.3">
      <c r="B558" s="56">
        <v>496</v>
      </c>
      <c r="C558" s="33">
        <v>305.59503455226127</v>
      </c>
      <c r="D558" s="56">
        <f t="shared" si="9"/>
        <v>496</v>
      </c>
      <c r="E558" s="33">
        <v>-134.39455939526729</v>
      </c>
    </row>
    <row r="559" spans="2:5" x14ac:dyDescent="0.3">
      <c r="B559" s="56">
        <v>497</v>
      </c>
      <c r="C559" s="33">
        <v>-285.83860827722799</v>
      </c>
      <c r="D559" s="56">
        <f t="shared" si="9"/>
        <v>497</v>
      </c>
      <c r="E559" s="33">
        <v>50.776486474438926</v>
      </c>
    </row>
    <row r="560" spans="2:5" x14ac:dyDescent="0.3">
      <c r="B560" s="56">
        <v>498</v>
      </c>
      <c r="C560" s="33">
        <v>-198.62279626859998</v>
      </c>
      <c r="D560" s="56">
        <f t="shared" si="9"/>
        <v>498</v>
      </c>
      <c r="E560" s="33">
        <v>-365.96344621490726</v>
      </c>
    </row>
    <row r="561" spans="2:5" x14ac:dyDescent="0.3">
      <c r="B561" s="56">
        <v>499</v>
      </c>
      <c r="C561" s="33">
        <v>15.286946836247308</v>
      </c>
      <c r="D561" s="56">
        <f t="shared" si="9"/>
        <v>499</v>
      </c>
      <c r="E561" s="33">
        <v>-3.2480650720012818</v>
      </c>
    </row>
    <row r="562" spans="2:5" x14ac:dyDescent="0.3">
      <c r="B562" s="56">
        <v>500</v>
      </c>
      <c r="C562" s="33">
        <v>178.74347132971644</v>
      </c>
      <c r="D562" s="56">
        <f t="shared" si="9"/>
        <v>500</v>
      </c>
      <c r="E562" s="33">
        <v>-109.4766347162269</v>
      </c>
    </row>
  </sheetData>
  <mergeCells count="88"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  <mergeCell ref="B13:C13"/>
    <mergeCell ref="B12:C12"/>
    <mergeCell ref="B11:C11"/>
    <mergeCell ref="B10:C10"/>
    <mergeCell ref="B9:C9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29:C29"/>
    <mergeCell ref="B33:C33"/>
    <mergeCell ref="B28:C28"/>
    <mergeCell ref="B30:C30"/>
    <mergeCell ref="B31:C31"/>
    <mergeCell ref="B32:C32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62:C62"/>
    <mergeCell ref="B61:C61"/>
    <mergeCell ref="B60:C60"/>
    <mergeCell ref="B59:C59"/>
    <mergeCell ref="B58:C58"/>
    <mergeCell ref="D23:E23"/>
    <mergeCell ref="D25:E25"/>
    <mergeCell ref="D27:E27"/>
    <mergeCell ref="D28:E28"/>
    <mergeCell ref="D22:E22"/>
    <mergeCell ref="D26:E26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13:E13"/>
    <mergeCell ref="D12:E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topLeftCell="P1" workbookViewId="0">
      <selection activeCell="G13" sqref="G13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99" customWidth="1"/>
    <col min="17" max="17" width="16" customWidth="1"/>
    <col min="18" max="18" width="16" style="101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2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7" t="s">
        <v>137</v>
      </c>
      <c r="O1" s="117"/>
      <c r="P1" s="117"/>
      <c r="Q1" s="117"/>
      <c r="R1" s="117"/>
      <c r="S1" s="117"/>
      <c r="T1" s="117"/>
      <c r="U1" s="117" t="s">
        <v>135</v>
      </c>
      <c r="V1" s="117"/>
      <c r="W1" s="117"/>
      <c r="X1" s="117"/>
      <c r="Y1" s="117"/>
      <c r="Z1" s="117" t="s">
        <v>136</v>
      </c>
      <c r="AA1" s="117"/>
      <c r="AB1" s="117"/>
    </row>
    <row r="2" spans="1:30" ht="15.6" x14ac:dyDescent="0.3">
      <c r="A2" s="15" t="s">
        <v>19</v>
      </c>
      <c r="B2" s="2" t="s">
        <v>21</v>
      </c>
      <c r="C2" s="95" t="s">
        <v>102</v>
      </c>
      <c r="D2" s="95" t="s">
        <v>121</v>
      </c>
      <c r="E2" s="95" t="s">
        <v>30</v>
      </c>
      <c r="F2" s="95" t="s">
        <v>122</v>
      </c>
      <c r="G2" s="95" t="s">
        <v>138</v>
      </c>
      <c r="H2" s="95" t="s">
        <v>35</v>
      </c>
      <c r="I2" s="95" t="s">
        <v>36</v>
      </c>
      <c r="J2" s="94" t="s">
        <v>123</v>
      </c>
      <c r="K2" s="9" t="s">
        <v>37</v>
      </c>
      <c r="L2" s="9" t="s">
        <v>33</v>
      </c>
      <c r="M2" s="95" t="s">
        <v>45</v>
      </c>
      <c r="N2" s="95" t="s">
        <v>124</v>
      </c>
      <c r="O2" s="95" t="s">
        <v>125</v>
      </c>
      <c r="P2" s="99" t="s">
        <v>93</v>
      </c>
      <c r="Q2" s="95" t="s">
        <v>90</v>
      </c>
      <c r="R2" s="101" t="s">
        <v>94</v>
      </c>
      <c r="S2" s="2" t="s">
        <v>126</v>
      </c>
      <c r="T2" s="2" t="s">
        <v>127</v>
      </c>
      <c r="U2" s="95" t="s">
        <v>46</v>
      </c>
      <c r="V2" s="95" t="s">
        <v>128</v>
      </c>
      <c r="W2" s="95" t="s">
        <v>91</v>
      </c>
      <c r="X2" s="95" t="s">
        <v>129</v>
      </c>
      <c r="Y2" s="95" t="s">
        <v>130</v>
      </c>
      <c r="Z2" s="95" t="s">
        <v>131</v>
      </c>
      <c r="AA2" s="102" t="s">
        <v>99</v>
      </c>
      <c r="AB2" s="95" t="s">
        <v>132</v>
      </c>
      <c r="AC2" s="95" t="s">
        <v>133</v>
      </c>
      <c r="AD2" t="s">
        <v>134</v>
      </c>
    </row>
    <row r="3" spans="1:30" ht="15.6" x14ac:dyDescent="0.3">
      <c r="A3" s="15" t="s">
        <v>81</v>
      </c>
      <c r="B3" t="s">
        <v>104</v>
      </c>
      <c r="C3" s="85">
        <f>D3/SUM(D3:D4)</f>
        <v>0.4443954277550034</v>
      </c>
      <c r="D3" s="35">
        <f>L3/F3</f>
        <v>65609.668138328911</v>
      </c>
      <c r="E3" s="4">
        <f>[1]All!$H$12</f>
        <v>0.67</v>
      </c>
      <c r="F3" s="86">
        <f>[1]All!$G$12</f>
        <v>4.8</v>
      </c>
      <c r="G3" s="78">
        <f>M3/D3</f>
        <v>7.0436462426640478</v>
      </c>
      <c r="H3" s="84">
        <f>[1]All!$J$12</f>
        <v>5.7</v>
      </c>
      <c r="I3" s="131">
        <f>[1]All!$I$12</f>
        <v>0.44</v>
      </c>
      <c r="J3" s="64">
        <f>D3*F3</f>
        <v>314926.40706397878</v>
      </c>
      <c r="K3" s="21">
        <v>1</v>
      </c>
      <c r="L3" s="65">
        <f>([2]prod_herd_data!$J$8+[2]prod_herd_data!$K$8)*(1-[2]prod_herd_data!$J$3)*(C25)</f>
        <v>314926.40706397872</v>
      </c>
      <c r="M3" s="110">
        <f>SUM([2]prod_herd_data!$J$10:$K$10)*C25</f>
        <v>462131.2924649755</v>
      </c>
      <c r="N3" s="62">
        <f>Dairy_Income_Baseline!B28</f>
        <v>84.737089689012336</v>
      </c>
      <c r="O3" s="62">
        <f ca="1">Dairy_Income_Baseline!B60</f>
        <v>174.55850908723815</v>
      </c>
      <c r="P3" s="62">
        <f>(G3-F3)*(Dairy_Income_Baseline!B24)</f>
        <v>0.12039563149077043</v>
      </c>
      <c r="Q3" s="63">
        <f>P3*Dairy_Income_Baseline!L36</f>
        <v>44.606958098634109</v>
      </c>
      <c r="R3" s="63">
        <f>IF(P3&gt;0, P3*Dairy_Income_Roadmap!L19/12, 0)</f>
        <v>0.28092314014513103</v>
      </c>
      <c r="S3" s="68">
        <f>G3*I3*N3</f>
        <v>262.6175566970112</v>
      </c>
      <c r="T3" s="60">
        <f ca="1">F3*O3*I3</f>
        <v>368.66757119224701</v>
      </c>
      <c r="U3" s="83">
        <f>N3*(M3*K3)/(D3)</f>
        <v>596.85808340229812</v>
      </c>
      <c r="V3" s="83">
        <f>[1]All!$E$12*[3]Sheet1!$B$9</f>
        <v>1757.2440469077476</v>
      </c>
      <c r="W3" s="83">
        <f>[1]All!$F$12</f>
        <v>86</v>
      </c>
      <c r="X3" s="59">
        <f>U3+V3</f>
        <v>2354.1021303100456</v>
      </c>
      <c r="Y3" s="96">
        <f>V3+S3-Q3-R3</f>
        <v>1974.9737223659795</v>
      </c>
      <c r="Z3" s="37">
        <f>SQRT(C3*(1-C3)/N35)</f>
        <v>2.9433727613268908E-2</v>
      </c>
      <c r="AA3" s="113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105</v>
      </c>
      <c r="C4" s="85">
        <f>1-C3</f>
        <v>0.5556045722449966</v>
      </c>
      <c r="D4" s="35">
        <f>L4/F4</f>
        <v>82028.367810366151</v>
      </c>
      <c r="E4" s="4">
        <v>0.27</v>
      </c>
      <c r="F4" s="86">
        <f>[1]All!$G$13</f>
        <v>2.6601940000000002</v>
      </c>
      <c r="G4" s="78">
        <f>M4/D4</f>
        <v>3.8141720088080677</v>
      </c>
      <c r="H4" s="84">
        <f>[1]All!$J$13</f>
        <v>5.4</v>
      </c>
      <c r="I4" s="131">
        <f>[1]All!$I$13</f>
        <v>0.55710000000000004</v>
      </c>
      <c r="J4" s="64">
        <f>D4*F4</f>
        <v>218211.37187892917</v>
      </c>
      <c r="K4" s="21">
        <v>1</v>
      </c>
      <c r="L4" s="65">
        <f>([2]prod_herd_data!$J$8+[2]prod_herd_data!$K$8)*([2]prod_herd_data!$J$3)*(1-C23)</f>
        <v>218211.3718789292</v>
      </c>
      <c r="M4" s="65">
        <f>SUM([2]prod_herd_data!$J$9:$K$9)*(1-C24)</f>
        <v>312870.30443051131</v>
      </c>
      <c r="N4" s="62">
        <f>Dairy_Income_Baseline!D28</f>
        <v>585.73698241090847</v>
      </c>
      <c r="O4" s="62">
        <f ca="1">Dairy_Income_Baseline!E60</f>
        <v>125.68342268537572</v>
      </c>
      <c r="P4" s="62">
        <f>(G4-F4)*(Dairy_Income_Baseline!B24)</f>
        <v>6.1923269566748887E-2</v>
      </c>
      <c r="Q4" s="63">
        <f>P4*Dairy_Income_Baseline!L38</f>
        <v>30.361004885281496</v>
      </c>
      <c r="R4" s="63">
        <f>IF(P4&gt;0, P4*Dairy_Income_Roadmap!L19/12, 0)</f>
        <v>0.14448762898908074</v>
      </c>
      <c r="S4" s="60">
        <f>G4*I4*N4</f>
        <v>1244.6180029395962</v>
      </c>
      <c r="T4" s="60">
        <f ca="1">F4*O4*I4</f>
        <v>186.26208804708764</v>
      </c>
      <c r="U4" s="83">
        <f>N4*(M4*K4)/(D4)</f>
        <v>2234.1016028353906</v>
      </c>
      <c r="V4" s="83">
        <f>[1]All!$E$13*[3]Sheet1!$B$9</f>
        <v>1778.1411883175087</v>
      </c>
      <c r="W4" s="83">
        <f>[1]All!$F$13</f>
        <v>80</v>
      </c>
      <c r="X4" s="59">
        <f>U4+V4</f>
        <v>4012.2427911528994</v>
      </c>
      <c r="Y4" s="112">
        <f>V4+S4-Q4-R4</f>
        <v>2992.2536987428343</v>
      </c>
      <c r="Z4" s="37">
        <f>SQRT(C4*(1-C4)/N35)</f>
        <v>2.9433727613268908E-2</v>
      </c>
      <c r="AA4" s="113">
        <f>D4*S4</f>
        <v>102093983.32853258</v>
      </c>
      <c r="AB4" s="69">
        <f>Y4*D4</f>
        <v>245449686.98240578</v>
      </c>
      <c r="AC4" s="22"/>
      <c r="AD4" s="21">
        <f ca="1">MC_Baseline!H19</f>
        <v>8.2299237639722129</v>
      </c>
    </row>
    <row r="5" spans="1:30" ht="15.6" x14ac:dyDescent="0.3">
      <c r="A5" s="16"/>
      <c r="C5" s="38"/>
      <c r="D5" s="35"/>
      <c r="E5" s="4"/>
      <c r="F5" s="86"/>
      <c r="G5" s="4"/>
      <c r="H5" s="4"/>
      <c r="I5" s="132"/>
      <c r="J5" s="64"/>
      <c r="K5" s="21"/>
      <c r="L5" s="13"/>
      <c r="M5" s="66"/>
      <c r="N5" s="62"/>
      <c r="O5" s="62"/>
      <c r="P5" s="62"/>
      <c r="Q5" s="100"/>
      <c r="R5" s="100"/>
      <c r="S5" s="60"/>
      <c r="T5" s="60"/>
      <c r="U5" s="59"/>
      <c r="V5" s="59"/>
      <c r="W5" s="59"/>
      <c r="X5" s="59"/>
      <c r="Y5" s="97"/>
      <c r="Z5" s="37"/>
      <c r="AA5" s="113"/>
      <c r="AB5" s="59"/>
      <c r="AC5" s="1"/>
      <c r="AD5" s="21"/>
    </row>
    <row r="6" spans="1:30" ht="15.6" x14ac:dyDescent="0.3">
      <c r="A6" s="15" t="s">
        <v>106</v>
      </c>
      <c r="B6" t="s">
        <v>103</v>
      </c>
      <c r="C6" s="76">
        <f>D6/SUM(D6:D8)</f>
        <v>6.6659314163250508E-2</v>
      </c>
      <c r="D6" s="77">
        <f>D3*C30</f>
        <v>9841.4502207493369</v>
      </c>
      <c r="E6" s="78">
        <f>E4</f>
        <v>0.27</v>
      </c>
      <c r="F6" s="77">
        <f>J6*(1/D6)</f>
        <v>1.2251856561396255</v>
      </c>
      <c r="G6" s="79"/>
      <c r="H6" s="78">
        <f>H3</f>
        <v>5.7</v>
      </c>
      <c r="I6" s="133">
        <f>I3</f>
        <v>0.44</v>
      </c>
      <c r="J6" s="80">
        <f>M6*K6</f>
        <v>12057.60364607424</v>
      </c>
      <c r="K6" s="81">
        <f>C26</f>
        <v>0.05</v>
      </c>
      <c r="L6" s="12"/>
      <c r="M6" s="66">
        <f>([2]prod_herd_data!J25*[2]prod_herd_data!J31+[2]prod_herd_data!K25*[2]prod_herd_data!K31)*(1-C24)</f>
        <v>241152.07292148477</v>
      </c>
      <c r="N6" s="62">
        <f>Dairy_Income_Roadmap!C27</f>
        <v>1495.1172015495711</v>
      </c>
      <c r="O6" s="62">
        <f ca="1">Dairy_Income_Roadmap!C55</f>
        <v>77.257984211519172</v>
      </c>
      <c r="P6" s="62">
        <f>(F6*(Dairy_Income_Roadmap!C22 + Dairy_Income_Baseline!B24)  -   F3*Dairy_Income_Baseline!B24)</f>
        <v>0.15705628993927817</v>
      </c>
      <c r="Q6" s="63">
        <f>(P6*(Dairy_Income_Roadmap!C19))</f>
        <v>74.317546538515671</v>
      </c>
      <c r="R6" s="63">
        <f>IF(P6&gt;0, P6*Dairy_Income_Roadmap!L19/12, 0)</f>
        <v>0.36646467652498238</v>
      </c>
      <c r="S6" s="60">
        <f>F6*I6*N6</f>
        <v>805.99030581790691</v>
      </c>
      <c r="T6" s="60">
        <f ca="1">F6*O6*I6</f>
        <v>41.648364594414581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7">
        <f>V6+S6</f>
        <v>2488.5503415106136</v>
      </c>
      <c r="Z6" s="37">
        <f>Z3</f>
        <v>2.9433727613268908E-2</v>
      </c>
      <c r="AA6" s="113">
        <f>D6*S6</f>
        <v>7932113.4731134661</v>
      </c>
      <c r="AB6" s="67">
        <f>Y6*D6</f>
        <v>24490944.307805467</v>
      </c>
      <c r="AC6" s="1"/>
      <c r="AD6" s="21"/>
    </row>
    <row r="7" spans="1:30" ht="15.6" x14ac:dyDescent="0.3">
      <c r="A7" s="15"/>
      <c r="B7" t="s">
        <v>104</v>
      </c>
      <c r="C7" s="76">
        <f>D7/SUM(D6:D8)</f>
        <v>0.37773611359175291</v>
      </c>
      <c r="D7" s="77">
        <f>D3-D6</f>
        <v>55768.217917579575</v>
      </c>
      <c r="E7" s="78">
        <f>E3</f>
        <v>0.67</v>
      </c>
      <c r="F7" s="77">
        <f>J7*(1/D7)</f>
        <v>5.2215390286849646</v>
      </c>
      <c r="G7" s="79"/>
      <c r="H7" s="78">
        <f>H3</f>
        <v>5.7</v>
      </c>
      <c r="I7" s="133">
        <f>I3</f>
        <v>0.44</v>
      </c>
      <c r="J7" s="80">
        <f>M7*K7</f>
        <v>291195.92641684989</v>
      </c>
      <c r="K7" s="81">
        <v>1</v>
      </c>
      <c r="L7" s="12"/>
      <c r="M7" s="66">
        <f>([2]prod_herd_data!J26*[2]prod_herd_data!J31+[2]prod_herd_data!K26*[2]prod_herd_data!K31)*C25</f>
        <v>291195.92641684989</v>
      </c>
      <c r="N7" s="62">
        <f>Dairy_Income_Roadmap!E27</f>
        <v>340.3171855089804</v>
      </c>
      <c r="O7" s="62">
        <f ca="1">Dairy_Income_Roadmap!E55</f>
        <v>27.21419965566654</v>
      </c>
      <c r="P7" s="62">
        <f>(F7*(Dairy_Income_Roadmap!E22 + Dairy_Income_Baseline!B24)  -   F3*Dairy_Income_Baseline!B24)</f>
        <v>1.0547462411083355</v>
      </c>
      <c r="Q7" s="63">
        <f>(P7*(Dairy_Income_Roadmap!E19))</f>
        <v>499.09591580317607</v>
      </c>
      <c r="R7" s="63">
        <f>IF(P7&gt;0, P7*Dairy_Income_Roadmap!L19/12, 0)</f>
        <v>2.4610745625861159</v>
      </c>
      <c r="S7" s="60">
        <f>F7*I7*N7</f>
        <v>781.87096515763949</v>
      </c>
      <c r="T7" s="60">
        <f ca="1">F7*O7*I7</f>
        <v>62.524002480054619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7">
        <f>V7+S7</f>
        <v>2037.558021699625</v>
      </c>
      <c r="Z7" s="37">
        <f>Z3</f>
        <v>2.9433727613268908E-2</v>
      </c>
      <c r="AA7" s="113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105</v>
      </c>
      <c r="C8" s="76">
        <f>D8/SUM(D6:D8)</f>
        <v>0.5556045722449966</v>
      </c>
      <c r="D8" s="77">
        <f>D4</f>
        <v>82028.367810366151</v>
      </c>
      <c r="E8" s="78">
        <f>E4</f>
        <v>0.27</v>
      </c>
      <c r="F8" s="77">
        <f>J8*(1/D8)</f>
        <v>2.7928688012546221</v>
      </c>
      <c r="G8" s="79"/>
      <c r="H8" s="78">
        <f>H4</f>
        <v>5.4</v>
      </c>
      <c r="I8" s="133">
        <f>I4</f>
        <v>0.55710000000000004</v>
      </c>
      <c r="J8" s="80">
        <f t="shared" ref="J8" si="1">M8*K8</f>
        <v>229094.46927541052</v>
      </c>
      <c r="K8" s="81">
        <f>K4*(1-C26)</f>
        <v>0.95</v>
      </c>
      <c r="L8" s="12"/>
      <c r="M8" s="66">
        <f>([2]prod_herd_data!J25*[2]prod_herd_data!J31+[2]prod_herd_data!K25*[2]prod_herd_data!K31)*(1-C24)</f>
        <v>241152.07292148477</v>
      </c>
      <c r="N8" s="62">
        <f>Dairy_Income_Roadmap!G27</f>
        <v>1662.110376985115</v>
      </c>
      <c r="O8" s="62">
        <f ca="1">Dairy_Income_Roadmap!G55</f>
        <v>81.165667256793796</v>
      </c>
      <c r="P8" s="62">
        <f>(F8*(Dairy_Income_Roadmap!G22 + Dairy_Income_Baseline!D24)  -   F5*Dairy_Income_Baseline!D24)</f>
        <v>0.92376754193251132</v>
      </c>
      <c r="Q8" s="63">
        <f>(P8*(Dairy_Income_Roadmap!G19))</f>
        <v>578.45437685600098</v>
      </c>
      <c r="R8" s="63">
        <f>IF(P8&gt;0, P8*Dairy_Income_Roadmap!L19/12, 0)</f>
        <v>2.1554575978425263</v>
      </c>
      <c r="S8" s="60">
        <f>F8*I8*N8</f>
        <v>2586.0895180022831</v>
      </c>
      <c r="T8" s="60">
        <f ca="1">F8*O8*I8</f>
        <v>126.28624682266532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7">
        <f t="shared" ref="Y8:Y20" si="2">V8+S8</f>
        <v>3783.6208718659482</v>
      </c>
      <c r="Z8" s="37">
        <f>Z4</f>
        <v>2.9433727613268908E-2</v>
      </c>
      <c r="AA8" s="113">
        <f>D8*S8</f>
        <v>212132702.17322379</v>
      </c>
      <c r="AB8" s="59">
        <f>Y8*D8</f>
        <v>310364244.53239828</v>
      </c>
      <c r="AC8" s="92">
        <f>-1+SUM(AB6:AB8)/SUM(AB3:AB4)</f>
        <v>0.19587682984048427</v>
      </c>
      <c r="AD8" s="21">
        <f ca="1">MC_High_ambition!I20</f>
        <v>9.0358838978591969</v>
      </c>
    </row>
    <row r="9" spans="1:30" ht="15.6" x14ac:dyDescent="0.3">
      <c r="A9" s="16"/>
      <c r="C9" s="76"/>
      <c r="D9" s="77"/>
      <c r="E9" s="78"/>
      <c r="F9" s="77"/>
      <c r="G9" s="79"/>
      <c r="H9" s="27"/>
      <c r="I9" s="133"/>
      <c r="J9" s="80"/>
      <c r="K9" s="81"/>
      <c r="L9" s="12"/>
      <c r="M9" s="66"/>
      <c r="N9" s="62"/>
      <c r="O9" s="62"/>
      <c r="P9" s="62"/>
      <c r="Q9" s="63"/>
      <c r="R9" s="63"/>
      <c r="S9" s="60"/>
      <c r="T9" s="60"/>
      <c r="U9" s="59"/>
      <c r="V9" s="59"/>
      <c r="W9" s="59"/>
      <c r="X9" s="59"/>
      <c r="Y9" s="97"/>
      <c r="Z9" s="37"/>
      <c r="AA9" s="113"/>
      <c r="AB9" s="59"/>
      <c r="AC9" s="92"/>
      <c r="AD9" s="21"/>
    </row>
    <row r="10" spans="1:30" ht="15.6" x14ac:dyDescent="0.3">
      <c r="A10" s="15" t="s">
        <v>107</v>
      </c>
      <c r="B10" t="str">
        <f>B6</f>
        <v>New-improved</v>
      </c>
      <c r="C10" s="76">
        <f>D10/SUM(D10:D12)</f>
        <v>3.7773611359175292E-2</v>
      </c>
      <c r="D10" s="77">
        <f>D3*C31</f>
        <v>5576.8217917579577</v>
      </c>
      <c r="E10" s="78">
        <f>E6</f>
        <v>0.27</v>
      </c>
      <c r="F10" s="77">
        <f>J10*(1/D10)</f>
        <v>1.2820105372710859</v>
      </c>
      <c r="G10" s="79"/>
      <c r="H10" s="78">
        <f>H6</f>
        <v>5.7</v>
      </c>
      <c r="I10" s="133">
        <f>I6</f>
        <v>0.44</v>
      </c>
      <c r="J10" s="80">
        <f>M10*K10</f>
        <v>7149.5443015167193</v>
      </c>
      <c r="K10" s="81">
        <f>C27</f>
        <v>0.03</v>
      </c>
      <c r="L10" s="12"/>
      <c r="M10" s="66">
        <f>([2]prod_herd_data!J34*[2]prod_herd_data!J40+[2]prod_herd_data!K34*[2]prod_herd_data!K40)*(1-C24)</f>
        <v>238318.14338389065</v>
      </c>
      <c r="N10" s="62">
        <f>Dairy_Income_Roadmap!C27</f>
        <v>1495.1172015495711</v>
      </c>
      <c r="O10" s="62">
        <f ca="1">Dairy_Income_Roadmap!C55</f>
        <v>77.257984211519172</v>
      </c>
      <c r="P10" s="62">
        <f>(F10*(Dairy_Income_Roadmap!C22+Dairy_Income_Baseline!B24)-F3*Dairy_Income_Baseline!B24)</f>
        <v>0.17628698141528126</v>
      </c>
      <c r="Q10" s="63">
        <f>(P10*(Dairy_Income_Roadmap!C19))</f>
        <v>83.417327319586278</v>
      </c>
      <c r="R10" s="63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43.580041932895945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7">
        <f t="shared" si="2"/>
        <v>2516.7880263085881</v>
      </c>
      <c r="Z10" s="37">
        <f>Z6</f>
        <v>2.9433727613268908E-2</v>
      </c>
      <c r="AA10" s="113">
        <f>D10*S10</f>
        <v>4703338.9341128794</v>
      </c>
      <c r="AB10" s="59">
        <f>Y10*D10</f>
        <v>14035678.310353234</v>
      </c>
      <c r="AC10" s="92"/>
      <c r="AD10" s="21"/>
    </row>
    <row r="11" spans="1:30" ht="15.6" x14ac:dyDescent="0.3">
      <c r="A11" s="17"/>
      <c r="B11" s="107" t="str">
        <f t="shared" ref="B11:B20" si="4">B7</f>
        <v>Local-only</v>
      </c>
      <c r="C11" s="76">
        <f>D11/SUM(D10:D12)</f>
        <v>0.40662181639582812</v>
      </c>
      <c r="D11" s="77">
        <f>D3*(1-C31)</f>
        <v>60032.846346570957</v>
      </c>
      <c r="E11" s="78">
        <f>E7</f>
        <v>0.67</v>
      </c>
      <c r="F11" s="77">
        <f>J11*(1/D11)</f>
        <v>5.677991189887404</v>
      </c>
      <c r="G11" s="79"/>
      <c r="H11" s="78">
        <f t="shared" ref="H11:H20" si="5">H7</f>
        <v>5.7</v>
      </c>
      <c r="I11" s="133">
        <f>I6</f>
        <v>0.44</v>
      </c>
      <c r="J11" s="80">
        <f>M11*K11</f>
        <v>340865.97265969415</v>
      </c>
      <c r="K11" s="81">
        <v>1</v>
      </c>
      <c r="L11" s="12"/>
      <c r="M11" s="66">
        <f>([2]prod_herd_data!J35*[2]prod_herd_data!J40+[2]prod_herd_data!K35*[2]prod_herd_data!K40)*C25</f>
        <v>340865.97265969415</v>
      </c>
      <c r="N11" s="62">
        <f>Dairy_Income_Roadmap!E27</f>
        <v>340.3171855089804</v>
      </c>
      <c r="O11" s="62">
        <f ca="1">Dairy_Income_Roadmap!E55</f>
        <v>27.21419965566654</v>
      </c>
      <c r="P11" s="62">
        <f>(F11*(Dairy_Income_Roadmap!E22 + Dairy_Income_Baseline!B24)  -   F3*Dairy_Income_Baseline!B24)</f>
        <v>1.169465331666258</v>
      </c>
      <c r="Q11" s="63">
        <f>(P11*(Dairy_Income_Roadmap!E19))</f>
        <v>553.37990121178859</v>
      </c>
      <c r="R11" s="63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67.989673789273041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7">
        <f t="shared" si="2"/>
        <v>2051.3553049338025</v>
      </c>
      <c r="Z11" s="37">
        <f>Z3</f>
        <v>2.9433727613268908E-2</v>
      </c>
      <c r="AA11" s="113">
        <f>D11*S11</f>
        <v>51041121.31858439</v>
      </c>
      <c r="AB11" s="59">
        <f>Y11*D11</f>
        <v>123148697.82331418</v>
      </c>
      <c r="AC11" s="92"/>
      <c r="AD11" s="21"/>
    </row>
    <row r="12" spans="1:30" ht="15.6" x14ac:dyDescent="0.3">
      <c r="A12" s="15"/>
      <c r="B12" s="107" t="str">
        <f t="shared" si="4"/>
        <v>Extant-improved</v>
      </c>
      <c r="C12" s="76">
        <f>D12/SUM(D10:D12)</f>
        <v>0.5556045722449966</v>
      </c>
      <c r="D12" s="77">
        <f>D8</f>
        <v>82028.367810366151</v>
      </c>
      <c r="E12" s="78">
        <f>E8</f>
        <v>0.27</v>
      </c>
      <c r="F12" s="77">
        <f>J12*(1/D12)</f>
        <v>2.818154319695735</v>
      </c>
      <c r="G12" s="79"/>
      <c r="H12" s="78">
        <f t="shared" si="5"/>
        <v>5.4</v>
      </c>
      <c r="I12" s="133">
        <f>I8</f>
        <v>0.55710000000000004</v>
      </c>
      <c r="J12" s="80">
        <f t="shared" ref="J12" si="6">M12*K12</f>
        <v>231168.59908237393</v>
      </c>
      <c r="K12" s="81">
        <f>K4*(1-C27)</f>
        <v>0.97</v>
      </c>
      <c r="L12" s="12"/>
      <c r="M12" s="66">
        <f>M10</f>
        <v>238318.14338389065</v>
      </c>
      <c r="N12" s="62">
        <f>Dairy_Income_Roadmap!G27</f>
        <v>1662.110376985115</v>
      </c>
      <c r="O12" s="62">
        <f ca="1">Dairy_Income_Roadmap!G55</f>
        <v>81.165667256793796</v>
      </c>
      <c r="P12" s="62">
        <f>(F12*(Dairy_Income_Roadmap!G22 + Dairy_Income_Baseline!D24)  -   F4*Dairy_Income_Baseline!D24)</f>
        <v>0.5005134564407645</v>
      </c>
      <c r="Q12" s="63">
        <f>(P12*(Dairy_Income_Roadmap!G19))</f>
        <v>313.41672705646732</v>
      </c>
      <c r="R12" s="63">
        <f>IF(P12&gt;0, P12*Dairy_Income_Roadmap!L19/12, 0)</f>
        <v>1.1678647316951172</v>
      </c>
      <c r="S12" s="60">
        <f>F12*I12*N12</f>
        <v>2609.502939416293</v>
      </c>
      <c r="T12" s="60">
        <f ca="1">F12*O12*I12</f>
        <v>127.42959205301018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7">
        <f t="shared" si="2"/>
        <v>4073.0595359456393</v>
      </c>
      <c r="Z12" s="37">
        <f>Z8</f>
        <v>2.9433727613268908E-2</v>
      </c>
      <c r="AA12" s="113">
        <f>D12*S12</f>
        <v>214053266.91667131</v>
      </c>
      <c r="AB12" s="59">
        <f>Y12*D12</f>
        <v>334106425.72806817</v>
      </c>
      <c r="AC12" s="92">
        <f>-1+SUM(AB10:AB12)/SUM(AB3:AB4)</f>
        <v>0.2566847976718678</v>
      </c>
      <c r="AD12" s="21">
        <f ca="1">MC_Middle_road!I20</f>
        <v>7.9591409680983718</v>
      </c>
    </row>
    <row r="13" spans="1:30" ht="15.6" x14ac:dyDescent="0.3">
      <c r="A13" s="15"/>
      <c r="B13" s="107"/>
      <c r="C13" s="76"/>
      <c r="D13" s="77"/>
      <c r="E13" s="78"/>
      <c r="F13" s="77"/>
      <c r="G13" s="79"/>
      <c r="H13" s="78"/>
      <c r="I13" s="133"/>
      <c r="J13" s="80"/>
      <c r="K13" s="81"/>
      <c r="L13" s="12"/>
      <c r="M13" s="66"/>
      <c r="N13" s="62"/>
      <c r="O13" s="62"/>
      <c r="P13" s="62"/>
      <c r="Q13" s="63"/>
      <c r="R13" s="63"/>
      <c r="S13" s="60"/>
      <c r="T13" s="60"/>
      <c r="U13" s="59"/>
      <c r="V13" s="59"/>
      <c r="W13" s="59"/>
      <c r="X13" s="59"/>
      <c r="Y13" s="97"/>
      <c r="Z13" s="37"/>
      <c r="AA13" s="113"/>
      <c r="AB13" s="59"/>
      <c r="AC13" s="92"/>
      <c r="AD13" s="21"/>
    </row>
    <row r="14" spans="1:30" ht="15.6" x14ac:dyDescent="0.3">
      <c r="A14" s="15" t="s">
        <v>108</v>
      </c>
      <c r="B14" s="107" t="str">
        <f t="shared" si="4"/>
        <v>New-improved</v>
      </c>
      <c r="C14" s="76">
        <f>D14/SUM(D14:D16)</f>
        <v>8.8879085551000683E-3</v>
      </c>
      <c r="D14" s="77">
        <f>D3*C32</f>
        <v>1312.1933627665783</v>
      </c>
      <c r="E14" s="78">
        <f>E10</f>
        <v>0.27</v>
      </c>
      <c r="F14" s="77">
        <f>J14*(1/D14)</f>
        <v>1.9644155201899163</v>
      </c>
      <c r="G14" s="79"/>
      <c r="H14" s="78">
        <f t="shared" si="5"/>
        <v>5.7</v>
      </c>
      <c r="I14" s="133">
        <f>I11</f>
        <v>0.44</v>
      </c>
      <c r="J14" s="80">
        <f>M14*K14</f>
        <v>2577.6930073088633</v>
      </c>
      <c r="K14" s="81">
        <f>C28</f>
        <v>0.01</v>
      </c>
      <c r="L14" s="12"/>
      <c r="M14" s="66">
        <f>([2]prod_herd_data!J43*[2]prod_herd_data!J49+[2]prod_herd_data!K43*[2]prod_herd_data!K49)*(1-C24)</f>
        <v>257769.30073088632</v>
      </c>
      <c r="N14" s="62">
        <f>Dairy_Income_Roadmap!C27</f>
        <v>1495.1172015495711</v>
      </c>
      <c r="O14" s="62">
        <f ca="1">Dairy_Income_Roadmap!C55</f>
        <v>77.257984211519172</v>
      </c>
      <c r="P14" s="62">
        <f>(F14*(Dairy_Income_Roadmap!C22+ Dairy_Income_Baseline!B24)  -   F3*Dairy_Income_Baseline!B24)</f>
        <v>0.40722665831209254</v>
      </c>
      <c r="Q14" s="63">
        <f>(P14*(Dairy_Income_Roadmap!C19))</f>
        <v>192.6957916969387</v>
      </c>
      <c r="R14" s="63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66.777384627226141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7">
        <f t="shared" si="2"/>
        <v>2855.8918911745805</v>
      </c>
      <c r="Z14" s="37">
        <f>Z10</f>
        <v>2.9433727613268908E-2</v>
      </c>
      <c r="AA14" s="113">
        <f>D14*S14</f>
        <v>1695739.3884382714</v>
      </c>
      <c r="AB14" s="59">
        <f>Y14*D14</f>
        <v>3747482.3843781757</v>
      </c>
      <c r="AC14" s="92"/>
      <c r="AD14" s="21"/>
    </row>
    <row r="15" spans="1:30" ht="15.6" x14ac:dyDescent="0.3">
      <c r="A15" s="15"/>
      <c r="B15" s="107" t="str">
        <f t="shared" si="4"/>
        <v>Local-only</v>
      </c>
      <c r="C15" s="76">
        <f>D15/SUM(D14:D16)</f>
        <v>0.43550751919990333</v>
      </c>
      <c r="D15" s="77">
        <f>D3*(1-C32)</f>
        <v>64297.474775562332</v>
      </c>
      <c r="E15" s="78">
        <f>E11</f>
        <v>0.67</v>
      </c>
      <c r="F15" s="77">
        <f>J15*(1/D15)</f>
        <v>6.7135715843459556</v>
      </c>
      <c r="G15" s="79"/>
      <c r="H15" s="78">
        <f t="shared" si="5"/>
        <v>5.7</v>
      </c>
      <c r="I15" s="133">
        <f>I3</f>
        <v>0.44</v>
      </c>
      <c r="J15" s="80">
        <f>M15*K15</f>
        <v>431665.6995984161</v>
      </c>
      <c r="K15" s="81">
        <v>1</v>
      </c>
      <c r="L15" s="12"/>
      <c r="M15" s="66">
        <f>([2]prod_herd_data!J44*[2]prod_herd_data!J49+[2]prod_herd_data!K44*[2]prod_herd_data!K49)*C25</f>
        <v>431665.6995984161</v>
      </c>
      <c r="N15" s="62">
        <f>Dairy_Income_Roadmap!E27</f>
        <v>340.3171855089804</v>
      </c>
      <c r="O15" s="62">
        <f ca="1">Dairy_Income_Roadmap!E55</f>
        <v>27.21419965566654</v>
      </c>
      <c r="P15" s="62">
        <f>(F15*(Dairy_Income_Roadmap!E22 + Dairy_Income_Baseline!B24)  -   F3*Dairy_Income_Baseline!B24)</f>
        <v>1.4297354128483484</v>
      </c>
      <c r="Q15" s="63">
        <f>(P15*(Dairy_Income_Roadmap!E19))</f>
        <v>676.53723466409156</v>
      </c>
      <c r="R15" s="63">
        <f>IF(P15&gt;0, P15*Dairy_Income_Roadmap!L19/12, 0)</f>
        <v>3.3360492966461464</v>
      </c>
      <c r="S15" s="60">
        <f>F15*I15*N15</f>
        <v>1005.2872659709801</v>
      </c>
      <c r="T15" s="60">
        <f ca="1">F15*O15*I15</f>
        <v>80.389970099560159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7">
        <f t="shared" si="2"/>
        <v>2082.6580289179901</v>
      </c>
      <c r="Z15" s="37">
        <f>Z11</f>
        <v>2.9433727613268908E-2</v>
      </c>
      <c r="AA15" s="113">
        <f>D15*S15</f>
        <v>64637432.625963114</v>
      </c>
      <c r="AB15" s="59">
        <f>Y15*D15</f>
        <v>133909652.08047684</v>
      </c>
      <c r="AC15" s="92"/>
      <c r="AD15" s="21"/>
    </row>
    <row r="16" spans="1:30" ht="15.6" x14ac:dyDescent="0.3">
      <c r="A16" s="16"/>
      <c r="B16" s="107" t="str">
        <f t="shared" si="4"/>
        <v>Extant-improved</v>
      </c>
      <c r="C16" s="76">
        <f>D16/SUM(D14:D16)</f>
        <v>0.5556045722449966</v>
      </c>
      <c r="D16" s="77">
        <f>D12</f>
        <v>82028.367810366151</v>
      </c>
      <c r="E16" s="78">
        <f>E12</f>
        <v>0.27</v>
      </c>
      <c r="F16" s="77">
        <f>J16*(1/D16)</f>
        <v>3.1110165243508381</v>
      </c>
      <c r="G16" s="79"/>
      <c r="H16" s="78">
        <f t="shared" si="5"/>
        <v>5.4</v>
      </c>
      <c r="I16" s="133">
        <f>I12</f>
        <v>0.55710000000000004</v>
      </c>
      <c r="J16" s="80">
        <f>M16*K16</f>
        <v>255191.60772357744</v>
      </c>
      <c r="K16" s="81">
        <f>K4*(1-C28)</f>
        <v>0.99</v>
      </c>
      <c r="L16" s="12"/>
      <c r="M16" s="66">
        <f>M14</f>
        <v>257769.30073088632</v>
      </c>
      <c r="N16" s="62">
        <f>Dairy_Income_Roadmap!G27</f>
        <v>1662.110376985115</v>
      </c>
      <c r="O16" s="62">
        <f ca="1">Dairy_Income_Roadmap!G55</f>
        <v>81.165667256793796</v>
      </c>
      <c r="P16" s="62">
        <f>(F16*(Dairy_Income_Roadmap!G22 + Dairy_Income_Baseline!D24)  -   F4*Dairy_Income_Baseline!D24)</f>
        <v>0.59738037650433817</v>
      </c>
      <c r="Q16" s="63">
        <f>(P16*(Dairy_Income_Roadmap!G19))</f>
        <v>374.07386355437234</v>
      </c>
      <c r="R16" s="63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140.67205752274151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7">
        <f t="shared" si="2"/>
        <v>4283.3555588920708</v>
      </c>
      <c r="Z16" s="37">
        <f>Z12</f>
        <v>2.9433727613268908E-2</v>
      </c>
      <c r="AA16" s="113">
        <f>D16*S16</f>
        <v>236297652.62142992</v>
      </c>
      <c r="AB16" s="59">
        <f>Y16*D16</f>
        <v>351356665.24737525</v>
      </c>
      <c r="AC16" s="92">
        <f>-1+SUM(AB14:AB16)/SUM(AB3:AB4)</f>
        <v>0.30394271545830898</v>
      </c>
      <c r="AD16" s="21">
        <f ca="1">MC_Status_quo!I20</f>
        <v>8.7996001319245405</v>
      </c>
    </row>
    <row r="17" spans="1:30" ht="15.6" x14ac:dyDescent="0.3">
      <c r="A17" s="16"/>
      <c r="B17" s="107"/>
      <c r="C17" s="76"/>
      <c r="D17" s="77"/>
      <c r="E17" s="78"/>
      <c r="F17" s="77"/>
      <c r="G17" s="79"/>
      <c r="H17" s="78"/>
      <c r="I17" s="133"/>
      <c r="J17" s="80"/>
      <c r="K17" s="81"/>
      <c r="L17" s="12"/>
      <c r="M17" s="66"/>
      <c r="N17" s="62"/>
      <c r="O17" s="62"/>
      <c r="P17" s="62"/>
      <c r="Q17" s="63"/>
      <c r="R17" s="63"/>
      <c r="S17" s="60"/>
      <c r="T17" s="60"/>
      <c r="U17" s="59"/>
      <c r="V17" s="59"/>
      <c r="W17" s="59"/>
      <c r="X17" s="59"/>
      <c r="Y17" s="97"/>
      <c r="Z17" s="37"/>
      <c r="AA17" s="113"/>
      <c r="AB17" s="59"/>
      <c r="AC17" s="92"/>
      <c r="AD17" s="21"/>
    </row>
    <row r="18" spans="1:30" ht="15.6" x14ac:dyDescent="0.3">
      <c r="A18" s="15" t="s">
        <v>109</v>
      </c>
      <c r="B18" s="107" t="str">
        <f t="shared" si="4"/>
        <v>New-improved</v>
      </c>
      <c r="C18" s="76">
        <f>D18/SUM(D18:D20)</f>
        <v>6.6659314163250508E-2</v>
      </c>
      <c r="D18" s="77">
        <f>D3*C33</f>
        <v>9841.4502207493369</v>
      </c>
      <c r="E18" s="78">
        <f>E14</f>
        <v>0.27</v>
      </c>
      <c r="F18" s="77">
        <f>J18*(1/D18)</f>
        <v>1.5512206563708677</v>
      </c>
      <c r="G18" s="79"/>
      <c r="H18" s="78">
        <f t="shared" si="5"/>
        <v>5.7</v>
      </c>
      <c r="I18" s="133">
        <f>I14</f>
        <v>0.44</v>
      </c>
      <c r="J18" s="80">
        <f>M18*K18</f>
        <v>15266.260871072009</v>
      </c>
      <c r="K18" s="81">
        <f>C29</f>
        <v>0.05</v>
      </c>
      <c r="L18" s="12"/>
      <c r="M18" s="66">
        <f>([2]prod_herd_data!J58*[2]prod_herd_data!J52+[2]prod_herd_data!K58*[2]prod_herd_data!K52)*(1-C24)</f>
        <v>305325.21742144017</v>
      </c>
      <c r="N18" s="62">
        <f>Dairy_Income_Roadmap!C27</f>
        <v>1495.1172015495711</v>
      </c>
      <c r="O18" s="62">
        <f ca="1">Dairy_Income_Roadmap!C55</f>
        <v>77.257984211519172</v>
      </c>
      <c r="P18" s="62">
        <f>(F18*(Dairy_Income_Roadmap!C22 + Dairy_Income_Baseline!B24)  -   F3*Dairy_Income_Baseline!B24)</f>
        <v>0.26739314194818403</v>
      </c>
      <c r="Q18" s="63">
        <f>(P18*(Dairy_Income_Roadmap!C19))</f>
        <v>126.52789823633996</v>
      </c>
      <c r="R18" s="63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52.731439630532478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7">
        <f t="shared" si="2"/>
        <v>2650.5651735053993</v>
      </c>
      <c r="Z18" s="37">
        <f>Z14</f>
        <v>2.9433727613268908E-2</v>
      </c>
      <c r="AA18" s="113">
        <f>D18*S18</f>
        <v>10042933.661940474</v>
      </c>
      <c r="AB18" s="59">
        <f>Y18*D18</f>
        <v>26085405.211905219</v>
      </c>
      <c r="AC18" s="92"/>
      <c r="AD18" s="21"/>
    </row>
    <row r="19" spans="1:30" ht="15.6" x14ac:dyDescent="0.3">
      <c r="A19" s="15"/>
      <c r="B19" s="107" t="str">
        <f t="shared" si="4"/>
        <v>Local-only</v>
      </c>
      <c r="C19" s="76">
        <f>D19/SUM(D18:D20)</f>
        <v>0.37773611359175291</v>
      </c>
      <c r="D19" s="77">
        <f>D3*(1-C33)</f>
        <v>55768.217917579575</v>
      </c>
      <c r="E19" s="78">
        <f>E15</f>
        <v>0.67</v>
      </c>
      <c r="F19" s="77">
        <f>J19*(1/D19)</f>
        <v>6.6110463820347922</v>
      </c>
      <c r="G19" s="79"/>
      <c r="H19" s="78">
        <f t="shared" si="5"/>
        <v>5.7</v>
      </c>
      <c r="I19" s="133">
        <f>I15</f>
        <v>0.44</v>
      </c>
      <c r="J19" s="80">
        <f t="shared" ref="J19" si="10">M19*K19</f>
        <v>368686.27529654233</v>
      </c>
      <c r="K19" s="81">
        <v>1</v>
      </c>
      <c r="L19" s="12"/>
      <c r="M19" s="66">
        <f>([2]prod_herd_data!J58*[2]prod_herd_data!J53+[2]prod_herd_data!K58*[2]prod_herd_data!K53)*C25</f>
        <v>368686.27529654233</v>
      </c>
      <c r="N19" s="62">
        <f>Dairy_Income_Roadmap!E27</f>
        <v>340.3171855089804</v>
      </c>
      <c r="O19" s="62">
        <f ca="1">Dairy_Income_Roadmap!E55</f>
        <v>27.21419965566654</v>
      </c>
      <c r="P19" s="62">
        <f>(F19*(Dairy_Income_Roadmap!E22 + Dairy_Income_Baseline!B24)  -   F3*Dairy_Income_Baseline!B24)</f>
        <v>1.4039679853540412</v>
      </c>
      <c r="Q19" s="63">
        <f>(P19*(Dairy_Income_Roadmap!E19))</f>
        <v>664.34433240766884</v>
      </c>
      <c r="R19" s="63">
        <f>IF(P19&gt;0, P19*Dairy_Income_Roadmap!L19/12, 0)</f>
        <v>3.2759252991594292</v>
      </c>
      <c r="S19" s="60">
        <f>F19*I19*N19</f>
        <v>989.93518712149955</v>
      </c>
      <c r="T19" s="60">
        <f ca="1">F19*O19*I19</f>
        <v>79.162307916369372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7">
        <f t="shared" si="2"/>
        <v>2079.5589763224189</v>
      </c>
      <c r="Z19" s="37">
        <f>Z15</f>
        <v>2.9433727613268908E-2</v>
      </c>
      <c r="AA19" s="113">
        <f>D19*S19</f>
        <v>55206921.2396717</v>
      </c>
      <c r="AB19" s="59">
        <f>Y19*D19</f>
        <v>115973298.16400737</v>
      </c>
      <c r="AC19" s="92"/>
      <c r="AD19" s="21"/>
    </row>
    <row r="20" spans="1:30" ht="15.6" x14ac:dyDescent="0.3">
      <c r="A20" s="17"/>
      <c r="B20" s="107" t="str">
        <f t="shared" si="4"/>
        <v>Extant-improved</v>
      </c>
      <c r="C20" s="76">
        <f>D20/SUM(D18:D20)</f>
        <v>0.5556045722449966</v>
      </c>
      <c r="D20" s="77">
        <f>D16</f>
        <v>82028.367810366151</v>
      </c>
      <c r="E20" s="78">
        <f>E16</f>
        <v>0.27</v>
      </c>
      <c r="F20" s="77">
        <f>J20*(1/D20)</f>
        <v>3.5360810448030473</v>
      </c>
      <c r="G20" s="79"/>
      <c r="H20" s="78">
        <f t="shared" si="5"/>
        <v>5.4</v>
      </c>
      <c r="I20" s="133">
        <f>I16</f>
        <v>0.55710000000000004</v>
      </c>
      <c r="J20" s="80">
        <f>M20*K20</f>
        <v>290058.95655036817</v>
      </c>
      <c r="K20" s="81">
        <f>K4*(1-C29)</f>
        <v>0.95</v>
      </c>
      <c r="L20" s="12"/>
      <c r="M20" s="66">
        <f>M18</f>
        <v>305325.21742144017</v>
      </c>
      <c r="N20" s="62">
        <f>Dairy_Income_Roadmap!G27</f>
        <v>1662.110376985115</v>
      </c>
      <c r="O20" s="62">
        <f ca="1">Dairy_Income_Roadmap!G55</f>
        <v>81.165667256793796</v>
      </c>
      <c r="P20" s="62">
        <f>(F20*(Dairy_Income_Roadmap!G22+ Dairy_Income_Baseline!D24)  -   F4*Dairy_Income_Baseline!D24)</f>
        <v>0.73797445204575518</v>
      </c>
      <c r="Q20" s="63">
        <f>(P20*(Dairy_Income_Roadmap!G19))</f>
        <v>462.11252551777085</v>
      </c>
      <c r="R20" s="63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159.89236709162327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7">
        <f t="shared" si="2"/>
        <v>4588.5823062355985</v>
      </c>
      <c r="Z20" s="37">
        <f>Z16</f>
        <v>2.9433727613268908E-2</v>
      </c>
      <c r="AA20" s="113">
        <f>D20*S20</f>
        <v>268583481.90241373</v>
      </c>
      <c r="AB20" s="59">
        <f>Y20*D20</f>
        <v>376393917.14403182</v>
      </c>
      <c r="AC20" s="92">
        <f>-1+SUM(AB18:AB20)/SUM(AB3:AB4)</f>
        <v>0.38244057373243279</v>
      </c>
      <c r="AD20" s="21">
        <f ca="1">MC_High_ambition_plus!I20</f>
        <v>13.727090130269291</v>
      </c>
    </row>
    <row r="21" spans="1:30" x14ac:dyDescent="0.3">
      <c r="M21" s="88" t="s">
        <v>84</v>
      </c>
      <c r="N21" s="89">
        <f>([2]prod_herd_data!J8+[2]prod_herd_data!K8)</f>
        <v>996179.17784934677</v>
      </c>
    </row>
    <row r="22" spans="1:30" ht="15.6" x14ac:dyDescent="0.3">
      <c r="A22" s="111" t="s">
        <v>51</v>
      </c>
      <c r="B22" s="74"/>
      <c r="C22" s="74"/>
      <c r="D22" s="74" t="s">
        <v>112</v>
      </c>
      <c r="E22" s="74"/>
      <c r="F22" s="74"/>
    </row>
    <row r="23" spans="1:30" x14ac:dyDescent="0.3">
      <c r="A23" s="93" t="s">
        <v>110</v>
      </c>
      <c r="B23" s="74"/>
      <c r="C23" s="74">
        <f>532194/(250800+532194)</f>
        <v>0.67969103211518866</v>
      </c>
      <c r="D23" s="74"/>
      <c r="E23" s="74"/>
      <c r="F23" s="74"/>
    </row>
    <row r="24" spans="1:30" x14ac:dyDescent="0.3">
      <c r="A24" s="93" t="s">
        <v>111</v>
      </c>
      <c r="B24" s="74"/>
      <c r="C24" s="74">
        <f>9226165/(9226165+3518000)</f>
        <v>0.723952098862499</v>
      </c>
      <c r="D24" s="74"/>
      <c r="E24" s="74"/>
      <c r="F24" s="74"/>
    </row>
    <row r="25" spans="1:30" x14ac:dyDescent="0.3">
      <c r="A25" s="93" t="s">
        <v>34</v>
      </c>
      <c r="B25" s="74"/>
      <c r="C25" s="74">
        <f>1-0</f>
        <v>1</v>
      </c>
      <c r="D25" s="74"/>
      <c r="E25" s="74"/>
      <c r="F25" s="74"/>
    </row>
    <row r="26" spans="1:30" x14ac:dyDescent="0.3">
      <c r="A26" s="108" t="s">
        <v>88</v>
      </c>
      <c r="B26" s="74" t="str">
        <f>A6</f>
        <v>High ambition</v>
      </c>
      <c r="C26" s="74">
        <f>0.05</f>
        <v>0.05</v>
      </c>
      <c r="D26" s="74"/>
      <c r="E26" s="74"/>
      <c r="F26" s="74"/>
      <c r="O26" s="2" t="s">
        <v>83</v>
      </c>
      <c r="P26" s="2"/>
    </row>
    <row r="27" spans="1:30" x14ac:dyDescent="0.3">
      <c r="A27" s="108"/>
      <c r="B27" s="74" t="str">
        <f>A10</f>
        <v>Middle road</v>
      </c>
      <c r="C27" s="74">
        <f>0.5*(C26-C28)+C28</f>
        <v>0.03</v>
      </c>
      <c r="D27" s="74"/>
      <c r="E27" s="74"/>
      <c r="F27" s="74"/>
      <c r="O27" s="82" t="s">
        <v>20</v>
      </c>
      <c r="P27" s="82"/>
      <c r="Q27" s="18"/>
      <c r="R27" s="18"/>
      <c r="S27" s="8"/>
      <c r="T27" s="8"/>
    </row>
    <row r="28" spans="1:30" x14ac:dyDescent="0.3">
      <c r="A28" s="108"/>
      <c r="B28" s="74" t="str">
        <f>A14</f>
        <v>Status quo</v>
      </c>
      <c r="C28" s="74">
        <f>0.01</f>
        <v>0.01</v>
      </c>
      <c r="D28" s="74"/>
      <c r="E28" s="74"/>
      <c r="F28" s="74"/>
      <c r="M28" s="18"/>
      <c r="O28" s="74" t="s">
        <v>24</v>
      </c>
      <c r="P28" s="74"/>
      <c r="Q28" s="23"/>
      <c r="R28" s="23"/>
    </row>
    <row r="29" spans="1:30" x14ac:dyDescent="0.3">
      <c r="A29" s="108"/>
      <c r="B29" s="74" t="str">
        <f>A18</f>
        <v>High ambition ++</v>
      </c>
      <c r="C29" s="74">
        <f>C26</f>
        <v>0.05</v>
      </c>
      <c r="D29" s="74"/>
      <c r="E29" s="74"/>
      <c r="F29" s="74"/>
      <c r="M29" s="18"/>
      <c r="O29" s="87" t="s">
        <v>14</v>
      </c>
      <c r="P29" s="87"/>
      <c r="Q29" s="23"/>
      <c r="R29" s="23"/>
    </row>
    <row r="30" spans="1:30" x14ac:dyDescent="0.3">
      <c r="A30" s="109" t="s">
        <v>95</v>
      </c>
      <c r="B30" s="74" t="str">
        <f>A6</f>
        <v>High ambition</v>
      </c>
      <c r="C30" s="75">
        <f>0.15</f>
        <v>0.15</v>
      </c>
      <c r="D30" s="75">
        <f>(C6+C8)/SUM(C6,C7,C8)</f>
        <v>0.62226388640824715</v>
      </c>
      <c r="E30" s="44"/>
      <c r="F30" s="75"/>
      <c r="M30" s="23"/>
      <c r="O30" s="19"/>
      <c r="P30" s="19"/>
      <c r="Q30" s="19"/>
      <c r="R30" s="19"/>
    </row>
    <row r="31" spans="1:30" x14ac:dyDescent="0.3">
      <c r="A31" s="109"/>
      <c r="B31" s="74" t="str">
        <f>B27</f>
        <v>Middle road</v>
      </c>
      <c r="C31" s="75">
        <f>C32+(C30-C32)*0.5</f>
        <v>8.5000000000000006E-2</v>
      </c>
      <c r="D31" s="75">
        <f>(C10+C12)/SUM(C10,C11,C12)</f>
        <v>0.59337818360417194</v>
      </c>
      <c r="E31" s="44"/>
      <c r="F31" s="74"/>
      <c r="M31" s="19"/>
      <c r="O31" s="24"/>
      <c r="P31" s="24"/>
      <c r="Q31" s="24"/>
      <c r="R31" s="24"/>
    </row>
    <row r="32" spans="1:30" x14ac:dyDescent="0.3">
      <c r="A32" s="109"/>
      <c r="B32" s="74" t="str">
        <f>B28</f>
        <v>Status quo</v>
      </c>
      <c r="C32" s="75">
        <f>0.02</f>
        <v>0.02</v>
      </c>
      <c r="D32" s="75">
        <f>(C14+C16)/SUM(C14,C15,C16)</f>
        <v>0.56449248080009662</v>
      </c>
      <c r="E32" s="44"/>
      <c r="F32" s="74"/>
      <c r="M32" s="19"/>
      <c r="O32" s="24"/>
      <c r="P32" s="24"/>
      <c r="Q32" s="24"/>
      <c r="R32" s="24"/>
    </row>
    <row r="33" spans="1:18" x14ac:dyDescent="0.3">
      <c r="A33" s="74"/>
      <c r="B33" s="74" t="str">
        <f>B29</f>
        <v>High ambition ++</v>
      </c>
      <c r="C33" s="75">
        <f>C30</f>
        <v>0.15</v>
      </c>
      <c r="D33" s="75">
        <f>(C18+C20)/SUM(C18,C19,C20)</f>
        <v>0.62226388640824715</v>
      </c>
      <c r="E33" s="44"/>
      <c r="F33" s="74"/>
      <c r="M33" s="24"/>
      <c r="O33" s="25"/>
      <c r="P33" s="25"/>
      <c r="Q33" s="25"/>
      <c r="R33" s="25"/>
    </row>
    <row r="34" spans="1:18" x14ac:dyDescent="0.3">
      <c r="B34" s="54"/>
      <c r="C34" s="54"/>
      <c r="D34" s="54"/>
      <c r="E34" s="54"/>
      <c r="F34" s="54"/>
      <c r="M34" s="25"/>
      <c r="O34" s="26"/>
      <c r="P34" s="26"/>
      <c r="Q34" s="26"/>
      <c r="R34" s="26"/>
    </row>
    <row r="35" spans="1:18" x14ac:dyDescent="0.3">
      <c r="M35" s="26"/>
      <c r="N35" s="18">
        <f>[1]All!$B$12</f>
        <v>285</v>
      </c>
      <c r="O35" s="18" t="s">
        <v>22</v>
      </c>
      <c r="P35" s="18"/>
      <c r="Q35" s="18"/>
      <c r="R35" s="18"/>
    </row>
    <row r="37" spans="1:18" x14ac:dyDescent="0.3">
      <c r="E37" s="37"/>
      <c r="F37" s="37"/>
      <c r="G37" s="37"/>
      <c r="H37" s="37"/>
      <c r="I37" s="37"/>
    </row>
    <row r="38" spans="1:18" ht="15.6" x14ac:dyDescent="0.3">
      <c r="E38" s="37"/>
      <c r="F38" s="37"/>
      <c r="G38" s="37"/>
      <c r="H38" s="37"/>
      <c r="I38" s="37"/>
      <c r="N38" s="40"/>
    </row>
    <row r="39" spans="1:18" x14ac:dyDescent="0.3">
      <c r="E39" s="37"/>
      <c r="F39" s="37"/>
      <c r="G39" s="37"/>
      <c r="H39" s="37"/>
      <c r="I39" s="37"/>
    </row>
    <row r="41" spans="1:18" x14ac:dyDescent="0.3">
      <c r="E41" s="33"/>
      <c r="F41" s="33"/>
      <c r="G41" s="33"/>
      <c r="H41" s="33"/>
      <c r="I41" s="33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5" spans="1:18" x14ac:dyDescent="0.3">
      <c r="H45" s="37"/>
    </row>
    <row r="49" spans="4:10" x14ac:dyDescent="0.3">
      <c r="H49" s="37"/>
    </row>
    <row r="52" spans="4:10" x14ac:dyDescent="0.3">
      <c r="D52" s="36"/>
      <c r="E52" s="36"/>
      <c r="F52" s="36"/>
      <c r="G52" s="36"/>
      <c r="H52" s="36"/>
    </row>
    <row r="53" spans="4:10" x14ac:dyDescent="0.3">
      <c r="D53" s="36"/>
      <c r="E53" s="36"/>
      <c r="F53" s="36"/>
      <c r="G53" s="36"/>
      <c r="H53" s="36"/>
    </row>
    <row r="54" spans="4:10" x14ac:dyDescent="0.3">
      <c r="D54" s="36"/>
      <c r="E54" s="36"/>
      <c r="F54" s="36"/>
      <c r="G54" s="36"/>
      <c r="H54" s="36"/>
    </row>
    <row r="56" spans="4:10" x14ac:dyDescent="0.3">
      <c r="F56" s="36"/>
      <c r="G56" s="36"/>
    </row>
    <row r="57" spans="4:10" x14ac:dyDescent="0.3">
      <c r="D57" s="35"/>
      <c r="E57" s="35"/>
      <c r="F57" s="35"/>
      <c r="G57" s="35"/>
      <c r="H57" s="35"/>
    </row>
    <row r="58" spans="4:10" x14ac:dyDescent="0.3">
      <c r="D58" s="35"/>
      <c r="E58" s="35"/>
      <c r="F58" s="35"/>
      <c r="G58" s="35"/>
      <c r="H58" s="35"/>
    </row>
    <row r="59" spans="4:10" x14ac:dyDescent="0.3">
      <c r="D59" s="35"/>
      <c r="E59" s="35"/>
      <c r="F59" s="35"/>
      <c r="G59" s="35"/>
      <c r="H59" s="35"/>
    </row>
    <row r="60" spans="4:10" x14ac:dyDescent="0.3">
      <c r="F60" s="36"/>
      <c r="G60" s="36"/>
    </row>
    <row r="64" spans="4:10" x14ac:dyDescent="0.3">
      <c r="F64" s="36"/>
      <c r="G64" s="36"/>
      <c r="H64" s="33"/>
      <c r="I64" s="33"/>
      <c r="J64" s="33"/>
    </row>
    <row r="65" spans="4:10" x14ac:dyDescent="0.3">
      <c r="H65" s="33"/>
      <c r="I65" s="33"/>
      <c r="J65" s="33"/>
    </row>
    <row r="66" spans="4:10" x14ac:dyDescent="0.3">
      <c r="H66" s="33"/>
      <c r="I66" s="33"/>
      <c r="J66" s="33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3"/>
      <c r="D81" s="13"/>
      <c r="E81" s="3"/>
      <c r="F81" s="3"/>
      <c r="G81" s="3"/>
      <c r="H81" s="34"/>
      <c r="I81" s="3"/>
    </row>
    <row r="82" spans="3:9" x14ac:dyDescent="0.3">
      <c r="C82" s="13"/>
      <c r="D82" s="13"/>
      <c r="E82" s="3"/>
      <c r="F82" s="3"/>
      <c r="G82" s="3"/>
      <c r="H82" s="30"/>
      <c r="I82" s="3"/>
    </row>
    <row r="83" spans="3:9" x14ac:dyDescent="0.3">
      <c r="C83" s="13"/>
      <c r="D83" s="13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5"/>
      <c r="F85" s="35"/>
      <c r="G85" s="35"/>
      <c r="H85" s="35"/>
      <c r="I85" s="35"/>
    </row>
    <row r="86" spans="3:9" x14ac:dyDescent="0.3">
      <c r="E86" s="35"/>
      <c r="F86" s="35"/>
      <c r="G86" s="35"/>
      <c r="H86" s="35"/>
      <c r="I86" s="35"/>
    </row>
    <row r="87" spans="3:9" x14ac:dyDescent="0.3">
      <c r="C87" s="33"/>
      <c r="D87" s="33"/>
      <c r="E87" s="35"/>
      <c r="F87" s="35"/>
      <c r="G87" s="35"/>
      <c r="H87" s="35"/>
      <c r="I87" s="35"/>
    </row>
    <row r="88" spans="3:9" x14ac:dyDescent="0.3">
      <c r="C88" s="33"/>
      <c r="D88" s="33"/>
    </row>
    <row r="89" spans="3:9" x14ac:dyDescent="0.3">
      <c r="C89" s="33"/>
      <c r="D89" s="33"/>
      <c r="E89" s="33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D4" sqref="D4"/>
    </sheetView>
  </sheetViews>
  <sheetFormatPr defaultRowHeight="14.4" x14ac:dyDescent="0.3"/>
  <cols>
    <col min="1" max="1" width="37" customWidth="1"/>
    <col min="2" max="2" width="15" customWidth="1"/>
    <col min="3" max="3" width="17.77734375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5" t="s">
        <v>104</v>
      </c>
      <c r="C1" s="115" t="s">
        <v>105</v>
      </c>
      <c r="E1" s="2" t="s">
        <v>38</v>
      </c>
      <c r="F1" s="2"/>
      <c r="G1" s="2"/>
    </row>
    <row r="2" spans="1:7" x14ac:dyDescent="0.3">
      <c r="A2" s="116" t="s">
        <v>114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6" t="s">
        <v>115</v>
      </c>
      <c r="B3" s="33">
        <f ca="1">_xlfn.NORM.INV(RAND(),Mappings!N3,Mappings!O3)</f>
        <v>-117.06888545183172</v>
      </c>
      <c r="C3" s="33">
        <f ca="1">_xlfn.NORM.INV(RAND(),Mappings!N4,Mappings!O4)</f>
        <v>715.41576935112039</v>
      </c>
      <c r="D3" s="33"/>
      <c r="E3" s="33"/>
      <c r="F3" s="33"/>
      <c r="G3" s="33"/>
    </row>
    <row r="4" spans="1:7" x14ac:dyDescent="0.3">
      <c r="A4" s="116" t="s">
        <v>116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6" t="s">
        <v>39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6" t="s">
        <v>117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6" t="s">
        <v>118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2" customFormat="1" x14ac:dyDescent="0.3">
      <c r="A8" s="116" t="s">
        <v>98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2" customFormat="1" x14ac:dyDescent="0.3">
      <c r="A9" s="116" t="s">
        <v>119</v>
      </c>
      <c r="B9" s="33">
        <f ca="1">IF(B8&gt;0,_xlfn.NORM.INV(RAND(),B8,B8*Dairy_Income_Roadmap!L38),_xlfn.NORM.INV(RAND(),ABS(B8),ABS(B8)*Dairy_Income_Roadmap!L38))</f>
        <v>50.108487035613841</v>
      </c>
      <c r="C9" s="33">
        <f ca="1">IF(C8&gt;0,_xlfn.NORM.INV(RAND(),C8,C8*Dairy_Income_Roadmap!L38),_xlfn.NORM.INV(RAND(),ABS(C8),ABS(C8)*Dairy_Income_Roadmap!L38))</f>
        <v>26.052211123548041</v>
      </c>
      <c r="D9" s="33"/>
      <c r="E9" s="33"/>
      <c r="F9" s="33"/>
      <c r="G9" s="33"/>
    </row>
    <row r="10" spans="1:7" x14ac:dyDescent="0.3">
      <c r="A10" s="116" t="s">
        <v>40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6" t="s">
        <v>120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6"/>
      <c r="B12" s="33"/>
      <c r="C12" s="33"/>
      <c r="D12" s="33"/>
      <c r="E12" s="33"/>
      <c r="F12" s="33"/>
      <c r="G12" s="33"/>
    </row>
    <row r="13" spans="1:7" x14ac:dyDescent="0.3">
      <c r="A13" s="116" t="s">
        <v>41</v>
      </c>
      <c r="B13" s="33">
        <f ca="1">B3*B5</f>
        <v>-247.24948607426859</v>
      </c>
      <c r="C13" s="33">
        <f ca="1">C3*C5</f>
        <v>1060.2419330569251</v>
      </c>
      <c r="D13" s="33"/>
      <c r="E13" s="33"/>
      <c r="F13" s="33"/>
      <c r="G13" s="33"/>
    </row>
    <row r="14" spans="1:7" x14ac:dyDescent="0.3">
      <c r="A14" s="116" t="s">
        <v>42</v>
      </c>
      <c r="B14" s="33">
        <f ca="1">IF(B8&gt;0,B7-B9,    B7 +B9)</f>
        <v>1707.1355598721339</v>
      </c>
      <c r="C14" s="33">
        <f ca="1">C7-IF(C8&gt;0,C9,(-1)*C9)</f>
        <v>1752.0889771939608</v>
      </c>
      <c r="D14" s="33"/>
      <c r="E14" s="33"/>
      <c r="F14" s="33"/>
      <c r="G14" s="33"/>
    </row>
    <row r="15" spans="1:7" x14ac:dyDescent="0.3">
      <c r="A15" s="116" t="s">
        <v>40</v>
      </c>
      <c r="B15" s="33">
        <f ca="1">_xlfn.NORM.INV(RAND(),B10,B11)</f>
        <v>65303.639762184568</v>
      </c>
      <c r="C15" s="33">
        <f t="shared" ref="C15" ca="1" si="0">_xlfn.NORM.INV(RAND(),C10,C11)</f>
        <v>83824.657413467532</v>
      </c>
      <c r="D15" s="33"/>
      <c r="E15" s="33"/>
      <c r="F15" s="33"/>
      <c r="G15" s="33"/>
    </row>
    <row r="16" spans="1:7" x14ac:dyDescent="0.3">
      <c r="A16" s="116"/>
      <c r="B16" s="33"/>
      <c r="C16" s="33"/>
      <c r="D16" s="33"/>
      <c r="E16" s="33"/>
      <c r="F16" s="33"/>
      <c r="G16" s="33"/>
    </row>
    <row r="17" spans="1:8" x14ac:dyDescent="0.3">
      <c r="A17" s="116" t="s">
        <v>43</v>
      </c>
      <c r="B17" s="33">
        <f ca="1">(B13+B14)*B15</f>
        <v>95335874.257125795</v>
      </c>
      <c r="C17" s="33">
        <f ca="1">(C13+C14)*C15</f>
        <v>235742675.08508578</v>
      </c>
      <c r="D17" s="33"/>
      <c r="E17" s="33">
        <f ca="1">B17+C17</f>
        <v>331078549.3422116</v>
      </c>
      <c r="F17" s="33"/>
      <c r="G17" s="33"/>
    </row>
    <row r="18" spans="1:8" x14ac:dyDescent="0.3">
      <c r="A18" s="116" t="s">
        <v>53</v>
      </c>
      <c r="B18" s="33" t="s">
        <v>48</v>
      </c>
      <c r="C18" s="33" t="s">
        <v>48</v>
      </c>
      <c r="D18" s="33"/>
      <c r="E18" s="33">
        <f ca="1">STDEVA(E21:E128)</f>
        <v>27736248.524290245</v>
      </c>
      <c r="F18" s="33"/>
      <c r="G18" s="128" t="s">
        <v>52</v>
      </c>
    </row>
    <row r="19" spans="1:8" x14ac:dyDescent="0.3">
      <c r="A19" s="116" t="s">
        <v>44</v>
      </c>
      <c r="B19" s="33" t="s">
        <v>48</v>
      </c>
      <c r="C19" s="33" t="s">
        <v>48</v>
      </c>
      <c r="D19" s="33"/>
      <c r="E19" s="33">
        <f ca="1">AVERAGE(E21:E128)</f>
        <v>337017077.18982822</v>
      </c>
      <c r="F19" s="33"/>
      <c r="G19" s="128"/>
      <c r="H19" s="98">
        <f ca="1">100*E18/E19</f>
        <v>8.2299237639722129</v>
      </c>
    </row>
    <row r="21" spans="1:8" x14ac:dyDescent="0.3">
      <c r="D21">
        <v>1</v>
      </c>
      <c r="E21">
        <f ca="1">E17</f>
        <v>331078549.3422116</v>
      </c>
    </row>
    <row r="22" spans="1:8" x14ac:dyDescent="0.3">
      <c r="D22">
        <v>2</v>
      </c>
      <c r="E22">
        <f t="dataTable" ref="E22:E128" dt2D="0" dtr="0" r1="E20" ca="1"/>
        <v>315511414.91273916</v>
      </c>
    </row>
    <row r="23" spans="1:8" x14ac:dyDescent="0.3">
      <c r="D23">
        <v>3</v>
      </c>
      <c r="E23">
        <v>353257950.80901992</v>
      </c>
    </row>
    <row r="24" spans="1:8" x14ac:dyDescent="0.3">
      <c r="D24">
        <v>4</v>
      </c>
      <c r="E24">
        <v>352277940.34387857</v>
      </c>
    </row>
    <row r="25" spans="1:8" x14ac:dyDescent="0.3">
      <c r="D25">
        <v>5</v>
      </c>
      <c r="E25">
        <v>336360941.34595078</v>
      </c>
    </row>
    <row r="26" spans="1:8" x14ac:dyDescent="0.3">
      <c r="D26">
        <v>6</v>
      </c>
      <c r="E26">
        <v>317467805.85482579</v>
      </c>
    </row>
    <row r="27" spans="1:8" x14ac:dyDescent="0.3">
      <c r="D27">
        <v>7</v>
      </c>
      <c r="E27">
        <v>405909931.71558249</v>
      </c>
    </row>
    <row r="28" spans="1:8" x14ac:dyDescent="0.3">
      <c r="D28">
        <v>8</v>
      </c>
      <c r="E28">
        <v>360591027.68947935</v>
      </c>
    </row>
    <row r="29" spans="1:8" x14ac:dyDescent="0.3">
      <c r="D29">
        <v>9</v>
      </c>
      <c r="E29">
        <v>395392676.02331877</v>
      </c>
    </row>
    <row r="30" spans="1:8" x14ac:dyDescent="0.3">
      <c r="D30">
        <v>10</v>
      </c>
      <c r="E30">
        <v>362064252.67378646</v>
      </c>
    </row>
    <row r="31" spans="1:8" x14ac:dyDescent="0.3">
      <c r="D31">
        <v>11</v>
      </c>
      <c r="E31">
        <v>361205224.82539076</v>
      </c>
    </row>
    <row r="32" spans="1:8" x14ac:dyDescent="0.3">
      <c r="D32">
        <v>12</v>
      </c>
      <c r="E32">
        <v>323153882.6842581</v>
      </c>
    </row>
    <row r="33" spans="4:5" x14ac:dyDescent="0.3">
      <c r="D33">
        <v>13</v>
      </c>
      <c r="E33">
        <v>304319632.08438098</v>
      </c>
    </row>
    <row r="34" spans="4:5" x14ac:dyDescent="0.3">
      <c r="D34">
        <v>14</v>
      </c>
      <c r="E34">
        <v>332542103.56414294</v>
      </c>
    </row>
    <row r="35" spans="4:5" x14ac:dyDescent="0.3">
      <c r="D35">
        <v>15</v>
      </c>
      <c r="E35">
        <v>351585882.02221012</v>
      </c>
    </row>
    <row r="36" spans="4:5" x14ac:dyDescent="0.3">
      <c r="D36">
        <v>16</v>
      </c>
      <c r="E36">
        <v>369471832.26599205</v>
      </c>
    </row>
    <row r="37" spans="4:5" x14ac:dyDescent="0.3">
      <c r="D37">
        <v>17</v>
      </c>
      <c r="E37">
        <v>355884335.47229707</v>
      </c>
    </row>
    <row r="38" spans="4:5" x14ac:dyDescent="0.3">
      <c r="D38">
        <v>18</v>
      </c>
      <c r="E38">
        <v>391329896.60569578</v>
      </c>
    </row>
    <row r="39" spans="4:5" x14ac:dyDescent="0.3">
      <c r="D39">
        <v>19</v>
      </c>
      <c r="E39">
        <v>335889196.16095233</v>
      </c>
    </row>
    <row r="40" spans="4:5" x14ac:dyDescent="0.3">
      <c r="D40">
        <v>20</v>
      </c>
      <c r="E40">
        <v>356654550.00984442</v>
      </c>
    </row>
    <row r="41" spans="4:5" x14ac:dyDescent="0.3">
      <c r="D41">
        <v>21</v>
      </c>
      <c r="E41">
        <v>336336897.37033629</v>
      </c>
    </row>
    <row r="42" spans="4:5" x14ac:dyDescent="0.3">
      <c r="D42">
        <v>22</v>
      </c>
      <c r="E42">
        <v>347406569.25409746</v>
      </c>
    </row>
    <row r="43" spans="4:5" x14ac:dyDescent="0.3">
      <c r="D43">
        <v>23</v>
      </c>
      <c r="E43">
        <v>349000263.61468196</v>
      </c>
    </row>
    <row r="44" spans="4:5" x14ac:dyDescent="0.3">
      <c r="D44">
        <v>24</v>
      </c>
      <c r="E44">
        <v>265416370.63645881</v>
      </c>
    </row>
    <row r="45" spans="4:5" x14ac:dyDescent="0.3">
      <c r="D45">
        <v>25</v>
      </c>
      <c r="E45">
        <v>308089515.12825555</v>
      </c>
    </row>
    <row r="46" spans="4:5" x14ac:dyDescent="0.3">
      <c r="D46">
        <v>26</v>
      </c>
      <c r="E46">
        <v>313857043.31300038</v>
      </c>
    </row>
    <row r="47" spans="4:5" x14ac:dyDescent="0.3">
      <c r="D47">
        <v>27</v>
      </c>
      <c r="E47">
        <v>295950487.31523347</v>
      </c>
    </row>
    <row r="48" spans="4:5" x14ac:dyDescent="0.3">
      <c r="D48">
        <v>28</v>
      </c>
      <c r="E48">
        <v>343641306.68095148</v>
      </c>
    </row>
    <row r="49" spans="4:5" x14ac:dyDescent="0.3">
      <c r="D49">
        <v>29</v>
      </c>
      <c r="E49">
        <v>334122660.33351308</v>
      </c>
    </row>
    <row r="50" spans="4:5" x14ac:dyDescent="0.3">
      <c r="D50">
        <v>30</v>
      </c>
      <c r="E50">
        <v>359234690.45734602</v>
      </c>
    </row>
    <row r="51" spans="4:5" x14ac:dyDescent="0.3">
      <c r="D51">
        <v>31</v>
      </c>
      <c r="E51">
        <v>329292250.86572683</v>
      </c>
    </row>
    <row r="52" spans="4:5" x14ac:dyDescent="0.3">
      <c r="D52">
        <v>32</v>
      </c>
      <c r="E52">
        <v>317932898.31067419</v>
      </c>
    </row>
    <row r="53" spans="4:5" x14ac:dyDescent="0.3">
      <c r="D53">
        <v>33</v>
      </c>
      <c r="E53">
        <v>308980686.49104333</v>
      </c>
    </row>
    <row r="54" spans="4:5" x14ac:dyDescent="0.3">
      <c r="D54">
        <v>34</v>
      </c>
      <c r="E54">
        <v>326158121.57047909</v>
      </c>
    </row>
    <row r="55" spans="4:5" x14ac:dyDescent="0.3">
      <c r="D55">
        <v>35</v>
      </c>
      <c r="E55">
        <v>293742215.31080419</v>
      </c>
    </row>
    <row r="56" spans="4:5" x14ac:dyDescent="0.3">
      <c r="D56">
        <v>36</v>
      </c>
      <c r="E56">
        <v>306011833.53851521</v>
      </c>
    </row>
    <row r="57" spans="4:5" x14ac:dyDescent="0.3">
      <c r="D57">
        <v>37</v>
      </c>
      <c r="E57">
        <v>362679177.66482276</v>
      </c>
    </row>
    <row r="58" spans="4:5" x14ac:dyDescent="0.3">
      <c r="D58">
        <v>38</v>
      </c>
      <c r="E58">
        <v>279627438.47493154</v>
      </c>
    </row>
    <row r="59" spans="4:5" x14ac:dyDescent="0.3">
      <c r="D59">
        <v>39</v>
      </c>
      <c r="E59">
        <v>370970295.54446805</v>
      </c>
    </row>
    <row r="60" spans="4:5" x14ac:dyDescent="0.3">
      <c r="D60">
        <v>40</v>
      </c>
      <c r="E60">
        <v>327143596.84888852</v>
      </c>
    </row>
    <row r="61" spans="4:5" x14ac:dyDescent="0.3">
      <c r="D61">
        <v>41</v>
      </c>
      <c r="E61">
        <v>324478044.79090548</v>
      </c>
    </row>
    <row r="62" spans="4:5" x14ac:dyDescent="0.3">
      <c r="D62">
        <v>42</v>
      </c>
      <c r="E62">
        <v>293751335.87408727</v>
      </c>
    </row>
    <row r="63" spans="4:5" x14ac:dyDescent="0.3">
      <c r="D63">
        <v>43</v>
      </c>
      <c r="E63">
        <v>326245211.28533971</v>
      </c>
    </row>
    <row r="64" spans="4:5" x14ac:dyDescent="0.3">
      <c r="D64">
        <v>44</v>
      </c>
      <c r="E64">
        <v>351644641.29534936</v>
      </c>
    </row>
    <row r="65" spans="4:5" x14ac:dyDescent="0.3">
      <c r="D65">
        <v>45</v>
      </c>
      <c r="E65">
        <v>354118498.81291282</v>
      </c>
    </row>
    <row r="66" spans="4:5" x14ac:dyDescent="0.3">
      <c r="D66">
        <v>46</v>
      </c>
      <c r="E66">
        <v>364726339.44678664</v>
      </c>
    </row>
    <row r="67" spans="4:5" x14ac:dyDescent="0.3">
      <c r="D67">
        <v>47</v>
      </c>
      <c r="E67">
        <v>386899004.48834556</v>
      </c>
    </row>
    <row r="68" spans="4:5" x14ac:dyDescent="0.3">
      <c r="D68">
        <v>48</v>
      </c>
      <c r="E68">
        <v>305675051.08282638</v>
      </c>
    </row>
    <row r="69" spans="4:5" x14ac:dyDescent="0.3">
      <c r="D69">
        <v>49</v>
      </c>
      <c r="E69">
        <v>341641739.32328641</v>
      </c>
    </row>
    <row r="70" spans="4:5" x14ac:dyDescent="0.3">
      <c r="D70">
        <v>50</v>
      </c>
      <c r="E70">
        <v>367361159.04881513</v>
      </c>
    </row>
    <row r="71" spans="4:5" x14ac:dyDescent="0.3">
      <c r="D71">
        <v>51</v>
      </c>
      <c r="E71">
        <v>369279209.29288965</v>
      </c>
    </row>
    <row r="72" spans="4:5" x14ac:dyDescent="0.3">
      <c r="D72">
        <v>52</v>
      </c>
      <c r="E72">
        <v>303753552.27505863</v>
      </c>
    </row>
    <row r="73" spans="4:5" x14ac:dyDescent="0.3">
      <c r="D73">
        <v>53</v>
      </c>
      <c r="E73">
        <v>307169944.89867991</v>
      </c>
    </row>
    <row r="74" spans="4:5" x14ac:dyDescent="0.3">
      <c r="D74">
        <v>54</v>
      </c>
      <c r="E74">
        <v>376911389.74971223</v>
      </c>
    </row>
    <row r="75" spans="4:5" x14ac:dyDescent="0.3">
      <c r="D75">
        <v>55</v>
      </c>
      <c r="E75">
        <v>362975249.11065108</v>
      </c>
    </row>
    <row r="76" spans="4:5" x14ac:dyDescent="0.3">
      <c r="D76">
        <v>56</v>
      </c>
      <c r="E76">
        <v>378393283.94217861</v>
      </c>
    </row>
    <row r="77" spans="4:5" x14ac:dyDescent="0.3">
      <c r="D77">
        <v>57</v>
      </c>
      <c r="E77">
        <v>365831263.58959347</v>
      </c>
    </row>
    <row r="78" spans="4:5" x14ac:dyDescent="0.3">
      <c r="D78">
        <v>58</v>
      </c>
      <c r="E78">
        <v>337661014.12407386</v>
      </c>
    </row>
    <row r="79" spans="4:5" x14ac:dyDescent="0.3">
      <c r="D79">
        <v>59</v>
      </c>
      <c r="E79">
        <v>344888692.131428</v>
      </c>
    </row>
    <row r="80" spans="4:5" x14ac:dyDescent="0.3">
      <c r="D80">
        <v>60</v>
      </c>
      <c r="E80">
        <v>346899173.01058424</v>
      </c>
    </row>
    <row r="81" spans="4:5" x14ac:dyDescent="0.3">
      <c r="D81">
        <v>61</v>
      </c>
      <c r="E81">
        <v>338428342.24649656</v>
      </c>
    </row>
    <row r="82" spans="4:5" x14ac:dyDescent="0.3">
      <c r="D82">
        <v>62</v>
      </c>
      <c r="E82">
        <v>334385689.12074649</v>
      </c>
    </row>
    <row r="83" spans="4:5" x14ac:dyDescent="0.3">
      <c r="D83">
        <v>63</v>
      </c>
      <c r="E83">
        <v>342151149.65969849</v>
      </c>
    </row>
    <row r="84" spans="4:5" x14ac:dyDescent="0.3">
      <c r="D84">
        <v>64</v>
      </c>
      <c r="E84">
        <v>305690019.21633756</v>
      </c>
    </row>
    <row r="85" spans="4:5" x14ac:dyDescent="0.3">
      <c r="D85">
        <v>65</v>
      </c>
      <c r="E85">
        <v>329536304.79335487</v>
      </c>
    </row>
    <row r="86" spans="4:5" x14ac:dyDescent="0.3">
      <c r="D86">
        <v>66</v>
      </c>
      <c r="E86">
        <v>357056529.85506761</v>
      </c>
    </row>
    <row r="87" spans="4:5" x14ac:dyDescent="0.3">
      <c r="D87">
        <v>67</v>
      </c>
      <c r="E87">
        <v>359453129.4614175</v>
      </c>
    </row>
    <row r="88" spans="4:5" x14ac:dyDescent="0.3">
      <c r="D88">
        <v>68</v>
      </c>
      <c r="E88">
        <v>333543079.7375589</v>
      </c>
    </row>
    <row r="89" spans="4:5" x14ac:dyDescent="0.3">
      <c r="D89">
        <v>69</v>
      </c>
      <c r="E89">
        <v>342457183.61090529</v>
      </c>
    </row>
    <row r="90" spans="4:5" x14ac:dyDescent="0.3">
      <c r="D90">
        <v>70</v>
      </c>
      <c r="E90">
        <v>318020584.8775183</v>
      </c>
    </row>
    <row r="91" spans="4:5" x14ac:dyDescent="0.3">
      <c r="D91">
        <v>71</v>
      </c>
      <c r="E91">
        <v>338030961.0757848</v>
      </c>
    </row>
    <row r="92" spans="4:5" x14ac:dyDescent="0.3">
      <c r="D92">
        <v>72</v>
      </c>
      <c r="E92">
        <v>359035077.82988906</v>
      </c>
    </row>
    <row r="93" spans="4:5" x14ac:dyDescent="0.3">
      <c r="D93">
        <v>73</v>
      </c>
      <c r="E93">
        <v>337178823.91054225</v>
      </c>
    </row>
    <row r="94" spans="4:5" x14ac:dyDescent="0.3">
      <c r="D94">
        <v>74</v>
      </c>
      <c r="E94">
        <v>363580670.87833536</v>
      </c>
    </row>
    <row r="95" spans="4:5" x14ac:dyDescent="0.3">
      <c r="D95">
        <v>75</v>
      </c>
      <c r="E95">
        <v>369500897.74675286</v>
      </c>
    </row>
    <row r="96" spans="4:5" x14ac:dyDescent="0.3">
      <c r="D96">
        <v>76</v>
      </c>
      <c r="E96">
        <v>336048852.89658928</v>
      </c>
    </row>
    <row r="97" spans="4:5" x14ac:dyDescent="0.3">
      <c r="D97">
        <v>77</v>
      </c>
      <c r="E97">
        <v>298156889.63116413</v>
      </c>
    </row>
    <row r="98" spans="4:5" x14ac:dyDescent="0.3">
      <c r="D98">
        <v>78</v>
      </c>
      <c r="E98">
        <v>319822323.34985667</v>
      </c>
    </row>
    <row r="99" spans="4:5" x14ac:dyDescent="0.3">
      <c r="D99">
        <v>79</v>
      </c>
      <c r="E99">
        <v>321622755.79358101</v>
      </c>
    </row>
    <row r="100" spans="4:5" x14ac:dyDescent="0.3">
      <c r="D100">
        <v>80</v>
      </c>
      <c r="E100">
        <v>362131611.61811751</v>
      </c>
    </row>
    <row r="101" spans="4:5" x14ac:dyDescent="0.3">
      <c r="D101">
        <v>81</v>
      </c>
      <c r="E101">
        <v>319778320.81445724</v>
      </c>
    </row>
    <row r="102" spans="4:5" x14ac:dyDescent="0.3">
      <c r="D102">
        <v>82</v>
      </c>
      <c r="E102">
        <v>306188626.40811265</v>
      </c>
    </row>
    <row r="103" spans="4:5" x14ac:dyDescent="0.3">
      <c r="D103">
        <v>83</v>
      </c>
      <c r="E103">
        <v>335359652.24048233</v>
      </c>
    </row>
    <row r="104" spans="4:5" x14ac:dyDescent="0.3">
      <c r="D104">
        <v>84</v>
      </c>
      <c r="E104">
        <v>320009949.98051262</v>
      </c>
    </row>
    <row r="105" spans="4:5" x14ac:dyDescent="0.3">
      <c r="D105">
        <v>85</v>
      </c>
      <c r="E105">
        <v>286989355.48623192</v>
      </c>
    </row>
    <row r="106" spans="4:5" x14ac:dyDescent="0.3">
      <c r="D106">
        <v>86</v>
      </c>
      <c r="E106">
        <v>317925975.54955524</v>
      </c>
    </row>
    <row r="107" spans="4:5" x14ac:dyDescent="0.3">
      <c r="D107">
        <v>87</v>
      </c>
      <c r="E107">
        <v>332239386.22293961</v>
      </c>
    </row>
    <row r="108" spans="4:5" x14ac:dyDescent="0.3">
      <c r="D108">
        <v>88</v>
      </c>
      <c r="E108">
        <v>345027890.13195688</v>
      </c>
    </row>
    <row r="109" spans="4:5" x14ac:dyDescent="0.3">
      <c r="D109">
        <v>89</v>
      </c>
      <c r="E109">
        <v>325412421.36026496</v>
      </c>
    </row>
    <row r="110" spans="4:5" x14ac:dyDescent="0.3">
      <c r="D110">
        <v>90</v>
      </c>
      <c r="E110">
        <v>357098826.24828565</v>
      </c>
    </row>
    <row r="111" spans="4:5" x14ac:dyDescent="0.3">
      <c r="D111">
        <v>91</v>
      </c>
      <c r="E111">
        <v>345383638.53610843</v>
      </c>
    </row>
    <row r="112" spans="4:5" x14ac:dyDescent="0.3">
      <c r="D112">
        <v>92</v>
      </c>
      <c r="E112">
        <v>382932280.70328534</v>
      </c>
    </row>
    <row r="113" spans="4:5" x14ac:dyDescent="0.3">
      <c r="D113">
        <v>93</v>
      </c>
      <c r="E113">
        <v>363684990.05781412</v>
      </c>
    </row>
    <row r="114" spans="4:5" x14ac:dyDescent="0.3">
      <c r="D114">
        <v>94</v>
      </c>
      <c r="E114">
        <v>304605278.13355118</v>
      </c>
    </row>
    <row r="115" spans="4:5" x14ac:dyDescent="0.3">
      <c r="D115">
        <v>95</v>
      </c>
      <c r="E115">
        <v>289432456.79347527</v>
      </c>
    </row>
    <row r="116" spans="4:5" x14ac:dyDescent="0.3">
      <c r="D116">
        <v>96</v>
      </c>
      <c r="E116">
        <v>281008528.23465717</v>
      </c>
    </row>
    <row r="117" spans="4:5" x14ac:dyDescent="0.3">
      <c r="D117">
        <v>97</v>
      </c>
      <c r="E117">
        <v>338014934.36378682</v>
      </c>
    </row>
    <row r="118" spans="4:5" x14ac:dyDescent="0.3">
      <c r="D118">
        <v>98</v>
      </c>
      <c r="E118">
        <v>311817660.42882502</v>
      </c>
    </row>
    <row r="119" spans="4:5" x14ac:dyDescent="0.3">
      <c r="D119">
        <v>99</v>
      </c>
      <c r="E119">
        <v>305183824.82240701</v>
      </c>
    </row>
    <row r="120" spans="4:5" x14ac:dyDescent="0.3">
      <c r="D120">
        <v>100</v>
      </c>
      <c r="E120">
        <v>362030491.25235665</v>
      </c>
    </row>
    <row r="121" spans="4:5" x14ac:dyDescent="0.3">
      <c r="D121">
        <v>101</v>
      </c>
      <c r="E121">
        <v>345957558.77787471</v>
      </c>
    </row>
    <row r="122" spans="4:5" x14ac:dyDescent="0.3">
      <c r="D122">
        <v>102</v>
      </c>
      <c r="E122">
        <v>318304520.14823103</v>
      </c>
    </row>
    <row r="123" spans="4:5" x14ac:dyDescent="0.3">
      <c r="D123">
        <v>103</v>
      </c>
      <c r="E123">
        <v>377945709.16882074</v>
      </c>
    </row>
    <row r="124" spans="4:5" x14ac:dyDescent="0.3">
      <c r="D124">
        <v>104</v>
      </c>
      <c r="E124">
        <v>314008132.37593752</v>
      </c>
    </row>
    <row r="125" spans="4:5" x14ac:dyDescent="0.3">
      <c r="D125">
        <v>105</v>
      </c>
      <c r="E125">
        <v>334752987.85107678</v>
      </c>
    </row>
    <row r="126" spans="4:5" x14ac:dyDescent="0.3">
      <c r="D126">
        <v>106</v>
      </c>
      <c r="E126">
        <v>320844798.50822902</v>
      </c>
    </row>
    <row r="127" spans="4:5" x14ac:dyDescent="0.3">
      <c r="D127">
        <v>107</v>
      </c>
      <c r="E127">
        <v>303841875.84967625</v>
      </c>
    </row>
    <row r="128" spans="4:5" x14ac:dyDescent="0.3">
      <c r="D128">
        <v>108</v>
      </c>
      <c r="E128">
        <v>388386246.03910768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B9" sqref="B9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6" t="str">
        <f>MC_High_ambition!A4</f>
        <v>Random value income per cow (USD/yr)</v>
      </c>
      <c r="B4" s="21">
        <f ca="1">_xlfn.NORM.INV(RAND(),Mappings!N14,Mappings!O14)</f>
        <v>1478.2684808699819</v>
      </c>
      <c r="C4" s="21">
        <f ca="1">_xlfn.NORM.INV(RAND(),Mappings!N15,Mappings!O15)</f>
        <v>324.09101395931361</v>
      </c>
      <c r="D4" s="21">
        <f ca="1">_xlfn.NORM.INV(RAND(),Mappings!N16,Mappings!O16)</f>
        <v>1680.2359676745859</v>
      </c>
    </row>
    <row r="5" spans="1:8" x14ac:dyDescent="0.3">
      <c r="A5" s="116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6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6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6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2" customFormat="1" x14ac:dyDescent="0.3">
      <c r="A9" s="116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2" customFormat="1" x14ac:dyDescent="0.3">
      <c r="A10" s="116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92.405063059838355</v>
      </c>
      <c r="C10" s="21">
        <f ca="1">IF(C9&gt;0,_xlfn.NORM.INV(RAND(),C9,C9*Dairy_Income_Roadmap!L36),_xlfn.NORM.INV(RAND(),ABS(C9),ABS(C9)*Dairy_Income_Roadmap!L36))</f>
        <v>720.08189272285051</v>
      </c>
      <c r="D10" s="21">
        <f ca="1">IF(D9&gt;0,_xlfn.NORM.INV(RAND(),D9,D9*Dairy_Income_Roadmap!L38),_xlfn.NORM.INV(RAND(),ABS(D9),ABS(D9)*Dairy_Income_Roadmap!L38))</f>
        <v>849.49382977407549</v>
      </c>
    </row>
    <row r="11" spans="1:8" x14ac:dyDescent="0.3">
      <c r="A11" s="116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6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6"/>
      <c r="B13" s="21"/>
    </row>
    <row r="14" spans="1:8" x14ac:dyDescent="0.3">
      <c r="A14" s="116" t="str">
        <f>MC_High_ambition!A14</f>
        <v>Dairy Income (USD/household/year)</v>
      </c>
      <c r="B14" s="21">
        <f ca="1">B4*B6</f>
        <v>1277.7307606045676</v>
      </c>
      <c r="C14" s="21">
        <f ca="1">C4*C6</f>
        <v>957.35561770601112</v>
      </c>
      <c r="D14" s="21">
        <f ca="1">D4*D6</f>
        <v>2912.0964403420758</v>
      </c>
    </row>
    <row r="15" spans="1:8" x14ac:dyDescent="0.3">
      <c r="A15" s="116" t="str">
        <f>MC_High_ambition!A15</f>
        <v>Non dairy income (USD/household/year)</v>
      </c>
      <c r="B15" s="21">
        <f ca="1">B8-IF(B9&gt;0,B8-B10,B8+B10)</f>
        <v>92.405063059838312</v>
      </c>
      <c r="C15" s="21">
        <f t="shared" ref="C15:D15" ca="1" si="0">C8-IF(C9&gt;0,C8-C10,C8+C10)</f>
        <v>720.08189272285051</v>
      </c>
      <c r="D15" s="21">
        <f t="shared" ca="1" si="0"/>
        <v>849.49382977407549</v>
      </c>
    </row>
    <row r="16" spans="1:8" x14ac:dyDescent="0.3">
      <c r="A16" s="116" t="str">
        <f>MC_High_ambition!A16</f>
        <v>Quantity households</v>
      </c>
      <c r="B16" s="21">
        <f ca="1">_xlfn.NORM.INV(RAND(),B11,B12)</f>
        <v>1287.1873048754333</v>
      </c>
      <c r="C16" s="21">
        <f ca="1">_xlfn.NORM.INV(RAND(),C11,C12)</f>
        <v>61083.662034564368</v>
      </c>
      <c r="D16" s="21">
        <f t="shared" ref="D16" ca="1" si="1">_xlfn.NORM.INV(RAND(),D11,D12)</f>
        <v>82566.915463927944</v>
      </c>
    </row>
    <row r="17" spans="1:10" x14ac:dyDescent="0.3">
      <c r="A17" s="116"/>
    </row>
    <row r="18" spans="1:10" x14ac:dyDescent="0.3">
      <c r="A18" s="116" t="str">
        <f>MC_High_ambition!A18</f>
        <v>Estimated population income (USD/yr)</v>
      </c>
      <c r="B18" s="10">
        <f ca="1">(B14+B15)*B16</f>
        <v>1763621.4381758685</v>
      </c>
      <c r="C18" s="10">
        <f ca="1">(C14+C15)*C16</f>
        <v>102464025.97113761</v>
      </c>
      <c r="D18" s="10">
        <f ca="1">(D14+D15)*D16</f>
        <v>310582905.84261411</v>
      </c>
      <c r="F18">
        <f ca="1">B18+C18+D18</f>
        <v>414810553.25192761</v>
      </c>
    </row>
    <row r="19" spans="1:10" x14ac:dyDescent="0.3">
      <c r="A19" s="116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33131539.598040007</v>
      </c>
    </row>
    <row r="20" spans="1:10" x14ac:dyDescent="0.3">
      <c r="A20" s="116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376511876.69130921</v>
      </c>
      <c r="G20" s="4"/>
      <c r="H20" s="129" t="s">
        <v>52</v>
      </c>
      <c r="I20" s="46">
        <f ca="1">100*F19/F20</f>
        <v>8.7996001319245405</v>
      </c>
    </row>
    <row r="21" spans="1:10" x14ac:dyDescent="0.3">
      <c r="F21" s="4"/>
      <c r="G21" s="4"/>
      <c r="H21" s="129"/>
    </row>
    <row r="22" spans="1:10" x14ac:dyDescent="0.3">
      <c r="B22" s="4"/>
      <c r="E22">
        <v>1</v>
      </c>
      <c r="F22" s="35">
        <f ca="1">F18</f>
        <v>414810553.25192761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350637847.59075862</v>
      </c>
      <c r="G23" s="4"/>
      <c r="H23" s="4"/>
      <c r="I23" s="128"/>
    </row>
    <row r="24" spans="1:10" x14ac:dyDescent="0.3">
      <c r="E24">
        <v>3</v>
      </c>
      <c r="F24" s="35">
        <v>339792606.76754409</v>
      </c>
      <c r="G24" s="4"/>
      <c r="H24" s="4"/>
      <c r="I24" s="128"/>
      <c r="J24" s="46"/>
    </row>
    <row r="25" spans="1:10" x14ac:dyDescent="0.3">
      <c r="E25">
        <v>4</v>
      </c>
      <c r="F25" s="35">
        <v>346893233.53058541</v>
      </c>
      <c r="G25" s="4"/>
      <c r="H25" s="4"/>
    </row>
    <row r="26" spans="1:10" x14ac:dyDescent="0.3">
      <c r="E26">
        <v>5</v>
      </c>
      <c r="F26" s="35">
        <v>373738946.06663418</v>
      </c>
      <c r="G26" s="4"/>
      <c r="H26" s="4"/>
    </row>
    <row r="27" spans="1:10" x14ac:dyDescent="0.3">
      <c r="E27">
        <v>6</v>
      </c>
      <c r="F27" s="35">
        <v>366597222.62878615</v>
      </c>
      <c r="G27" s="4"/>
      <c r="H27" s="4"/>
    </row>
    <row r="28" spans="1:10" x14ac:dyDescent="0.3">
      <c r="E28">
        <v>7</v>
      </c>
      <c r="F28" s="35">
        <v>387258092.31798601</v>
      </c>
      <c r="G28" s="4"/>
      <c r="H28" s="4"/>
    </row>
    <row r="29" spans="1:10" x14ac:dyDescent="0.3">
      <c r="E29">
        <v>8</v>
      </c>
      <c r="F29" s="35">
        <v>313014136.09952354</v>
      </c>
      <c r="G29" s="4"/>
      <c r="H29" s="4"/>
    </row>
    <row r="30" spans="1:10" x14ac:dyDescent="0.3">
      <c r="E30">
        <v>9</v>
      </c>
      <c r="F30" s="35">
        <v>391164873.79668891</v>
      </c>
      <c r="G30" s="4"/>
      <c r="H30" s="4"/>
    </row>
    <row r="31" spans="1:10" x14ac:dyDescent="0.3">
      <c r="E31">
        <v>10</v>
      </c>
      <c r="F31" s="35">
        <v>379292611.77885002</v>
      </c>
      <c r="G31" s="4"/>
      <c r="H31" s="4"/>
    </row>
    <row r="32" spans="1:10" x14ac:dyDescent="0.3">
      <c r="E32">
        <v>11</v>
      </c>
      <c r="F32" s="35">
        <v>396862214.39075583</v>
      </c>
      <c r="G32" s="4"/>
      <c r="H32" s="4"/>
    </row>
    <row r="33" spans="5:8" x14ac:dyDescent="0.3">
      <c r="E33">
        <v>12</v>
      </c>
      <c r="F33" s="35">
        <v>393846460.77416539</v>
      </c>
      <c r="G33" s="4"/>
      <c r="H33" s="4"/>
    </row>
    <row r="34" spans="5:8" x14ac:dyDescent="0.3">
      <c r="E34">
        <v>13</v>
      </c>
      <c r="F34" s="35">
        <v>376201125.22468853</v>
      </c>
      <c r="G34" s="4"/>
      <c r="H34" s="4"/>
    </row>
    <row r="35" spans="5:8" x14ac:dyDescent="0.3">
      <c r="E35">
        <v>14</v>
      </c>
      <c r="F35" s="35">
        <v>448096444.87123132</v>
      </c>
      <c r="G35" s="4"/>
      <c r="H35" s="4"/>
    </row>
    <row r="36" spans="5:8" x14ac:dyDescent="0.3">
      <c r="E36">
        <v>15</v>
      </c>
      <c r="F36" s="35">
        <v>412483574.56056821</v>
      </c>
      <c r="G36" s="4"/>
      <c r="H36" s="4"/>
    </row>
    <row r="37" spans="5:8" x14ac:dyDescent="0.3">
      <c r="E37">
        <v>16</v>
      </c>
      <c r="F37" s="35">
        <v>372370610.88106024</v>
      </c>
      <c r="G37" s="4"/>
      <c r="H37" s="4"/>
    </row>
    <row r="38" spans="5:8" x14ac:dyDescent="0.3">
      <c r="E38">
        <v>17</v>
      </c>
      <c r="F38" s="35">
        <v>385746296.51037914</v>
      </c>
      <c r="G38" s="4"/>
      <c r="H38" s="4"/>
    </row>
    <row r="39" spans="5:8" x14ac:dyDescent="0.3">
      <c r="E39">
        <v>18</v>
      </c>
      <c r="F39" s="35">
        <v>363310868.56996554</v>
      </c>
      <c r="G39" s="4"/>
      <c r="H39" s="4"/>
    </row>
    <row r="40" spans="5:8" x14ac:dyDescent="0.3">
      <c r="E40">
        <v>19</v>
      </c>
      <c r="F40" s="35">
        <v>374547527.59807599</v>
      </c>
      <c r="G40" s="4"/>
      <c r="H40" s="4"/>
    </row>
    <row r="41" spans="5:8" x14ac:dyDescent="0.3">
      <c r="E41">
        <v>20</v>
      </c>
      <c r="F41" s="35">
        <v>384037003.16268021</v>
      </c>
      <c r="G41" s="4"/>
      <c r="H41" s="4"/>
    </row>
    <row r="42" spans="5:8" x14ac:dyDescent="0.3">
      <c r="E42">
        <v>21</v>
      </c>
      <c r="F42" s="35">
        <v>415516364.47009921</v>
      </c>
      <c r="G42" s="4"/>
      <c r="H42" s="4"/>
    </row>
    <row r="43" spans="5:8" x14ac:dyDescent="0.3">
      <c r="E43">
        <v>22</v>
      </c>
      <c r="F43" s="35">
        <v>419382307.08176768</v>
      </c>
      <c r="G43" s="4"/>
      <c r="H43" s="4"/>
    </row>
    <row r="44" spans="5:8" x14ac:dyDescent="0.3">
      <c r="E44">
        <v>23</v>
      </c>
      <c r="F44" s="35">
        <v>417132216.81307161</v>
      </c>
      <c r="G44" s="4"/>
      <c r="H44" s="4"/>
    </row>
    <row r="45" spans="5:8" x14ac:dyDescent="0.3">
      <c r="E45">
        <v>24</v>
      </c>
      <c r="F45" s="35">
        <v>375202004.5131247</v>
      </c>
      <c r="G45" s="4"/>
      <c r="H45" s="4"/>
    </row>
    <row r="46" spans="5:8" x14ac:dyDescent="0.3">
      <c r="E46">
        <v>25</v>
      </c>
      <c r="F46" s="35">
        <v>350825458.13893348</v>
      </c>
      <c r="G46" s="4"/>
      <c r="H46" s="4"/>
    </row>
    <row r="47" spans="5:8" x14ac:dyDescent="0.3">
      <c r="E47">
        <v>26</v>
      </c>
      <c r="F47" s="35">
        <v>377352019.73905957</v>
      </c>
      <c r="G47" s="4"/>
      <c r="H47" s="4"/>
    </row>
    <row r="48" spans="5:8" x14ac:dyDescent="0.3">
      <c r="E48">
        <v>27</v>
      </c>
      <c r="F48" s="35">
        <v>367854446.53026038</v>
      </c>
      <c r="G48" s="4"/>
      <c r="H48" s="4"/>
    </row>
    <row r="49" spans="5:8" x14ac:dyDescent="0.3">
      <c r="E49">
        <v>28</v>
      </c>
      <c r="F49" s="35">
        <v>386071007.17158622</v>
      </c>
      <c r="G49" s="4"/>
      <c r="H49" s="4"/>
    </row>
    <row r="50" spans="5:8" x14ac:dyDescent="0.3">
      <c r="E50">
        <v>29</v>
      </c>
      <c r="F50" s="35">
        <v>412755320.71096987</v>
      </c>
      <c r="G50" s="4"/>
      <c r="H50" s="4"/>
    </row>
    <row r="51" spans="5:8" x14ac:dyDescent="0.3">
      <c r="E51">
        <v>30</v>
      </c>
      <c r="F51" s="35">
        <v>380013279.62631363</v>
      </c>
      <c r="G51" s="4"/>
      <c r="H51" s="4"/>
    </row>
    <row r="52" spans="5:8" x14ac:dyDescent="0.3">
      <c r="E52">
        <v>31</v>
      </c>
      <c r="F52" s="35">
        <v>399026542.00975305</v>
      </c>
      <c r="G52" s="4"/>
      <c r="H52" s="4"/>
    </row>
    <row r="53" spans="5:8" x14ac:dyDescent="0.3">
      <c r="E53">
        <v>32</v>
      </c>
      <c r="F53" s="35">
        <v>348981535.14665586</v>
      </c>
      <c r="G53" s="4"/>
      <c r="H53" s="4"/>
    </row>
    <row r="54" spans="5:8" x14ac:dyDescent="0.3">
      <c r="E54">
        <v>33</v>
      </c>
      <c r="F54" s="35">
        <v>319808902.74531287</v>
      </c>
      <c r="G54" s="4"/>
      <c r="H54" s="4"/>
    </row>
    <row r="55" spans="5:8" x14ac:dyDescent="0.3">
      <c r="E55">
        <v>34</v>
      </c>
      <c r="F55" s="35">
        <v>370138392.54688966</v>
      </c>
      <c r="G55" s="4"/>
      <c r="H55" s="4"/>
    </row>
    <row r="56" spans="5:8" x14ac:dyDescent="0.3">
      <c r="E56">
        <v>35</v>
      </c>
      <c r="F56" s="35">
        <v>346605241.40659082</v>
      </c>
      <c r="G56" s="4"/>
      <c r="H56" s="4"/>
    </row>
    <row r="57" spans="5:8" x14ac:dyDescent="0.3">
      <c r="E57">
        <v>36</v>
      </c>
      <c r="F57" s="35">
        <v>290494218.34327078</v>
      </c>
      <c r="G57" s="4"/>
      <c r="H57" s="4"/>
    </row>
    <row r="58" spans="5:8" x14ac:dyDescent="0.3">
      <c r="E58">
        <v>37</v>
      </c>
      <c r="F58" s="35">
        <v>382570108.02357054</v>
      </c>
      <c r="G58" s="4"/>
      <c r="H58" s="4"/>
    </row>
    <row r="59" spans="5:8" x14ac:dyDescent="0.3">
      <c r="E59">
        <v>38</v>
      </c>
      <c r="F59" s="35">
        <v>339686430.5977034</v>
      </c>
      <c r="G59" s="4"/>
      <c r="H59" s="4"/>
    </row>
    <row r="60" spans="5:8" x14ac:dyDescent="0.3">
      <c r="E60">
        <v>39</v>
      </c>
      <c r="F60" s="35">
        <v>311516185.62893987</v>
      </c>
      <c r="G60" s="4"/>
      <c r="H60" s="4"/>
    </row>
    <row r="61" spans="5:8" x14ac:dyDescent="0.3">
      <c r="E61">
        <v>40</v>
      </c>
      <c r="F61" s="35">
        <v>442534788.93576479</v>
      </c>
      <c r="G61" s="4"/>
      <c r="H61" s="4"/>
    </row>
    <row r="62" spans="5:8" x14ac:dyDescent="0.3">
      <c r="E62">
        <v>41</v>
      </c>
      <c r="F62" s="35">
        <v>347638656.78465402</v>
      </c>
      <c r="G62" s="4"/>
      <c r="H62" s="4"/>
    </row>
    <row r="63" spans="5:8" x14ac:dyDescent="0.3">
      <c r="E63">
        <v>42</v>
      </c>
      <c r="F63" s="35">
        <v>381305664.2272113</v>
      </c>
      <c r="G63" s="4"/>
      <c r="H63" s="4"/>
    </row>
    <row r="64" spans="5:8" x14ac:dyDescent="0.3">
      <c r="E64">
        <v>43</v>
      </c>
      <c r="F64" s="35">
        <v>420061103.26736152</v>
      </c>
      <c r="G64" s="4"/>
      <c r="H64" s="4"/>
    </row>
    <row r="65" spans="5:8" x14ac:dyDescent="0.3">
      <c r="E65">
        <v>44</v>
      </c>
      <c r="F65" s="35">
        <v>390493001.32515192</v>
      </c>
      <c r="G65" s="4"/>
      <c r="H65" s="4"/>
    </row>
    <row r="66" spans="5:8" x14ac:dyDescent="0.3">
      <c r="E66">
        <v>45</v>
      </c>
      <c r="F66" s="35">
        <v>317431997.4980377</v>
      </c>
      <c r="G66" s="4"/>
      <c r="H66" s="4"/>
    </row>
    <row r="67" spans="5:8" x14ac:dyDescent="0.3">
      <c r="E67">
        <v>46</v>
      </c>
      <c r="F67" s="35">
        <v>354145280.47800028</v>
      </c>
      <c r="G67" s="4"/>
      <c r="H67" s="4"/>
    </row>
    <row r="68" spans="5:8" x14ac:dyDescent="0.3">
      <c r="E68">
        <v>47</v>
      </c>
      <c r="F68" s="35">
        <v>390760953.33596015</v>
      </c>
      <c r="G68" s="4"/>
      <c r="H68" s="4"/>
    </row>
    <row r="69" spans="5:8" x14ac:dyDescent="0.3">
      <c r="E69">
        <v>48</v>
      </c>
      <c r="F69" s="35">
        <v>323401895.1963917</v>
      </c>
      <c r="G69" s="4"/>
      <c r="H69" s="4"/>
    </row>
    <row r="70" spans="5:8" x14ac:dyDescent="0.3">
      <c r="E70">
        <v>49</v>
      </c>
      <c r="F70" s="35">
        <v>425767642.37723815</v>
      </c>
      <c r="G70" s="4"/>
      <c r="H70" s="4"/>
    </row>
    <row r="71" spans="5:8" x14ac:dyDescent="0.3">
      <c r="E71">
        <v>50</v>
      </c>
      <c r="F71" s="35">
        <v>359372264.9149065</v>
      </c>
      <c r="G71" s="4"/>
      <c r="H71" s="4"/>
    </row>
    <row r="72" spans="5:8" x14ac:dyDescent="0.3">
      <c r="E72">
        <v>51</v>
      </c>
      <c r="F72" s="35">
        <v>359074343.03718132</v>
      </c>
      <c r="G72" s="4"/>
      <c r="H72" s="4"/>
    </row>
    <row r="73" spans="5:8" x14ac:dyDescent="0.3">
      <c r="E73">
        <v>52</v>
      </c>
      <c r="F73" s="35">
        <v>391064381.74291372</v>
      </c>
      <c r="G73" s="4"/>
      <c r="H73" s="4"/>
    </row>
    <row r="74" spans="5:8" x14ac:dyDescent="0.3">
      <c r="E74">
        <v>53</v>
      </c>
      <c r="F74" s="35">
        <v>425861268.1095199</v>
      </c>
      <c r="G74" s="4"/>
      <c r="H74" s="4"/>
    </row>
    <row r="75" spans="5:8" x14ac:dyDescent="0.3">
      <c r="E75">
        <v>54</v>
      </c>
      <c r="F75" s="35">
        <v>354051933.04340231</v>
      </c>
      <c r="G75" s="4"/>
      <c r="H75" s="4"/>
    </row>
    <row r="76" spans="5:8" x14ac:dyDescent="0.3">
      <c r="E76">
        <v>55</v>
      </c>
      <c r="F76" s="35">
        <v>388848285.17980987</v>
      </c>
      <c r="G76" s="4"/>
      <c r="H76" s="4"/>
    </row>
    <row r="77" spans="5:8" x14ac:dyDescent="0.3">
      <c r="E77">
        <v>56</v>
      </c>
      <c r="F77" s="35">
        <v>331751953.15597075</v>
      </c>
      <c r="G77" s="4"/>
      <c r="H77" s="4"/>
    </row>
    <row r="78" spans="5:8" x14ac:dyDescent="0.3">
      <c r="E78">
        <v>57</v>
      </c>
      <c r="F78" s="35">
        <v>359700007.83450735</v>
      </c>
      <c r="G78" s="4"/>
      <c r="H78" s="4"/>
    </row>
    <row r="79" spans="5:8" x14ac:dyDescent="0.3">
      <c r="E79">
        <v>58</v>
      </c>
      <c r="F79" s="35">
        <v>381380948.07458413</v>
      </c>
      <c r="G79" s="4"/>
      <c r="H79" s="4"/>
    </row>
    <row r="80" spans="5:8" x14ac:dyDescent="0.3">
      <c r="E80">
        <v>59</v>
      </c>
      <c r="F80" s="35">
        <v>344683010.68607897</v>
      </c>
      <c r="G80" s="4"/>
      <c r="H80" s="4"/>
    </row>
    <row r="81" spans="5:8" x14ac:dyDescent="0.3">
      <c r="E81">
        <v>60</v>
      </c>
      <c r="F81" s="35">
        <v>366463168.55781287</v>
      </c>
      <c r="G81" s="4"/>
      <c r="H81" s="4"/>
    </row>
    <row r="82" spans="5:8" x14ac:dyDescent="0.3">
      <c r="E82">
        <v>61</v>
      </c>
      <c r="F82" s="35">
        <v>353869053.31717479</v>
      </c>
      <c r="G82" s="4"/>
      <c r="H82" s="4"/>
    </row>
    <row r="83" spans="5:8" x14ac:dyDescent="0.3">
      <c r="E83">
        <v>62</v>
      </c>
      <c r="F83" s="35">
        <v>397396465.42498136</v>
      </c>
      <c r="G83" s="4"/>
      <c r="H83" s="4"/>
    </row>
    <row r="84" spans="5:8" x14ac:dyDescent="0.3">
      <c r="E84">
        <v>63</v>
      </c>
      <c r="F84" s="35">
        <v>382981005.35497934</v>
      </c>
      <c r="G84" s="4"/>
      <c r="H84" s="4"/>
    </row>
    <row r="85" spans="5:8" x14ac:dyDescent="0.3">
      <c r="E85">
        <v>64</v>
      </c>
      <c r="F85" s="35">
        <v>441922631.57130265</v>
      </c>
      <c r="G85" s="4"/>
      <c r="H85" s="4"/>
    </row>
    <row r="86" spans="5:8" x14ac:dyDescent="0.3">
      <c r="E86">
        <v>65</v>
      </c>
      <c r="F86" s="35">
        <v>395662684.49107194</v>
      </c>
      <c r="G86" s="4"/>
      <c r="H86" s="4"/>
    </row>
    <row r="87" spans="5:8" x14ac:dyDescent="0.3">
      <c r="E87">
        <v>66</v>
      </c>
      <c r="F87" s="35">
        <v>414680513.80588269</v>
      </c>
      <c r="G87" s="4"/>
      <c r="H87" s="4"/>
    </row>
    <row r="88" spans="5:8" x14ac:dyDescent="0.3">
      <c r="E88">
        <v>67</v>
      </c>
      <c r="F88" s="35">
        <v>406168847.72611487</v>
      </c>
      <c r="G88" s="4"/>
      <c r="H88" s="4"/>
    </row>
    <row r="89" spans="5:8" x14ac:dyDescent="0.3">
      <c r="E89">
        <v>68</v>
      </c>
      <c r="F89" s="35">
        <v>412559319.6775347</v>
      </c>
      <c r="G89" s="4"/>
      <c r="H89" s="4"/>
    </row>
    <row r="90" spans="5:8" x14ac:dyDescent="0.3">
      <c r="E90">
        <v>69</v>
      </c>
      <c r="F90" s="35">
        <v>396808707.41768563</v>
      </c>
      <c r="G90" s="4"/>
      <c r="H90" s="4"/>
    </row>
    <row r="91" spans="5:8" x14ac:dyDescent="0.3">
      <c r="E91">
        <v>70</v>
      </c>
      <c r="F91" s="35">
        <v>340650570.6431796</v>
      </c>
      <c r="G91" s="4"/>
      <c r="H91" s="4"/>
    </row>
    <row r="92" spans="5:8" x14ac:dyDescent="0.3">
      <c r="E92">
        <v>71</v>
      </c>
      <c r="F92" s="35">
        <v>352770580.67281151</v>
      </c>
      <c r="G92" s="4"/>
      <c r="H92" s="4"/>
    </row>
    <row r="93" spans="5:8" x14ac:dyDescent="0.3">
      <c r="E93">
        <v>72</v>
      </c>
      <c r="F93" s="35">
        <v>319283500.86899424</v>
      </c>
      <c r="G93" s="4"/>
      <c r="H93" s="4"/>
    </row>
    <row r="94" spans="5:8" x14ac:dyDescent="0.3">
      <c r="E94">
        <v>73</v>
      </c>
      <c r="F94" s="35">
        <v>346222479.09161949</v>
      </c>
      <c r="G94" s="4"/>
      <c r="H94" s="4"/>
    </row>
    <row r="95" spans="5:8" x14ac:dyDescent="0.3">
      <c r="E95">
        <v>74</v>
      </c>
      <c r="F95" s="35">
        <v>354624286.57503951</v>
      </c>
      <c r="G95" s="4"/>
      <c r="H95" s="4"/>
    </row>
    <row r="96" spans="5:8" x14ac:dyDescent="0.3">
      <c r="E96">
        <v>75</v>
      </c>
      <c r="F96" s="35">
        <v>408393665.94500721</v>
      </c>
      <c r="G96" s="4"/>
      <c r="H96" s="4"/>
    </row>
    <row r="97" spans="5:8" x14ac:dyDescent="0.3">
      <c r="E97">
        <v>76</v>
      </c>
      <c r="F97" s="35">
        <v>403118902.3208558</v>
      </c>
      <c r="G97" s="4"/>
      <c r="H97" s="4"/>
    </row>
    <row r="98" spans="5:8" x14ac:dyDescent="0.3">
      <c r="E98">
        <v>77</v>
      </c>
      <c r="F98" s="35">
        <v>410715796.24790168</v>
      </c>
      <c r="G98" s="4"/>
      <c r="H98" s="4"/>
    </row>
    <row r="99" spans="5:8" x14ac:dyDescent="0.3">
      <c r="E99">
        <v>78</v>
      </c>
      <c r="F99" s="35">
        <v>357226660.36212313</v>
      </c>
      <c r="G99" s="4"/>
      <c r="H99" s="4"/>
    </row>
    <row r="100" spans="5:8" x14ac:dyDescent="0.3">
      <c r="E100">
        <v>79</v>
      </c>
      <c r="F100" s="35">
        <v>354431014.17741072</v>
      </c>
      <c r="G100" s="4"/>
      <c r="H100" s="4"/>
    </row>
    <row r="101" spans="5:8" x14ac:dyDescent="0.3">
      <c r="E101">
        <v>80</v>
      </c>
      <c r="F101" s="35">
        <v>429220974.48063505</v>
      </c>
      <c r="G101" s="4"/>
      <c r="H101" s="4"/>
    </row>
    <row r="102" spans="5:8" x14ac:dyDescent="0.3">
      <c r="E102">
        <v>81</v>
      </c>
      <c r="F102" s="35">
        <v>417110592.82754552</v>
      </c>
      <c r="G102" s="4"/>
      <c r="H102" s="4"/>
    </row>
    <row r="103" spans="5:8" x14ac:dyDescent="0.3">
      <c r="E103">
        <v>82</v>
      </c>
      <c r="F103" s="35">
        <v>356461441.97109497</v>
      </c>
      <c r="G103" s="4"/>
      <c r="H103" s="4"/>
    </row>
    <row r="104" spans="5:8" x14ac:dyDescent="0.3">
      <c r="E104">
        <v>83</v>
      </c>
      <c r="F104" s="35">
        <v>353192513.00049251</v>
      </c>
      <c r="G104" s="4"/>
      <c r="H104" s="4"/>
    </row>
    <row r="105" spans="5:8" x14ac:dyDescent="0.3">
      <c r="E105">
        <v>84</v>
      </c>
      <c r="F105" s="35">
        <v>387889255.5567286</v>
      </c>
      <c r="G105" s="4"/>
      <c r="H105" s="4"/>
    </row>
    <row r="106" spans="5:8" x14ac:dyDescent="0.3">
      <c r="E106">
        <v>85</v>
      </c>
      <c r="F106" s="35">
        <v>367479031.06371081</v>
      </c>
      <c r="G106" s="4"/>
      <c r="H106" s="4"/>
    </row>
    <row r="107" spans="5:8" x14ac:dyDescent="0.3">
      <c r="E107">
        <v>86</v>
      </c>
      <c r="F107" s="35">
        <v>360766439.45657289</v>
      </c>
      <c r="G107" s="4"/>
      <c r="H107" s="4"/>
    </row>
    <row r="108" spans="5:8" x14ac:dyDescent="0.3">
      <c r="E108">
        <v>87</v>
      </c>
      <c r="F108" s="35">
        <v>395134822.34964013</v>
      </c>
      <c r="G108" s="4"/>
      <c r="H108" s="4"/>
    </row>
    <row r="109" spans="5:8" x14ac:dyDescent="0.3">
      <c r="E109">
        <v>88</v>
      </c>
      <c r="F109" s="35">
        <v>412800181.81994689</v>
      </c>
      <c r="G109" s="4"/>
      <c r="H109" s="4"/>
    </row>
    <row r="110" spans="5:8" x14ac:dyDescent="0.3">
      <c r="E110">
        <v>89</v>
      </c>
      <c r="F110" s="35">
        <v>384356742.45589149</v>
      </c>
      <c r="G110" s="4"/>
      <c r="H110" s="4"/>
    </row>
    <row r="111" spans="5:8" x14ac:dyDescent="0.3">
      <c r="E111">
        <v>90</v>
      </c>
      <c r="F111" s="35">
        <v>342363536.90689141</v>
      </c>
      <c r="G111" s="4"/>
      <c r="H111" s="4"/>
    </row>
    <row r="112" spans="5:8" x14ac:dyDescent="0.3">
      <c r="E112">
        <v>91</v>
      </c>
      <c r="F112" s="35">
        <v>326392899.4606632</v>
      </c>
      <c r="G112" s="4"/>
      <c r="H112" s="4"/>
    </row>
    <row r="113" spans="5:8" x14ac:dyDescent="0.3">
      <c r="E113">
        <v>92</v>
      </c>
      <c r="F113" s="35">
        <v>361656930.38563532</v>
      </c>
      <c r="G113" s="4"/>
      <c r="H113" s="4"/>
    </row>
    <row r="114" spans="5:8" x14ac:dyDescent="0.3">
      <c r="E114">
        <v>93</v>
      </c>
      <c r="F114" s="35">
        <v>415010756.21030372</v>
      </c>
      <c r="G114" s="4"/>
      <c r="H114" s="4"/>
    </row>
    <row r="115" spans="5:8" x14ac:dyDescent="0.3">
      <c r="E115">
        <v>94</v>
      </c>
      <c r="F115" s="35">
        <v>421046851.73863631</v>
      </c>
      <c r="G115" s="4"/>
      <c r="H115" s="4"/>
    </row>
    <row r="116" spans="5:8" x14ac:dyDescent="0.3">
      <c r="E116">
        <v>95</v>
      </c>
      <c r="F116" s="35">
        <v>377905765.43295753</v>
      </c>
      <c r="G116" s="4"/>
      <c r="H116" s="4"/>
    </row>
    <row r="117" spans="5:8" x14ac:dyDescent="0.3">
      <c r="E117">
        <v>96</v>
      </c>
      <c r="F117" s="35">
        <v>382143505.96346778</v>
      </c>
      <c r="G117" s="4"/>
      <c r="H117" s="4"/>
    </row>
    <row r="118" spans="5:8" x14ac:dyDescent="0.3">
      <c r="E118">
        <v>97</v>
      </c>
      <c r="F118" s="35">
        <v>351196995.29709619</v>
      </c>
      <c r="G118" s="4"/>
      <c r="H118" s="4"/>
    </row>
    <row r="119" spans="5:8" x14ac:dyDescent="0.3">
      <c r="E119">
        <v>98</v>
      </c>
      <c r="F119" s="35">
        <v>411873681.08587956</v>
      </c>
      <c r="G119" s="4"/>
      <c r="H119" s="4"/>
    </row>
    <row r="120" spans="5:8" x14ac:dyDescent="0.3">
      <c r="E120">
        <v>99</v>
      </c>
      <c r="F120" s="35">
        <v>325438127.82590574</v>
      </c>
      <c r="G120" s="4"/>
      <c r="H120" s="4"/>
    </row>
    <row r="121" spans="5:8" x14ac:dyDescent="0.3">
      <c r="E121">
        <v>100</v>
      </c>
      <c r="F121" s="35">
        <v>365239161.67763567</v>
      </c>
      <c r="G121" s="4"/>
      <c r="H121" s="4"/>
    </row>
    <row r="122" spans="5:8" x14ac:dyDescent="0.3">
      <c r="E122">
        <v>101</v>
      </c>
      <c r="F122" s="35">
        <v>410047512.63630724</v>
      </c>
      <c r="G122" s="4"/>
      <c r="H122" s="4"/>
    </row>
    <row r="123" spans="5:8" x14ac:dyDescent="0.3">
      <c r="E123">
        <v>102</v>
      </c>
      <c r="F123" s="35">
        <v>432363854.42969632</v>
      </c>
      <c r="G123" s="4"/>
      <c r="H123" s="4"/>
    </row>
    <row r="124" spans="5:8" x14ac:dyDescent="0.3">
      <c r="E124">
        <v>103</v>
      </c>
      <c r="F124" s="35">
        <v>364144377.64287382</v>
      </c>
      <c r="G124" s="4"/>
      <c r="H124" s="4"/>
    </row>
    <row r="125" spans="5:8" x14ac:dyDescent="0.3">
      <c r="E125">
        <v>104</v>
      </c>
      <c r="F125" s="35">
        <v>325314418.42062038</v>
      </c>
      <c r="G125" s="4"/>
      <c r="H125" s="4"/>
    </row>
    <row r="126" spans="5:8" x14ac:dyDescent="0.3">
      <c r="E126">
        <v>105</v>
      </c>
      <c r="F126" s="35">
        <v>434430276.33908075</v>
      </c>
      <c r="G126" s="4"/>
      <c r="H126" s="4"/>
    </row>
    <row r="127" spans="5:8" x14ac:dyDescent="0.3">
      <c r="E127">
        <v>106</v>
      </c>
      <c r="F127" s="35">
        <v>364808186.50363874</v>
      </c>
      <c r="G127" s="4"/>
      <c r="H127" s="4"/>
    </row>
    <row r="128" spans="5:8" x14ac:dyDescent="0.3">
      <c r="E128">
        <v>107</v>
      </c>
      <c r="F128" s="35">
        <v>355399705.57003188</v>
      </c>
      <c r="G128" s="4"/>
      <c r="H128" s="4"/>
    </row>
    <row r="129" spans="5:8" x14ac:dyDescent="0.3">
      <c r="E129">
        <v>108</v>
      </c>
      <c r="F129" s="35">
        <v>345180679.0809505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A22" sqref="A22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1501.0409041301925</v>
      </c>
      <c r="C4" s="21">
        <f ca="1">_xlfn.NORM.INV(RAND(),Mappings!N11,Mappings!O11)</f>
        <v>355.72587039035625</v>
      </c>
      <c r="D4" s="21">
        <f ca="1">_xlfn.NORM.INV(RAND(),Mappings!N12,Mappings!O12)</f>
        <v>1645.2265728411294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2" customFormat="1" x14ac:dyDescent="0.3">
      <c r="A9" s="102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2" customFormat="1" x14ac:dyDescent="0.3">
      <c r="A10" s="102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86.683414043730096</v>
      </c>
      <c r="C10" s="21">
        <f ca="1">IF(C9&gt;0,_xlfn.NORM.INV(RAND(),C9,C9*Dairy_Income_Roadmap!L36),_xlfn.NORM.INV(RAND(),ABS(C9),ABS(C9)*Dairy_Income_Roadmap!L36))</f>
        <v>829.40513174425746</v>
      </c>
      <c r="D10" s="21">
        <f ca="1">IF(D9&gt;0,_xlfn.NORM.INV(RAND(),D9,D9*Dairy_Income_Roadmap!L38),_xlfn.NORM.INV(RAND(),ABS(D9),ABS(D9)*Dairy_Income_Roadmap!L38))</f>
        <v>403.07226621481436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846.71411262672291</v>
      </c>
      <c r="C14" s="21">
        <f ca="1">C4*C6</f>
        <v>888.7156775602474</v>
      </c>
      <c r="D14" s="21">
        <f ca="1">D4*D6</f>
        <v>2582.9954720709675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86.683414043730181</v>
      </c>
      <c r="C15" s="21">
        <f t="shared" ref="C15:D15" ca="1" si="0">C8-IF(C9&gt;0,C8-C10,C8+C10)</f>
        <v>829.40513174425746</v>
      </c>
      <c r="D15" s="21">
        <f t="shared" ca="1" si="0"/>
        <v>403.07226621481436</v>
      </c>
    </row>
    <row r="16" spans="1:8" x14ac:dyDescent="0.3">
      <c r="A16" t="str">
        <f>MC_High_ambition!A16</f>
        <v>Quantity households</v>
      </c>
      <c r="B16" s="21">
        <f ca="1">_xlfn.NORM.INV(RAND(),B11,B12)</f>
        <v>5559.6006600240926</v>
      </c>
      <c r="C16" s="21">
        <f ca="1">_xlfn.NORM.INV(RAND(),C11,C12)</f>
        <v>57692.820702300269</v>
      </c>
      <c r="D16" s="21">
        <f t="shared" ref="D16" ca="1" si="1">_xlfn.NORM.INV(RAND(),D11,D12)</f>
        <v>81636.983785104181</v>
      </c>
    </row>
    <row r="17" spans="1:9" x14ac:dyDescent="0.3">
      <c r="A17" s="116"/>
    </row>
    <row r="18" spans="1:9" x14ac:dyDescent="0.3">
      <c r="A18" s="116" t="str">
        <f>MC_High_ambition!A18</f>
        <v>Estimated population income (USD/yr)</v>
      </c>
      <c r="B18" s="10">
        <f ca="1">(B14+B15)*B16</f>
        <v>5189317.5053419061</v>
      </c>
      <c r="C18" s="10">
        <f ca="1">(C14+C15)*C16</f>
        <v>99123235.796095818</v>
      </c>
      <c r="D18" s="10">
        <f ca="1">(D14+D15)*D16</f>
        <v>243773563.5316591</v>
      </c>
      <c r="F18" s="4">
        <f ca="1">B18+C18+D18</f>
        <v>348086116.8330968</v>
      </c>
    </row>
    <row r="19" spans="1:9" x14ac:dyDescent="0.3">
      <c r="A19" s="116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26260997.860811841</v>
      </c>
      <c r="H19" s="128" t="s">
        <v>52</v>
      </c>
    </row>
    <row r="20" spans="1:9" x14ac:dyDescent="0.3">
      <c r="A20" s="116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329947640.90836573</v>
      </c>
      <c r="G20" s="4"/>
      <c r="H20" s="128"/>
      <c r="I20" s="46">
        <f ca="1">100*F19/F20</f>
        <v>7.9591409680983718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348086116.8330968</v>
      </c>
      <c r="G22" s="4"/>
      <c r="H22" s="4"/>
      <c r="I22" s="128"/>
    </row>
    <row r="23" spans="1:9" x14ac:dyDescent="0.3">
      <c r="E23">
        <v>2</v>
      </c>
      <c r="F23" s="35">
        <f t="dataTable" ref="F23:F129" dt2D="0" dtr="0" r1="F21" ca="1"/>
        <v>319644363.06640995</v>
      </c>
      <c r="G23" s="4"/>
      <c r="H23" s="4"/>
      <c r="I23" s="128"/>
    </row>
    <row r="24" spans="1:9" x14ac:dyDescent="0.3">
      <c r="E24">
        <v>3</v>
      </c>
      <c r="F24" s="35">
        <v>309776969.36433619</v>
      </c>
      <c r="G24" s="4"/>
      <c r="H24" s="4"/>
    </row>
    <row r="25" spans="1:9" x14ac:dyDescent="0.3">
      <c r="E25">
        <v>4</v>
      </c>
      <c r="F25" s="35">
        <v>385252729.03308094</v>
      </c>
      <c r="G25" s="4"/>
      <c r="H25" s="4"/>
    </row>
    <row r="26" spans="1:9" x14ac:dyDescent="0.3">
      <c r="E26">
        <v>5</v>
      </c>
      <c r="F26" s="35">
        <v>341141301.66085482</v>
      </c>
      <c r="G26" s="4"/>
      <c r="H26" s="4"/>
    </row>
    <row r="27" spans="1:9" x14ac:dyDescent="0.3">
      <c r="E27">
        <v>6</v>
      </c>
      <c r="F27" s="35">
        <v>331737143.08855736</v>
      </c>
      <c r="G27" s="4"/>
      <c r="H27" s="4"/>
    </row>
    <row r="28" spans="1:9" x14ac:dyDescent="0.3">
      <c r="E28">
        <v>7</v>
      </c>
      <c r="F28" s="35">
        <v>335553741.34203482</v>
      </c>
      <c r="G28" s="4"/>
      <c r="H28" s="4"/>
    </row>
    <row r="29" spans="1:9" x14ac:dyDescent="0.3">
      <c r="E29">
        <v>8</v>
      </c>
      <c r="F29" s="35">
        <v>320022627.04306901</v>
      </c>
      <c r="G29" s="4"/>
      <c r="H29" s="4"/>
    </row>
    <row r="30" spans="1:9" x14ac:dyDescent="0.3">
      <c r="E30">
        <v>9</v>
      </c>
      <c r="F30" s="35">
        <v>291646266.91158146</v>
      </c>
      <c r="G30" s="4"/>
      <c r="H30" s="4"/>
    </row>
    <row r="31" spans="1:9" x14ac:dyDescent="0.3">
      <c r="E31">
        <v>10</v>
      </c>
      <c r="F31" s="35">
        <v>278525167.23951113</v>
      </c>
      <c r="G31" s="4"/>
      <c r="H31" s="4"/>
    </row>
    <row r="32" spans="1:9" x14ac:dyDescent="0.3">
      <c r="E32">
        <v>11</v>
      </c>
      <c r="F32" s="35">
        <v>353829371.75426888</v>
      </c>
      <c r="G32" s="4"/>
      <c r="H32" s="4"/>
    </row>
    <row r="33" spans="5:8" x14ac:dyDescent="0.3">
      <c r="E33">
        <v>12</v>
      </c>
      <c r="F33" s="35">
        <v>359583013.11567223</v>
      </c>
      <c r="G33" s="4"/>
      <c r="H33" s="4"/>
    </row>
    <row r="34" spans="5:8" x14ac:dyDescent="0.3">
      <c r="E34">
        <v>13</v>
      </c>
      <c r="F34" s="35">
        <v>349131307.9212268</v>
      </c>
      <c r="G34" s="4"/>
      <c r="H34" s="4"/>
    </row>
    <row r="35" spans="5:8" x14ac:dyDescent="0.3">
      <c r="E35">
        <v>14</v>
      </c>
      <c r="F35" s="35">
        <v>332838407.8298257</v>
      </c>
      <c r="G35" s="4"/>
      <c r="H35" s="4"/>
    </row>
    <row r="36" spans="5:8" x14ac:dyDescent="0.3">
      <c r="E36">
        <v>15</v>
      </c>
      <c r="F36" s="35">
        <v>376223060.4387247</v>
      </c>
      <c r="G36" s="4"/>
      <c r="H36" s="4"/>
    </row>
    <row r="37" spans="5:8" x14ac:dyDescent="0.3">
      <c r="E37">
        <v>16</v>
      </c>
      <c r="F37" s="35">
        <v>350988533.72740066</v>
      </c>
      <c r="G37" s="4"/>
      <c r="H37" s="4"/>
    </row>
    <row r="38" spans="5:8" x14ac:dyDescent="0.3">
      <c r="E38">
        <v>17</v>
      </c>
      <c r="F38" s="35">
        <v>335421096.16829234</v>
      </c>
      <c r="G38" s="4"/>
      <c r="H38" s="4"/>
    </row>
    <row r="39" spans="5:8" x14ac:dyDescent="0.3">
      <c r="E39">
        <v>18</v>
      </c>
      <c r="F39" s="35">
        <v>351641080.3639825</v>
      </c>
      <c r="G39" s="4"/>
      <c r="H39" s="4"/>
    </row>
    <row r="40" spans="5:8" x14ac:dyDescent="0.3">
      <c r="E40">
        <v>19</v>
      </c>
      <c r="F40" s="35">
        <v>370438689.7316485</v>
      </c>
      <c r="G40" s="4"/>
      <c r="H40" s="4"/>
    </row>
    <row r="41" spans="5:8" x14ac:dyDescent="0.3">
      <c r="E41">
        <v>20</v>
      </c>
      <c r="F41" s="35">
        <v>332246857.08469999</v>
      </c>
      <c r="G41" s="4"/>
      <c r="H41" s="4"/>
    </row>
    <row r="42" spans="5:8" x14ac:dyDescent="0.3">
      <c r="E42">
        <v>21</v>
      </c>
      <c r="F42" s="35">
        <v>320086909.56433403</v>
      </c>
      <c r="G42" s="4"/>
      <c r="H42" s="4"/>
    </row>
    <row r="43" spans="5:8" x14ac:dyDescent="0.3">
      <c r="E43">
        <v>22</v>
      </c>
      <c r="F43" s="35">
        <v>328710927.21590209</v>
      </c>
      <c r="G43" s="4"/>
      <c r="H43" s="4"/>
    </row>
    <row r="44" spans="5:8" x14ac:dyDescent="0.3">
      <c r="E44">
        <v>23</v>
      </c>
      <c r="F44" s="35">
        <v>273903099.79663932</v>
      </c>
      <c r="G44" s="4"/>
      <c r="H44" s="4"/>
    </row>
    <row r="45" spans="5:8" x14ac:dyDescent="0.3">
      <c r="E45">
        <v>24</v>
      </c>
      <c r="F45" s="35">
        <v>333322885.50385112</v>
      </c>
      <c r="G45" s="4"/>
      <c r="H45" s="4"/>
    </row>
    <row r="46" spans="5:8" x14ac:dyDescent="0.3">
      <c r="E46">
        <v>25</v>
      </c>
      <c r="F46" s="35">
        <v>331587263.54101419</v>
      </c>
      <c r="G46" s="4"/>
      <c r="H46" s="4"/>
    </row>
    <row r="47" spans="5:8" x14ac:dyDescent="0.3">
      <c r="E47">
        <v>26</v>
      </c>
      <c r="F47" s="35">
        <v>315412097.97260553</v>
      </c>
      <c r="G47" s="4"/>
      <c r="H47" s="4"/>
    </row>
    <row r="48" spans="5:8" x14ac:dyDescent="0.3">
      <c r="E48">
        <v>27</v>
      </c>
      <c r="F48" s="35">
        <v>326796443.06103832</v>
      </c>
      <c r="G48" s="4"/>
      <c r="H48" s="4"/>
    </row>
    <row r="49" spans="5:8" x14ac:dyDescent="0.3">
      <c r="E49">
        <v>28</v>
      </c>
      <c r="F49" s="35">
        <v>322416096.13632298</v>
      </c>
      <c r="G49" s="4"/>
      <c r="H49" s="4"/>
    </row>
    <row r="50" spans="5:8" x14ac:dyDescent="0.3">
      <c r="E50">
        <v>29</v>
      </c>
      <c r="F50" s="35">
        <v>301115124.89221108</v>
      </c>
      <c r="G50" s="4"/>
      <c r="H50" s="4"/>
    </row>
    <row r="51" spans="5:8" x14ac:dyDescent="0.3">
      <c r="E51">
        <v>30</v>
      </c>
      <c r="F51" s="35">
        <v>292137871.74868798</v>
      </c>
      <c r="G51" s="4"/>
      <c r="H51" s="4"/>
    </row>
    <row r="52" spans="5:8" x14ac:dyDescent="0.3">
      <c r="E52">
        <v>31</v>
      </c>
      <c r="F52" s="35">
        <v>307496835.55449247</v>
      </c>
      <c r="G52" s="4"/>
      <c r="H52" s="4"/>
    </row>
    <row r="53" spans="5:8" x14ac:dyDescent="0.3">
      <c r="E53">
        <v>32</v>
      </c>
      <c r="F53" s="35">
        <v>330131235.27692831</v>
      </c>
      <c r="G53" s="4"/>
      <c r="H53" s="4"/>
    </row>
    <row r="54" spans="5:8" x14ac:dyDescent="0.3">
      <c r="E54">
        <v>33</v>
      </c>
      <c r="F54" s="35">
        <v>293869985.83391052</v>
      </c>
      <c r="G54" s="4"/>
      <c r="H54" s="4"/>
    </row>
    <row r="55" spans="5:8" x14ac:dyDescent="0.3">
      <c r="E55">
        <v>34</v>
      </c>
      <c r="F55" s="35">
        <v>259286215.12022322</v>
      </c>
      <c r="G55" s="4"/>
      <c r="H55" s="4"/>
    </row>
    <row r="56" spans="5:8" x14ac:dyDescent="0.3">
      <c r="E56">
        <v>35</v>
      </c>
      <c r="F56" s="35">
        <v>368011942.32531321</v>
      </c>
      <c r="G56" s="4"/>
      <c r="H56" s="4"/>
    </row>
    <row r="57" spans="5:8" x14ac:dyDescent="0.3">
      <c r="E57">
        <v>36</v>
      </c>
      <c r="F57" s="35">
        <v>321113048.29721284</v>
      </c>
      <c r="G57" s="4"/>
      <c r="H57" s="4"/>
    </row>
    <row r="58" spans="5:8" x14ac:dyDescent="0.3">
      <c r="E58">
        <v>37</v>
      </c>
      <c r="F58" s="35">
        <v>375736602.2320655</v>
      </c>
      <c r="G58" s="4"/>
      <c r="H58" s="4"/>
    </row>
    <row r="59" spans="5:8" x14ac:dyDescent="0.3">
      <c r="E59">
        <v>38</v>
      </c>
      <c r="F59" s="35">
        <v>333608918.95527828</v>
      </c>
      <c r="G59" s="4"/>
      <c r="H59" s="4"/>
    </row>
    <row r="60" spans="5:8" x14ac:dyDescent="0.3">
      <c r="E60">
        <v>39</v>
      </c>
      <c r="F60" s="35">
        <v>341822274.49946249</v>
      </c>
      <c r="G60" s="4"/>
      <c r="H60" s="4"/>
    </row>
    <row r="61" spans="5:8" x14ac:dyDescent="0.3">
      <c r="E61">
        <v>40</v>
      </c>
      <c r="F61" s="35">
        <v>340316702.680103</v>
      </c>
      <c r="G61" s="4"/>
      <c r="H61" s="4"/>
    </row>
    <row r="62" spans="5:8" x14ac:dyDescent="0.3">
      <c r="E62">
        <v>41</v>
      </c>
      <c r="F62" s="35">
        <v>322917690.84030008</v>
      </c>
      <c r="G62" s="4"/>
      <c r="H62" s="4"/>
    </row>
    <row r="63" spans="5:8" x14ac:dyDescent="0.3">
      <c r="E63">
        <v>42</v>
      </c>
      <c r="F63" s="35">
        <v>280658009.58606327</v>
      </c>
      <c r="G63" s="4"/>
      <c r="H63" s="4"/>
    </row>
    <row r="64" spans="5:8" x14ac:dyDescent="0.3">
      <c r="E64">
        <v>43</v>
      </c>
      <c r="F64" s="35">
        <v>332573060.10812575</v>
      </c>
      <c r="G64" s="4"/>
      <c r="H64" s="4"/>
    </row>
    <row r="65" spans="5:8" x14ac:dyDescent="0.3">
      <c r="E65">
        <v>44</v>
      </c>
      <c r="F65" s="35">
        <v>244674758.22982877</v>
      </c>
      <c r="G65" s="4"/>
      <c r="H65" s="4"/>
    </row>
    <row r="66" spans="5:8" x14ac:dyDescent="0.3">
      <c r="E66">
        <v>45</v>
      </c>
      <c r="F66" s="35">
        <v>312363826.96168023</v>
      </c>
      <c r="G66" s="4"/>
      <c r="H66" s="4"/>
    </row>
    <row r="67" spans="5:8" x14ac:dyDescent="0.3">
      <c r="E67">
        <v>46</v>
      </c>
      <c r="F67" s="35">
        <v>335184809.76841795</v>
      </c>
      <c r="G67" s="4"/>
      <c r="H67" s="4"/>
    </row>
    <row r="68" spans="5:8" x14ac:dyDescent="0.3">
      <c r="E68">
        <v>47</v>
      </c>
      <c r="F68" s="35">
        <v>337219407.55399323</v>
      </c>
      <c r="G68" s="4"/>
      <c r="H68" s="4"/>
    </row>
    <row r="69" spans="5:8" x14ac:dyDescent="0.3">
      <c r="E69">
        <v>48</v>
      </c>
      <c r="F69" s="35">
        <v>299261484.52424556</v>
      </c>
      <c r="G69" s="4"/>
      <c r="H69" s="4"/>
    </row>
    <row r="70" spans="5:8" x14ac:dyDescent="0.3">
      <c r="E70">
        <v>49</v>
      </c>
      <c r="F70" s="35">
        <v>344622295.18478185</v>
      </c>
      <c r="G70" s="4"/>
      <c r="H70" s="4"/>
    </row>
    <row r="71" spans="5:8" x14ac:dyDescent="0.3">
      <c r="E71">
        <v>50</v>
      </c>
      <c r="F71" s="35">
        <v>328109470.83606207</v>
      </c>
      <c r="G71" s="4"/>
      <c r="H71" s="4"/>
    </row>
    <row r="72" spans="5:8" x14ac:dyDescent="0.3">
      <c r="E72">
        <v>51</v>
      </c>
      <c r="F72" s="35">
        <v>337222851.61411333</v>
      </c>
      <c r="G72" s="4"/>
      <c r="H72" s="4"/>
    </row>
    <row r="73" spans="5:8" x14ac:dyDescent="0.3">
      <c r="E73">
        <v>52</v>
      </c>
      <c r="F73" s="35">
        <v>393647562.90167892</v>
      </c>
      <c r="G73" s="4"/>
      <c r="H73" s="4"/>
    </row>
    <row r="74" spans="5:8" x14ac:dyDescent="0.3">
      <c r="E74">
        <v>53</v>
      </c>
      <c r="F74" s="35">
        <v>340106128.31311691</v>
      </c>
      <c r="G74" s="4"/>
      <c r="H74" s="4"/>
    </row>
    <row r="75" spans="5:8" x14ac:dyDescent="0.3">
      <c r="E75">
        <v>54</v>
      </c>
      <c r="F75" s="35">
        <v>331457581.87695944</v>
      </c>
      <c r="G75" s="4"/>
      <c r="H75" s="4"/>
    </row>
    <row r="76" spans="5:8" x14ac:dyDescent="0.3">
      <c r="E76">
        <v>55</v>
      </c>
      <c r="F76" s="35">
        <v>374736038.71640182</v>
      </c>
      <c r="G76" s="4"/>
      <c r="H76" s="4"/>
    </row>
    <row r="77" spans="5:8" x14ac:dyDescent="0.3">
      <c r="E77">
        <v>56</v>
      </c>
      <c r="F77" s="35">
        <v>351436844.77950901</v>
      </c>
      <c r="G77" s="4"/>
      <c r="H77" s="4"/>
    </row>
    <row r="78" spans="5:8" x14ac:dyDescent="0.3">
      <c r="E78">
        <v>57</v>
      </c>
      <c r="F78" s="35">
        <v>322899010.27571172</v>
      </c>
      <c r="G78" s="4"/>
      <c r="H78" s="4"/>
    </row>
    <row r="79" spans="5:8" x14ac:dyDescent="0.3">
      <c r="E79">
        <v>58</v>
      </c>
      <c r="F79" s="35">
        <v>319298001.15722728</v>
      </c>
      <c r="G79" s="4"/>
      <c r="H79" s="4"/>
    </row>
    <row r="80" spans="5:8" x14ac:dyDescent="0.3">
      <c r="E80">
        <v>59</v>
      </c>
      <c r="F80" s="35">
        <v>290800146.12366617</v>
      </c>
      <c r="G80" s="4"/>
      <c r="H80" s="4"/>
    </row>
    <row r="81" spans="5:8" x14ac:dyDescent="0.3">
      <c r="E81">
        <v>60</v>
      </c>
      <c r="F81" s="35">
        <v>317400641.16749603</v>
      </c>
      <c r="G81" s="4"/>
      <c r="H81" s="4"/>
    </row>
    <row r="82" spans="5:8" x14ac:dyDescent="0.3">
      <c r="E82">
        <v>61</v>
      </c>
      <c r="F82" s="35">
        <v>350542268.54183042</v>
      </c>
      <c r="G82" s="4"/>
      <c r="H82" s="4"/>
    </row>
    <row r="83" spans="5:8" x14ac:dyDescent="0.3">
      <c r="E83">
        <v>62</v>
      </c>
      <c r="F83" s="35">
        <v>324959383.4171645</v>
      </c>
      <c r="G83" s="4"/>
      <c r="H83" s="4"/>
    </row>
    <row r="84" spans="5:8" x14ac:dyDescent="0.3">
      <c r="E84">
        <v>63</v>
      </c>
      <c r="F84" s="35">
        <v>338346157.63154972</v>
      </c>
      <c r="G84" s="4"/>
      <c r="H84" s="4"/>
    </row>
    <row r="85" spans="5:8" x14ac:dyDescent="0.3">
      <c r="E85">
        <v>64</v>
      </c>
      <c r="F85" s="35">
        <v>324490660.85788965</v>
      </c>
      <c r="G85" s="4"/>
      <c r="H85" s="4"/>
    </row>
    <row r="86" spans="5:8" x14ac:dyDescent="0.3">
      <c r="E86">
        <v>65</v>
      </c>
      <c r="F86" s="35">
        <v>340625783.51163393</v>
      </c>
      <c r="G86" s="4"/>
      <c r="H86" s="4"/>
    </row>
    <row r="87" spans="5:8" x14ac:dyDescent="0.3">
      <c r="E87">
        <v>66</v>
      </c>
      <c r="F87" s="35">
        <v>336296019.45577139</v>
      </c>
      <c r="G87" s="4"/>
      <c r="H87" s="4"/>
    </row>
    <row r="88" spans="5:8" x14ac:dyDescent="0.3">
      <c r="E88">
        <v>67</v>
      </c>
      <c r="F88" s="35">
        <v>274413925.56304777</v>
      </c>
      <c r="G88" s="4"/>
      <c r="H88" s="4"/>
    </row>
    <row r="89" spans="5:8" x14ac:dyDescent="0.3">
      <c r="E89">
        <v>68</v>
      </c>
      <c r="F89" s="35">
        <v>284840618.43111801</v>
      </c>
      <c r="G89" s="4"/>
      <c r="H89" s="4"/>
    </row>
    <row r="90" spans="5:8" x14ac:dyDescent="0.3">
      <c r="E90">
        <v>69</v>
      </c>
      <c r="F90" s="35">
        <v>348055079.60816997</v>
      </c>
      <c r="G90" s="4"/>
      <c r="H90" s="4"/>
    </row>
    <row r="91" spans="5:8" x14ac:dyDescent="0.3">
      <c r="E91">
        <v>70</v>
      </c>
      <c r="F91" s="35">
        <v>331280217.19265676</v>
      </c>
      <c r="G91" s="4"/>
      <c r="H91" s="4"/>
    </row>
    <row r="92" spans="5:8" x14ac:dyDescent="0.3">
      <c r="E92">
        <v>71</v>
      </c>
      <c r="F92" s="35">
        <v>323878474.97994256</v>
      </c>
      <c r="G92" s="4"/>
      <c r="H92" s="4"/>
    </row>
    <row r="93" spans="5:8" x14ac:dyDescent="0.3">
      <c r="E93">
        <v>72</v>
      </c>
      <c r="F93" s="35">
        <v>316097254.14709419</v>
      </c>
      <c r="G93" s="4"/>
      <c r="H93" s="4"/>
    </row>
    <row r="94" spans="5:8" x14ac:dyDescent="0.3">
      <c r="E94">
        <v>73</v>
      </c>
      <c r="F94" s="35">
        <v>353935779.96445519</v>
      </c>
      <c r="G94" s="4"/>
      <c r="H94" s="4"/>
    </row>
    <row r="95" spans="5:8" x14ac:dyDescent="0.3">
      <c r="E95">
        <v>74</v>
      </c>
      <c r="F95" s="35">
        <v>335239542.8206228</v>
      </c>
      <c r="G95" s="4"/>
      <c r="H95" s="4"/>
    </row>
    <row r="96" spans="5:8" x14ac:dyDescent="0.3">
      <c r="E96">
        <v>75</v>
      </c>
      <c r="F96" s="35">
        <v>326584005.12222552</v>
      </c>
      <c r="G96" s="4"/>
      <c r="H96" s="4"/>
    </row>
    <row r="97" spans="5:8" x14ac:dyDescent="0.3">
      <c r="E97">
        <v>76</v>
      </c>
      <c r="F97" s="35">
        <v>305709389.67210329</v>
      </c>
      <c r="G97" s="4"/>
      <c r="H97" s="4"/>
    </row>
    <row r="98" spans="5:8" x14ac:dyDescent="0.3">
      <c r="E98">
        <v>77</v>
      </c>
      <c r="F98" s="35">
        <v>360978820.36791456</v>
      </c>
      <c r="G98" s="4"/>
      <c r="H98" s="4"/>
    </row>
    <row r="99" spans="5:8" x14ac:dyDescent="0.3">
      <c r="E99">
        <v>78</v>
      </c>
      <c r="F99" s="35">
        <v>383369961.05961311</v>
      </c>
      <c r="G99" s="4"/>
      <c r="H99" s="4"/>
    </row>
    <row r="100" spans="5:8" x14ac:dyDescent="0.3">
      <c r="E100">
        <v>79</v>
      </c>
      <c r="F100" s="35">
        <v>357637035.81888515</v>
      </c>
      <c r="G100" s="4"/>
      <c r="H100" s="4"/>
    </row>
    <row r="101" spans="5:8" x14ac:dyDescent="0.3">
      <c r="E101">
        <v>80</v>
      </c>
      <c r="F101" s="35">
        <v>343063890.81147802</v>
      </c>
      <c r="G101" s="4"/>
      <c r="H101" s="4"/>
    </row>
    <row r="102" spans="5:8" x14ac:dyDescent="0.3">
      <c r="E102">
        <v>81</v>
      </c>
      <c r="F102" s="35">
        <v>313068481.53342748</v>
      </c>
      <c r="G102" s="4"/>
      <c r="H102" s="4"/>
    </row>
    <row r="103" spans="5:8" x14ac:dyDescent="0.3">
      <c r="E103">
        <v>82</v>
      </c>
      <c r="F103" s="35">
        <v>368083179.18480176</v>
      </c>
      <c r="G103" s="4"/>
      <c r="H103" s="4"/>
    </row>
    <row r="104" spans="5:8" x14ac:dyDescent="0.3">
      <c r="E104">
        <v>83</v>
      </c>
      <c r="F104" s="35">
        <v>361674811.25885201</v>
      </c>
      <c r="G104" s="4"/>
      <c r="H104" s="4"/>
    </row>
    <row r="105" spans="5:8" x14ac:dyDescent="0.3">
      <c r="E105">
        <v>84</v>
      </c>
      <c r="F105" s="35">
        <v>326180365.52116579</v>
      </c>
      <c r="G105" s="4"/>
      <c r="H105" s="4"/>
    </row>
    <row r="106" spans="5:8" x14ac:dyDescent="0.3">
      <c r="E106">
        <v>85</v>
      </c>
      <c r="F106" s="35">
        <v>347370210.76062453</v>
      </c>
      <c r="G106" s="4"/>
      <c r="H106" s="4"/>
    </row>
    <row r="107" spans="5:8" x14ac:dyDescent="0.3">
      <c r="E107">
        <v>86</v>
      </c>
      <c r="F107" s="35">
        <v>334710602.50078553</v>
      </c>
      <c r="G107" s="4"/>
      <c r="H107" s="4"/>
    </row>
    <row r="108" spans="5:8" x14ac:dyDescent="0.3">
      <c r="E108">
        <v>87</v>
      </c>
      <c r="F108" s="35">
        <v>274723756.51555806</v>
      </c>
      <c r="G108" s="4"/>
      <c r="H108" s="4"/>
    </row>
    <row r="109" spans="5:8" x14ac:dyDescent="0.3">
      <c r="E109">
        <v>88</v>
      </c>
      <c r="F109" s="35">
        <v>328006609.88885182</v>
      </c>
      <c r="G109" s="4"/>
      <c r="H109" s="4"/>
    </row>
    <row r="110" spans="5:8" x14ac:dyDescent="0.3">
      <c r="E110">
        <v>89</v>
      </c>
      <c r="F110" s="35">
        <v>309688236.45210469</v>
      </c>
      <c r="G110" s="4"/>
      <c r="H110" s="4"/>
    </row>
    <row r="111" spans="5:8" x14ac:dyDescent="0.3">
      <c r="E111">
        <v>90</v>
      </c>
      <c r="F111" s="35">
        <v>338107575.5802899</v>
      </c>
      <c r="G111" s="4"/>
      <c r="H111" s="4"/>
    </row>
    <row r="112" spans="5:8" x14ac:dyDescent="0.3">
      <c r="E112">
        <v>91</v>
      </c>
      <c r="F112" s="35">
        <v>325679395.44584543</v>
      </c>
      <c r="G112" s="4"/>
      <c r="H112" s="4"/>
    </row>
    <row r="113" spans="5:8" x14ac:dyDescent="0.3">
      <c r="E113">
        <v>92</v>
      </c>
      <c r="F113" s="35">
        <v>338323400.01325345</v>
      </c>
      <c r="G113" s="4"/>
      <c r="H113" s="4"/>
    </row>
    <row r="114" spans="5:8" x14ac:dyDescent="0.3">
      <c r="E114">
        <v>93</v>
      </c>
      <c r="F114" s="35">
        <v>353644475.08793986</v>
      </c>
      <c r="G114" s="4"/>
      <c r="H114" s="4"/>
    </row>
    <row r="115" spans="5:8" x14ac:dyDescent="0.3">
      <c r="E115">
        <v>94</v>
      </c>
      <c r="F115" s="35">
        <v>331905336.93339777</v>
      </c>
      <c r="G115" s="4"/>
      <c r="H115" s="4"/>
    </row>
    <row r="116" spans="5:8" x14ac:dyDescent="0.3">
      <c r="E116">
        <v>95</v>
      </c>
      <c r="F116" s="35">
        <v>363589715.23122048</v>
      </c>
      <c r="G116" s="4"/>
      <c r="H116" s="4"/>
    </row>
    <row r="117" spans="5:8" x14ac:dyDescent="0.3">
      <c r="E117">
        <v>96</v>
      </c>
      <c r="F117" s="35">
        <v>335347347.24018121</v>
      </c>
      <c r="G117" s="4"/>
      <c r="H117" s="4"/>
    </row>
    <row r="118" spans="5:8" x14ac:dyDescent="0.3">
      <c r="E118">
        <v>97</v>
      </c>
      <c r="F118" s="35">
        <v>308554339.45943987</v>
      </c>
      <c r="G118" s="4"/>
      <c r="H118" s="4"/>
    </row>
    <row r="119" spans="5:8" x14ac:dyDescent="0.3">
      <c r="E119">
        <v>98</v>
      </c>
      <c r="F119" s="35">
        <v>328793821.25781673</v>
      </c>
      <c r="G119" s="4"/>
      <c r="H119" s="4"/>
    </row>
    <row r="120" spans="5:8" x14ac:dyDescent="0.3">
      <c r="E120">
        <v>99</v>
      </c>
      <c r="F120" s="35">
        <v>326543770.47686994</v>
      </c>
      <c r="G120" s="4"/>
      <c r="H120" s="4"/>
    </row>
    <row r="121" spans="5:8" x14ac:dyDescent="0.3">
      <c r="E121">
        <v>100</v>
      </c>
      <c r="F121" s="35">
        <v>316877918.85017645</v>
      </c>
      <c r="G121" s="4"/>
      <c r="H121" s="4"/>
    </row>
    <row r="122" spans="5:8" x14ac:dyDescent="0.3">
      <c r="E122">
        <v>101</v>
      </c>
      <c r="F122" s="35">
        <v>328017279.43190181</v>
      </c>
      <c r="G122" s="4"/>
      <c r="H122" s="4"/>
    </row>
    <row r="123" spans="5:8" x14ac:dyDescent="0.3">
      <c r="E123">
        <v>102</v>
      </c>
      <c r="F123" s="35">
        <v>333167041.73207301</v>
      </c>
      <c r="G123" s="4"/>
      <c r="H123" s="4"/>
    </row>
    <row r="124" spans="5:8" x14ac:dyDescent="0.3">
      <c r="E124">
        <v>103</v>
      </c>
      <c r="F124" s="35">
        <v>349466918.34709722</v>
      </c>
      <c r="G124" s="4"/>
      <c r="H124" s="4"/>
    </row>
    <row r="125" spans="5:8" x14ac:dyDescent="0.3">
      <c r="E125">
        <v>104</v>
      </c>
      <c r="F125" s="35">
        <v>302862873.80555826</v>
      </c>
      <c r="G125" s="4"/>
      <c r="H125" s="4"/>
    </row>
    <row r="126" spans="5:8" x14ac:dyDescent="0.3">
      <c r="E126">
        <v>105</v>
      </c>
      <c r="F126" s="35">
        <v>321988175.35460895</v>
      </c>
      <c r="G126" s="4"/>
      <c r="H126" s="4"/>
    </row>
    <row r="127" spans="5:8" x14ac:dyDescent="0.3">
      <c r="E127">
        <v>106</v>
      </c>
      <c r="F127" s="35">
        <v>331696441.2329092</v>
      </c>
      <c r="G127" s="4"/>
      <c r="H127" s="4"/>
    </row>
    <row r="128" spans="5:8" x14ac:dyDescent="0.3">
      <c r="E128">
        <v>107</v>
      </c>
      <c r="F128" s="35">
        <v>334765705.01238537</v>
      </c>
      <c r="G128" s="4"/>
      <c r="H128" s="4"/>
    </row>
    <row r="129" spans="5:8" x14ac:dyDescent="0.3">
      <c r="E129">
        <v>108</v>
      </c>
      <c r="F129" s="35">
        <v>333963220.5739488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113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6" t="str">
        <f>MC_Baseline!A3</f>
        <v>Random value income per cow (USD/yr)</v>
      </c>
      <c r="B4" s="33">
        <f ca="1">_xlfn.NORM.INV(RAND(),Mappings!N6,Mappings!O6)</f>
        <v>1465.7794598358653</v>
      </c>
      <c r="C4" s="33">
        <f ca="1">_xlfn.NORM.INV(RAND(),Mappings!N7,Mappings!O7)</f>
        <v>370.20279452815657</v>
      </c>
      <c r="D4" s="33">
        <f ca="1">_xlfn.NORM.INV(RAND(),Mappings!N8,Mappings!O8)</f>
        <v>1763.562501219867</v>
      </c>
    </row>
    <row r="5" spans="1:8" x14ac:dyDescent="0.3">
      <c r="A5" s="116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6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6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6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2" customFormat="1" x14ac:dyDescent="0.3">
      <c r="A9" s="116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2" customFormat="1" x14ac:dyDescent="0.3">
      <c r="A10" s="116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86.163344288408297</v>
      </c>
      <c r="C10" s="33">
        <f ca="1">IF(C9&gt;0,_xlfn.NORM.INV(RAND(),C9,C9*Dairy_Income_Roadmap!L36),_xlfn.NORM.INV(RAND(),ABS(C9),ABS(C9)*Dairy_Income_Roadmap!L36))</f>
        <v>422.08138344568692</v>
      </c>
      <c r="D10" s="33">
        <f ca="1">IF(D9&gt;0,_xlfn.NORM.INV(RAND(),D9,D9*Dairy_Income_Roadmap!L38),_xlfn.NORM.INV(RAND(),ABS(D9),ABS(D9)*Dairy_Income_Roadmap!L38))</f>
        <v>414.93856260810185</v>
      </c>
    </row>
    <row r="11" spans="1:8" x14ac:dyDescent="0.3">
      <c r="A11" s="116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6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6"/>
      <c r="B13" s="33"/>
      <c r="C13" s="33"/>
      <c r="D13" s="33"/>
    </row>
    <row r="14" spans="1:8" x14ac:dyDescent="0.3">
      <c r="A14" s="116" t="str">
        <f>MC_Baseline!A13</f>
        <v>Dairy Income (USD/household/year)</v>
      </c>
      <c r="B14" s="33">
        <f ca="1">B4*B6</f>
        <v>790.17486647219584</v>
      </c>
      <c r="C14" s="33">
        <f ca="1">C4*C6</f>
        <v>850.53246966908455</v>
      </c>
      <c r="D14" s="33">
        <f ca="1">D4*D6</f>
        <v>2743.939609485652</v>
      </c>
    </row>
    <row r="15" spans="1:8" x14ac:dyDescent="0.3">
      <c r="A15" s="116" t="str">
        <f>MC_Baseline!A14</f>
        <v>Non dairy income (USD/household/year)</v>
      </c>
      <c r="B15" s="33">
        <f ca="1">B8-IF(B9&gt;0,B8-B10,B8+B10)</f>
        <v>86.163344288408325</v>
      </c>
      <c r="C15" s="33">
        <f t="shared" ref="C15:D15" ca="1" si="0">C8-IF(C9&gt;0,C8-C10,C8+C10)</f>
        <v>422.08138344568692</v>
      </c>
      <c r="D15" s="33">
        <f t="shared" ca="1" si="0"/>
        <v>414.93856260810185</v>
      </c>
    </row>
    <row r="16" spans="1:8" x14ac:dyDescent="0.3">
      <c r="A16" s="116" t="str">
        <f>MC_Baseline!A15</f>
        <v>Quantity households</v>
      </c>
      <c r="B16" s="33">
        <f ca="1">_xlfn.NORM.INV(RAND(),B11,B12)</f>
        <v>9698.9005848147044</v>
      </c>
      <c r="C16" s="33">
        <f ca="1">_xlfn.NORM.INV(RAND(),C11,C12)</f>
        <v>56814.564480464564</v>
      </c>
      <c r="D16" s="33">
        <f t="shared" ref="D16" ca="1" si="1">_xlfn.NORM.INV(RAND(),D11,D12)</f>
        <v>83547.423427808841</v>
      </c>
    </row>
    <row r="17" spans="1:9" x14ac:dyDescent="0.3">
      <c r="A17" s="116"/>
      <c r="B17" s="33"/>
      <c r="C17" s="33"/>
      <c r="D17" s="33"/>
    </row>
    <row r="18" spans="1:9" x14ac:dyDescent="0.3">
      <c r="A18" s="116" t="str">
        <f>MC_Baseline!A17</f>
        <v>Estimated population income (USD/yr)</v>
      </c>
      <c r="B18" s="42">
        <f ca="1">(B14+B15)*B16</f>
        <v>8499517.184841495</v>
      </c>
      <c r="C18" s="42">
        <f ca="1">(C14+C15)*C16</f>
        <v>72303001.816521645</v>
      </c>
      <c r="D18" s="42">
        <f ca="1">(D14+D15)*D16</f>
        <v>263916132.20077968</v>
      </c>
      <c r="F18" s="4">
        <f ca="1">B18+C18+D18</f>
        <v>344718651.20214283</v>
      </c>
      <c r="G18" s="4"/>
      <c r="H18" s="4"/>
    </row>
    <row r="19" spans="1:9" x14ac:dyDescent="0.3">
      <c r="A19" s="116" t="str">
        <f>MC_Baseline!A18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30886892.129684959</v>
      </c>
      <c r="H19" s="128" t="s">
        <v>52</v>
      </c>
    </row>
    <row r="20" spans="1:9" x14ac:dyDescent="0.3">
      <c r="A20" s="116" t="str">
        <f>MC_Baseline!A19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341824800.74807906</v>
      </c>
      <c r="G20" s="4"/>
      <c r="H20" s="128"/>
      <c r="I20" s="46">
        <f ca="1">100*F19/F20</f>
        <v>9.0358838978591969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344718651.20214283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439781367.15084797</v>
      </c>
      <c r="G23" s="4"/>
      <c r="H23" s="4"/>
    </row>
    <row r="24" spans="1:9" x14ac:dyDescent="0.3">
      <c r="E24">
        <v>3</v>
      </c>
      <c r="F24" s="35">
        <v>339461523.34568524</v>
      </c>
      <c r="G24" s="4"/>
      <c r="H24" s="4"/>
    </row>
    <row r="25" spans="1:9" x14ac:dyDescent="0.3">
      <c r="E25">
        <v>4</v>
      </c>
      <c r="F25" s="35">
        <v>321291868.13493317</v>
      </c>
      <c r="G25" s="4"/>
      <c r="H25" s="4"/>
    </row>
    <row r="26" spans="1:9" x14ac:dyDescent="0.3">
      <c r="E26">
        <v>5</v>
      </c>
      <c r="F26" s="35">
        <v>328940287.85250437</v>
      </c>
      <c r="G26" s="4"/>
      <c r="H26" s="4"/>
    </row>
    <row r="27" spans="1:9" x14ac:dyDescent="0.3">
      <c r="E27">
        <v>6</v>
      </c>
      <c r="F27" s="35">
        <v>326503769.3830626</v>
      </c>
      <c r="G27" s="4"/>
      <c r="H27" s="4"/>
    </row>
    <row r="28" spans="1:9" x14ac:dyDescent="0.3">
      <c r="E28">
        <v>7</v>
      </c>
      <c r="F28" s="35">
        <v>349179241.04160345</v>
      </c>
      <c r="G28" s="4"/>
      <c r="H28" s="4"/>
    </row>
    <row r="29" spans="1:9" x14ac:dyDescent="0.3">
      <c r="E29">
        <v>8</v>
      </c>
      <c r="F29" s="35">
        <v>316973105.11222994</v>
      </c>
      <c r="G29" s="4"/>
      <c r="H29" s="4"/>
    </row>
    <row r="30" spans="1:9" x14ac:dyDescent="0.3">
      <c r="E30">
        <v>9</v>
      </c>
      <c r="F30" s="35">
        <v>387066096.76737511</v>
      </c>
      <c r="G30" s="4"/>
      <c r="H30" s="4"/>
    </row>
    <row r="31" spans="1:9" x14ac:dyDescent="0.3">
      <c r="E31">
        <v>10</v>
      </c>
      <c r="F31" s="35">
        <v>370045454.43944705</v>
      </c>
      <c r="G31" s="4"/>
      <c r="H31" s="4"/>
    </row>
    <row r="32" spans="1:9" x14ac:dyDescent="0.3">
      <c r="E32">
        <v>11</v>
      </c>
      <c r="F32" s="35">
        <v>352675399.23079574</v>
      </c>
      <c r="G32" s="4"/>
      <c r="H32" s="4"/>
    </row>
    <row r="33" spans="5:8" x14ac:dyDescent="0.3">
      <c r="E33">
        <v>12</v>
      </c>
      <c r="F33" s="35">
        <v>332136797.93203175</v>
      </c>
      <c r="G33" s="4"/>
      <c r="H33" s="4"/>
    </row>
    <row r="34" spans="5:8" x14ac:dyDescent="0.3">
      <c r="E34">
        <v>13</v>
      </c>
      <c r="F34" s="35">
        <v>371711414.39851522</v>
      </c>
      <c r="G34" s="4"/>
      <c r="H34" s="4"/>
    </row>
    <row r="35" spans="5:8" x14ac:dyDescent="0.3">
      <c r="E35">
        <v>14</v>
      </c>
      <c r="F35" s="35">
        <v>296330552.66784906</v>
      </c>
      <c r="G35" s="4"/>
      <c r="H35" s="4"/>
    </row>
    <row r="36" spans="5:8" x14ac:dyDescent="0.3">
      <c r="E36">
        <v>15</v>
      </c>
      <c r="F36" s="35">
        <v>348121022.2465809</v>
      </c>
      <c r="G36" s="4"/>
      <c r="H36" s="4"/>
    </row>
    <row r="37" spans="5:8" x14ac:dyDescent="0.3">
      <c r="E37">
        <v>16</v>
      </c>
      <c r="F37" s="35">
        <v>295543846.05371976</v>
      </c>
      <c r="G37" s="4"/>
      <c r="H37" s="4"/>
    </row>
    <row r="38" spans="5:8" x14ac:dyDescent="0.3">
      <c r="E38">
        <v>17</v>
      </c>
      <c r="F38" s="35">
        <v>355257200.03697681</v>
      </c>
      <c r="G38" s="4"/>
      <c r="H38" s="4"/>
    </row>
    <row r="39" spans="5:8" x14ac:dyDescent="0.3">
      <c r="E39">
        <v>18</v>
      </c>
      <c r="F39" s="35">
        <v>350545266.25342232</v>
      </c>
      <c r="G39" s="4"/>
      <c r="H39" s="4"/>
    </row>
    <row r="40" spans="5:8" x14ac:dyDescent="0.3">
      <c r="E40">
        <v>19</v>
      </c>
      <c r="F40" s="35">
        <v>324135384.42810887</v>
      </c>
      <c r="G40" s="4"/>
      <c r="H40" s="4"/>
    </row>
    <row r="41" spans="5:8" x14ac:dyDescent="0.3">
      <c r="E41">
        <v>20</v>
      </c>
      <c r="F41" s="35">
        <v>365996085.37609708</v>
      </c>
      <c r="G41" s="4"/>
      <c r="H41" s="4"/>
    </row>
    <row r="42" spans="5:8" x14ac:dyDescent="0.3">
      <c r="E42">
        <v>21</v>
      </c>
      <c r="F42" s="35">
        <v>355765213.59920311</v>
      </c>
      <c r="G42" s="4"/>
      <c r="H42" s="4"/>
    </row>
    <row r="43" spans="5:8" x14ac:dyDescent="0.3">
      <c r="E43">
        <v>22</v>
      </c>
      <c r="F43" s="35">
        <v>340653546.14121085</v>
      </c>
      <c r="G43" s="4"/>
      <c r="H43" s="4"/>
    </row>
    <row r="44" spans="5:8" x14ac:dyDescent="0.3">
      <c r="E44">
        <v>23</v>
      </c>
      <c r="F44" s="35">
        <v>394420226.57677972</v>
      </c>
      <c r="G44" s="4"/>
      <c r="H44" s="4"/>
    </row>
    <row r="45" spans="5:8" x14ac:dyDescent="0.3">
      <c r="E45">
        <v>24</v>
      </c>
      <c r="F45" s="35">
        <v>327366412.96797419</v>
      </c>
      <c r="G45" s="4"/>
      <c r="H45" s="4"/>
    </row>
    <row r="46" spans="5:8" x14ac:dyDescent="0.3">
      <c r="E46">
        <v>25</v>
      </c>
      <c r="F46" s="35">
        <v>290491089.27071697</v>
      </c>
      <c r="G46" s="4"/>
      <c r="H46" s="4"/>
    </row>
    <row r="47" spans="5:8" x14ac:dyDescent="0.3">
      <c r="E47">
        <v>26</v>
      </c>
      <c r="F47" s="35">
        <v>284800113.83782482</v>
      </c>
      <c r="G47" s="4"/>
      <c r="H47" s="4"/>
    </row>
    <row r="48" spans="5:8" x14ac:dyDescent="0.3">
      <c r="E48">
        <v>27</v>
      </c>
      <c r="F48" s="35">
        <v>292904313.37095189</v>
      </c>
      <c r="G48" s="4"/>
      <c r="H48" s="4"/>
    </row>
    <row r="49" spans="5:8" x14ac:dyDescent="0.3">
      <c r="E49">
        <v>28</v>
      </c>
      <c r="F49" s="35">
        <v>364287988.29759908</v>
      </c>
      <c r="G49" s="4"/>
      <c r="H49" s="4"/>
    </row>
    <row r="50" spans="5:8" x14ac:dyDescent="0.3">
      <c r="E50">
        <v>29</v>
      </c>
      <c r="F50" s="35">
        <v>379862627.83725786</v>
      </c>
      <c r="G50" s="4"/>
      <c r="H50" s="4"/>
    </row>
    <row r="51" spans="5:8" x14ac:dyDescent="0.3">
      <c r="E51">
        <v>30</v>
      </c>
      <c r="F51" s="35">
        <v>345456056.01323628</v>
      </c>
      <c r="G51" s="4"/>
      <c r="H51" s="4"/>
    </row>
    <row r="52" spans="5:8" x14ac:dyDescent="0.3">
      <c r="E52">
        <v>31</v>
      </c>
      <c r="F52" s="35">
        <v>371781969.00504386</v>
      </c>
      <c r="G52" s="4"/>
      <c r="H52" s="4"/>
    </row>
    <row r="53" spans="5:8" x14ac:dyDescent="0.3">
      <c r="E53">
        <v>32</v>
      </c>
      <c r="F53" s="35">
        <v>383283064.20988411</v>
      </c>
      <c r="G53" s="4"/>
      <c r="H53" s="4"/>
    </row>
    <row r="54" spans="5:8" x14ac:dyDescent="0.3">
      <c r="E54">
        <v>33</v>
      </c>
      <c r="F54" s="35">
        <v>318834013.88541782</v>
      </c>
      <c r="G54" s="4"/>
      <c r="H54" s="4"/>
    </row>
    <row r="55" spans="5:8" x14ac:dyDescent="0.3">
      <c r="E55">
        <v>34</v>
      </c>
      <c r="F55" s="35">
        <v>341399943.68336296</v>
      </c>
      <c r="G55" s="4"/>
      <c r="H55" s="4"/>
    </row>
    <row r="56" spans="5:8" x14ac:dyDescent="0.3">
      <c r="E56">
        <v>35</v>
      </c>
      <c r="F56" s="35">
        <v>364283769.54274303</v>
      </c>
      <c r="G56" s="4"/>
      <c r="H56" s="4"/>
    </row>
    <row r="57" spans="5:8" x14ac:dyDescent="0.3">
      <c r="E57">
        <v>36</v>
      </c>
      <c r="F57" s="35">
        <v>384862105.54250562</v>
      </c>
      <c r="G57" s="4"/>
      <c r="H57" s="4"/>
    </row>
    <row r="58" spans="5:8" x14ac:dyDescent="0.3">
      <c r="E58">
        <v>37</v>
      </c>
      <c r="F58" s="35">
        <v>387534335.35486966</v>
      </c>
      <c r="G58" s="4"/>
      <c r="H58" s="4"/>
    </row>
    <row r="59" spans="5:8" x14ac:dyDescent="0.3">
      <c r="E59">
        <v>38</v>
      </c>
      <c r="F59" s="35">
        <v>377742615.76820874</v>
      </c>
      <c r="G59" s="4"/>
      <c r="H59" s="4"/>
    </row>
    <row r="60" spans="5:8" x14ac:dyDescent="0.3">
      <c r="E60">
        <v>39</v>
      </c>
      <c r="F60" s="35">
        <v>354064100.75306582</v>
      </c>
      <c r="G60" s="4"/>
      <c r="H60" s="4"/>
    </row>
    <row r="61" spans="5:8" x14ac:dyDescent="0.3">
      <c r="E61">
        <v>40</v>
      </c>
      <c r="F61" s="35">
        <v>372996733.17097342</v>
      </c>
      <c r="G61" s="4"/>
      <c r="H61" s="4"/>
    </row>
    <row r="62" spans="5:8" x14ac:dyDescent="0.3">
      <c r="E62">
        <v>41</v>
      </c>
      <c r="F62" s="35">
        <v>361762619.1241554</v>
      </c>
      <c r="G62" s="4"/>
      <c r="H62" s="4"/>
    </row>
    <row r="63" spans="5:8" x14ac:dyDescent="0.3">
      <c r="E63">
        <v>42</v>
      </c>
      <c r="F63" s="35">
        <v>334110956.77307039</v>
      </c>
      <c r="G63" s="4"/>
      <c r="H63" s="4"/>
    </row>
    <row r="64" spans="5:8" x14ac:dyDescent="0.3">
      <c r="E64">
        <v>43</v>
      </c>
      <c r="F64" s="35">
        <v>379933972.46491772</v>
      </c>
      <c r="G64" s="4"/>
      <c r="H64" s="4"/>
    </row>
    <row r="65" spans="5:8" x14ac:dyDescent="0.3">
      <c r="E65">
        <v>44</v>
      </c>
      <c r="F65" s="35">
        <v>316588848.21174753</v>
      </c>
      <c r="G65" s="4"/>
      <c r="H65" s="4"/>
    </row>
    <row r="66" spans="5:8" x14ac:dyDescent="0.3">
      <c r="E66">
        <v>45</v>
      </c>
      <c r="F66" s="35">
        <v>289000847.55053329</v>
      </c>
      <c r="G66" s="4"/>
      <c r="H66" s="4"/>
    </row>
    <row r="67" spans="5:8" x14ac:dyDescent="0.3">
      <c r="E67">
        <v>46</v>
      </c>
      <c r="F67" s="35">
        <v>312483506.56083488</v>
      </c>
      <c r="G67" s="4"/>
      <c r="H67" s="4"/>
    </row>
    <row r="68" spans="5:8" x14ac:dyDescent="0.3">
      <c r="E68">
        <v>47</v>
      </c>
      <c r="F68" s="35">
        <v>393812212.35335702</v>
      </c>
      <c r="G68" s="4"/>
      <c r="H68" s="4"/>
    </row>
    <row r="69" spans="5:8" x14ac:dyDescent="0.3">
      <c r="E69">
        <v>48</v>
      </c>
      <c r="F69" s="35">
        <v>337595270.41921324</v>
      </c>
      <c r="G69" s="4"/>
      <c r="H69" s="4"/>
    </row>
    <row r="70" spans="5:8" x14ac:dyDescent="0.3">
      <c r="E70">
        <v>49</v>
      </c>
      <c r="F70" s="35">
        <v>300145380.29806894</v>
      </c>
      <c r="G70" s="4"/>
      <c r="H70" s="4"/>
    </row>
    <row r="71" spans="5:8" x14ac:dyDescent="0.3">
      <c r="E71">
        <v>50</v>
      </c>
      <c r="F71" s="35">
        <v>336893598.65797591</v>
      </c>
      <c r="G71" s="4"/>
      <c r="H71" s="4"/>
    </row>
    <row r="72" spans="5:8" x14ac:dyDescent="0.3">
      <c r="E72">
        <v>51</v>
      </c>
      <c r="F72" s="35">
        <v>368390804.32165426</v>
      </c>
      <c r="G72" s="4"/>
      <c r="H72" s="4"/>
    </row>
    <row r="73" spans="5:8" x14ac:dyDescent="0.3">
      <c r="E73">
        <v>52</v>
      </c>
      <c r="F73" s="35">
        <v>357959519.58857894</v>
      </c>
      <c r="G73" s="4"/>
      <c r="H73" s="4"/>
    </row>
    <row r="74" spans="5:8" x14ac:dyDescent="0.3">
      <c r="E74">
        <v>53</v>
      </c>
      <c r="F74" s="35">
        <v>317467312.55197155</v>
      </c>
      <c r="G74" s="4"/>
      <c r="H74" s="4"/>
    </row>
    <row r="75" spans="5:8" x14ac:dyDescent="0.3">
      <c r="E75">
        <v>54</v>
      </c>
      <c r="F75" s="35">
        <v>307597090.78411853</v>
      </c>
      <c r="G75" s="4"/>
      <c r="H75" s="4"/>
    </row>
    <row r="76" spans="5:8" x14ac:dyDescent="0.3">
      <c r="E76">
        <v>55</v>
      </c>
      <c r="F76" s="35">
        <v>342209302.20427066</v>
      </c>
      <c r="G76" s="4"/>
      <c r="H76" s="4"/>
    </row>
    <row r="77" spans="5:8" x14ac:dyDescent="0.3">
      <c r="E77">
        <v>56</v>
      </c>
      <c r="F77" s="35">
        <v>330053353.07932663</v>
      </c>
      <c r="G77" s="4"/>
      <c r="H77" s="4"/>
    </row>
    <row r="78" spans="5:8" x14ac:dyDescent="0.3">
      <c r="E78">
        <v>57</v>
      </c>
      <c r="F78" s="35">
        <v>334652397.00286305</v>
      </c>
      <c r="G78" s="4"/>
      <c r="H78" s="4"/>
    </row>
    <row r="79" spans="5:8" x14ac:dyDescent="0.3">
      <c r="E79">
        <v>58</v>
      </c>
      <c r="F79" s="35">
        <v>316181749.55707777</v>
      </c>
      <c r="G79" s="4"/>
      <c r="H79" s="4"/>
    </row>
    <row r="80" spans="5:8" x14ac:dyDescent="0.3">
      <c r="E80">
        <v>59</v>
      </c>
      <c r="F80" s="35">
        <v>326795768.95932144</v>
      </c>
      <c r="G80" s="4"/>
      <c r="H80" s="4"/>
    </row>
    <row r="81" spans="5:8" x14ac:dyDescent="0.3">
      <c r="E81">
        <v>60</v>
      </c>
      <c r="F81" s="35">
        <v>297651947.90837336</v>
      </c>
      <c r="G81" s="4"/>
      <c r="H81" s="4"/>
    </row>
    <row r="82" spans="5:8" x14ac:dyDescent="0.3">
      <c r="E82">
        <v>61</v>
      </c>
      <c r="F82" s="35">
        <v>375970424.90255904</v>
      </c>
      <c r="G82" s="4"/>
      <c r="H82" s="4"/>
    </row>
    <row r="83" spans="5:8" x14ac:dyDescent="0.3">
      <c r="E83">
        <v>62</v>
      </c>
      <c r="F83" s="35">
        <v>357364489.77802753</v>
      </c>
      <c r="G83" s="4"/>
      <c r="H83" s="4"/>
    </row>
    <row r="84" spans="5:8" x14ac:dyDescent="0.3">
      <c r="E84">
        <v>63</v>
      </c>
      <c r="F84" s="35">
        <v>286585733.21352142</v>
      </c>
      <c r="G84" s="4"/>
      <c r="H84" s="4"/>
    </row>
    <row r="85" spans="5:8" x14ac:dyDescent="0.3">
      <c r="E85">
        <v>64</v>
      </c>
      <c r="F85" s="35">
        <v>369402711.7122938</v>
      </c>
      <c r="G85" s="4"/>
      <c r="H85" s="4"/>
    </row>
    <row r="86" spans="5:8" x14ac:dyDescent="0.3">
      <c r="E86">
        <v>65</v>
      </c>
      <c r="F86" s="35">
        <v>398951943.3912493</v>
      </c>
      <c r="G86" s="4"/>
      <c r="H86" s="4"/>
    </row>
    <row r="87" spans="5:8" x14ac:dyDescent="0.3">
      <c r="E87">
        <v>66</v>
      </c>
      <c r="F87" s="35">
        <v>346978655.80988991</v>
      </c>
      <c r="G87" s="4"/>
      <c r="H87" s="4"/>
    </row>
    <row r="88" spans="5:8" x14ac:dyDescent="0.3">
      <c r="E88">
        <v>67</v>
      </c>
      <c r="F88" s="35">
        <v>334526595.70687228</v>
      </c>
      <c r="G88" s="4"/>
      <c r="H88" s="4"/>
    </row>
    <row r="89" spans="5:8" x14ac:dyDescent="0.3">
      <c r="E89">
        <v>68</v>
      </c>
      <c r="F89" s="35">
        <v>337813204.46442336</v>
      </c>
      <c r="G89" s="4"/>
      <c r="H89" s="4"/>
    </row>
    <row r="90" spans="5:8" x14ac:dyDescent="0.3">
      <c r="E90">
        <v>69</v>
      </c>
      <c r="F90" s="35">
        <v>356420083.55687654</v>
      </c>
      <c r="G90" s="4"/>
      <c r="H90" s="4"/>
    </row>
    <row r="91" spans="5:8" x14ac:dyDescent="0.3">
      <c r="E91">
        <v>70</v>
      </c>
      <c r="F91" s="35">
        <v>319893058.21980935</v>
      </c>
      <c r="G91" s="4"/>
      <c r="H91" s="4"/>
    </row>
    <row r="92" spans="5:8" x14ac:dyDescent="0.3">
      <c r="E92">
        <v>71</v>
      </c>
      <c r="F92" s="35">
        <v>307804922.48048562</v>
      </c>
      <c r="G92" s="4"/>
      <c r="H92" s="4"/>
    </row>
    <row r="93" spans="5:8" x14ac:dyDescent="0.3">
      <c r="E93">
        <v>72</v>
      </c>
      <c r="F93" s="35">
        <v>333917815.68792695</v>
      </c>
      <c r="G93" s="4"/>
      <c r="H93" s="4"/>
    </row>
    <row r="94" spans="5:8" x14ac:dyDescent="0.3">
      <c r="E94">
        <v>73</v>
      </c>
      <c r="F94" s="35">
        <v>324625633.08706957</v>
      </c>
      <c r="G94" s="4"/>
      <c r="H94" s="4"/>
    </row>
    <row r="95" spans="5:8" x14ac:dyDescent="0.3">
      <c r="E95">
        <v>74</v>
      </c>
      <c r="F95" s="35">
        <v>314876455.02763212</v>
      </c>
      <c r="G95" s="4"/>
      <c r="H95" s="4"/>
    </row>
    <row r="96" spans="5:8" x14ac:dyDescent="0.3">
      <c r="E96">
        <v>75</v>
      </c>
      <c r="F96" s="35">
        <v>355134319.34223127</v>
      </c>
      <c r="G96" s="4"/>
      <c r="H96" s="4"/>
    </row>
    <row r="97" spans="5:8" x14ac:dyDescent="0.3">
      <c r="E97">
        <v>76</v>
      </c>
      <c r="F97" s="35">
        <v>335241356.93781877</v>
      </c>
      <c r="G97" s="4"/>
      <c r="H97" s="4"/>
    </row>
    <row r="98" spans="5:8" x14ac:dyDescent="0.3">
      <c r="E98">
        <v>77</v>
      </c>
      <c r="F98" s="35">
        <v>313617822.89817792</v>
      </c>
      <c r="G98" s="4"/>
      <c r="H98" s="4"/>
    </row>
    <row r="99" spans="5:8" x14ac:dyDescent="0.3">
      <c r="E99">
        <v>78</v>
      </c>
      <c r="F99" s="35">
        <v>353405850.5374732</v>
      </c>
      <c r="G99" s="4"/>
      <c r="H99" s="4"/>
    </row>
    <row r="100" spans="5:8" x14ac:dyDescent="0.3">
      <c r="E100">
        <v>79</v>
      </c>
      <c r="F100" s="35">
        <v>342591195.1614157</v>
      </c>
      <c r="G100" s="4"/>
      <c r="H100" s="4"/>
    </row>
    <row r="101" spans="5:8" x14ac:dyDescent="0.3">
      <c r="E101">
        <v>80</v>
      </c>
      <c r="F101" s="35">
        <v>340648569.69696939</v>
      </c>
      <c r="G101" s="4"/>
      <c r="H101" s="4"/>
    </row>
    <row r="102" spans="5:8" x14ac:dyDescent="0.3">
      <c r="E102">
        <v>81</v>
      </c>
      <c r="F102" s="35">
        <v>306648010.95364797</v>
      </c>
      <c r="G102" s="4"/>
      <c r="H102" s="4"/>
    </row>
    <row r="103" spans="5:8" x14ac:dyDescent="0.3">
      <c r="E103">
        <v>82</v>
      </c>
      <c r="F103" s="35">
        <v>343800525.85922158</v>
      </c>
      <c r="G103" s="4"/>
      <c r="H103" s="4"/>
    </row>
    <row r="104" spans="5:8" x14ac:dyDescent="0.3">
      <c r="E104">
        <v>83</v>
      </c>
      <c r="F104" s="35">
        <v>346640851.84638244</v>
      </c>
      <c r="G104" s="4"/>
      <c r="H104" s="4"/>
    </row>
    <row r="105" spans="5:8" x14ac:dyDescent="0.3">
      <c r="E105">
        <v>84</v>
      </c>
      <c r="F105" s="35">
        <v>336627792.91141975</v>
      </c>
      <c r="G105" s="4"/>
      <c r="H105" s="4"/>
    </row>
    <row r="106" spans="5:8" x14ac:dyDescent="0.3">
      <c r="E106">
        <v>85</v>
      </c>
      <c r="F106" s="35">
        <v>277725087.79657054</v>
      </c>
      <c r="G106" s="4"/>
      <c r="H106" s="4"/>
    </row>
    <row r="107" spans="5:8" x14ac:dyDescent="0.3">
      <c r="E107">
        <v>86</v>
      </c>
      <c r="F107" s="35">
        <v>385383186.97973001</v>
      </c>
      <c r="G107" s="4"/>
      <c r="H107" s="4"/>
    </row>
    <row r="108" spans="5:8" x14ac:dyDescent="0.3">
      <c r="E108">
        <v>87</v>
      </c>
      <c r="F108" s="35">
        <v>343384359.4868831</v>
      </c>
      <c r="G108" s="4"/>
      <c r="H108" s="4"/>
    </row>
    <row r="109" spans="5:8" x14ac:dyDescent="0.3">
      <c r="E109">
        <v>88</v>
      </c>
      <c r="F109" s="35">
        <v>308438390.69854796</v>
      </c>
      <c r="G109" s="4"/>
      <c r="H109" s="4"/>
    </row>
    <row r="110" spans="5:8" x14ac:dyDescent="0.3">
      <c r="E110">
        <v>89</v>
      </c>
      <c r="F110" s="35">
        <v>353400774.62322611</v>
      </c>
      <c r="G110" s="4"/>
      <c r="H110" s="4"/>
    </row>
    <row r="111" spans="5:8" x14ac:dyDescent="0.3">
      <c r="E111">
        <v>90</v>
      </c>
      <c r="F111" s="35">
        <v>337167519.81128025</v>
      </c>
      <c r="G111" s="4"/>
      <c r="H111" s="4"/>
    </row>
    <row r="112" spans="5:8" x14ac:dyDescent="0.3">
      <c r="E112">
        <v>91</v>
      </c>
      <c r="F112" s="35">
        <v>329273819.06886327</v>
      </c>
      <c r="G112" s="4"/>
      <c r="H112" s="4"/>
    </row>
    <row r="113" spans="5:8" x14ac:dyDescent="0.3">
      <c r="E113">
        <v>92</v>
      </c>
      <c r="F113" s="35">
        <v>371462413.94179416</v>
      </c>
      <c r="G113" s="4"/>
      <c r="H113" s="4"/>
    </row>
    <row r="114" spans="5:8" x14ac:dyDescent="0.3">
      <c r="E114">
        <v>93</v>
      </c>
      <c r="F114" s="35">
        <v>270372769.02991909</v>
      </c>
      <c r="G114" s="4"/>
      <c r="H114" s="4"/>
    </row>
    <row r="115" spans="5:8" x14ac:dyDescent="0.3">
      <c r="E115">
        <v>94</v>
      </c>
      <c r="F115" s="35">
        <v>367878148.80709493</v>
      </c>
      <c r="G115" s="4"/>
      <c r="H115" s="4"/>
    </row>
    <row r="116" spans="5:8" x14ac:dyDescent="0.3">
      <c r="E116">
        <v>95</v>
      </c>
      <c r="F116" s="35">
        <v>302173232.95195884</v>
      </c>
      <c r="G116" s="4"/>
      <c r="H116" s="4"/>
    </row>
    <row r="117" spans="5:8" x14ac:dyDescent="0.3">
      <c r="E117">
        <v>96</v>
      </c>
      <c r="F117" s="35">
        <v>360558298.31322086</v>
      </c>
      <c r="G117" s="4"/>
      <c r="H117" s="4"/>
    </row>
    <row r="118" spans="5:8" x14ac:dyDescent="0.3">
      <c r="E118">
        <v>97</v>
      </c>
      <c r="F118" s="35">
        <v>395919223.82149667</v>
      </c>
      <c r="G118" s="4"/>
      <c r="H118" s="4"/>
    </row>
    <row r="119" spans="5:8" x14ac:dyDescent="0.3">
      <c r="E119">
        <v>98</v>
      </c>
      <c r="F119" s="35">
        <v>336221718.05305755</v>
      </c>
      <c r="G119" s="4"/>
      <c r="H119" s="4"/>
    </row>
    <row r="120" spans="5:8" x14ac:dyDescent="0.3">
      <c r="E120">
        <v>99</v>
      </c>
      <c r="F120" s="35">
        <v>295572383.84435987</v>
      </c>
      <c r="G120" s="4"/>
      <c r="H120" s="4"/>
    </row>
    <row r="121" spans="5:8" x14ac:dyDescent="0.3">
      <c r="E121">
        <v>100</v>
      </c>
      <c r="F121" s="35">
        <v>324086809.8169651</v>
      </c>
      <c r="G121" s="4"/>
      <c r="H121" s="4"/>
    </row>
    <row r="122" spans="5:8" x14ac:dyDescent="0.3">
      <c r="E122">
        <v>101</v>
      </c>
      <c r="F122" s="35">
        <v>353750225.21901035</v>
      </c>
      <c r="G122" s="4"/>
      <c r="H122" s="4"/>
    </row>
    <row r="123" spans="5:8" x14ac:dyDescent="0.3">
      <c r="E123">
        <v>102</v>
      </c>
      <c r="F123" s="35">
        <v>349330705.45107985</v>
      </c>
      <c r="G123" s="4"/>
      <c r="H123" s="4"/>
    </row>
    <row r="124" spans="5:8" x14ac:dyDescent="0.3">
      <c r="E124">
        <v>103</v>
      </c>
      <c r="F124" s="35">
        <v>382252370.28688085</v>
      </c>
      <c r="G124" s="4"/>
      <c r="H124" s="4"/>
    </row>
    <row r="125" spans="5:8" x14ac:dyDescent="0.3">
      <c r="E125">
        <v>104</v>
      </c>
      <c r="F125" s="35">
        <v>337082086.97564602</v>
      </c>
      <c r="G125" s="4"/>
      <c r="H125" s="4"/>
    </row>
    <row r="126" spans="5:8" x14ac:dyDescent="0.3">
      <c r="E126">
        <v>105</v>
      </c>
      <c r="F126" s="35">
        <v>386802582.59628814</v>
      </c>
      <c r="G126" s="4"/>
      <c r="H126" s="4"/>
    </row>
    <row r="127" spans="5:8" x14ac:dyDescent="0.3">
      <c r="E127">
        <v>106</v>
      </c>
      <c r="F127" s="35">
        <v>370392559.15143383</v>
      </c>
      <c r="G127" s="4"/>
      <c r="H127" s="4"/>
    </row>
    <row r="128" spans="5:8" x14ac:dyDescent="0.3">
      <c r="E128">
        <v>107</v>
      </c>
      <c r="F128" s="35">
        <v>323150578.64673239</v>
      </c>
      <c r="G128" s="4"/>
      <c r="H128" s="4"/>
    </row>
    <row r="129" spans="5:8" x14ac:dyDescent="0.3">
      <c r="E129">
        <v>108</v>
      </c>
      <c r="F129" s="35">
        <v>305320181.98291302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6" t="str">
        <f>MC_High_ambition!A4</f>
        <v>Random value income per cow (USD/yr)</v>
      </c>
      <c r="B4" s="21">
        <f ca="1">_xlfn.NORM.INV(RAND(),Mappings!N18,Mappings!O18)</f>
        <v>1538.4209276304894</v>
      </c>
      <c r="C4" s="21">
        <f ca="1">_xlfn.NORM.INV(RAND(),Mappings!N19,Mappings!O19)</f>
        <v>333.5301061017351</v>
      </c>
      <c r="D4" s="21">
        <f ca="1">_xlfn.NORM.INV(RAND(),Mappings!N20,Mappings!O20)</f>
        <v>1717.2494984647251</v>
      </c>
    </row>
    <row r="5" spans="1:8" x14ac:dyDescent="0.3">
      <c r="A5" s="116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6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6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6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2" customFormat="1" x14ac:dyDescent="0.3">
      <c r="A9" s="116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2" customFormat="1" x14ac:dyDescent="0.3">
      <c r="A10" s="116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62.412158046174767</v>
      </c>
      <c r="C10" s="21">
        <f ca="1">IF(C9&gt;0,_xlfn.NORM.INV(RAND(),C9,C9*[6]Dairy_Income_Roadmap!L36),_xlfn.NORM.INV(RAND(),ABS(C9),ABS(C9)*[6]Dairy_Income_Roadmap!L36))</f>
        <v>291.01253785446823</v>
      </c>
      <c r="D10" s="21">
        <f ca="1">IF(D9&gt;0,_xlfn.NORM.INV(RAND(),D9,D9*[6]Dairy_Income_Roadmap!L38),_xlfn.NORM.INV(RAND(),ABS(D9),ABS(D9)*[6]Dairy_Income_Roadmap!L38))</f>
        <v>508.61475909197134</v>
      </c>
    </row>
    <row r="11" spans="1:8" x14ac:dyDescent="0.3">
      <c r="A11" s="116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6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6"/>
      <c r="B13" s="21"/>
    </row>
    <row r="14" spans="1:8" x14ac:dyDescent="0.3">
      <c r="A14" s="116" t="str">
        <f>MC_High_ambition!A14</f>
        <v>Dairy Income (USD/household/year)</v>
      </c>
      <c r="B14" s="21">
        <f ca="1">B4*B6</f>
        <v>1050.0293412988046</v>
      </c>
      <c r="C14" s="21">
        <f ca="1">C4*C6</f>
        <v>970.19252054716469</v>
      </c>
      <c r="D14" s="21">
        <f ca="1">D4*D6</f>
        <v>3382.8969375403622</v>
      </c>
    </row>
    <row r="15" spans="1:8" x14ac:dyDescent="0.3">
      <c r="A15" s="116" t="str">
        <f>MC_High_ambition!A15</f>
        <v>Non dairy income (USD/household/year)</v>
      </c>
      <c r="B15" s="21">
        <f ca="1">B8-IF(B9&gt;0,B8-B10,B8+B10)</f>
        <v>62.412158046174682</v>
      </c>
      <c r="C15" s="21">
        <f t="shared" ref="C15:D15" ca="1" si="0">C8-IF(C9&gt;0,C8-C10,C8+C10)</f>
        <v>291.01253785446829</v>
      </c>
      <c r="D15" s="21">
        <f t="shared" ca="1" si="0"/>
        <v>508.61475909197134</v>
      </c>
    </row>
    <row r="16" spans="1:8" x14ac:dyDescent="0.3">
      <c r="A16" s="116" t="str">
        <f>MC_High_ambition!A16</f>
        <v>Quantity households</v>
      </c>
      <c r="B16" s="21">
        <f ca="1">_xlfn.NORM.INV(RAND(),B11,B12)</f>
        <v>10315.339563286585</v>
      </c>
      <c r="C16" s="21">
        <f ca="1">_xlfn.NORM.INV(RAND(),C11,C12)</f>
        <v>55365.965346576748</v>
      </c>
      <c r="D16" s="21">
        <f t="shared" ref="D16" ca="1" si="1">_xlfn.NORM.INV(RAND(),D11,D12)</f>
        <v>80664.279960359592</v>
      </c>
    </row>
    <row r="17" spans="1:9" x14ac:dyDescent="0.3">
      <c r="A17" s="116"/>
    </row>
    <row r="18" spans="1:9" x14ac:dyDescent="0.3">
      <c r="A18" s="116" t="str">
        <f>MC_High_ambition!A18</f>
        <v>Estimated population income (USD/yr)</v>
      </c>
      <c r="B18" s="4">
        <f ca="1">(B14+B15)*B16</f>
        <v>11475211.810035113</v>
      </c>
      <c r="C18" s="4">
        <f t="shared" ref="C18:D18" ca="1" si="2">(C14+C15)*C16</f>
        <v>69827835.558392107</v>
      </c>
      <c r="D18" s="4">
        <f t="shared" ca="1" si="2"/>
        <v>313905988.96616447</v>
      </c>
      <c r="E18" s="4"/>
      <c r="F18" s="4">
        <f ca="1">SUM(B18:D18)</f>
        <v>395209036.33459169</v>
      </c>
      <c r="G18" s="4"/>
      <c r="H18" s="47"/>
      <c r="I18" s="46"/>
    </row>
    <row r="19" spans="1:9" x14ac:dyDescent="0.3">
      <c r="A19" s="116" t="str">
        <f>MC_High_ambition!A19</f>
        <v>SE population income (USD/yr)</v>
      </c>
      <c r="B19" s="4"/>
      <c r="C19" s="4"/>
      <c r="D19" s="4"/>
      <c r="E19" s="4"/>
      <c r="F19" s="4">
        <f ca="1">STDEV(F22:F129)</f>
        <v>56449835.718865074</v>
      </c>
      <c r="G19" s="4"/>
      <c r="H19" s="47"/>
      <c r="I19" s="46"/>
    </row>
    <row r="20" spans="1:9" x14ac:dyDescent="0.3">
      <c r="A20" s="116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411229438.89170533</v>
      </c>
      <c r="G20" s="4"/>
      <c r="H20" s="129" t="s">
        <v>52</v>
      </c>
      <c r="I20" s="46">
        <f ca="1">100*F19/F20</f>
        <v>13.727090130269291</v>
      </c>
    </row>
    <row r="21" spans="1:9" x14ac:dyDescent="0.3">
      <c r="F21" s="4"/>
      <c r="G21" s="4"/>
      <c r="H21" s="129"/>
    </row>
    <row r="22" spans="1:9" x14ac:dyDescent="0.3">
      <c r="B22" s="4"/>
      <c r="E22">
        <v>1</v>
      </c>
      <c r="F22" s="35">
        <f ca="1">F18</f>
        <v>395209036.33459169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319811555.20401114</v>
      </c>
      <c r="G23" s="4"/>
      <c r="H23" s="4"/>
      <c r="I23" s="129"/>
    </row>
    <row r="24" spans="1:9" x14ac:dyDescent="0.3">
      <c r="E24">
        <v>3</v>
      </c>
      <c r="F24" s="35">
        <v>388512861.97629839</v>
      </c>
      <c r="G24" s="4"/>
      <c r="H24" s="4"/>
      <c r="I24" s="129"/>
    </row>
    <row r="25" spans="1:9" x14ac:dyDescent="0.3">
      <c r="E25">
        <v>4</v>
      </c>
      <c r="F25" s="35">
        <v>320464409.4332639</v>
      </c>
      <c r="G25" s="4"/>
      <c r="H25" s="4"/>
    </row>
    <row r="26" spans="1:9" x14ac:dyDescent="0.3">
      <c r="E26">
        <v>5</v>
      </c>
      <c r="F26" s="35">
        <v>407574442.1472373</v>
      </c>
      <c r="G26" s="4"/>
      <c r="H26" s="4"/>
    </row>
    <row r="27" spans="1:9" x14ac:dyDescent="0.3">
      <c r="E27">
        <v>6</v>
      </c>
      <c r="F27" s="35">
        <v>424377086.73722476</v>
      </c>
      <c r="G27" s="4"/>
      <c r="H27" s="4"/>
    </row>
    <row r="28" spans="1:9" x14ac:dyDescent="0.3">
      <c r="E28">
        <v>7</v>
      </c>
      <c r="F28" s="35">
        <v>435247335.52386099</v>
      </c>
      <c r="G28" s="4"/>
      <c r="H28" s="4"/>
    </row>
    <row r="29" spans="1:9" x14ac:dyDescent="0.3">
      <c r="E29">
        <v>8</v>
      </c>
      <c r="F29" s="35">
        <v>526467241.90180099</v>
      </c>
      <c r="G29" s="4"/>
      <c r="H29" s="4"/>
    </row>
    <row r="30" spans="1:9" x14ac:dyDescent="0.3">
      <c r="E30">
        <v>9</v>
      </c>
      <c r="F30" s="35">
        <v>257234354.02281874</v>
      </c>
      <c r="G30" s="4"/>
      <c r="H30" s="4"/>
    </row>
    <row r="31" spans="1:9" x14ac:dyDescent="0.3">
      <c r="E31">
        <v>10</v>
      </c>
      <c r="F31" s="35">
        <v>532823001.64633882</v>
      </c>
      <c r="G31" s="4"/>
      <c r="H31" s="4"/>
    </row>
    <row r="32" spans="1:9" x14ac:dyDescent="0.3">
      <c r="E32">
        <v>11</v>
      </c>
      <c r="F32" s="35">
        <v>327354700.70263743</v>
      </c>
      <c r="G32" s="4"/>
      <c r="H32" s="4"/>
    </row>
    <row r="33" spans="5:8" x14ac:dyDescent="0.3">
      <c r="E33">
        <v>12</v>
      </c>
      <c r="F33" s="35">
        <v>422874361.53968179</v>
      </c>
      <c r="G33" s="4"/>
      <c r="H33" s="4"/>
    </row>
    <row r="34" spans="5:8" x14ac:dyDescent="0.3">
      <c r="E34">
        <v>13</v>
      </c>
      <c r="F34" s="35">
        <v>416429766.56747633</v>
      </c>
      <c r="G34" s="4"/>
      <c r="H34" s="4"/>
    </row>
    <row r="35" spans="5:8" x14ac:dyDescent="0.3">
      <c r="E35">
        <v>14</v>
      </c>
      <c r="F35" s="35">
        <v>412493870.82384574</v>
      </c>
      <c r="G35" s="4"/>
      <c r="H35" s="4"/>
    </row>
    <row r="36" spans="5:8" x14ac:dyDescent="0.3">
      <c r="E36">
        <v>15</v>
      </c>
      <c r="F36" s="35">
        <v>365969549.7268343</v>
      </c>
      <c r="G36" s="4"/>
      <c r="H36" s="4"/>
    </row>
    <row r="37" spans="5:8" x14ac:dyDescent="0.3">
      <c r="E37">
        <v>16</v>
      </c>
      <c r="F37" s="35">
        <v>396102202.88223648</v>
      </c>
      <c r="G37" s="4"/>
      <c r="H37" s="4"/>
    </row>
    <row r="38" spans="5:8" x14ac:dyDescent="0.3">
      <c r="E38">
        <v>17</v>
      </c>
      <c r="F38" s="35">
        <v>416449592.72713506</v>
      </c>
      <c r="G38" s="4"/>
      <c r="H38" s="4"/>
    </row>
    <row r="39" spans="5:8" x14ac:dyDescent="0.3">
      <c r="E39">
        <v>18</v>
      </c>
      <c r="F39" s="35">
        <v>422934278.87492198</v>
      </c>
      <c r="G39" s="4"/>
      <c r="H39" s="4"/>
    </row>
    <row r="40" spans="5:8" x14ac:dyDescent="0.3">
      <c r="E40">
        <v>19</v>
      </c>
      <c r="F40" s="35">
        <v>414369129.70488226</v>
      </c>
      <c r="G40" s="4"/>
      <c r="H40" s="4"/>
    </row>
    <row r="41" spans="5:8" x14ac:dyDescent="0.3">
      <c r="E41">
        <v>20</v>
      </c>
      <c r="F41" s="35">
        <v>345682653.22601658</v>
      </c>
      <c r="G41" s="4"/>
      <c r="H41" s="4"/>
    </row>
    <row r="42" spans="5:8" x14ac:dyDescent="0.3">
      <c r="E42">
        <v>21</v>
      </c>
      <c r="F42" s="35">
        <v>417786644.86027062</v>
      </c>
      <c r="G42" s="4"/>
      <c r="H42" s="4"/>
    </row>
    <row r="43" spans="5:8" x14ac:dyDescent="0.3">
      <c r="E43">
        <v>22</v>
      </c>
      <c r="F43" s="35">
        <v>443703762.54515529</v>
      </c>
      <c r="G43" s="4"/>
      <c r="H43" s="4"/>
    </row>
    <row r="44" spans="5:8" x14ac:dyDescent="0.3">
      <c r="E44">
        <v>23</v>
      </c>
      <c r="F44" s="35">
        <v>393026849.71802503</v>
      </c>
      <c r="G44" s="4"/>
      <c r="H44" s="4"/>
    </row>
    <row r="45" spans="5:8" x14ac:dyDescent="0.3">
      <c r="E45">
        <v>24</v>
      </c>
      <c r="F45" s="35">
        <v>370706280.08334798</v>
      </c>
      <c r="G45" s="4"/>
      <c r="H45" s="4"/>
    </row>
    <row r="46" spans="5:8" x14ac:dyDescent="0.3">
      <c r="E46">
        <v>25</v>
      </c>
      <c r="F46" s="35">
        <v>332703322.3546772</v>
      </c>
      <c r="G46" s="4"/>
      <c r="H46" s="4"/>
    </row>
    <row r="47" spans="5:8" x14ac:dyDescent="0.3">
      <c r="E47">
        <v>26</v>
      </c>
      <c r="F47" s="35">
        <v>500469577.00135446</v>
      </c>
      <c r="G47" s="4"/>
      <c r="H47" s="4"/>
    </row>
    <row r="48" spans="5:8" x14ac:dyDescent="0.3">
      <c r="E48">
        <v>27</v>
      </c>
      <c r="F48" s="35">
        <v>414666474.74479437</v>
      </c>
      <c r="G48" s="4"/>
      <c r="H48" s="4"/>
    </row>
    <row r="49" spans="5:8" x14ac:dyDescent="0.3">
      <c r="E49">
        <v>28</v>
      </c>
      <c r="F49" s="35">
        <v>436153836.63719255</v>
      </c>
      <c r="G49" s="4"/>
      <c r="H49" s="4"/>
    </row>
    <row r="50" spans="5:8" x14ac:dyDescent="0.3">
      <c r="E50">
        <v>29</v>
      </c>
      <c r="F50" s="35">
        <v>424997074.66324413</v>
      </c>
      <c r="G50" s="4"/>
      <c r="H50" s="4"/>
    </row>
    <row r="51" spans="5:8" x14ac:dyDescent="0.3">
      <c r="E51">
        <v>30</v>
      </c>
      <c r="F51" s="35">
        <v>398661910.69747257</v>
      </c>
      <c r="G51" s="4"/>
      <c r="H51" s="4"/>
    </row>
    <row r="52" spans="5:8" x14ac:dyDescent="0.3">
      <c r="E52">
        <v>31</v>
      </c>
      <c r="F52" s="35">
        <v>377483671.14065409</v>
      </c>
      <c r="G52" s="4"/>
      <c r="H52" s="4"/>
    </row>
    <row r="53" spans="5:8" x14ac:dyDescent="0.3">
      <c r="E53">
        <v>32</v>
      </c>
      <c r="F53" s="35">
        <v>465068027.62417519</v>
      </c>
      <c r="G53" s="4"/>
      <c r="H53" s="4"/>
    </row>
    <row r="54" spans="5:8" x14ac:dyDescent="0.3">
      <c r="E54">
        <v>33</v>
      </c>
      <c r="F54" s="35">
        <v>325808934.6968863</v>
      </c>
      <c r="G54" s="4"/>
      <c r="H54" s="4"/>
    </row>
    <row r="55" spans="5:8" x14ac:dyDescent="0.3">
      <c r="E55">
        <v>34</v>
      </c>
      <c r="F55" s="35">
        <v>403057683.37732327</v>
      </c>
      <c r="G55" s="4"/>
      <c r="H55" s="4"/>
    </row>
    <row r="56" spans="5:8" x14ac:dyDescent="0.3">
      <c r="E56">
        <v>35</v>
      </c>
      <c r="F56" s="35">
        <v>395300516.15295517</v>
      </c>
      <c r="G56" s="4"/>
      <c r="H56" s="4"/>
    </row>
    <row r="57" spans="5:8" x14ac:dyDescent="0.3">
      <c r="E57">
        <v>36</v>
      </c>
      <c r="F57" s="35">
        <v>465185401.52406669</v>
      </c>
      <c r="G57" s="4"/>
      <c r="H57" s="4"/>
    </row>
    <row r="58" spans="5:8" x14ac:dyDescent="0.3">
      <c r="E58">
        <v>37</v>
      </c>
      <c r="F58" s="35">
        <v>262754125.41718501</v>
      </c>
      <c r="G58" s="4"/>
      <c r="H58" s="4"/>
    </row>
    <row r="59" spans="5:8" x14ac:dyDescent="0.3">
      <c r="E59">
        <v>38</v>
      </c>
      <c r="F59" s="35">
        <v>480498391.29426426</v>
      </c>
      <c r="G59" s="4"/>
      <c r="H59" s="4"/>
    </row>
    <row r="60" spans="5:8" x14ac:dyDescent="0.3">
      <c r="E60">
        <v>39</v>
      </c>
      <c r="F60" s="35">
        <v>339098132.04945695</v>
      </c>
      <c r="G60" s="4"/>
      <c r="H60" s="4"/>
    </row>
    <row r="61" spans="5:8" x14ac:dyDescent="0.3">
      <c r="E61">
        <v>40</v>
      </c>
      <c r="F61" s="35">
        <v>392193524.23520625</v>
      </c>
      <c r="G61" s="4"/>
      <c r="H61" s="4"/>
    </row>
    <row r="62" spans="5:8" x14ac:dyDescent="0.3">
      <c r="E62">
        <v>41</v>
      </c>
      <c r="F62" s="35">
        <v>386728505.31117618</v>
      </c>
      <c r="G62" s="4"/>
      <c r="H62" s="4"/>
    </row>
    <row r="63" spans="5:8" x14ac:dyDescent="0.3">
      <c r="E63">
        <v>42</v>
      </c>
      <c r="F63" s="35">
        <v>400832150.01257014</v>
      </c>
      <c r="G63" s="4"/>
      <c r="H63" s="4"/>
    </row>
    <row r="64" spans="5:8" x14ac:dyDescent="0.3">
      <c r="E64">
        <v>43</v>
      </c>
      <c r="F64" s="35">
        <v>520200914.22887039</v>
      </c>
      <c r="G64" s="4"/>
      <c r="H64" s="4"/>
    </row>
    <row r="65" spans="5:8" x14ac:dyDescent="0.3">
      <c r="E65">
        <v>44</v>
      </c>
      <c r="F65" s="35">
        <v>370519001.34376985</v>
      </c>
      <c r="G65" s="4"/>
      <c r="H65" s="4"/>
    </row>
    <row r="66" spans="5:8" x14ac:dyDescent="0.3">
      <c r="E66">
        <v>45</v>
      </c>
      <c r="F66" s="35">
        <v>371883244.21924472</v>
      </c>
      <c r="G66" s="4"/>
      <c r="H66" s="4"/>
    </row>
    <row r="67" spans="5:8" x14ac:dyDescent="0.3">
      <c r="E67">
        <v>46</v>
      </c>
      <c r="F67" s="35">
        <v>472195846.58725309</v>
      </c>
      <c r="G67" s="4"/>
      <c r="H67" s="4"/>
    </row>
    <row r="68" spans="5:8" x14ac:dyDescent="0.3">
      <c r="E68">
        <v>47</v>
      </c>
      <c r="F68" s="35">
        <v>406422833.57446682</v>
      </c>
      <c r="G68" s="4"/>
      <c r="H68" s="4"/>
    </row>
    <row r="69" spans="5:8" x14ac:dyDescent="0.3">
      <c r="E69">
        <v>48</v>
      </c>
      <c r="F69" s="35">
        <v>396323611.41596103</v>
      </c>
      <c r="G69" s="4"/>
      <c r="H69" s="4"/>
    </row>
    <row r="70" spans="5:8" x14ac:dyDescent="0.3">
      <c r="E70">
        <v>49</v>
      </c>
      <c r="F70" s="35">
        <v>495390637.08739853</v>
      </c>
      <c r="G70" s="4"/>
      <c r="H70" s="4"/>
    </row>
    <row r="71" spans="5:8" x14ac:dyDescent="0.3">
      <c r="E71">
        <v>50</v>
      </c>
      <c r="F71" s="35">
        <v>427347696.29580235</v>
      </c>
      <c r="G71" s="4"/>
      <c r="H71" s="4"/>
    </row>
    <row r="72" spans="5:8" x14ac:dyDescent="0.3">
      <c r="E72">
        <v>51</v>
      </c>
      <c r="F72" s="35">
        <v>469801211.9299382</v>
      </c>
      <c r="G72" s="4"/>
      <c r="H72" s="4"/>
    </row>
    <row r="73" spans="5:8" x14ac:dyDescent="0.3">
      <c r="E73">
        <v>52</v>
      </c>
      <c r="F73" s="35">
        <v>424532330.60136724</v>
      </c>
      <c r="G73" s="4"/>
      <c r="H73" s="4"/>
    </row>
    <row r="74" spans="5:8" x14ac:dyDescent="0.3">
      <c r="E74">
        <v>53</v>
      </c>
      <c r="F74" s="35">
        <v>427940450.56169331</v>
      </c>
      <c r="G74" s="4"/>
      <c r="H74" s="4"/>
    </row>
    <row r="75" spans="5:8" x14ac:dyDescent="0.3">
      <c r="E75">
        <v>54</v>
      </c>
      <c r="F75" s="35">
        <v>464200581.93456811</v>
      </c>
      <c r="G75" s="4"/>
      <c r="H75" s="4"/>
    </row>
    <row r="76" spans="5:8" x14ac:dyDescent="0.3">
      <c r="E76">
        <v>55</v>
      </c>
      <c r="F76" s="35">
        <v>474934635.24117804</v>
      </c>
      <c r="G76" s="4"/>
      <c r="H76" s="4"/>
    </row>
    <row r="77" spans="5:8" x14ac:dyDescent="0.3">
      <c r="E77">
        <v>56</v>
      </c>
      <c r="F77" s="35">
        <v>327399692.38196075</v>
      </c>
      <c r="G77" s="4"/>
      <c r="H77" s="4"/>
    </row>
    <row r="78" spans="5:8" x14ac:dyDescent="0.3">
      <c r="E78">
        <v>57</v>
      </c>
      <c r="F78" s="35">
        <v>407036351.92385364</v>
      </c>
      <c r="G78" s="4"/>
      <c r="H78" s="4"/>
    </row>
    <row r="79" spans="5:8" x14ac:dyDescent="0.3">
      <c r="E79">
        <v>58</v>
      </c>
      <c r="F79" s="35">
        <v>501002793.00629812</v>
      </c>
      <c r="G79" s="4"/>
      <c r="H79" s="4"/>
    </row>
    <row r="80" spans="5:8" x14ac:dyDescent="0.3">
      <c r="E80">
        <v>59</v>
      </c>
      <c r="F80" s="35">
        <v>441866055.78629154</v>
      </c>
      <c r="G80" s="4"/>
      <c r="H80" s="4"/>
    </row>
    <row r="81" spans="5:8" x14ac:dyDescent="0.3">
      <c r="E81">
        <v>60</v>
      </c>
      <c r="F81" s="35">
        <v>486283203.85926908</v>
      </c>
      <c r="G81" s="4"/>
      <c r="H81" s="4"/>
    </row>
    <row r="82" spans="5:8" x14ac:dyDescent="0.3">
      <c r="E82">
        <v>61</v>
      </c>
      <c r="F82" s="35">
        <v>364477150.90599489</v>
      </c>
      <c r="G82" s="4"/>
      <c r="H82" s="4"/>
    </row>
    <row r="83" spans="5:8" x14ac:dyDescent="0.3">
      <c r="E83">
        <v>62</v>
      </c>
      <c r="F83" s="35">
        <v>304995388.16268921</v>
      </c>
      <c r="G83" s="4"/>
      <c r="H83" s="4"/>
    </row>
    <row r="84" spans="5:8" x14ac:dyDescent="0.3">
      <c r="E84">
        <v>63</v>
      </c>
      <c r="F84" s="35">
        <v>381865878.96344846</v>
      </c>
      <c r="G84" s="4"/>
      <c r="H84" s="4"/>
    </row>
    <row r="85" spans="5:8" x14ac:dyDescent="0.3">
      <c r="E85">
        <v>64</v>
      </c>
      <c r="F85" s="35">
        <v>422585794.60515273</v>
      </c>
      <c r="G85" s="4"/>
      <c r="H85" s="4"/>
    </row>
    <row r="86" spans="5:8" x14ac:dyDescent="0.3">
      <c r="E86">
        <v>65</v>
      </c>
      <c r="F86" s="35">
        <v>328262299.3053928</v>
      </c>
      <c r="G86" s="4"/>
      <c r="H86" s="4"/>
    </row>
    <row r="87" spans="5:8" x14ac:dyDescent="0.3">
      <c r="E87">
        <v>66</v>
      </c>
      <c r="F87" s="35">
        <v>394073226.97200501</v>
      </c>
      <c r="G87" s="4"/>
      <c r="H87" s="4"/>
    </row>
    <row r="88" spans="5:8" x14ac:dyDescent="0.3">
      <c r="E88">
        <v>67</v>
      </c>
      <c r="F88" s="35">
        <v>428391106.61214501</v>
      </c>
      <c r="G88" s="4"/>
      <c r="H88" s="4"/>
    </row>
    <row r="89" spans="5:8" x14ac:dyDescent="0.3">
      <c r="E89">
        <v>68</v>
      </c>
      <c r="F89" s="35">
        <v>353547573.53287333</v>
      </c>
      <c r="G89" s="4"/>
      <c r="H89" s="4"/>
    </row>
    <row r="90" spans="5:8" x14ac:dyDescent="0.3">
      <c r="E90">
        <v>69</v>
      </c>
      <c r="F90" s="35">
        <v>350443603.51139122</v>
      </c>
      <c r="G90" s="4"/>
      <c r="H90" s="4"/>
    </row>
    <row r="91" spans="5:8" x14ac:dyDescent="0.3">
      <c r="E91">
        <v>70</v>
      </c>
      <c r="F91" s="35">
        <v>410963065.0480758</v>
      </c>
      <c r="G91" s="4"/>
      <c r="H91" s="4"/>
    </row>
    <row r="92" spans="5:8" x14ac:dyDescent="0.3">
      <c r="E92">
        <v>71</v>
      </c>
      <c r="F92" s="35">
        <v>448737774.93800575</v>
      </c>
      <c r="G92" s="4"/>
      <c r="H92" s="4"/>
    </row>
    <row r="93" spans="5:8" x14ac:dyDescent="0.3">
      <c r="E93">
        <v>72</v>
      </c>
      <c r="F93" s="35">
        <v>349705732.73595971</v>
      </c>
      <c r="G93" s="4"/>
      <c r="H93" s="4"/>
    </row>
    <row r="94" spans="5:8" x14ac:dyDescent="0.3">
      <c r="E94">
        <v>73</v>
      </c>
      <c r="F94" s="35">
        <v>469066479.42568994</v>
      </c>
      <c r="G94" s="4"/>
      <c r="H94" s="4"/>
    </row>
    <row r="95" spans="5:8" x14ac:dyDescent="0.3">
      <c r="E95">
        <v>74</v>
      </c>
      <c r="F95" s="35">
        <v>521728921.37599146</v>
      </c>
      <c r="G95" s="4"/>
      <c r="H95" s="4"/>
    </row>
    <row r="96" spans="5:8" x14ac:dyDescent="0.3">
      <c r="E96">
        <v>75</v>
      </c>
      <c r="F96" s="35">
        <v>473209171.96120667</v>
      </c>
      <c r="G96" s="4"/>
      <c r="H96" s="4"/>
    </row>
    <row r="97" spans="5:8" x14ac:dyDescent="0.3">
      <c r="E97">
        <v>76</v>
      </c>
      <c r="F97" s="35">
        <v>393306271.35565674</v>
      </c>
      <c r="G97" s="4"/>
      <c r="H97" s="4"/>
    </row>
    <row r="98" spans="5:8" x14ac:dyDescent="0.3">
      <c r="E98">
        <v>77</v>
      </c>
      <c r="F98" s="35">
        <v>435740661.81651592</v>
      </c>
      <c r="G98" s="4"/>
      <c r="H98" s="4"/>
    </row>
    <row r="99" spans="5:8" x14ac:dyDescent="0.3">
      <c r="E99">
        <v>78</v>
      </c>
      <c r="F99" s="35">
        <v>410929275.64994216</v>
      </c>
      <c r="G99" s="4"/>
      <c r="H99" s="4"/>
    </row>
    <row r="100" spans="5:8" x14ac:dyDescent="0.3">
      <c r="E100">
        <v>79</v>
      </c>
      <c r="F100" s="35">
        <v>371694709.21518636</v>
      </c>
      <c r="G100" s="4"/>
      <c r="H100" s="4"/>
    </row>
    <row r="101" spans="5:8" x14ac:dyDescent="0.3">
      <c r="E101">
        <v>80</v>
      </c>
      <c r="F101" s="35">
        <v>451722559.26925266</v>
      </c>
      <c r="G101" s="4"/>
      <c r="H101" s="4"/>
    </row>
    <row r="102" spans="5:8" x14ac:dyDescent="0.3">
      <c r="E102">
        <v>81</v>
      </c>
      <c r="F102" s="35">
        <v>474355348.80452442</v>
      </c>
      <c r="G102" s="4"/>
      <c r="H102" s="4"/>
    </row>
    <row r="103" spans="5:8" x14ac:dyDescent="0.3">
      <c r="E103">
        <v>82</v>
      </c>
      <c r="F103" s="35">
        <v>447231446.35190046</v>
      </c>
      <c r="G103" s="4"/>
      <c r="H103" s="4"/>
    </row>
    <row r="104" spans="5:8" x14ac:dyDescent="0.3">
      <c r="E104">
        <v>83</v>
      </c>
      <c r="F104" s="35">
        <v>422079779.51317549</v>
      </c>
      <c r="G104" s="4"/>
      <c r="H104" s="4"/>
    </row>
    <row r="105" spans="5:8" x14ac:dyDescent="0.3">
      <c r="E105">
        <v>84</v>
      </c>
      <c r="F105" s="35">
        <v>466767370.41603941</v>
      </c>
      <c r="G105" s="4"/>
      <c r="H105" s="4"/>
    </row>
    <row r="106" spans="5:8" x14ac:dyDescent="0.3">
      <c r="E106">
        <v>85</v>
      </c>
      <c r="F106" s="35">
        <v>370624153.24996716</v>
      </c>
      <c r="G106" s="4"/>
      <c r="H106" s="4"/>
    </row>
    <row r="107" spans="5:8" x14ac:dyDescent="0.3">
      <c r="E107">
        <v>86</v>
      </c>
      <c r="F107" s="35">
        <v>438343179.37965482</v>
      </c>
      <c r="G107" s="4"/>
      <c r="H107" s="4"/>
    </row>
    <row r="108" spans="5:8" x14ac:dyDescent="0.3">
      <c r="E108">
        <v>87</v>
      </c>
      <c r="F108" s="35">
        <v>403206619.94789505</v>
      </c>
      <c r="G108" s="4"/>
      <c r="H108" s="4"/>
    </row>
    <row r="109" spans="5:8" x14ac:dyDescent="0.3">
      <c r="E109">
        <v>88</v>
      </c>
      <c r="F109" s="35">
        <v>432317752.87800002</v>
      </c>
      <c r="G109" s="4"/>
      <c r="H109" s="4"/>
    </row>
    <row r="110" spans="5:8" x14ac:dyDescent="0.3">
      <c r="E110">
        <v>89</v>
      </c>
      <c r="F110" s="35">
        <v>480396220.94803566</v>
      </c>
      <c r="G110" s="4"/>
      <c r="H110" s="4"/>
    </row>
    <row r="111" spans="5:8" x14ac:dyDescent="0.3">
      <c r="E111">
        <v>90</v>
      </c>
      <c r="F111" s="35">
        <v>343352872.75935358</v>
      </c>
      <c r="G111" s="4"/>
      <c r="H111" s="4"/>
    </row>
    <row r="112" spans="5:8" x14ac:dyDescent="0.3">
      <c r="E112">
        <v>91</v>
      </c>
      <c r="F112" s="35">
        <v>454034903.71083272</v>
      </c>
      <c r="G112" s="4"/>
      <c r="H112" s="4"/>
    </row>
    <row r="113" spans="5:8" x14ac:dyDescent="0.3">
      <c r="E113">
        <v>92</v>
      </c>
      <c r="F113" s="35">
        <v>343891921.40984929</v>
      </c>
      <c r="G113" s="4"/>
      <c r="H113" s="4"/>
    </row>
    <row r="114" spans="5:8" x14ac:dyDescent="0.3">
      <c r="E114">
        <v>93</v>
      </c>
      <c r="F114" s="35">
        <v>464702397.35599089</v>
      </c>
      <c r="G114" s="4"/>
      <c r="H114" s="4"/>
    </row>
    <row r="115" spans="5:8" x14ac:dyDescent="0.3">
      <c r="E115">
        <v>94</v>
      </c>
      <c r="F115" s="35">
        <v>361976051.68566787</v>
      </c>
      <c r="G115" s="4"/>
      <c r="H115" s="4"/>
    </row>
    <row r="116" spans="5:8" x14ac:dyDescent="0.3">
      <c r="E116">
        <v>95</v>
      </c>
      <c r="F116" s="35">
        <v>321463056.81507969</v>
      </c>
      <c r="G116" s="4"/>
      <c r="H116" s="4"/>
    </row>
    <row r="117" spans="5:8" x14ac:dyDescent="0.3">
      <c r="E117">
        <v>96</v>
      </c>
      <c r="F117" s="35">
        <v>456878383.28216791</v>
      </c>
      <c r="G117" s="4"/>
      <c r="H117" s="4"/>
    </row>
    <row r="118" spans="5:8" x14ac:dyDescent="0.3">
      <c r="E118">
        <v>97</v>
      </c>
      <c r="F118" s="35">
        <v>407121171.93614995</v>
      </c>
      <c r="G118" s="4"/>
      <c r="H118" s="4"/>
    </row>
    <row r="119" spans="5:8" x14ac:dyDescent="0.3">
      <c r="E119">
        <v>98</v>
      </c>
      <c r="F119" s="35">
        <v>447831788.0843966</v>
      </c>
      <c r="G119" s="4"/>
      <c r="H119" s="4"/>
    </row>
    <row r="120" spans="5:8" x14ac:dyDescent="0.3">
      <c r="E120">
        <v>99</v>
      </c>
      <c r="F120" s="35">
        <v>399423626.46761924</v>
      </c>
      <c r="G120" s="4"/>
      <c r="H120" s="4"/>
    </row>
    <row r="121" spans="5:8" x14ac:dyDescent="0.3">
      <c r="E121">
        <v>100</v>
      </c>
      <c r="F121" s="35">
        <v>346252252.66325134</v>
      </c>
      <c r="G121" s="4"/>
      <c r="H121" s="4"/>
    </row>
    <row r="122" spans="5:8" x14ac:dyDescent="0.3">
      <c r="E122">
        <v>101</v>
      </c>
      <c r="F122" s="35">
        <v>443866997.96129632</v>
      </c>
      <c r="G122" s="4"/>
      <c r="H122" s="4"/>
    </row>
    <row r="123" spans="5:8" x14ac:dyDescent="0.3">
      <c r="E123">
        <v>102</v>
      </c>
      <c r="F123" s="35">
        <v>464488959.82415378</v>
      </c>
      <c r="G123" s="4"/>
      <c r="H123" s="4"/>
    </row>
    <row r="124" spans="5:8" x14ac:dyDescent="0.3">
      <c r="E124">
        <v>103</v>
      </c>
      <c r="F124" s="35">
        <v>382585352.58193177</v>
      </c>
      <c r="G124" s="4"/>
      <c r="H124" s="4"/>
    </row>
    <row r="125" spans="5:8" x14ac:dyDescent="0.3">
      <c r="E125">
        <v>104</v>
      </c>
      <c r="F125" s="35">
        <v>518576964.63743854</v>
      </c>
      <c r="G125" s="4"/>
      <c r="H125" s="4"/>
    </row>
    <row r="126" spans="5:8" x14ac:dyDescent="0.3">
      <c r="E126">
        <v>105</v>
      </c>
      <c r="F126" s="35">
        <v>418914674.94505161</v>
      </c>
      <c r="G126" s="4"/>
      <c r="H126" s="4"/>
    </row>
    <row r="127" spans="5:8" x14ac:dyDescent="0.3">
      <c r="E127">
        <v>106</v>
      </c>
      <c r="F127" s="35">
        <v>351052878.60633659</v>
      </c>
      <c r="G127" s="4"/>
      <c r="H127" s="4"/>
    </row>
    <row r="128" spans="5:8" x14ac:dyDescent="0.3">
      <c r="E128">
        <v>107</v>
      </c>
      <c r="F128" s="35">
        <v>355293966.25477242</v>
      </c>
      <c r="G128" s="4"/>
      <c r="H128" s="4"/>
    </row>
    <row r="129" spans="5:8" x14ac:dyDescent="0.3">
      <c r="E129">
        <v>108</v>
      </c>
      <c r="F129" s="35">
        <v>469755342.64729863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2022-04-19T14:08:15Z</dcterms:modified>
</cp:coreProperties>
</file>