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Tanzania-Dairy-Mitigation-Assessment\"/>
    </mc:Choice>
  </mc:AlternateContent>
  <xr:revisionPtr revIDLastSave="0" documentId="13_ncr:1_{9FADEFAE-EC87-44C7-A85E-883861D40324}" xr6:coauthVersionLast="47" xr6:coauthVersionMax="47" xr10:uidLastSave="{00000000-0000-0000-0000-000000000000}"/>
  <bookViews>
    <workbookView xWindow="-96" yWindow="-96" windowWidth="20928" windowHeight="12432" activeTab="2" xr2:uid="{64B7B528-6AFC-453E-A699-FBF307BA8192}"/>
  </bookViews>
  <sheets>
    <sheet name="Dairy_Income_Roadmap" sheetId="27" r:id="rId1"/>
    <sheet name="Dairy_Income_Baseline" sheetId="26" r:id="rId2"/>
    <sheet name="Mappings" sheetId="1" r:id="rId3"/>
    <sheet name="MC_Baseline" sheetId="25" r:id="rId4"/>
    <sheet name="MC_High_ambition" sheetId="20" r:id="rId5"/>
    <sheet name="MC_Middle_road" sheetId="18" r:id="rId6"/>
    <sheet name="MC_Meagre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3" i="1" l="1"/>
  <c r="N36" i="1"/>
  <c r="A4" i="20"/>
  <c r="A5" i="20"/>
  <c r="A6" i="20"/>
  <c r="A7" i="20"/>
  <c r="A8" i="20"/>
  <c r="A9" i="20"/>
  <c r="A10" i="20"/>
  <c r="A12" i="20"/>
  <c r="A13" i="20"/>
  <c r="A14" i="20"/>
  <c r="A16" i="20"/>
  <c r="A16" i="21" s="1"/>
  <c r="A17" i="20"/>
  <c r="A17" i="21" s="1"/>
  <c r="A18" i="20"/>
  <c r="A18" i="21" s="1"/>
  <c r="A3" i="20"/>
  <c r="A3" i="18" s="1"/>
  <c r="E1" i="25"/>
  <c r="F1" i="21"/>
  <c r="F1" i="19"/>
  <c r="F1" i="18"/>
  <c r="C1" i="20"/>
  <c r="F3" i="1"/>
  <c r="A17" i="18" l="1"/>
  <c r="A18" i="18"/>
  <c r="A16" i="18"/>
  <c r="A18" i="19"/>
  <c r="A17" i="19"/>
  <c r="A16" i="19"/>
  <c r="D1" i="21" l="1"/>
  <c r="C1" i="21"/>
  <c r="B1" i="21"/>
  <c r="D1" i="19"/>
  <c r="C1" i="19"/>
  <c r="B1" i="19"/>
  <c r="D1" i="20"/>
  <c r="B1" i="20"/>
  <c r="C26" i="1" l="1"/>
  <c r="L3" i="1" s="1"/>
  <c r="D3" i="1" s="1"/>
  <c r="C25" i="1" l="1"/>
  <c r="C24" i="1"/>
  <c r="L4" i="1" s="1"/>
  <c r="D1" i="18" l="1"/>
  <c r="C1" i="18"/>
  <c r="C33" i="1" l="1"/>
  <c r="C31" i="1"/>
  <c r="C34" i="1" s="1"/>
  <c r="E4" i="1" l="1"/>
  <c r="E3" i="1"/>
  <c r="A8" i="18" l="1"/>
  <c r="A8" i="19" s="1"/>
  <c r="A8" i="21" s="1"/>
  <c r="A7" i="18"/>
  <c r="A7" i="19" s="1"/>
  <c r="A7" i="21" s="1"/>
  <c r="C29" i="1" l="1"/>
  <c r="C27" i="1"/>
  <c r="C30" i="1" s="1"/>
  <c r="C32" i="1" l="1"/>
  <c r="C28" i="1"/>
  <c r="B11" i="1"/>
  <c r="B15" i="1" s="1"/>
  <c r="B19" i="1" s="1"/>
  <c r="B12" i="1"/>
  <c r="B16" i="1" s="1"/>
  <c r="B20" i="1" s="1"/>
  <c r="B10" i="1"/>
  <c r="B14" i="1" s="1"/>
  <c r="B18" i="1" s="1"/>
  <c r="D59" i="26" l="1"/>
  <c r="B59" i="26"/>
  <c r="I4" i="1" l="1"/>
  <c r="I3" i="1"/>
  <c r="L14" i="26" l="1"/>
  <c r="L13" i="27" s="1"/>
  <c r="C15" i="27" s="1"/>
  <c r="L38" i="26" l="1"/>
  <c r="L36" i="26"/>
  <c r="L35" i="27" l="1"/>
  <c r="L37" i="27"/>
  <c r="L11" i="26"/>
  <c r="L16" i="27" l="1"/>
  <c r="G19" i="27" s="1"/>
  <c r="E19" i="27" l="1"/>
  <c r="C19" i="27"/>
  <c r="L30" i="27"/>
  <c r="L31" i="26" s="1"/>
  <c r="L29" i="27"/>
  <c r="L17" i="26"/>
  <c r="B3" i="26" s="1"/>
  <c r="K10" i="26"/>
  <c r="G15" i="27"/>
  <c r="E15" i="27"/>
  <c r="E28" i="26"/>
  <c r="E8" i="27" l="1"/>
  <c r="G8" i="27"/>
  <c r="C8" i="27"/>
  <c r="L37" i="26"/>
  <c r="B19" i="26"/>
  <c r="D19" i="26"/>
  <c r="L30" i="26"/>
  <c r="B8" i="26" s="1"/>
  <c r="L39" i="26"/>
  <c r="L38" i="27" s="1"/>
  <c r="L36" i="27"/>
  <c r="L27" i="27"/>
  <c r="L26" i="27"/>
  <c r="L23" i="27"/>
  <c r="L19" i="27"/>
  <c r="D10" i="26"/>
  <c r="C10" i="27" s="1"/>
  <c r="G10" i="27" s="1"/>
  <c r="D566" i="26"/>
  <c r="D565" i="26"/>
  <c r="D564" i="26"/>
  <c r="D563" i="26"/>
  <c r="D562" i="26"/>
  <c r="D561" i="26"/>
  <c r="D560" i="26"/>
  <c r="D559" i="26"/>
  <c r="D558" i="26"/>
  <c r="D557" i="26"/>
  <c r="D556" i="26"/>
  <c r="D555" i="26"/>
  <c r="D554" i="26"/>
  <c r="D553" i="26"/>
  <c r="D552" i="26"/>
  <c r="D551" i="26"/>
  <c r="D550" i="26"/>
  <c r="D549" i="26"/>
  <c r="D548" i="26"/>
  <c r="D547" i="26"/>
  <c r="D546" i="26"/>
  <c r="D545" i="26"/>
  <c r="D544" i="26"/>
  <c r="D543" i="26"/>
  <c r="D542" i="26"/>
  <c r="D541" i="26"/>
  <c r="D540" i="26"/>
  <c r="D539" i="26"/>
  <c r="D538" i="26"/>
  <c r="D537" i="26"/>
  <c r="D536" i="26"/>
  <c r="D535" i="26"/>
  <c r="D534" i="26"/>
  <c r="D533" i="26"/>
  <c r="D532" i="26"/>
  <c r="D531" i="26"/>
  <c r="D530" i="26"/>
  <c r="D529" i="26"/>
  <c r="D528" i="26"/>
  <c r="D527" i="26"/>
  <c r="D526" i="26"/>
  <c r="D525" i="26"/>
  <c r="D524" i="26"/>
  <c r="D523" i="26"/>
  <c r="D522" i="26"/>
  <c r="D521" i="26"/>
  <c r="D520" i="26"/>
  <c r="D519" i="26"/>
  <c r="D518" i="26"/>
  <c r="D517" i="26"/>
  <c r="D516" i="26"/>
  <c r="D515" i="26"/>
  <c r="D514" i="26"/>
  <c r="D513" i="26"/>
  <c r="D512" i="26"/>
  <c r="D511" i="26"/>
  <c r="D510" i="26"/>
  <c r="D509" i="26"/>
  <c r="D508" i="26"/>
  <c r="D507" i="26"/>
  <c r="D506" i="26"/>
  <c r="D505" i="26"/>
  <c r="D504" i="26"/>
  <c r="D503" i="26"/>
  <c r="D502" i="26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K39" i="26"/>
  <c r="K38" i="26"/>
  <c r="K37" i="26"/>
  <c r="K36" i="26"/>
  <c r="L34" i="26"/>
  <c r="K34" i="26"/>
  <c r="L33" i="26"/>
  <c r="K33" i="26"/>
  <c r="K31" i="26"/>
  <c r="K30" i="26"/>
  <c r="L28" i="26"/>
  <c r="K28" i="26"/>
  <c r="L27" i="26"/>
  <c r="K27" i="26"/>
  <c r="L25" i="26"/>
  <c r="K25" i="26"/>
  <c r="K20" i="26"/>
  <c r="K19" i="26"/>
  <c r="K14" i="26"/>
  <c r="B1" i="18"/>
  <c r="D8" i="26" l="1"/>
  <c r="E40" i="27"/>
  <c r="C40" i="27"/>
  <c r="D11" i="26"/>
  <c r="C11" i="27" s="1"/>
  <c r="G11" i="27" s="1"/>
  <c r="D9" i="26"/>
  <c r="C9" i="27" s="1"/>
  <c r="G9" i="27" s="1"/>
  <c r="F4" i="1"/>
  <c r="G40" i="27" l="1"/>
  <c r="A14" i="21" l="1"/>
  <c r="A13" i="21"/>
  <c r="A12" i="21"/>
  <c r="A10" i="21"/>
  <c r="A9" i="21"/>
  <c r="A6" i="21"/>
  <c r="A5" i="21"/>
  <c r="A4" i="21"/>
  <c r="A3" i="21"/>
  <c r="A14" i="19"/>
  <c r="A13" i="19"/>
  <c r="A12" i="19"/>
  <c r="A10" i="19"/>
  <c r="A9" i="19"/>
  <c r="A6" i="19"/>
  <c r="A5" i="19"/>
  <c r="A4" i="19"/>
  <c r="A3" i="19"/>
  <c r="A14" i="18"/>
  <c r="A13" i="18"/>
  <c r="A12" i="18"/>
  <c r="A10" i="18"/>
  <c r="A9" i="18"/>
  <c r="A6" i="18"/>
  <c r="A5" i="18"/>
  <c r="A4" i="18"/>
  <c r="B30" i="1"/>
  <c r="B34" i="1" s="1"/>
  <c r="B38" i="1" s="1"/>
  <c r="B29" i="1"/>
  <c r="B33" i="1" s="1"/>
  <c r="B37" i="1" s="1"/>
  <c r="B28" i="1"/>
  <c r="B32" i="1" s="1"/>
  <c r="B36" i="1" s="1"/>
  <c r="B27" i="1"/>
  <c r="B31" i="1" s="1"/>
  <c r="B35" i="1" s="1"/>
  <c r="H13" i="1"/>
  <c r="K8" i="1"/>
  <c r="E8" i="1"/>
  <c r="K6" i="1"/>
  <c r="E6" i="1"/>
  <c r="I8" i="1"/>
  <c r="H4" i="1"/>
  <c r="H3" i="1"/>
  <c r="H8" i="1" l="1"/>
  <c r="H12" i="1" s="1"/>
  <c r="H16" i="1" s="1"/>
  <c r="H20" i="1" s="1"/>
  <c r="H7" i="1"/>
  <c r="H11" i="1" s="1"/>
  <c r="H15" i="1" s="1"/>
  <c r="H19" i="1" s="1"/>
  <c r="H17" i="1"/>
  <c r="E12" i="1"/>
  <c r="E16" i="1" s="1"/>
  <c r="E20" i="1" s="1"/>
  <c r="E10" i="1"/>
  <c r="I12" i="1"/>
  <c r="E7" i="1"/>
  <c r="H6" i="1"/>
  <c r="H10" i="1" s="1"/>
  <c r="H14" i="1" s="1"/>
  <c r="H18" i="1" s="1"/>
  <c r="C5" i="25"/>
  <c r="C6" i="25" s="1"/>
  <c r="E14" i="1" l="1"/>
  <c r="I16" i="1"/>
  <c r="E11" i="1"/>
  <c r="E18" i="1" l="1"/>
  <c r="E15" i="1"/>
  <c r="I20" i="1"/>
  <c r="E19" i="1" l="1"/>
  <c r="I7" i="1" l="1"/>
  <c r="I15" i="1"/>
  <c r="B5" i="25"/>
  <c r="B6" i="25" s="1"/>
  <c r="I6" i="1"/>
  <c r="I19" i="1" l="1"/>
  <c r="I11" i="1"/>
  <c r="I10" i="1"/>
  <c r="I14" i="1" l="1"/>
  <c r="I18" i="1" l="1"/>
  <c r="L20" i="26" l="1"/>
  <c r="D38" i="26" l="1"/>
  <c r="D12" i="26"/>
  <c r="D42" i="26" s="1"/>
  <c r="B12" i="26"/>
  <c r="B42" i="26" s="1"/>
  <c r="E38" i="27" s="1"/>
  <c r="B40" i="26"/>
  <c r="E36" i="27" s="1"/>
  <c r="B10" i="26"/>
  <c r="E10" i="27" s="1"/>
  <c r="D39" i="26"/>
  <c r="B41" i="26"/>
  <c r="E37" i="27" s="1"/>
  <c r="D36" i="26"/>
  <c r="B36" i="26"/>
  <c r="E32" i="27" s="1"/>
  <c r="B39" i="26"/>
  <c r="E35" i="27" s="1"/>
  <c r="D41" i="26"/>
  <c r="D40" i="26"/>
  <c r="B11" i="26"/>
  <c r="E11" i="27" s="1"/>
  <c r="B9" i="26"/>
  <c r="E9" i="27" s="1"/>
  <c r="B38" i="26"/>
  <c r="E34" i="27" s="1"/>
  <c r="C34" i="27" l="1"/>
  <c r="G34" i="27"/>
  <c r="D14" i="26"/>
  <c r="B14" i="26"/>
  <c r="B52" i="26"/>
  <c r="B53" i="26"/>
  <c r="G32" i="27"/>
  <c r="C32" i="27"/>
  <c r="B51" i="26"/>
  <c r="C35" i="27"/>
  <c r="G35" i="27"/>
  <c r="D52" i="26"/>
  <c r="C37" i="27"/>
  <c r="G37" i="27"/>
  <c r="D54" i="26"/>
  <c r="D44" i="26"/>
  <c r="D57" i="26" s="1"/>
  <c r="D51" i="26"/>
  <c r="B44" i="26"/>
  <c r="B57" i="26" s="1"/>
  <c r="B54" i="26"/>
  <c r="G36" i="27"/>
  <c r="C36" i="27"/>
  <c r="D53" i="26"/>
  <c r="G38" i="27"/>
  <c r="C38" i="27"/>
  <c r="E49" i="27"/>
  <c r="E48" i="27"/>
  <c r="G49" i="27" l="1"/>
  <c r="C47" i="27"/>
  <c r="C49" i="27"/>
  <c r="C48" i="27"/>
  <c r="G48" i="27"/>
  <c r="G47" i="27"/>
  <c r="E47" i="27"/>
  <c r="G3" i="27" l="1"/>
  <c r="D3" i="26"/>
  <c r="B48" i="26"/>
  <c r="E3" i="27" l="1"/>
  <c r="C3" i="27"/>
  <c r="C43" i="27" s="1"/>
  <c r="G43" i="27"/>
  <c r="D48" i="26"/>
  <c r="E43" i="27" l="1"/>
  <c r="K14" i="1" l="1"/>
  <c r="K16" i="1"/>
  <c r="K12" i="1"/>
  <c r="K10" i="1" l="1"/>
  <c r="K18" i="1" l="1"/>
  <c r="K20" i="1"/>
  <c r="C46" i="27" l="1"/>
  <c r="C52" i="27" s="1"/>
  <c r="C13" i="27"/>
  <c r="G46" i="27"/>
  <c r="G52" i="27" s="1"/>
  <c r="G13" i="27"/>
  <c r="E46" i="27" l="1"/>
  <c r="E52" i="27" s="1"/>
  <c r="E13" i="27"/>
  <c r="G21" i="27" l="1"/>
  <c r="E21" i="27"/>
  <c r="C21" i="27"/>
  <c r="D22" i="26" l="1"/>
  <c r="D23" i="26" s="1"/>
  <c r="B22" i="26"/>
  <c r="B23" i="26" s="1"/>
  <c r="E20" i="27" l="1"/>
  <c r="C20" i="27"/>
  <c r="G20" i="27"/>
  <c r="B20" i="26" l="1"/>
  <c r="B21" i="26" s="1"/>
  <c r="D20" i="26"/>
  <c r="D21" i="26" s="1"/>
  <c r="G23" i="27"/>
  <c r="G24" i="27" s="1"/>
  <c r="G22" i="27"/>
  <c r="G39" i="27"/>
  <c r="C23" i="27"/>
  <c r="C24" i="27" s="1"/>
  <c r="C39" i="27"/>
  <c r="C22" i="27"/>
  <c r="E22" i="27"/>
  <c r="E23" i="27"/>
  <c r="E24" i="27" s="1"/>
  <c r="E39" i="27"/>
  <c r="D43" i="26" l="1"/>
  <c r="D56" i="26" s="1"/>
  <c r="D25" i="26"/>
  <c r="D26" i="26" s="1"/>
  <c r="D24" i="26"/>
  <c r="B25" i="26"/>
  <c r="B26" i="26" s="1"/>
  <c r="B43" i="26"/>
  <c r="B56" i="26" s="1"/>
  <c r="B24" i="26"/>
  <c r="D4" i="1" l="1"/>
  <c r="N22" i="1"/>
  <c r="J3" i="1"/>
  <c r="M4" i="1"/>
  <c r="J4" i="1" l="1"/>
  <c r="M3" i="1"/>
  <c r="G3" i="1" s="1"/>
  <c r="C3" i="1"/>
  <c r="V3" i="1" s="1"/>
  <c r="D11" i="1"/>
  <c r="D10" i="1"/>
  <c r="D15" i="1"/>
  <c r="D19" i="1"/>
  <c r="D6" i="1"/>
  <c r="B9" i="25"/>
  <c r="D14" i="1"/>
  <c r="D18" i="1"/>
  <c r="D8" i="1"/>
  <c r="C9" i="25"/>
  <c r="G4" i="1"/>
  <c r="B4" i="26"/>
  <c r="D4" i="26"/>
  <c r="D49" i="26" s="1"/>
  <c r="B5" i="26" l="1"/>
  <c r="B28" i="26" s="1"/>
  <c r="B49" i="26"/>
  <c r="D7" i="1"/>
  <c r="C9" i="20" s="1"/>
  <c r="B9" i="18"/>
  <c r="C4" i="1"/>
  <c r="B10" i="25"/>
  <c r="B14" i="25" s="1"/>
  <c r="B9" i="19"/>
  <c r="B9" i="21"/>
  <c r="B9" i="20"/>
  <c r="C9" i="18"/>
  <c r="C9" i="21"/>
  <c r="P4" i="1"/>
  <c r="D12" i="1"/>
  <c r="D9" i="20"/>
  <c r="C9" i="19"/>
  <c r="N3" i="1"/>
  <c r="U3" i="1" s="1"/>
  <c r="D61" i="26"/>
  <c r="E67" i="26" s="1"/>
  <c r="D5" i="26"/>
  <c r="D28" i="26" s="1"/>
  <c r="N4" i="1" s="1"/>
  <c r="B61" i="26" l="1"/>
  <c r="C67" i="26" s="1"/>
  <c r="V4" i="1"/>
  <c r="V8" i="1" s="1"/>
  <c r="C10" i="1"/>
  <c r="P3" i="1"/>
  <c r="S3" i="1"/>
  <c r="C11" i="1"/>
  <c r="C8" i="1"/>
  <c r="C7" i="1"/>
  <c r="C6" i="1"/>
  <c r="V7" i="1"/>
  <c r="V11" i="1"/>
  <c r="V15" i="1" s="1"/>
  <c r="V6" i="1"/>
  <c r="R4" i="1"/>
  <c r="Q4" i="1"/>
  <c r="D9" i="18"/>
  <c r="C12" i="1"/>
  <c r="D16" i="1"/>
  <c r="C10" i="25"/>
  <c r="C14" i="25" s="1"/>
  <c r="C3" i="25"/>
  <c r="U4" i="1"/>
  <c r="S4" i="1"/>
  <c r="D64" i="26"/>
  <c r="O4" i="1" s="1"/>
  <c r="T4" i="1" s="1"/>
  <c r="D63" i="26"/>
  <c r="B3" i="25"/>
  <c r="W4" i="1" l="1"/>
  <c r="B63" i="26"/>
  <c r="B64" i="26"/>
  <c r="O3" i="1" s="1"/>
  <c r="B4" i="25" s="1"/>
  <c r="B12" i="25" s="1"/>
  <c r="C35" i="1"/>
  <c r="V12" i="1"/>
  <c r="V16" i="1" s="1"/>
  <c r="V20" i="1" s="1"/>
  <c r="D10" i="20"/>
  <c r="D14" i="20" s="1"/>
  <c r="D10" i="18"/>
  <c r="D14" i="18" s="1"/>
  <c r="C36" i="1"/>
  <c r="C10" i="18"/>
  <c r="C14" i="18" s="1"/>
  <c r="C10" i="20"/>
  <c r="C14" i="20" s="1"/>
  <c r="D9" i="19"/>
  <c r="C16" i="1"/>
  <c r="D20" i="1"/>
  <c r="C14" i="1"/>
  <c r="C15" i="1"/>
  <c r="D10" i="19"/>
  <c r="Q3" i="1"/>
  <c r="W3" i="1" s="1"/>
  <c r="R3" i="1"/>
  <c r="V10" i="1"/>
  <c r="B10" i="20"/>
  <c r="B14" i="20" s="1"/>
  <c r="V19" i="1"/>
  <c r="C10" i="21" s="1"/>
  <c r="C14" i="21" s="1"/>
  <c r="C10" i="19"/>
  <c r="C14" i="19" s="1"/>
  <c r="M11" i="1"/>
  <c r="J11" i="1" s="1"/>
  <c r="M10" i="1"/>
  <c r="U7" i="1"/>
  <c r="U6" i="1"/>
  <c r="M19" i="1"/>
  <c r="J19" i="1" s="1"/>
  <c r="M18" i="1"/>
  <c r="U8" i="1"/>
  <c r="C4" i="25"/>
  <c r="C12" i="25" s="1"/>
  <c r="M15" i="1"/>
  <c r="J15" i="1" s="1"/>
  <c r="M14" i="1"/>
  <c r="M7" i="1"/>
  <c r="J7" i="1" s="1"/>
  <c r="M8" i="1"/>
  <c r="J8" i="1" s="1"/>
  <c r="M6" i="1"/>
  <c r="J6" i="1" s="1"/>
  <c r="E4" i="27"/>
  <c r="T3" i="1" l="1"/>
  <c r="C37" i="1"/>
  <c r="F19" i="1"/>
  <c r="C20" i="1"/>
  <c r="D9" i="21"/>
  <c r="C19" i="1"/>
  <c r="C18" i="1"/>
  <c r="C38" i="1" s="1"/>
  <c r="F11" i="1"/>
  <c r="D14" i="19"/>
  <c r="F15" i="1"/>
  <c r="D10" i="21"/>
  <c r="F6" i="1"/>
  <c r="F8" i="1"/>
  <c r="F7" i="1"/>
  <c r="B10" i="18"/>
  <c r="B14" i="18" s="1"/>
  <c r="V14" i="1"/>
  <c r="M20" i="1"/>
  <c r="J20" i="1" s="1"/>
  <c r="J18" i="1"/>
  <c r="U10" i="1"/>
  <c r="E44" i="27"/>
  <c r="E54" i="27" s="1"/>
  <c r="E60" i="27" s="1"/>
  <c r="E5" i="27"/>
  <c r="E27" i="27" s="1"/>
  <c r="U11" i="1"/>
  <c r="M12" i="1"/>
  <c r="J12" i="1" s="1"/>
  <c r="J10" i="1"/>
  <c r="U12" i="1"/>
  <c r="G4" i="27"/>
  <c r="G44" i="27" s="1"/>
  <c r="C4" i="27"/>
  <c r="C44" i="27" s="1"/>
  <c r="C54" i="27" s="1"/>
  <c r="M16" i="1"/>
  <c r="J16" i="1" s="1"/>
  <c r="J14" i="1"/>
  <c r="P6" i="1" l="1"/>
  <c r="R6" i="1" s="1"/>
  <c r="P19" i="1"/>
  <c r="Q19" i="1" s="1"/>
  <c r="D14" i="21"/>
  <c r="C5" i="21"/>
  <c r="C6" i="21" s="1"/>
  <c r="P15" i="1"/>
  <c r="Q15" i="1" s="1"/>
  <c r="P11" i="1"/>
  <c r="R11" i="1" s="1"/>
  <c r="P8" i="1"/>
  <c r="Q8" i="1" s="1"/>
  <c r="D5" i="20"/>
  <c r="D6" i="20" s="1"/>
  <c r="C5" i="19"/>
  <c r="C6" i="19" s="1"/>
  <c r="C5" i="18"/>
  <c r="C6" i="18" s="1"/>
  <c r="F20" i="1"/>
  <c r="F18" i="1"/>
  <c r="F10" i="1"/>
  <c r="V18" i="1"/>
  <c r="B10" i="21" s="1"/>
  <c r="B14" i="21" s="1"/>
  <c r="B10" i="19"/>
  <c r="B14" i="19" s="1"/>
  <c r="F12" i="1"/>
  <c r="P7" i="1"/>
  <c r="R7" i="1" s="1"/>
  <c r="C5" i="20"/>
  <c r="C6" i="20" s="1"/>
  <c r="F16" i="1"/>
  <c r="F14" i="1"/>
  <c r="B5" i="20"/>
  <c r="B6" i="20" s="1"/>
  <c r="G54" i="27"/>
  <c r="G60" i="27" s="1"/>
  <c r="G5" i="27"/>
  <c r="G27" i="27" s="1"/>
  <c r="U15" i="1"/>
  <c r="E56" i="27"/>
  <c r="E57" i="27"/>
  <c r="U14" i="1"/>
  <c r="E28" i="27"/>
  <c r="N11" i="1"/>
  <c r="N15" i="1"/>
  <c r="N7" i="1"/>
  <c r="N19" i="1"/>
  <c r="U16" i="1"/>
  <c r="U20" i="1" s="1"/>
  <c r="C60" i="27"/>
  <c r="C5" i="27"/>
  <c r="C27" i="27" s="1"/>
  <c r="Q6" i="1" l="1"/>
  <c r="R19" i="1"/>
  <c r="R8" i="1"/>
  <c r="R15" i="1"/>
  <c r="B5" i="19"/>
  <c r="B6" i="19" s="1"/>
  <c r="P16" i="1"/>
  <c r="Q16" i="1" s="1"/>
  <c r="Q11" i="1"/>
  <c r="P12" i="1"/>
  <c r="Q12" i="1" s="1"/>
  <c r="D5" i="19"/>
  <c r="D6" i="19" s="1"/>
  <c r="P14" i="1"/>
  <c r="Q14" i="1" s="1"/>
  <c r="B7" i="19" s="1"/>
  <c r="B8" i="19" s="1"/>
  <c r="B13" i="19" s="1"/>
  <c r="P18" i="1"/>
  <c r="Q18" i="1" s="1"/>
  <c r="B7" i="21" s="1"/>
  <c r="B8" i="21" s="1"/>
  <c r="B13" i="21" s="1"/>
  <c r="B5" i="21"/>
  <c r="B6" i="21" s="1"/>
  <c r="Q7" i="1"/>
  <c r="C7" i="20" s="1"/>
  <c r="C8" i="20" s="1"/>
  <c r="C13" i="20" s="1"/>
  <c r="D5" i="21"/>
  <c r="D6" i="21" s="1"/>
  <c r="P20" i="1"/>
  <c r="R20" i="1" s="1"/>
  <c r="D5" i="18"/>
  <c r="D6" i="18" s="1"/>
  <c r="P10" i="1"/>
  <c r="Q10" i="1" s="1"/>
  <c r="B7" i="18" s="1"/>
  <c r="B8" i="18" s="1"/>
  <c r="B13" i="18" s="1"/>
  <c r="B5" i="18"/>
  <c r="B6" i="18" s="1"/>
  <c r="C7" i="19"/>
  <c r="C8" i="19" s="1"/>
  <c r="C13" i="19" s="1"/>
  <c r="C3" i="18"/>
  <c r="S11" i="1"/>
  <c r="U19" i="1"/>
  <c r="C3" i="20"/>
  <c r="S7" i="1"/>
  <c r="C7" i="21"/>
  <c r="C8" i="21" s="1"/>
  <c r="C13" i="21" s="1"/>
  <c r="D7" i="20"/>
  <c r="D8" i="20" s="1"/>
  <c r="D13" i="20" s="1"/>
  <c r="U18" i="1"/>
  <c r="B7" i="25"/>
  <c r="B8" i="25" s="1"/>
  <c r="B13" i="25" s="1"/>
  <c r="B7" i="20"/>
  <c r="B8" i="20" s="1"/>
  <c r="B13" i="20" s="1"/>
  <c r="C3" i="21"/>
  <c r="S19" i="1"/>
  <c r="W19" i="1" s="1"/>
  <c r="C57" i="27"/>
  <c r="C56" i="27"/>
  <c r="D3" i="19"/>
  <c r="C3" i="19"/>
  <c r="S15" i="1"/>
  <c r="W15" i="1" s="1"/>
  <c r="N14" i="1"/>
  <c r="N18" i="1"/>
  <c r="N6" i="1"/>
  <c r="C28" i="27"/>
  <c r="N10" i="1"/>
  <c r="N8" i="1"/>
  <c r="N12" i="1"/>
  <c r="N20" i="1"/>
  <c r="N16" i="1"/>
  <c r="G28" i="27"/>
  <c r="O19" i="1"/>
  <c r="T19" i="1" s="1"/>
  <c r="O15" i="1"/>
  <c r="T15" i="1" s="1"/>
  <c r="O11" i="1"/>
  <c r="T11" i="1" s="1"/>
  <c r="O7" i="1"/>
  <c r="T7" i="1" s="1"/>
  <c r="G56" i="27"/>
  <c r="G57" i="27"/>
  <c r="W7" i="1" l="1"/>
  <c r="W11" i="1"/>
  <c r="B16" i="25"/>
  <c r="D7" i="19"/>
  <c r="D8" i="19" s="1"/>
  <c r="D13" i="19" s="1"/>
  <c r="R12" i="1"/>
  <c r="R14" i="1"/>
  <c r="R18" i="1"/>
  <c r="C7" i="18"/>
  <c r="C8" i="18" s="1"/>
  <c r="C13" i="18" s="1"/>
  <c r="R16" i="1"/>
  <c r="Q20" i="1"/>
  <c r="R10" i="1"/>
  <c r="C7" i="25"/>
  <c r="C8" i="25" s="1"/>
  <c r="C4" i="21"/>
  <c r="C12" i="21" s="1"/>
  <c r="B3" i="20"/>
  <c r="S6" i="1"/>
  <c r="W6" i="1" s="1"/>
  <c r="D7" i="18"/>
  <c r="D8" i="18" s="1"/>
  <c r="D13" i="18" s="1"/>
  <c r="C4" i="20"/>
  <c r="C12" i="20" s="1"/>
  <c r="O8" i="1"/>
  <c r="T8" i="1" s="1"/>
  <c r="O16" i="1"/>
  <c r="T16" i="1" s="1"/>
  <c r="O20" i="1"/>
  <c r="O12" i="1"/>
  <c r="T12" i="1" s="1"/>
  <c r="B3" i="19"/>
  <c r="S14" i="1"/>
  <c r="W14" i="1" s="1"/>
  <c r="S16" i="1"/>
  <c r="W16" i="1" s="1"/>
  <c r="C4" i="19"/>
  <c r="C12" i="19" s="1"/>
  <c r="D3" i="21"/>
  <c r="S20" i="1"/>
  <c r="D3" i="20"/>
  <c r="S8" i="1"/>
  <c r="W8" i="1" s="1"/>
  <c r="B3" i="21"/>
  <c r="S18" i="1"/>
  <c r="W18" i="1" s="1"/>
  <c r="D3" i="18"/>
  <c r="S12" i="1"/>
  <c r="W12" i="1" s="1"/>
  <c r="C4" i="18"/>
  <c r="C12" i="18" s="1"/>
  <c r="O14" i="1"/>
  <c r="O18" i="1"/>
  <c r="O10" i="1"/>
  <c r="O6" i="1"/>
  <c r="B3" i="18"/>
  <c r="S10" i="1"/>
  <c r="W10" i="1" s="1"/>
  <c r="W20" i="1" l="1"/>
  <c r="C13" i="25"/>
  <c r="C16" i="25" s="1"/>
  <c r="E16" i="25" s="1"/>
  <c r="E20" i="25" s="1"/>
  <c r="C16" i="20"/>
  <c r="C16" i="18"/>
  <c r="T18" i="1"/>
  <c r="T14" i="1"/>
  <c r="T6" i="1"/>
  <c r="T10" i="1"/>
  <c r="D7" i="21"/>
  <c r="D8" i="21" s="1"/>
  <c r="D13" i="21" s="1"/>
  <c r="C16" i="21"/>
  <c r="D4" i="18"/>
  <c r="D12" i="18" s="1"/>
  <c r="C16" i="19"/>
  <c r="X20" i="1"/>
  <c r="D4" i="19"/>
  <c r="D12" i="19" s="1"/>
  <c r="D4" i="20"/>
  <c r="D12" i="20" s="1"/>
  <c r="B4" i="21"/>
  <c r="B12" i="21" s="1"/>
  <c r="B16" i="21" s="1"/>
  <c r="X16" i="1"/>
  <c r="B4" i="19"/>
  <c r="B12" i="19" s="1"/>
  <c r="B4" i="18"/>
  <c r="B12" i="18" s="1"/>
  <c r="B4" i="20"/>
  <c r="B12" i="20" s="1"/>
  <c r="D4" i="21"/>
  <c r="D12" i="21" s="1"/>
  <c r="T20" i="1"/>
  <c r="X12" i="1" l="1"/>
  <c r="X8" i="1"/>
  <c r="E17" i="25"/>
  <c r="E18" i="25"/>
  <c r="D16" i="18"/>
  <c r="D16" i="20"/>
  <c r="B16" i="20"/>
  <c r="B16" i="18"/>
  <c r="B16" i="19"/>
  <c r="D16" i="19"/>
  <c r="D16" i="21"/>
  <c r="F16" i="21" s="1"/>
  <c r="F20" i="21" s="1"/>
  <c r="H18" i="25" l="1"/>
  <c r="Y4" i="1" s="1"/>
  <c r="F16" i="20"/>
  <c r="F20" i="20" s="1"/>
  <c r="F18" i="20" s="1"/>
  <c r="F16" i="19"/>
  <c r="F20" i="19" s="1"/>
  <c r="F18" i="19" s="1"/>
  <c r="F16" i="18"/>
  <c r="F20" i="18" s="1"/>
  <c r="F18" i="18" s="1"/>
  <c r="F18" i="21"/>
  <c r="F17" i="21"/>
  <c r="F17" i="20" l="1"/>
  <c r="I18" i="20" s="1"/>
  <c r="Y8" i="1" s="1"/>
  <c r="F17" i="19"/>
  <c r="I18" i="19" s="1"/>
  <c r="F17" i="18"/>
  <c r="I18" i="18" s="1"/>
  <c r="I18" i="21"/>
  <c r="Y16" i="1" l="1"/>
  <c r="Y12" i="1"/>
  <c r="Y20" i="1"/>
</calcChain>
</file>

<file path=xl/sharedStrings.xml><?xml version="1.0" encoding="utf-8"?>
<sst xmlns="http://schemas.openxmlformats.org/spreadsheetml/2006/main" count="222" uniqueCount="134">
  <si>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</si>
  <si>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</si>
  <si>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</si>
  <si>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</si>
  <si>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</si>
  <si>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</si>
  <si>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</si>
  <si>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</si>
  <si>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</si>
  <si>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</si>
  <si>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</si>
  <si>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</si>
  <si>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</si>
  <si>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</si>
  <si>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</si>
  <si>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</si>
  <si>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</si>
  <si>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</si>
  <si>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Cropland allocation</t>
  </si>
  <si>
    <t>Cropland margin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</si>
  <si>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</si>
  <si>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</si>
  <si>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</si>
  <si>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</si>
  <si>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</si>
  <si>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</si>
  <si>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</si>
  <si>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</si>
  <si>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</si>
  <si>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</si>
  <si>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</si>
  <si>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</si>
  <si>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</si>
  <si>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</si>
  <si>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</si>
  <si>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</si>
  <si>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</si>
  <si>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</si>
  <si>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</si>
  <si>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</si>
  <si>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</si>
  <si>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</si>
  <si>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</si>
  <si>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Quantity households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</si>
  <si>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</si>
  <si>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</si>
  <si>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</si>
  <si>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</si>
  <si>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</si>
  <si>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</si>
  <si>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>Pasture yield (Mg/ha)</t>
  </si>
  <si>
    <t xml:space="preserve">Change in napier allocation (ha) 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</si>
  <si>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</si>
  <si>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</si>
  <si>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</si>
  <si>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</si>
  <si>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</si>
  <si>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</si>
  <si>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 xml:space="preserve">Cropping expenses </t>
  </si>
  <si>
    <t>Forage seeding cost (USD/yr)</t>
  </si>
  <si>
    <t>Uncertainty quantification</t>
  </si>
  <si>
    <t>Standard deviations of revenue, cost parameters</t>
  </si>
  <si>
    <t>Random values of parameters</t>
  </si>
  <si>
    <t>Forage crop allocation</t>
  </si>
  <si>
    <t>Monte carlo simulations (n = 500)</t>
  </si>
  <si>
    <t>Milk price (USD/litre)</t>
  </si>
  <si>
    <t>Milk yield (litre/cow/year)</t>
  </si>
  <si>
    <t>Value milk produced (USD/year/cow)</t>
  </si>
  <si>
    <t>Price acquring new animal (USD/head)</t>
  </si>
  <si>
    <t>Cropping expenses</t>
  </si>
  <si>
    <t>Cropping parameters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</si>
  <si>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</si>
  <si>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</si>
  <si>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</si>
  <si>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</si>
  <si>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</si>
  <si>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</si>
  <si>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</si>
  <si>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</si>
  <si>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</si>
  <si>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</si>
  <si>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Cropping expenses (USD)</t>
  </si>
  <si>
    <t>Total improved forage allocation (ha)</t>
  </si>
  <si>
    <t>Change in income from cropping (USD)</t>
  </si>
  <si>
    <t xml:space="preserve">Sources </t>
  </si>
  <si>
    <t>Total herd size base year (head)</t>
  </si>
  <si>
    <t>Total variable expenses (USD/head/year)</t>
  </si>
  <si>
    <t>Heifer cost (USD/head)</t>
  </si>
  <si>
    <t>Amortization period (years)</t>
  </si>
  <si>
    <t>Parameters (as defined in Table 1 and other sections of text) (based on TLSA, URT 2017)</t>
  </si>
  <si>
    <t xml:space="preserve"> Dairy income by household</t>
  </si>
  <si>
    <t>Basic income parameters</t>
  </si>
  <si>
    <t>Total dariy expenses</t>
  </si>
  <si>
    <t>Price deflator</t>
  </si>
  <si>
    <t>Forage seeding cost (USD)</t>
  </si>
  <si>
    <t>Reduction in non-dairy income through crop area change</t>
  </si>
  <si>
    <t>Milk yield</t>
  </si>
  <si>
    <t>New-improved</t>
  </si>
  <si>
    <t>Local-only</t>
  </si>
  <si>
    <t>Extant-improved</t>
  </si>
  <si>
    <t>High ambition</t>
  </si>
  <si>
    <t>Middle road</t>
  </si>
  <si>
    <t>High ambition ++</t>
  </si>
  <si>
    <t xml:space="preserve">Proportion of households within region  </t>
  </si>
  <si>
    <t>All dairy households</t>
  </si>
  <si>
    <t>Income per cow (USD/yr)</t>
  </si>
  <si>
    <t>Random value income per cow (USD/yr)</t>
  </si>
  <si>
    <t>Cows per household (head)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</si>
  <si>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</si>
  <si>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</si>
  <si>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</si>
  <si>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</si>
  <si>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</si>
  <si>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</si>
  <si>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</si>
  <si>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</si>
  <si>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Change in forage land area (ha)</t>
  </si>
  <si>
    <t>Net income from dairy enterprise</t>
  </si>
  <si>
    <t xml:space="preserve">Dairy Income </t>
  </si>
  <si>
    <t>SD dairy income (USD per household)</t>
  </si>
  <si>
    <t>Uncertainty in population percentage (used for quantifying uncertainty)</t>
  </si>
  <si>
    <t>Aggregate absolute welfare gain/loss relative to Baseline (fraction)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</si>
  <si>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</si>
  <si>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</si>
  <si>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</si>
  <si>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</si>
  <si>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</si>
  <si>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</si>
  <si>
    <t>Meagre</t>
  </si>
  <si>
    <t>Milk yield standard error, local (fraction)</t>
  </si>
  <si>
    <t>Milk yield standard error, improved (fraction)</t>
  </si>
  <si>
    <t>District total</t>
  </si>
  <si>
    <t>Total dairy income net of crop income change (USD/yr)</t>
  </si>
  <si>
    <t>Error of imputed income (% SEM)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</si>
</sst>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_(* #,##0.00_);_(* \(#,##0.00\);_(* &quot;-&quot;??_);_(@_)"/>
    <numFmt numFmtId="166" formatCode="0.0000"/>
    <numFmt numFmtId="167" formatCode="0.0"/>
    <numFmt numFmtId="168" formatCode="_(* #,##0.000_);_(* \(#,##0.000\);_(* &quot;-&quot;??_);_(@_)"/>
    <numFmt numFmtId="169" formatCode="_(* #,##0.0_);_(* \(#,##0.0\);_(* &quot;-&quot;??_);_(@_)"/>
    <numFmt numFmtId="170" formatCode="0.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CC00CC"/>
      <name val="Calibri"/>
      <family val="2"/>
      <scheme val="minor"/>
    </font>
    <font>
      <b/>
      <sz val="11"/>
      <color rgb="FFB88C00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1">
    <xf numFmtId="0" fontId="0" fillId="0" borderId="0" xfId="0"/>
    <xf numFmtId="0" fontId="2" fillId="0" borderId="0" xfId="0" applyFont="1"/>
    <xf numFmtId="165" fontId="0" fillId="0" borderId="0" xfId="1" applyFont="1" applyAlignment="1">
      <alignment horizontal="center"/>
    </xf>
    <xf numFmtId="165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166" fontId="4" fillId="0" borderId="0" xfId="0" applyNumberFormat="1" applyFont="1"/>
    <xf numFmtId="166" fontId="0" fillId="0" borderId="0" xfId="0" applyNumberFormat="1"/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2" fontId="0" fillId="0" borderId="0" xfId="0" applyNumberFormat="1"/>
    <xf numFmtId="165" fontId="12" fillId="0" borderId="0" xfId="1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165" fontId="15" fillId="0" borderId="0" xfId="0" applyNumberFormat="1" applyFont="1"/>
    <xf numFmtId="0" fontId="12" fillId="0" borderId="0" xfId="2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8" fillId="0" borderId="0" xfId="0" applyFont="1"/>
    <xf numFmtId="167" fontId="0" fillId="0" borderId="0" xfId="1" applyNumberFormat="1" applyFont="1"/>
    <xf numFmtId="169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65" fontId="2" fillId="0" borderId="0" xfId="0" applyNumberFormat="1" applyFont="1"/>
    <xf numFmtId="169" fontId="12" fillId="0" borderId="0" xfId="1" applyNumberFormat="1" applyFont="1"/>
    <xf numFmtId="169" fontId="3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169" fontId="0" fillId="0" borderId="0" xfId="1" applyNumberFormat="1" applyFont="1"/>
    <xf numFmtId="167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0" applyNumberFormat="1"/>
    <xf numFmtId="1" fontId="0" fillId="0" borderId="0" xfId="0" applyNumberFormat="1"/>
    <xf numFmtId="169" fontId="20" fillId="0" borderId="0" xfId="0" applyNumberFormat="1" applyFont="1" applyAlignment="1">
      <alignment horizontal="center"/>
    </xf>
    <xf numFmtId="0" fontId="21" fillId="0" borderId="0" xfId="0" applyFont="1"/>
    <xf numFmtId="0" fontId="19" fillId="0" borderId="0" xfId="0" applyFont="1"/>
    <xf numFmtId="0" fontId="4" fillId="0" borderId="0" xfId="0" applyFont="1"/>
    <xf numFmtId="168" fontId="6" fillId="0" borderId="0" xfId="0" applyNumberFormat="1" applyFont="1"/>
    <xf numFmtId="169" fontId="12" fillId="0" borderId="0" xfId="0" applyNumberFormat="1" applyFont="1"/>
    <xf numFmtId="165" fontId="12" fillId="0" borderId="0" xfId="0" applyNumberFormat="1" applyFont="1"/>
    <xf numFmtId="168" fontId="12" fillId="0" borderId="0" xfId="0" applyNumberFormat="1" applyFont="1"/>
    <xf numFmtId="169" fontId="12" fillId="0" borderId="0" xfId="1" applyNumberFormat="1" applyFont="1" applyAlignment="1">
      <alignment horizontal="center"/>
    </xf>
    <xf numFmtId="2" fontId="6" fillId="0" borderId="0" xfId="0" applyNumberFormat="1" applyFont="1"/>
    <xf numFmtId="168" fontId="21" fillId="0" borderId="0" xfId="0" applyNumberFormat="1" applyFont="1"/>
    <xf numFmtId="169" fontId="21" fillId="0" borderId="0" xfId="0" applyNumberFormat="1" applyFont="1"/>
    <xf numFmtId="170" fontId="19" fillId="0" borderId="0" xfId="0" applyNumberFormat="1" applyFont="1"/>
    <xf numFmtId="0" fontId="22" fillId="0" borderId="0" xfId="0" applyFont="1"/>
    <xf numFmtId="165" fontId="23" fillId="0" borderId="0" xfId="0" applyNumberFormat="1" applyFont="1"/>
    <xf numFmtId="0" fontId="23" fillId="0" borderId="0" xfId="0" applyFont="1"/>
    <xf numFmtId="168" fontId="19" fillId="0" borderId="0" xfId="0" applyNumberFormat="1" applyFont="1"/>
    <xf numFmtId="170" fontId="0" fillId="0" borderId="0" xfId="0" applyNumberFormat="1" applyAlignment="1">
      <alignment horizontal="center"/>
    </xf>
    <xf numFmtId="0" fontId="24" fillId="0" borderId="0" xfId="0" applyFont="1"/>
    <xf numFmtId="167" fontId="0" fillId="0" borderId="0" xfId="0" applyNumberFormat="1" applyAlignment="1">
      <alignment horizontal="right"/>
    </xf>
    <xf numFmtId="2" fontId="19" fillId="0" borderId="0" xfId="0" applyNumberFormat="1" applyFont="1"/>
    <xf numFmtId="169" fontId="2" fillId="0" borderId="0" xfId="0" applyNumberFormat="1" applyFont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21" fillId="0" borderId="0" xfId="0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17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167" fontId="1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CC00CC"/>
      <color rgb="FFB88C00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interpolation_Rungw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output_ncc_m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  <cell r="I3">
            <v>0.39</v>
          </cell>
          <cell r="J3">
            <v>6</v>
          </cell>
        </row>
        <row r="4">
          <cell r="I4">
            <v>0.50487289999999996</v>
          </cell>
          <cell r="J4">
            <v>5.7</v>
          </cell>
        </row>
        <row r="6">
          <cell r="G6">
            <v>10.5</v>
          </cell>
          <cell r="H6">
            <v>0.504</v>
          </cell>
          <cell r="L6">
            <v>0.31040000000000001</v>
          </cell>
          <cell r="M6">
            <v>254.1</v>
          </cell>
          <cell r="N6">
            <v>250.33</v>
          </cell>
          <cell r="P6">
            <v>1.1000000000000001</v>
          </cell>
          <cell r="Q6">
            <v>6.5</v>
          </cell>
          <cell r="R6">
            <v>1.3013561929000014E-4</v>
          </cell>
          <cell r="S6">
            <v>0.14000000000000001</v>
          </cell>
          <cell r="U6">
            <v>382</v>
          </cell>
          <cell r="V6">
            <v>40.200000000000003</v>
          </cell>
          <cell r="W6">
            <v>6.2</v>
          </cell>
          <cell r="X6">
            <v>8.1</v>
          </cell>
          <cell r="Y6">
            <v>1.3013561929000014E-5</v>
          </cell>
        </row>
        <row r="7">
          <cell r="G7">
            <v>2.8148149999999998</v>
          </cell>
          <cell r="H7">
            <v>0.40899999999999997</v>
          </cell>
          <cell r="L7">
            <v>0.4365</v>
          </cell>
          <cell r="N7">
            <v>260.7</v>
          </cell>
          <cell r="P7">
            <v>6</v>
          </cell>
          <cell r="Q7">
            <v>14.3</v>
          </cell>
          <cell r="R7">
            <v>0.1</v>
          </cell>
          <cell r="S7">
            <v>0.06</v>
          </cell>
          <cell r="U7">
            <v>344.6</v>
          </cell>
          <cell r="V7">
            <v>153.30000000000001</v>
          </cell>
          <cell r="W7">
            <v>34.4</v>
          </cell>
          <cell r="X7">
            <v>10.4</v>
          </cell>
          <cell r="Y7">
            <v>0.6</v>
          </cell>
        </row>
        <row r="12">
          <cell r="B12">
            <v>285</v>
          </cell>
        </row>
      </sheetData>
      <sheetData sheetId="1">
        <row r="4">
          <cell r="C4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H3">
            <v>0.1053</v>
          </cell>
        </row>
        <row r="8">
          <cell r="H8">
            <v>43585.894058653299</v>
          </cell>
          <cell r="I8">
            <v>931852.83384149941</v>
          </cell>
        </row>
        <row r="9">
          <cell r="H9">
            <v>7635.6487800574387</v>
          </cell>
          <cell r="I9">
            <v>163247.79169012548</v>
          </cell>
        </row>
        <row r="10">
          <cell r="H10">
            <v>57224.195384828163</v>
          </cell>
          <cell r="I10">
            <v>1223435.4665730442</v>
          </cell>
        </row>
        <row r="17">
          <cell r="H17">
            <v>320.35867062067865</v>
          </cell>
        </row>
        <row r="18">
          <cell r="H18">
            <v>1025.9808491887786</v>
          </cell>
        </row>
        <row r="25">
          <cell r="H25">
            <v>0.27</v>
          </cell>
          <cell r="I25">
            <v>0.27</v>
          </cell>
        </row>
        <row r="26">
          <cell r="H26">
            <v>0.73</v>
          </cell>
          <cell r="I26">
            <v>0.73</v>
          </cell>
        </row>
        <row r="31">
          <cell r="H31">
            <v>24796.000698349853</v>
          </cell>
          <cell r="I31">
            <v>644519.50062790862</v>
          </cell>
        </row>
        <row r="34">
          <cell r="H34">
            <v>0.18765000000000001</v>
          </cell>
          <cell r="I34">
            <v>0.18765000000000001</v>
          </cell>
        </row>
        <row r="35">
          <cell r="H35">
            <v>0.81235000000000002</v>
          </cell>
          <cell r="I35">
            <v>0.81235000000000002</v>
          </cell>
        </row>
        <row r="38">
          <cell r="H38">
            <v>700.85860951581117</v>
          </cell>
        </row>
        <row r="39">
          <cell r="H39">
            <v>2415.9750381708586</v>
          </cell>
        </row>
        <row r="40">
          <cell r="H40">
            <v>29693.882326319799</v>
          </cell>
          <cell r="I40">
            <v>738038.4328237744</v>
          </cell>
        </row>
        <row r="43">
          <cell r="H43">
            <v>0.1053</v>
          </cell>
          <cell r="I43">
            <v>0.1053</v>
          </cell>
        </row>
        <row r="44">
          <cell r="H44">
            <v>0.89470000000000005</v>
          </cell>
          <cell r="I44">
            <v>0.89470000000000005</v>
          </cell>
        </row>
        <row r="49">
          <cell r="H49">
            <v>34034.419863930329</v>
          </cell>
          <cell r="I49">
            <v>855590.08934018319</v>
          </cell>
        </row>
        <row r="52">
          <cell r="H52">
            <v>0.27</v>
          </cell>
          <cell r="I52">
            <v>0.27</v>
          </cell>
        </row>
        <row r="53">
          <cell r="H53">
            <v>0.73</v>
          </cell>
          <cell r="I53">
            <v>0.73</v>
          </cell>
        </row>
        <row r="58">
          <cell r="H58">
            <v>30274.186899148077</v>
          </cell>
          <cell r="I58">
            <v>786913.34378988843</v>
          </cell>
        </row>
      </sheetData>
      <sheetData sheetId="4">
        <row r="17">
          <cell r="D17">
            <v>147</v>
          </cell>
          <cell r="H17">
            <v>147</v>
          </cell>
        </row>
        <row r="18">
          <cell r="H18">
            <v>147</v>
          </cell>
        </row>
        <row r="20">
          <cell r="H20">
            <v>569.92306261097906</v>
          </cell>
        </row>
        <row r="21">
          <cell r="H21">
            <v>569.92306261097906</v>
          </cell>
        </row>
        <row r="23">
          <cell r="H23">
            <v>569.92306261097906</v>
          </cell>
        </row>
        <row r="24">
          <cell r="H24">
            <v>569.92306261097906</v>
          </cell>
        </row>
      </sheetData>
      <sheetData sheetId="5">
        <row r="4">
          <cell r="D4">
            <v>0.13015924266423304</v>
          </cell>
          <cell r="H4">
            <v>1.0828001912931132E-2</v>
          </cell>
          <cell r="I4">
            <v>0.23149930695072707</v>
          </cell>
        </row>
        <row r="19">
          <cell r="H19">
            <v>417.73663709796864</v>
          </cell>
        </row>
        <row r="22">
          <cell r="H22">
            <v>609.45687108918105</v>
          </cell>
        </row>
        <row r="25">
          <cell r="H25">
            <v>738.49367595283331</v>
          </cell>
        </row>
      </sheetData>
      <sheetData sheetId="6">
        <row r="17">
          <cell r="D17">
            <v>3.6798211462832722</v>
          </cell>
          <cell r="H17">
            <v>65.903968091080245</v>
          </cell>
        </row>
        <row r="18">
          <cell r="H18">
            <v>242.19092645087474</v>
          </cell>
        </row>
        <row r="23">
          <cell r="H23">
            <v>164.13593743222623</v>
          </cell>
        </row>
        <row r="24">
          <cell r="H24">
            <v>446.03483369129145</v>
          </cell>
        </row>
      </sheetData>
      <sheetData sheetId="7">
        <row r="4">
          <cell r="E4">
            <v>1.5695177221061046E-2</v>
          </cell>
          <cell r="H4">
            <v>1.0828001912931132E-2</v>
          </cell>
          <cell r="I4">
            <v>0.23149930695072707</v>
          </cell>
        </row>
        <row r="19">
          <cell r="H19">
            <v>-893.71558203971506</v>
          </cell>
        </row>
        <row r="22">
          <cell r="H22">
            <v>551.17641606587858</v>
          </cell>
        </row>
        <row r="25">
          <cell r="H25">
            <v>-253.39426891657976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24">
          <cell r="K24" t="str">
            <v>Cropping parameters</v>
          </cell>
        </row>
        <row r="25">
          <cell r="K25" t="str">
            <v>Forage seeding cost (USD/ha/yr)</v>
          </cell>
          <cell r="L25">
            <v>28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33">
          <cell r="E33">
            <v>159.61062489481509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20">
          <cell r="QG20">
            <v>133.39271250228001</v>
          </cell>
          <cell r="QH20">
            <v>1.982685454238192</v>
          </cell>
          <cell r="QO20">
            <v>205.7582485590861</v>
          </cell>
          <cell r="QP20">
            <v>54.164959786990593</v>
          </cell>
        </row>
        <row r="29">
          <cell r="QG29">
            <v>78.306462549562184</v>
          </cell>
          <cell r="QH29">
            <v>8.4085047590099129E-3</v>
          </cell>
          <cell r="QP29">
            <v>51.420249457894244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2B2D-8B3A-454E-B3EB-69DA32B2F807}">
  <dimension ref="A1:N758"/>
  <sheetViews>
    <sheetView topLeftCell="A12" workbookViewId="0">
      <selection activeCell="C8" sqref="C8:D8"/>
    </sheetView>
  </sheetViews>
  <sheetFormatPr defaultRowHeight="14.4" x14ac:dyDescent="0.55000000000000004"/>
  <cols>
    <col min="1" max="1" width="32.89453125" customWidth="1"/>
    <col min="2" max="2" width="5.3125" customWidth="1"/>
    <col min="4" max="4" width="4.1015625" customWidth="1"/>
    <col min="5" max="5" width="10.41796875" customWidth="1"/>
    <col min="6" max="6" width="4.41796875" customWidth="1"/>
    <col min="7" max="7" width="14.7890625" customWidth="1"/>
  </cols>
  <sheetData>
    <row r="1" spans="1:12" ht="15.6" x14ac:dyDescent="0.6">
      <c r="C1" s="78" t="s">
        <v>90</v>
      </c>
      <c r="D1" s="80"/>
      <c r="E1" s="80"/>
      <c r="F1" s="80"/>
      <c r="G1" s="80"/>
    </row>
    <row r="2" spans="1:12" x14ac:dyDescent="0.55000000000000004">
      <c r="A2" s="1" t="s">
        <v>53</v>
      </c>
      <c r="B2" s="4"/>
      <c r="C2" s="72" t="s">
        <v>97</v>
      </c>
      <c r="D2" s="72"/>
      <c r="E2" s="72" t="s">
        <v>98</v>
      </c>
      <c r="F2" s="72"/>
      <c r="G2" s="18" t="s">
        <v>99</v>
      </c>
    </row>
    <row r="3" spans="1:12" x14ac:dyDescent="0.55000000000000004">
      <c r="A3" t="s">
        <v>65</v>
      </c>
      <c r="B3" s="18"/>
      <c r="C3" s="77">
        <f>G3</f>
        <v>0.55747885382429763</v>
      </c>
      <c r="D3" s="77"/>
      <c r="E3" s="77">
        <f>Dairy_Income_Baseline!B3</f>
        <v>0.39642940716394504</v>
      </c>
      <c r="F3" s="77"/>
      <c r="G3" s="5">
        <f>[1]All!$L$7*L16</f>
        <v>0.55747885382429763</v>
      </c>
    </row>
    <row r="4" spans="1:12" x14ac:dyDescent="0.55000000000000004">
      <c r="A4" t="s">
        <v>66</v>
      </c>
      <c r="B4" s="18"/>
      <c r="C4" s="73">
        <f>[2]prod_herd_data!H39</f>
        <v>2415.9750381708586</v>
      </c>
      <c r="D4" s="73"/>
      <c r="E4" s="73">
        <f>[2]prod_herd_data!H38</f>
        <v>700.85860951581117</v>
      </c>
      <c r="F4" s="73"/>
      <c r="G4" s="43">
        <f>[2]prod_herd_data!H39</f>
        <v>2415.9750381708586</v>
      </c>
    </row>
    <row r="5" spans="1:12" x14ac:dyDescent="0.55000000000000004">
      <c r="A5" t="s">
        <v>67</v>
      </c>
      <c r="B5" s="18"/>
      <c r="C5" s="73">
        <f>C4*C3*(12*L11-9)/(12*L11)</f>
        <v>1262.6765579508788</v>
      </c>
      <c r="D5" s="73"/>
      <c r="E5" s="73">
        <f>E4*E3</f>
        <v>277.84096307609985</v>
      </c>
      <c r="F5" s="73"/>
      <c r="G5" s="43">
        <f>G4*G3</f>
        <v>1346.8549951476041</v>
      </c>
    </row>
    <row r="6" spans="1:12" x14ac:dyDescent="0.55000000000000004">
      <c r="B6" s="18"/>
      <c r="C6" s="73"/>
      <c r="D6" s="73"/>
      <c r="E6" s="73"/>
      <c r="F6" s="73"/>
      <c r="G6" s="43"/>
    </row>
    <row r="7" spans="1:12" x14ac:dyDescent="0.55000000000000004">
      <c r="A7" s="1" t="s">
        <v>54</v>
      </c>
      <c r="B7" s="18"/>
      <c r="C7" s="73"/>
      <c r="D7" s="73"/>
      <c r="E7" s="73"/>
      <c r="F7" s="73"/>
      <c r="G7" s="43"/>
    </row>
    <row r="8" spans="1:12" x14ac:dyDescent="0.55000000000000004">
      <c r="A8" t="s">
        <v>32</v>
      </c>
      <c r="B8" s="18"/>
      <c r="C8" s="73">
        <f>(([2]concentrate_feeding!$H$23*L29)+([2]concentrate_feeding!$H$24*L30))</f>
        <v>334.82525916999987</v>
      </c>
      <c r="D8" s="73"/>
      <c r="E8" s="73">
        <f>(([2]concentrate_feeding!$H$17*L29)+([2]concentrate_feeding!$H$18*L30))</f>
        <v>86.361328970444461</v>
      </c>
      <c r="F8" s="73"/>
      <c r="G8" s="43">
        <f>(([2]concentrate_feeding!$H$20*L29)+([2]concentrate_feeding!$H$21*L30))</f>
        <v>334.82525916999987</v>
      </c>
    </row>
    <row r="9" spans="1:12" x14ac:dyDescent="0.55000000000000004">
      <c r="A9" t="s">
        <v>1</v>
      </c>
      <c r="B9" s="18"/>
      <c r="C9" s="73">
        <f>Dairy_Income_Baseline!D9</f>
        <v>7.6629395714680086</v>
      </c>
      <c r="D9" s="73"/>
      <c r="E9" s="73">
        <f>Dairy_Income_Baseline!B9</f>
        <v>1.404872254769135</v>
      </c>
      <c r="F9" s="73"/>
      <c r="G9" s="43">
        <f>C9</f>
        <v>7.6629395714680086</v>
      </c>
    </row>
    <row r="10" spans="1:12" x14ac:dyDescent="0.55000000000000004">
      <c r="A10" t="s">
        <v>55</v>
      </c>
      <c r="B10" s="18"/>
      <c r="C10" s="73">
        <f>Dairy_Income_Baseline!D10</f>
        <v>18.263339311998756</v>
      </c>
      <c r="D10" s="73"/>
      <c r="E10" s="73">
        <f>Dairy_Income_Baseline!B10</f>
        <v>8.3015178690903433</v>
      </c>
      <c r="F10" s="73"/>
      <c r="G10" s="43">
        <f t="shared" ref="G10:G11" si="0">C10</f>
        <v>18.263339311998756</v>
      </c>
      <c r="K10" s="1" t="s">
        <v>91</v>
      </c>
    </row>
    <row r="11" spans="1:12" x14ac:dyDescent="0.55000000000000004">
      <c r="A11" t="s">
        <v>56</v>
      </c>
      <c r="B11" s="18"/>
      <c r="C11" s="73">
        <f>Dairy_Income_Baseline!D11</f>
        <v>0.12771565952446681</v>
      </c>
      <c r="D11" s="73"/>
      <c r="E11" s="73">
        <f>Dairy_Income_Baseline!B11</f>
        <v>1.6620356445247293E-4</v>
      </c>
      <c r="F11" s="73"/>
      <c r="G11" s="43">
        <f t="shared" si="0"/>
        <v>0.12771565952446681</v>
      </c>
      <c r="K11" t="s">
        <v>88</v>
      </c>
      <c r="L11">
        <v>12</v>
      </c>
    </row>
    <row r="12" spans="1:12" x14ac:dyDescent="0.55000000000000004">
      <c r="B12" s="18"/>
      <c r="C12" s="73"/>
      <c r="D12" s="73"/>
      <c r="E12" s="73"/>
      <c r="F12" s="73"/>
      <c r="G12" s="43"/>
    </row>
    <row r="13" spans="1:12" x14ac:dyDescent="0.55000000000000004">
      <c r="A13" s="1" t="s">
        <v>86</v>
      </c>
      <c r="B13" s="18"/>
      <c r="C13" s="73">
        <f>SUM(C8:C11)</f>
        <v>360.87925371299116</v>
      </c>
      <c r="D13" s="73"/>
      <c r="E13" s="73">
        <f>SUM(E8:E11)</f>
        <v>96.067885297868386</v>
      </c>
      <c r="F13" s="73"/>
      <c r="G13" s="43">
        <f>SUM(G8:G11)</f>
        <v>360.87925371299116</v>
      </c>
      <c r="K13" t="s">
        <v>68</v>
      </c>
      <c r="L13">
        <f>Dairy_Income_Baseline!L14</f>
        <v>254.1</v>
      </c>
    </row>
    <row r="14" spans="1:12" x14ac:dyDescent="0.55000000000000004">
      <c r="B14" s="18"/>
      <c r="C14" s="72"/>
      <c r="D14" s="72"/>
      <c r="E14" s="72"/>
      <c r="F14" s="72"/>
      <c r="G14" s="18"/>
    </row>
    <row r="15" spans="1:12" x14ac:dyDescent="0.55000000000000004">
      <c r="A15" s="1" t="s">
        <v>87</v>
      </c>
      <c r="B15" s="18"/>
      <c r="C15" s="73">
        <f>L13/L11</f>
        <v>21.175000000000001</v>
      </c>
      <c r="D15" s="73"/>
      <c r="E15" s="73">
        <f>0</f>
        <v>0</v>
      </c>
      <c r="F15" s="73"/>
      <c r="G15" s="43">
        <f>0</f>
        <v>0</v>
      </c>
    </row>
    <row r="16" spans="1:12" x14ac:dyDescent="0.55000000000000004">
      <c r="B16" s="18"/>
      <c r="C16" s="73"/>
      <c r="D16" s="73"/>
      <c r="E16" s="73"/>
      <c r="F16" s="73"/>
      <c r="G16" s="43"/>
      <c r="K16" t="s">
        <v>93</v>
      </c>
      <c r="L16" s="16">
        <f>[3]Sheet1!$B$6</f>
        <v>1.2771565952446682</v>
      </c>
    </row>
    <row r="17" spans="1:14" x14ac:dyDescent="0.55000000000000004">
      <c r="B17" s="18"/>
      <c r="C17" s="73"/>
      <c r="D17" s="73"/>
      <c r="E17" s="79"/>
      <c r="F17" s="79"/>
      <c r="G17" s="43"/>
    </row>
    <row r="18" spans="1:14" x14ac:dyDescent="0.55000000000000004">
      <c r="B18" s="18"/>
      <c r="C18" s="75" t="s">
        <v>69</v>
      </c>
      <c r="D18" s="75"/>
      <c r="E18" s="75"/>
      <c r="F18" s="75"/>
      <c r="G18" s="75"/>
      <c r="K18" s="1" t="s">
        <v>70</v>
      </c>
    </row>
    <row r="19" spans="1:14" x14ac:dyDescent="0.55000000000000004">
      <c r="A19" t="s">
        <v>7</v>
      </c>
      <c r="B19" s="18"/>
      <c r="C19" s="73">
        <f>L35*L16</f>
        <v>319.71061048759782</v>
      </c>
      <c r="D19" s="73"/>
      <c r="E19" s="73">
        <f>L35*L16</f>
        <v>319.71061048759782</v>
      </c>
      <c r="F19" s="73"/>
      <c r="G19" s="43">
        <f>L37*L16</f>
        <v>332.95472438028497</v>
      </c>
      <c r="K19" t="s">
        <v>71</v>
      </c>
      <c r="L19">
        <f>[4]Sheet1!$B$5</f>
        <v>28</v>
      </c>
    </row>
    <row r="20" spans="1:14" x14ac:dyDescent="0.55000000000000004">
      <c r="A20" t="s">
        <v>51</v>
      </c>
      <c r="B20" s="18"/>
      <c r="C20" s="73">
        <f>(((1/1000)*(1/L23)*[2]feeding_change_data!$H$25/L32))</f>
        <v>7.5742941123367519E-2</v>
      </c>
      <c r="D20" s="73"/>
      <c r="E20" s="73">
        <f>(((1/1000)*(1/L23)*[2]feeding_change_data!$H$19/L32))</f>
        <v>4.2844783292099349E-2</v>
      </c>
      <c r="F20" s="73"/>
      <c r="G20" s="43">
        <f>(((1/1000)*(1/L23)*[2]feeding_change_data!$H$22/L32))</f>
        <v>6.2508397034787805E-2</v>
      </c>
    </row>
    <row r="21" spans="1:14" x14ac:dyDescent="0.55000000000000004">
      <c r="A21" t="s">
        <v>72</v>
      </c>
      <c r="B21" s="18"/>
      <c r="C21" s="73">
        <f>(((1/1000)*(1/L24)*[2]feeding_change_data_pasture!$H$25/L33))</f>
        <v>-0.10135770756663191</v>
      </c>
      <c r="D21" s="73"/>
      <c r="E21" s="73">
        <f>(((1/1000)*(1/L24)*[2]feeding_change_data_pasture!$H$19/L33))</f>
        <v>-0.35748623281588604</v>
      </c>
      <c r="F21" s="73"/>
      <c r="G21" s="43">
        <f>(((1/1000)*(1/L24)*[2]feeding_change_data_pasture!$H$22/L33))</f>
        <v>0.22047056642635146</v>
      </c>
      <c r="K21" t="s">
        <v>129</v>
      </c>
      <c r="L21">
        <v>0.18</v>
      </c>
    </row>
    <row r="22" spans="1:14" x14ac:dyDescent="0.55000000000000004">
      <c r="A22" t="s">
        <v>82</v>
      </c>
      <c r="B22" s="18"/>
      <c r="C22" s="73">
        <f>C20+C21</f>
        <v>-2.5614766443264395E-2</v>
      </c>
      <c r="D22" s="73"/>
      <c r="E22" s="73">
        <f>E20+E21</f>
        <v>-0.3146414495237867</v>
      </c>
      <c r="F22" s="73"/>
      <c r="G22" s="43">
        <f>G20+G21</f>
        <v>0.28297896346113927</v>
      </c>
      <c r="K22" t="s">
        <v>130</v>
      </c>
      <c r="L22">
        <v>0.19</v>
      </c>
    </row>
    <row r="23" spans="1:14" x14ac:dyDescent="0.55000000000000004">
      <c r="A23" t="s">
        <v>73</v>
      </c>
      <c r="B23" s="18"/>
      <c r="C23" s="73">
        <f>L19*(C20+C21)</f>
        <v>-0.7172134604114031</v>
      </c>
      <c r="D23" s="73"/>
      <c r="E23" s="73">
        <f>L19*(E20+E21)</f>
        <v>-8.809960586666028</v>
      </c>
      <c r="F23" s="73"/>
      <c r="G23" s="43">
        <f>L19*(G20+G21)</f>
        <v>7.9234109769118994</v>
      </c>
      <c r="K23" t="s">
        <v>74</v>
      </c>
      <c r="L23">
        <f>[4]Sheet1!$B$6</f>
        <v>0.75</v>
      </c>
    </row>
    <row r="24" spans="1:14" x14ac:dyDescent="0.55000000000000004">
      <c r="A24" t="s">
        <v>8</v>
      </c>
      <c r="B24" s="18"/>
      <c r="C24" s="73">
        <f>(C20+C21)*C19+C23</f>
        <v>-8.9065260774846973</v>
      </c>
      <c r="D24" s="73"/>
      <c r="E24" s="73">
        <f>(E20+E21)*E19+E23</f>
        <v>-109.40417049861856</v>
      </c>
      <c r="F24" s="73"/>
      <c r="G24" s="43">
        <f>(G20+G21)*G19+G23</f>
        <v>102.14259376153426</v>
      </c>
      <c r="K24" t="s">
        <v>75</v>
      </c>
      <c r="L24">
        <v>0.5</v>
      </c>
    </row>
    <row r="25" spans="1:14" x14ac:dyDescent="0.55000000000000004">
      <c r="B25" s="18"/>
      <c r="C25" s="73"/>
      <c r="D25" s="73"/>
      <c r="E25" s="73"/>
      <c r="F25" s="73"/>
      <c r="G25" s="43"/>
    </row>
    <row r="26" spans="1:14" x14ac:dyDescent="0.55000000000000004">
      <c r="B26" s="18"/>
      <c r="C26" s="73"/>
      <c r="D26" s="73"/>
      <c r="E26" s="73"/>
      <c r="F26" s="73"/>
      <c r="G26" s="43"/>
      <c r="K26" s="25" t="s">
        <v>26</v>
      </c>
      <c r="L26">
        <f>7.5</f>
        <v>7.5</v>
      </c>
    </row>
    <row r="27" spans="1:14" x14ac:dyDescent="0.55000000000000004">
      <c r="A27" t="s">
        <v>48</v>
      </c>
      <c r="B27" s="6"/>
      <c r="C27" s="73">
        <f>C5-C13-C15</f>
        <v>880.62230423788765</v>
      </c>
      <c r="D27" s="73"/>
      <c r="E27" s="73">
        <f>E5-E13</f>
        <v>181.77307777823148</v>
      </c>
      <c r="F27" s="73"/>
      <c r="G27" s="43">
        <f>G5-G13</f>
        <v>985.97574143461293</v>
      </c>
      <c r="K27" s="25" t="s">
        <v>26</v>
      </c>
      <c r="L27">
        <f>20</f>
        <v>20</v>
      </c>
    </row>
    <row r="28" spans="1:14" x14ac:dyDescent="0.55000000000000004">
      <c r="A28" t="s">
        <v>6</v>
      </c>
      <c r="B28" s="6"/>
      <c r="C28" s="73">
        <f>C27-Dairy_Income_Baseline!B28</f>
        <v>849.32798976168749</v>
      </c>
      <c r="D28" s="73"/>
      <c r="E28" s="73">
        <f>E27-[5]NPV_Baseline!E33</f>
        <v>22.162452883416393</v>
      </c>
      <c r="F28" s="73"/>
      <c r="G28" s="43">
        <f>G27-[5]NPV_Baseline!E33</f>
        <v>826.36511653979778</v>
      </c>
    </row>
    <row r="29" spans="1:14" x14ac:dyDescent="0.55000000000000004">
      <c r="C29" s="72"/>
      <c r="D29" s="72"/>
      <c r="E29" s="72"/>
      <c r="F29" s="72"/>
      <c r="K29" t="s">
        <v>28</v>
      </c>
      <c r="L29" s="16">
        <f>0.25*L16*'[1]Sensitiity analysis'!$C$4</f>
        <v>0.31928914881116705</v>
      </c>
    </row>
    <row r="30" spans="1:14" ht="15.6" x14ac:dyDescent="0.6">
      <c r="A30" s="78" t="s">
        <v>60</v>
      </c>
      <c r="B30" s="78"/>
      <c r="C30" s="78"/>
      <c r="D30" s="78"/>
      <c r="E30" s="78"/>
      <c r="F30" s="78"/>
      <c r="G30" s="78"/>
      <c r="K30" t="s">
        <v>27</v>
      </c>
      <c r="L30" s="16">
        <f>0.21*L16*'[1]Sensitiity analysis'!$C$4</f>
        <v>0.26820288500138029</v>
      </c>
    </row>
    <row r="31" spans="1:14" x14ac:dyDescent="0.55000000000000004">
      <c r="A31" s="72" t="s">
        <v>61</v>
      </c>
      <c r="B31" s="72"/>
      <c r="C31" s="72"/>
      <c r="D31" s="72"/>
      <c r="E31" s="72"/>
      <c r="F31" s="72"/>
      <c r="G31" s="72"/>
    </row>
    <row r="32" spans="1:14" x14ac:dyDescent="0.55000000000000004">
      <c r="A32" t="s">
        <v>17</v>
      </c>
      <c r="B32" s="18"/>
      <c r="C32" s="77">
        <f>Dairy_Income_Baseline!D36</f>
        <v>7.6629395714680082E-2</v>
      </c>
      <c r="D32" s="77"/>
      <c r="E32" s="77">
        <f>Dairy_Income_Baseline!B36</f>
        <v>0.17880192333425357</v>
      </c>
      <c r="F32" s="77"/>
      <c r="G32" s="5">
        <f>Dairy_Income_Baseline!D36</f>
        <v>7.6629395714680082E-2</v>
      </c>
      <c r="K32" t="s">
        <v>29</v>
      </c>
      <c r="L32">
        <v>13</v>
      </c>
      <c r="M32" s="72"/>
      <c r="N32" s="72"/>
    </row>
    <row r="33" spans="1:12" x14ac:dyDescent="0.55000000000000004">
      <c r="B33" s="18"/>
      <c r="C33" s="72"/>
      <c r="D33" s="72"/>
      <c r="E33" s="72"/>
      <c r="F33" s="72"/>
      <c r="G33" s="18"/>
      <c r="K33" t="s">
        <v>50</v>
      </c>
      <c r="L33">
        <v>5</v>
      </c>
    </row>
    <row r="34" spans="1:12" x14ac:dyDescent="0.55000000000000004">
      <c r="A34" t="s">
        <v>0</v>
      </c>
      <c r="B34" s="18"/>
      <c r="C34" s="77">
        <f>Dairy_Income_Baseline!D38</f>
        <v>195.78810605100765</v>
      </c>
      <c r="D34" s="77"/>
      <c r="E34" s="77">
        <f>Dairy_Income_Baseline!B38</f>
        <v>51.341695128835667</v>
      </c>
      <c r="F34" s="77"/>
      <c r="G34" s="5">
        <f>Dairy_Income_Baseline!D38</f>
        <v>195.78810605100765</v>
      </c>
    </row>
    <row r="35" spans="1:12" x14ac:dyDescent="0.55000000000000004">
      <c r="A35" t="s">
        <v>1</v>
      </c>
      <c r="B35" s="18"/>
      <c r="C35" s="77">
        <f>Dairy_Income_Baseline!D39</f>
        <v>43.934186876416582</v>
      </c>
      <c r="D35" s="77"/>
      <c r="E35" s="77">
        <f>Dairy_Income_Baseline!B39</f>
        <v>7.9183708905169432</v>
      </c>
      <c r="F35" s="77"/>
      <c r="G35" s="5">
        <f>Dairy_Income_Baseline!D39</f>
        <v>43.934186876416582</v>
      </c>
      <c r="K35" t="s">
        <v>33</v>
      </c>
      <c r="L35" s="46">
        <f>Dairy_Income_Baseline!L36</f>
        <v>250.33</v>
      </c>
    </row>
    <row r="36" spans="1:12" x14ac:dyDescent="0.55000000000000004">
      <c r="A36" t="s">
        <v>2</v>
      </c>
      <c r="B36" s="18"/>
      <c r="C36" s="77">
        <f>Dairy_Income_Baseline!D40</f>
        <v>13.28242859054455</v>
      </c>
      <c r="D36" s="77"/>
      <c r="E36" s="77">
        <f>Dairy_Income_Baseline!B40</f>
        <v>10.344968421481811</v>
      </c>
      <c r="F36" s="77"/>
      <c r="G36" s="5">
        <f>Dairy_Income_Baseline!D40</f>
        <v>13.28242859054455</v>
      </c>
      <c r="K36" t="s">
        <v>24</v>
      </c>
      <c r="L36" s="16">
        <f>Dairy_Income_Baseline!L37</f>
        <v>1.9489226995704199</v>
      </c>
    </row>
    <row r="37" spans="1:12" x14ac:dyDescent="0.55000000000000004">
      <c r="A37" t="s">
        <v>5</v>
      </c>
      <c r="B37" s="18"/>
      <c r="C37" s="77">
        <f>Dairy_Income_Baseline!D41</f>
        <v>0.76629395714680093</v>
      </c>
      <c r="D37" s="77"/>
      <c r="E37" s="77">
        <f>Dairy_Income_Baseline!B41</f>
        <v>1.6620356445247294E-5</v>
      </c>
      <c r="F37" s="77"/>
      <c r="G37" s="5">
        <f>Dairy_Income_Baseline!D41</f>
        <v>0.76629395714680093</v>
      </c>
      <c r="K37" t="s">
        <v>34</v>
      </c>
      <c r="L37" s="46">
        <f>Dairy_Income_Baseline!L38</f>
        <v>260.7</v>
      </c>
    </row>
    <row r="38" spans="1:12" x14ac:dyDescent="0.55000000000000004">
      <c r="A38" t="s">
        <v>3</v>
      </c>
      <c r="B38" s="18"/>
      <c r="C38" s="77">
        <f>Dairy_Income_Baseline!D42</f>
        <v>0</v>
      </c>
      <c r="D38" s="77"/>
      <c r="E38" s="77">
        <f>Dairy_Income_Baseline!B42</f>
        <v>0</v>
      </c>
      <c r="F38" s="77"/>
      <c r="G38" s="5">
        <f>Dairy_Income_Baseline!D42</f>
        <v>0</v>
      </c>
      <c r="K38" t="s">
        <v>24</v>
      </c>
      <c r="L38" s="16">
        <f>Dairy_Income_Baseline!L39+0.3</f>
        <v>1.9881786065259406</v>
      </c>
    </row>
    <row r="39" spans="1:12" x14ac:dyDescent="0.55000000000000004">
      <c r="A39" t="s">
        <v>18</v>
      </c>
      <c r="B39" s="18"/>
      <c r="C39" s="77">
        <f>(C20*L26+C21*L27)/100</f>
        <v>-1.4590820929073817E-2</v>
      </c>
      <c r="D39" s="77"/>
      <c r="E39" s="77">
        <f>(E20*L26+E21*L27)/100</f>
        <v>-6.8283887816269762E-2</v>
      </c>
      <c r="F39" s="77"/>
      <c r="G39" s="5">
        <f>(G20*L26+G21*L27)/100</f>
        <v>4.8782243062879378E-2</v>
      </c>
    </row>
    <row r="40" spans="1:12" x14ac:dyDescent="0.55000000000000004">
      <c r="A40" t="s">
        <v>19</v>
      </c>
      <c r="B40" s="18"/>
      <c r="C40" s="73">
        <f>C19*L36</f>
        <v>623.09126607279609</v>
      </c>
      <c r="D40" s="73"/>
      <c r="E40" s="73">
        <f>E19*L36</f>
        <v>623.09126607279609</v>
      </c>
      <c r="F40" s="73"/>
      <c r="G40" s="43">
        <f>G19*L38</f>
        <v>661.97345995462354</v>
      </c>
    </row>
    <row r="41" spans="1:12" x14ac:dyDescent="0.55000000000000004">
      <c r="C41" s="74"/>
      <c r="D41" s="74"/>
      <c r="E41" s="74"/>
      <c r="F41" s="74"/>
    </row>
    <row r="42" spans="1:12" x14ac:dyDescent="0.55000000000000004">
      <c r="B42" s="75" t="s">
        <v>62</v>
      </c>
      <c r="C42" s="75"/>
      <c r="D42" s="75"/>
      <c r="E42" s="75"/>
      <c r="F42" s="75"/>
      <c r="G42" s="75"/>
    </row>
    <row r="43" spans="1:12" x14ac:dyDescent="0.55000000000000004">
      <c r="A43" t="s">
        <v>9</v>
      </c>
      <c r="C43" s="76">
        <f ca="1">_xlfn.NORM.INV(RAND(),C3,C32)</f>
        <v>0.54847800291253102</v>
      </c>
      <c r="D43" s="76"/>
      <c r="E43" s="76">
        <f ca="1">_xlfn.NORM.INV(RAND(),E3,E32)</f>
        <v>-3.9837011029938085E-2</v>
      </c>
      <c r="F43" s="76"/>
      <c r="G43" s="64">
        <f ca="1">_xlfn.NORM.INV(RAND(),G3,G32)</f>
        <v>0.64366682529611352</v>
      </c>
    </row>
    <row r="44" spans="1:12" x14ac:dyDescent="0.55000000000000004">
      <c r="A44" t="s">
        <v>96</v>
      </c>
      <c r="C44" s="77">
        <f ca="1">_xlfn.NORM.INV(RAND(),C4,C4*L22)</f>
        <v>1961.7253056288641</v>
      </c>
      <c r="D44" s="77"/>
      <c r="E44" s="77">
        <f ca="1">_xlfn.NORM.INV(RAND(),E4,E4*L21)</f>
        <v>741.34726539988094</v>
      </c>
      <c r="F44" s="77"/>
      <c r="G44" s="5">
        <f ca="1">_xlfn.NORM.INV(RAND(),G4,G4*L22)</f>
        <v>2410.0367509560137</v>
      </c>
    </row>
    <row r="45" spans="1:12" x14ac:dyDescent="0.55000000000000004">
      <c r="C45" s="72"/>
      <c r="D45" s="72"/>
      <c r="E45" s="72"/>
      <c r="F45" s="72"/>
      <c r="G45" s="18"/>
    </row>
    <row r="46" spans="1:12" x14ac:dyDescent="0.55000000000000004">
      <c r="A46" t="s">
        <v>10</v>
      </c>
      <c r="C46" s="73">
        <f ca="1">_xlfn.NORM.INV(RAND(),C8,C34)</f>
        <v>153.43131556688002</v>
      </c>
      <c r="D46" s="73"/>
      <c r="E46" s="73">
        <f ca="1">_xlfn.NORM.INV(RAND(),E8,E34)</f>
        <v>137.65515694769817</v>
      </c>
      <c r="F46" s="73"/>
      <c r="G46" s="43">
        <f ca="1">_xlfn.NORM.INV(RAND(),G8,G34)</f>
        <v>227.66880834235752</v>
      </c>
    </row>
    <row r="47" spans="1:12" x14ac:dyDescent="0.55000000000000004">
      <c r="A47" t="s">
        <v>1</v>
      </c>
      <c r="C47" s="73">
        <f ca="1">_xlfn.NORM.INV(RAND(),C9,C35)</f>
        <v>-31.306060401476387</v>
      </c>
      <c r="D47" s="73"/>
      <c r="E47" s="73">
        <f ca="1">_xlfn.NORM.INV(RAND(),E9,E35)</f>
        <v>-0.12318959641387917</v>
      </c>
      <c r="F47" s="73"/>
      <c r="G47" s="43">
        <f ca="1">_xlfn.NORM.INV(RAND(),G9,G35)</f>
        <v>-17.80530950880993</v>
      </c>
    </row>
    <row r="48" spans="1:12" x14ac:dyDescent="0.55000000000000004">
      <c r="A48" t="s">
        <v>2</v>
      </c>
      <c r="C48" s="73">
        <f ca="1">_xlfn.NORM.INV(RAND(),C10,C36)</f>
        <v>30.870532248982229</v>
      </c>
      <c r="D48" s="73"/>
      <c r="E48" s="73">
        <f ca="1">_xlfn.NORM.INV(RAND(),E10,E36)</f>
        <v>6.0665300190453815</v>
      </c>
      <c r="F48" s="73"/>
      <c r="G48" s="43">
        <f ca="1">_xlfn.NORM.INV(RAND(),G10,G36)</f>
        <v>22.802149860546599</v>
      </c>
    </row>
    <row r="49" spans="1:7" x14ac:dyDescent="0.55000000000000004">
      <c r="A49" t="s">
        <v>12</v>
      </c>
      <c r="C49" s="73">
        <f ca="1">_xlfn.NORM.INV(RAND(),C11,C37)</f>
        <v>6.1044309570970373E-2</v>
      </c>
      <c r="D49" s="73"/>
      <c r="E49" s="73">
        <f ca="1">_xlfn.NORM.INV(RAND(),E11,E37)</f>
        <v>1.6136496913126739E-4</v>
      </c>
      <c r="F49" s="73"/>
      <c r="G49" s="43">
        <f ca="1">_xlfn.NORM.INV(RAND(),G11,G37)</f>
        <v>0.63489439221078625</v>
      </c>
    </row>
    <row r="50" spans="1:7" x14ac:dyDescent="0.55000000000000004">
      <c r="A50" t="s">
        <v>3</v>
      </c>
      <c r="C50" s="73">
        <v>1E-4</v>
      </c>
      <c r="D50" s="73"/>
      <c r="E50" s="73">
        <v>1E-4</v>
      </c>
      <c r="F50" s="73"/>
      <c r="G50" s="43">
        <v>1E-4</v>
      </c>
    </row>
    <row r="51" spans="1:7" x14ac:dyDescent="0.55000000000000004">
      <c r="C51" s="73"/>
      <c r="D51" s="73"/>
      <c r="E51" s="73"/>
      <c r="F51" s="73"/>
      <c r="G51" s="43"/>
    </row>
    <row r="52" spans="1:7" x14ac:dyDescent="0.55000000000000004">
      <c r="A52" s="1" t="s">
        <v>92</v>
      </c>
      <c r="C52" s="73">
        <f ca="1">SUM(C46:C50)</f>
        <v>153.05693172395684</v>
      </c>
      <c r="D52" s="73"/>
      <c r="E52" s="73">
        <f ca="1">SUM(E46:E50)</f>
        <v>143.59875873529882</v>
      </c>
      <c r="F52" s="73"/>
      <c r="G52" s="43">
        <f ca="1">SUM(G46:G50)</f>
        <v>233.30064308630497</v>
      </c>
    </row>
    <row r="53" spans="1:7" x14ac:dyDescent="0.55000000000000004">
      <c r="A53" s="1"/>
      <c r="C53" s="73"/>
      <c r="D53" s="73"/>
      <c r="E53" s="73"/>
      <c r="F53" s="73"/>
      <c r="G53" s="43"/>
    </row>
    <row r="54" spans="1:7" x14ac:dyDescent="0.55000000000000004">
      <c r="A54" s="1" t="s">
        <v>48</v>
      </c>
      <c r="C54" s="73">
        <f ca="1">C43*C44-C52</f>
        <v>922.90624617033711</v>
      </c>
      <c r="D54" s="73"/>
      <c r="E54" s="73">
        <f ca="1">E43*E44-E52</f>
        <v>-173.13181792404831</v>
      </c>
      <c r="F54" s="73"/>
      <c r="G54" s="43">
        <f ca="1">G43*G44-G52</f>
        <v>1317.9600612485126</v>
      </c>
    </row>
    <row r="55" spans="1:7" x14ac:dyDescent="0.55000000000000004">
      <c r="A55" s="1"/>
      <c r="C55" s="73"/>
      <c r="D55" s="73"/>
      <c r="E55" s="73"/>
      <c r="F55" s="73"/>
      <c r="G55" s="43"/>
    </row>
    <row r="56" spans="1:7" x14ac:dyDescent="0.55000000000000004">
      <c r="A56" s="1" t="s">
        <v>13</v>
      </c>
      <c r="C56" s="73">
        <f ca="1">AVERAGE(C60:C559)</f>
        <v>912.76675200323382</v>
      </c>
      <c r="D56" s="73"/>
      <c r="E56" s="73">
        <f ca="1">AVERAGE(E60:E559)</f>
        <v>1.9714139869342653</v>
      </c>
      <c r="F56" s="73"/>
      <c r="G56" s="43">
        <f ca="1">AVERAGE(G60:G559)</f>
        <v>953.48737505975123</v>
      </c>
    </row>
    <row r="57" spans="1:7" x14ac:dyDescent="0.55000000000000004">
      <c r="A57" s="1" t="s">
        <v>11</v>
      </c>
      <c r="C57" s="73">
        <f ca="1">STDEVA(C60:C559)</f>
        <v>309.96439758334691</v>
      </c>
      <c r="D57" s="73"/>
      <c r="E57" s="73">
        <f t="shared" ref="E57:G57" ca="1" si="1">STDEVA(E60:E559)</f>
        <v>27.323749573666639</v>
      </c>
      <c r="F57" s="73"/>
      <c r="G57" s="43">
        <f t="shared" ca="1" si="1"/>
        <v>281.06762944767502</v>
      </c>
    </row>
    <row r="58" spans="1:7" x14ac:dyDescent="0.55000000000000004">
      <c r="C58" s="72"/>
      <c r="D58" s="72"/>
      <c r="E58" s="72"/>
      <c r="F58" s="72"/>
    </row>
    <row r="59" spans="1:7" x14ac:dyDescent="0.55000000000000004">
      <c r="A59" s="1" t="s">
        <v>64</v>
      </c>
      <c r="C59" s="72"/>
      <c r="D59" s="72"/>
      <c r="E59" s="72"/>
      <c r="F59" s="72"/>
    </row>
    <row r="60" spans="1:7" x14ac:dyDescent="0.55000000000000004">
      <c r="B60" s="18">
        <v>1</v>
      </c>
      <c r="C60" s="43">
        <f ca="1">C54</f>
        <v>922.90624617033711</v>
      </c>
      <c r="D60" s="18">
        <v>1</v>
      </c>
      <c r="E60" s="43">
        <f ca="1">E54</f>
        <v>-173.13181792404831</v>
      </c>
      <c r="F60" s="18">
        <v>1</v>
      </c>
      <c r="G60" s="43">
        <f ca="1">G54</f>
        <v>1317.9600612485126</v>
      </c>
    </row>
    <row r="61" spans="1:7" x14ac:dyDescent="0.55000000000000004">
      <c r="B61" s="18">
        <v>2</v>
      </c>
      <c r="C61" s="43">
        <v>647.48089407370469</v>
      </c>
      <c r="D61" s="18">
        <v>2</v>
      </c>
      <c r="E61" s="43">
        <v>12.127653097521026</v>
      </c>
      <c r="F61" s="18">
        <v>2</v>
      </c>
      <c r="G61" s="43">
        <v>1139.3916887361852</v>
      </c>
    </row>
    <row r="62" spans="1:7" x14ac:dyDescent="0.55000000000000004">
      <c r="B62" s="18">
        <v>3</v>
      </c>
      <c r="C62" s="43">
        <v>950.57242055467941</v>
      </c>
      <c r="D62" s="18">
        <v>3</v>
      </c>
      <c r="E62" s="43">
        <v>-2.9105307926755222</v>
      </c>
      <c r="F62" s="18">
        <v>3</v>
      </c>
      <c r="G62" s="43">
        <v>992.30964909646195</v>
      </c>
    </row>
    <row r="63" spans="1:7" x14ac:dyDescent="0.55000000000000004">
      <c r="B63" s="18">
        <v>4</v>
      </c>
      <c r="C63" s="43">
        <v>1040.0613622371982</v>
      </c>
      <c r="D63" s="18">
        <v>4</v>
      </c>
      <c r="E63" s="43">
        <v>6.1633831100635827</v>
      </c>
      <c r="F63" s="18">
        <v>4</v>
      </c>
      <c r="G63" s="43">
        <v>1067.7047790706549</v>
      </c>
    </row>
    <row r="64" spans="1:7" x14ac:dyDescent="0.55000000000000004">
      <c r="B64" s="18">
        <v>5</v>
      </c>
      <c r="C64" s="43">
        <v>647.51148827597797</v>
      </c>
      <c r="D64" s="18">
        <v>5</v>
      </c>
      <c r="E64" s="43">
        <v>-15.018199292960551</v>
      </c>
      <c r="F64" s="18">
        <v>5</v>
      </c>
      <c r="G64" s="43">
        <v>451.2000299791099</v>
      </c>
    </row>
    <row r="65" spans="2:7" x14ac:dyDescent="0.55000000000000004">
      <c r="B65" s="18">
        <v>6</v>
      </c>
      <c r="C65" s="43">
        <v>1190.4329311372298</v>
      </c>
      <c r="D65" s="18">
        <v>6</v>
      </c>
      <c r="E65" s="43">
        <v>35.757903982888358</v>
      </c>
      <c r="F65" s="18">
        <v>6</v>
      </c>
      <c r="G65" s="43">
        <v>756.37652084464958</v>
      </c>
    </row>
    <row r="66" spans="2:7" x14ac:dyDescent="0.55000000000000004">
      <c r="B66" s="18">
        <v>7</v>
      </c>
      <c r="C66" s="43">
        <v>649.65429493822671</v>
      </c>
      <c r="D66" s="18">
        <v>7</v>
      </c>
      <c r="E66" s="43">
        <v>-0.15232299011777228</v>
      </c>
      <c r="F66" s="18">
        <v>7</v>
      </c>
      <c r="G66" s="43">
        <v>1187.5089055402959</v>
      </c>
    </row>
    <row r="67" spans="2:7" x14ac:dyDescent="0.55000000000000004">
      <c r="B67" s="18">
        <v>8</v>
      </c>
      <c r="C67" s="43">
        <v>1372.5361375258485</v>
      </c>
      <c r="D67" s="18">
        <v>8</v>
      </c>
      <c r="E67" s="43">
        <v>8.2674030045536817</v>
      </c>
      <c r="F67" s="18">
        <v>8</v>
      </c>
      <c r="G67" s="43">
        <v>1023.9706239036871</v>
      </c>
    </row>
    <row r="68" spans="2:7" x14ac:dyDescent="0.55000000000000004">
      <c r="B68" s="18">
        <v>9</v>
      </c>
      <c r="C68" s="43">
        <v>937.70642614154531</v>
      </c>
      <c r="D68" s="18">
        <v>9</v>
      </c>
      <c r="E68" s="43">
        <v>-24.413469303169745</v>
      </c>
      <c r="F68" s="18">
        <v>9</v>
      </c>
      <c r="G68" s="43">
        <v>614.21592497609356</v>
      </c>
    </row>
    <row r="69" spans="2:7" x14ac:dyDescent="0.55000000000000004">
      <c r="B69" s="18">
        <v>10</v>
      </c>
      <c r="C69" s="43">
        <v>1025.0579022590478</v>
      </c>
      <c r="D69" s="18">
        <v>10</v>
      </c>
      <c r="E69" s="43">
        <v>-22.129207978302766</v>
      </c>
      <c r="F69" s="18">
        <v>10</v>
      </c>
      <c r="G69" s="43">
        <v>1038.2786860288513</v>
      </c>
    </row>
    <row r="70" spans="2:7" x14ac:dyDescent="0.55000000000000004">
      <c r="B70" s="18">
        <v>11</v>
      </c>
      <c r="C70" s="43">
        <v>1106.1767843569858</v>
      </c>
      <c r="D70" s="18">
        <v>11</v>
      </c>
      <c r="E70" s="43">
        <v>9.6871209815941306</v>
      </c>
      <c r="F70" s="18">
        <v>11</v>
      </c>
      <c r="G70" s="43">
        <v>624.47833062289817</v>
      </c>
    </row>
    <row r="71" spans="2:7" x14ac:dyDescent="0.55000000000000004">
      <c r="B71" s="18">
        <v>12</v>
      </c>
      <c r="C71" s="43">
        <v>594.36986347304423</v>
      </c>
      <c r="D71" s="18">
        <v>12</v>
      </c>
      <c r="E71" s="43">
        <v>27.444952413791594</v>
      </c>
      <c r="F71" s="18">
        <v>12</v>
      </c>
      <c r="G71" s="43">
        <v>676.44040930269148</v>
      </c>
    </row>
    <row r="72" spans="2:7" x14ac:dyDescent="0.55000000000000004">
      <c r="B72" s="18">
        <v>13</v>
      </c>
      <c r="C72" s="43">
        <v>554.39541282855009</v>
      </c>
      <c r="D72" s="18">
        <v>13</v>
      </c>
      <c r="E72" s="43">
        <v>-13.21795633500675</v>
      </c>
      <c r="F72" s="18">
        <v>13</v>
      </c>
      <c r="G72" s="43">
        <v>1088.5304697519132</v>
      </c>
    </row>
    <row r="73" spans="2:7" x14ac:dyDescent="0.55000000000000004">
      <c r="B73" s="18">
        <v>14</v>
      </c>
      <c r="C73" s="43">
        <v>1177.1502584403631</v>
      </c>
      <c r="D73" s="18">
        <v>14</v>
      </c>
      <c r="E73" s="43">
        <v>-3.9962607821759333</v>
      </c>
      <c r="F73" s="18">
        <v>14</v>
      </c>
      <c r="G73" s="43">
        <v>947.92888149601526</v>
      </c>
    </row>
    <row r="74" spans="2:7" x14ac:dyDescent="0.55000000000000004">
      <c r="B74" s="18">
        <v>15</v>
      </c>
      <c r="C74" s="43">
        <v>898.22110214106431</v>
      </c>
      <c r="D74" s="18">
        <v>15</v>
      </c>
      <c r="E74" s="43">
        <v>28.517098594036874</v>
      </c>
      <c r="F74" s="18">
        <v>15</v>
      </c>
      <c r="G74" s="43">
        <v>1509.4981167721767</v>
      </c>
    </row>
    <row r="75" spans="2:7" x14ac:dyDescent="0.55000000000000004">
      <c r="B75" s="18">
        <v>16</v>
      </c>
      <c r="C75" s="43">
        <v>1142.2814146604017</v>
      </c>
      <c r="D75" s="18">
        <v>16</v>
      </c>
      <c r="E75" s="43">
        <v>-29.485281482941026</v>
      </c>
      <c r="F75" s="18">
        <v>16</v>
      </c>
      <c r="G75" s="43">
        <v>519.10039015047403</v>
      </c>
    </row>
    <row r="76" spans="2:7" x14ac:dyDescent="0.55000000000000004">
      <c r="B76" s="18">
        <v>17</v>
      </c>
      <c r="C76" s="43">
        <v>1102.3581647551375</v>
      </c>
      <c r="D76" s="18">
        <v>17</v>
      </c>
      <c r="E76" s="43">
        <v>19.958256122605739</v>
      </c>
      <c r="F76" s="18">
        <v>17</v>
      </c>
      <c r="G76" s="43">
        <v>501.63035243948298</v>
      </c>
    </row>
    <row r="77" spans="2:7" x14ac:dyDescent="0.55000000000000004">
      <c r="B77" s="18">
        <v>18</v>
      </c>
      <c r="C77" s="43">
        <v>553.06049485574249</v>
      </c>
      <c r="D77" s="18">
        <v>18</v>
      </c>
      <c r="E77" s="43">
        <v>-47.718890626927035</v>
      </c>
      <c r="F77" s="18">
        <v>18</v>
      </c>
      <c r="G77" s="43">
        <v>1086.146903152297</v>
      </c>
    </row>
    <row r="78" spans="2:7" x14ac:dyDescent="0.55000000000000004">
      <c r="B78" s="18">
        <v>19</v>
      </c>
      <c r="C78" s="43">
        <v>1271.9349327431341</v>
      </c>
      <c r="D78" s="18">
        <v>19</v>
      </c>
      <c r="E78" s="43">
        <v>18.135377189943309</v>
      </c>
      <c r="F78" s="18">
        <v>19</v>
      </c>
      <c r="G78" s="43">
        <v>870.62354955893591</v>
      </c>
    </row>
    <row r="79" spans="2:7" x14ac:dyDescent="0.55000000000000004">
      <c r="B79" s="18">
        <v>20</v>
      </c>
      <c r="C79" s="43">
        <v>743.10070044971087</v>
      </c>
      <c r="D79" s="18">
        <v>20</v>
      </c>
      <c r="E79" s="43">
        <v>2.6450448047888462</v>
      </c>
      <c r="F79" s="18">
        <v>20</v>
      </c>
      <c r="G79" s="43">
        <v>841.36442769635846</v>
      </c>
    </row>
    <row r="80" spans="2:7" x14ac:dyDescent="0.55000000000000004">
      <c r="B80" s="18">
        <v>21</v>
      </c>
      <c r="C80" s="43">
        <v>939.87913370658157</v>
      </c>
      <c r="D80" s="18">
        <v>21</v>
      </c>
      <c r="E80" s="43">
        <v>3.5392295113111425</v>
      </c>
      <c r="F80" s="18">
        <v>21</v>
      </c>
      <c r="G80" s="43">
        <v>666.83985888765596</v>
      </c>
    </row>
    <row r="81" spans="2:7" x14ac:dyDescent="0.55000000000000004">
      <c r="B81" s="18">
        <v>22</v>
      </c>
      <c r="C81" s="43">
        <v>699.06682017310345</v>
      </c>
      <c r="D81" s="18">
        <v>22</v>
      </c>
      <c r="E81" s="43">
        <v>5.4907390135802974</v>
      </c>
      <c r="F81" s="18">
        <v>22</v>
      </c>
      <c r="G81" s="43">
        <v>927.1607910091858</v>
      </c>
    </row>
    <row r="82" spans="2:7" x14ac:dyDescent="0.55000000000000004">
      <c r="B82" s="18">
        <v>23</v>
      </c>
      <c r="C82" s="43">
        <v>319.54507347997458</v>
      </c>
      <c r="D82" s="18">
        <v>23</v>
      </c>
      <c r="E82" s="43">
        <v>72.890814833770776</v>
      </c>
      <c r="F82" s="18">
        <v>23</v>
      </c>
      <c r="G82" s="43">
        <v>903.12949104278982</v>
      </c>
    </row>
    <row r="83" spans="2:7" x14ac:dyDescent="0.55000000000000004">
      <c r="B83" s="18">
        <v>24</v>
      </c>
      <c r="C83" s="43">
        <v>431.32787397554404</v>
      </c>
      <c r="D83" s="18">
        <v>24</v>
      </c>
      <c r="E83" s="43">
        <v>-24.559990096009017</v>
      </c>
      <c r="F83" s="18">
        <v>24</v>
      </c>
      <c r="G83" s="43">
        <v>904.09722617408499</v>
      </c>
    </row>
    <row r="84" spans="2:7" x14ac:dyDescent="0.55000000000000004">
      <c r="B84" s="18">
        <v>25</v>
      </c>
      <c r="C84" s="43">
        <v>824.39251288954688</v>
      </c>
      <c r="D84" s="18">
        <v>25</v>
      </c>
      <c r="E84" s="43">
        <v>62.552969234548414</v>
      </c>
      <c r="F84" s="18">
        <v>25</v>
      </c>
      <c r="G84" s="43">
        <v>1238.6519690774001</v>
      </c>
    </row>
    <row r="85" spans="2:7" x14ac:dyDescent="0.55000000000000004">
      <c r="B85" s="18">
        <v>26</v>
      </c>
      <c r="C85" s="43">
        <v>803.65541927351649</v>
      </c>
      <c r="D85" s="18">
        <v>26</v>
      </c>
      <c r="E85" s="43">
        <v>-25.424555215635849</v>
      </c>
      <c r="F85" s="18">
        <v>26</v>
      </c>
      <c r="G85" s="43">
        <v>959.26563705631236</v>
      </c>
    </row>
    <row r="86" spans="2:7" x14ac:dyDescent="0.55000000000000004">
      <c r="B86" s="18">
        <v>27</v>
      </c>
      <c r="C86" s="43">
        <v>787.14835599944377</v>
      </c>
      <c r="D86" s="18">
        <v>27</v>
      </c>
      <c r="E86" s="43">
        <v>14.437357912673757</v>
      </c>
      <c r="F86" s="18">
        <v>27</v>
      </c>
      <c r="G86" s="43">
        <v>905.79131943912216</v>
      </c>
    </row>
    <row r="87" spans="2:7" x14ac:dyDescent="0.55000000000000004">
      <c r="B87" s="18">
        <v>28</v>
      </c>
      <c r="C87" s="43">
        <v>1516.3307991428724</v>
      </c>
      <c r="D87" s="18">
        <v>28</v>
      </c>
      <c r="E87" s="43">
        <v>-2.2337658248511167</v>
      </c>
      <c r="F87" s="18">
        <v>28</v>
      </c>
      <c r="G87" s="43">
        <v>578.97159761047078</v>
      </c>
    </row>
    <row r="88" spans="2:7" x14ac:dyDescent="0.55000000000000004">
      <c r="B88" s="18">
        <v>29</v>
      </c>
      <c r="C88" s="43">
        <v>734.78664723662041</v>
      </c>
      <c r="D88" s="18">
        <v>29</v>
      </c>
      <c r="E88" s="43">
        <v>-14.292508445142468</v>
      </c>
      <c r="F88" s="18">
        <v>29</v>
      </c>
      <c r="G88" s="43">
        <v>1096.977927088255</v>
      </c>
    </row>
    <row r="89" spans="2:7" x14ac:dyDescent="0.55000000000000004">
      <c r="B89" s="18">
        <v>30</v>
      </c>
      <c r="C89" s="43">
        <v>764.88569817885241</v>
      </c>
      <c r="D89" s="18">
        <v>30</v>
      </c>
      <c r="E89" s="43">
        <v>66.591826913522723</v>
      </c>
      <c r="F89" s="18">
        <v>30</v>
      </c>
      <c r="G89" s="43">
        <v>565.95435788963243</v>
      </c>
    </row>
    <row r="90" spans="2:7" x14ac:dyDescent="0.55000000000000004">
      <c r="B90" s="18">
        <v>31</v>
      </c>
      <c r="C90" s="43">
        <v>879.80754889249897</v>
      </c>
      <c r="D90" s="18">
        <v>31</v>
      </c>
      <c r="E90" s="43">
        <v>-40.697653484497557</v>
      </c>
      <c r="F90" s="18">
        <v>31</v>
      </c>
      <c r="G90" s="43">
        <v>503.14912087342327</v>
      </c>
    </row>
    <row r="91" spans="2:7" x14ac:dyDescent="0.55000000000000004">
      <c r="B91" s="18">
        <v>32</v>
      </c>
      <c r="C91" s="43">
        <v>1182.1065374160225</v>
      </c>
      <c r="D91" s="18">
        <v>32</v>
      </c>
      <c r="E91" s="43">
        <v>15.379942933439017</v>
      </c>
      <c r="F91" s="18">
        <v>32</v>
      </c>
      <c r="G91" s="43">
        <v>1026.1019308451548</v>
      </c>
    </row>
    <row r="92" spans="2:7" x14ac:dyDescent="0.55000000000000004">
      <c r="B92" s="18">
        <v>33</v>
      </c>
      <c r="C92" s="43">
        <v>1049.7881518196368</v>
      </c>
      <c r="D92" s="18">
        <v>33</v>
      </c>
      <c r="E92" s="43">
        <v>55.268866231872792</v>
      </c>
      <c r="F92" s="18">
        <v>33</v>
      </c>
      <c r="G92" s="43">
        <v>1194.6408273274415</v>
      </c>
    </row>
    <row r="93" spans="2:7" x14ac:dyDescent="0.55000000000000004">
      <c r="B93" s="18">
        <v>34</v>
      </c>
      <c r="C93" s="43">
        <v>1449.8227552458288</v>
      </c>
      <c r="D93" s="18">
        <v>34</v>
      </c>
      <c r="E93" s="43">
        <v>11.27240068573167</v>
      </c>
      <c r="F93" s="18">
        <v>34</v>
      </c>
      <c r="G93" s="43">
        <v>581.78254913316744</v>
      </c>
    </row>
    <row r="94" spans="2:7" x14ac:dyDescent="0.55000000000000004">
      <c r="B94" s="18">
        <v>35</v>
      </c>
      <c r="C94" s="43">
        <v>591.98282780417208</v>
      </c>
      <c r="D94" s="18">
        <v>35</v>
      </c>
      <c r="E94" s="43">
        <v>-18.616585311230917</v>
      </c>
      <c r="F94" s="18">
        <v>35</v>
      </c>
      <c r="G94" s="43">
        <v>830.51875451740671</v>
      </c>
    </row>
    <row r="95" spans="2:7" x14ac:dyDescent="0.55000000000000004">
      <c r="B95" s="18">
        <v>36</v>
      </c>
      <c r="C95" s="43">
        <v>1042.3592458245155</v>
      </c>
      <c r="D95" s="18">
        <v>36</v>
      </c>
      <c r="E95" s="43">
        <v>-10.185309339427981</v>
      </c>
      <c r="F95" s="18">
        <v>36</v>
      </c>
      <c r="G95" s="43">
        <v>519.59464859851516</v>
      </c>
    </row>
    <row r="96" spans="2:7" x14ac:dyDescent="0.55000000000000004">
      <c r="B96" s="18">
        <v>37</v>
      </c>
      <c r="C96" s="43">
        <v>1032.1183797105159</v>
      </c>
      <c r="D96" s="18">
        <v>37</v>
      </c>
      <c r="E96" s="43">
        <v>1.9659472273118728</v>
      </c>
      <c r="F96" s="18">
        <v>37</v>
      </c>
      <c r="G96" s="43">
        <v>455.96999923027869</v>
      </c>
    </row>
    <row r="97" spans="2:7" x14ac:dyDescent="0.55000000000000004">
      <c r="B97" s="18">
        <v>38</v>
      </c>
      <c r="C97" s="43">
        <v>1229.3780820628649</v>
      </c>
      <c r="D97" s="18">
        <v>38</v>
      </c>
      <c r="E97" s="43">
        <v>25.751223956209042</v>
      </c>
      <c r="F97" s="18">
        <v>38</v>
      </c>
      <c r="G97" s="43">
        <v>885.24761117699018</v>
      </c>
    </row>
    <row r="98" spans="2:7" x14ac:dyDescent="0.55000000000000004">
      <c r="B98" s="18">
        <v>39</v>
      </c>
      <c r="C98" s="43">
        <v>717.61663242098734</v>
      </c>
      <c r="D98" s="18">
        <v>39</v>
      </c>
      <c r="E98" s="43">
        <v>35.902999142649669</v>
      </c>
      <c r="F98" s="18">
        <v>39</v>
      </c>
      <c r="G98" s="43">
        <v>1041.2913204740405</v>
      </c>
    </row>
    <row r="99" spans="2:7" x14ac:dyDescent="0.55000000000000004">
      <c r="B99" s="18">
        <v>40</v>
      </c>
      <c r="C99" s="43">
        <v>1026.9746827158108</v>
      </c>
      <c r="D99" s="18">
        <v>40</v>
      </c>
      <c r="E99" s="43">
        <v>36.093509238799257</v>
      </c>
      <c r="F99" s="18">
        <v>40</v>
      </c>
      <c r="G99" s="43">
        <v>1239.7413208232379</v>
      </c>
    </row>
    <row r="100" spans="2:7" x14ac:dyDescent="0.55000000000000004">
      <c r="B100" s="18">
        <v>41</v>
      </c>
      <c r="C100" s="43">
        <v>541.07461347522371</v>
      </c>
      <c r="D100" s="18">
        <v>41</v>
      </c>
      <c r="E100" s="43">
        <v>-19.147815162205998</v>
      </c>
      <c r="F100" s="18">
        <v>41</v>
      </c>
      <c r="G100" s="43">
        <v>1102.2206272413141</v>
      </c>
    </row>
    <row r="101" spans="2:7" x14ac:dyDescent="0.55000000000000004">
      <c r="B101" s="18">
        <v>42</v>
      </c>
      <c r="C101" s="43">
        <v>1344.2080919422474</v>
      </c>
      <c r="D101" s="18">
        <v>42</v>
      </c>
      <c r="E101" s="43">
        <v>62.706588747978891</v>
      </c>
      <c r="F101" s="18">
        <v>42</v>
      </c>
      <c r="G101" s="43">
        <v>96.113411261730192</v>
      </c>
    </row>
    <row r="102" spans="2:7" x14ac:dyDescent="0.55000000000000004">
      <c r="B102" s="18">
        <v>43</v>
      </c>
      <c r="C102" s="43">
        <v>871.67075142537419</v>
      </c>
      <c r="D102" s="18">
        <v>43</v>
      </c>
      <c r="E102" s="43">
        <v>15.170363950061196</v>
      </c>
      <c r="F102" s="18">
        <v>43</v>
      </c>
      <c r="G102" s="43">
        <v>1034.0778488539531</v>
      </c>
    </row>
    <row r="103" spans="2:7" x14ac:dyDescent="0.55000000000000004">
      <c r="B103" s="18">
        <v>44</v>
      </c>
      <c r="C103" s="43">
        <v>972.94864897470711</v>
      </c>
      <c r="D103" s="18">
        <v>44</v>
      </c>
      <c r="E103" s="43">
        <v>2.6342656731025951</v>
      </c>
      <c r="F103" s="18">
        <v>44</v>
      </c>
      <c r="G103" s="43">
        <v>949.08409443646178</v>
      </c>
    </row>
    <row r="104" spans="2:7" x14ac:dyDescent="0.55000000000000004">
      <c r="B104" s="18">
        <v>45</v>
      </c>
      <c r="C104" s="43">
        <v>588.20639992923657</v>
      </c>
      <c r="D104" s="18">
        <v>45</v>
      </c>
      <c r="E104" s="43">
        <v>35.664273592012542</v>
      </c>
      <c r="F104" s="18">
        <v>45</v>
      </c>
      <c r="G104" s="43">
        <v>977.59320704982588</v>
      </c>
    </row>
    <row r="105" spans="2:7" x14ac:dyDescent="0.55000000000000004">
      <c r="B105" s="18">
        <v>46</v>
      </c>
      <c r="C105" s="43">
        <v>879.90099780200126</v>
      </c>
      <c r="D105" s="18">
        <v>46</v>
      </c>
      <c r="E105" s="43">
        <v>12.09625325335502</v>
      </c>
      <c r="F105" s="18">
        <v>46</v>
      </c>
      <c r="G105" s="43">
        <v>772.73503955704348</v>
      </c>
    </row>
    <row r="106" spans="2:7" x14ac:dyDescent="0.55000000000000004">
      <c r="B106" s="18">
        <v>47</v>
      </c>
      <c r="C106" s="43">
        <v>697.24214305952523</v>
      </c>
      <c r="D106" s="18">
        <v>47</v>
      </c>
      <c r="E106" s="43">
        <v>-4.8815492098169129</v>
      </c>
      <c r="F106" s="18">
        <v>47</v>
      </c>
      <c r="G106" s="43">
        <v>1101.9011649313184</v>
      </c>
    </row>
    <row r="107" spans="2:7" x14ac:dyDescent="0.55000000000000004">
      <c r="B107" s="18">
        <v>48</v>
      </c>
      <c r="C107" s="43">
        <v>902.3514555095353</v>
      </c>
      <c r="D107" s="18">
        <v>48</v>
      </c>
      <c r="E107" s="43">
        <v>-14.543241683812635</v>
      </c>
      <c r="F107" s="18">
        <v>48</v>
      </c>
      <c r="G107" s="43">
        <v>1700.0620925296766</v>
      </c>
    </row>
    <row r="108" spans="2:7" x14ac:dyDescent="0.55000000000000004">
      <c r="B108" s="18">
        <v>49</v>
      </c>
      <c r="C108" s="43">
        <v>1167.8444268416774</v>
      </c>
      <c r="D108" s="18">
        <v>49</v>
      </c>
      <c r="E108" s="43">
        <v>-14.058676480759129</v>
      </c>
      <c r="F108" s="18">
        <v>49</v>
      </c>
      <c r="G108" s="43">
        <v>1761.6045593531985</v>
      </c>
    </row>
    <row r="109" spans="2:7" x14ac:dyDescent="0.55000000000000004">
      <c r="B109" s="18">
        <v>50</v>
      </c>
      <c r="C109" s="43">
        <v>1355.892371583584</v>
      </c>
      <c r="D109" s="18">
        <v>50</v>
      </c>
      <c r="E109" s="43">
        <v>17.527859914401397</v>
      </c>
      <c r="F109" s="18">
        <v>50</v>
      </c>
      <c r="G109" s="43">
        <v>888.71106786538235</v>
      </c>
    </row>
    <row r="110" spans="2:7" x14ac:dyDescent="0.55000000000000004">
      <c r="B110" s="18">
        <v>51</v>
      </c>
      <c r="C110" s="43">
        <v>917.02820684868743</v>
      </c>
      <c r="D110" s="18">
        <v>51</v>
      </c>
      <c r="E110" s="43">
        <v>41.746561237248912</v>
      </c>
      <c r="F110" s="18">
        <v>51</v>
      </c>
      <c r="G110" s="43">
        <v>1549.5677949105223</v>
      </c>
    </row>
    <row r="111" spans="2:7" x14ac:dyDescent="0.55000000000000004">
      <c r="B111" s="18">
        <v>52</v>
      </c>
      <c r="C111" s="43">
        <v>656.10487101276226</v>
      </c>
      <c r="D111" s="18">
        <v>52</v>
      </c>
      <c r="E111" s="43">
        <v>36.728770102318627</v>
      </c>
      <c r="F111" s="18">
        <v>52</v>
      </c>
      <c r="G111" s="43">
        <v>702.05519651064333</v>
      </c>
    </row>
    <row r="112" spans="2:7" x14ac:dyDescent="0.55000000000000004">
      <c r="B112" s="18">
        <v>53</v>
      </c>
      <c r="C112" s="43">
        <v>766.45538814728673</v>
      </c>
      <c r="D112" s="18">
        <v>53</v>
      </c>
      <c r="E112" s="43">
        <v>-47.826305341009956</v>
      </c>
      <c r="F112" s="18">
        <v>53</v>
      </c>
      <c r="G112" s="43">
        <v>666.06889997084227</v>
      </c>
    </row>
    <row r="113" spans="2:7" x14ac:dyDescent="0.55000000000000004">
      <c r="B113" s="18">
        <v>54</v>
      </c>
      <c r="C113" s="43">
        <v>803.19464654376895</v>
      </c>
      <c r="D113" s="18">
        <v>54</v>
      </c>
      <c r="E113" s="43">
        <v>-21.043004045943384</v>
      </c>
      <c r="F113" s="18">
        <v>54</v>
      </c>
      <c r="G113" s="43">
        <v>1376.0657296225497</v>
      </c>
    </row>
    <row r="114" spans="2:7" x14ac:dyDescent="0.55000000000000004">
      <c r="B114" s="18">
        <v>55</v>
      </c>
      <c r="C114" s="43">
        <v>785.61253528336169</v>
      </c>
      <c r="D114" s="18">
        <v>55</v>
      </c>
      <c r="E114" s="43">
        <v>-33.670462877770817</v>
      </c>
      <c r="F114" s="18">
        <v>55</v>
      </c>
      <c r="G114" s="43">
        <v>834.96621151279282</v>
      </c>
    </row>
    <row r="115" spans="2:7" x14ac:dyDescent="0.55000000000000004">
      <c r="B115" s="18">
        <v>56</v>
      </c>
      <c r="C115" s="43">
        <v>1009.6517467928894</v>
      </c>
      <c r="D115" s="18">
        <v>56</v>
      </c>
      <c r="E115" s="43">
        <v>-10.015798376910894</v>
      </c>
      <c r="F115" s="18">
        <v>56</v>
      </c>
      <c r="G115" s="43">
        <v>906.71225614714399</v>
      </c>
    </row>
    <row r="116" spans="2:7" x14ac:dyDescent="0.55000000000000004">
      <c r="B116" s="18">
        <v>57</v>
      </c>
      <c r="C116" s="43">
        <v>572.09451940887766</v>
      </c>
      <c r="D116" s="18">
        <v>57</v>
      </c>
      <c r="E116" s="43">
        <v>18.419303023788434</v>
      </c>
      <c r="F116" s="18">
        <v>57</v>
      </c>
      <c r="G116" s="43">
        <v>890.45565066541224</v>
      </c>
    </row>
    <row r="117" spans="2:7" x14ac:dyDescent="0.55000000000000004">
      <c r="B117" s="18">
        <v>58</v>
      </c>
      <c r="C117" s="43">
        <v>329.77450025287226</v>
      </c>
      <c r="D117" s="18">
        <v>58</v>
      </c>
      <c r="E117" s="43">
        <v>-12.673817116305475</v>
      </c>
      <c r="F117" s="18">
        <v>58</v>
      </c>
      <c r="G117" s="43">
        <v>583.13806016118872</v>
      </c>
    </row>
    <row r="118" spans="2:7" x14ac:dyDescent="0.55000000000000004">
      <c r="B118" s="18">
        <v>59</v>
      </c>
      <c r="C118" s="43">
        <v>1125.080313916372</v>
      </c>
      <c r="D118" s="18">
        <v>59</v>
      </c>
      <c r="E118" s="43">
        <v>45.214177145849391</v>
      </c>
      <c r="F118" s="18">
        <v>59</v>
      </c>
      <c r="G118" s="43">
        <v>1108.1660582537158</v>
      </c>
    </row>
    <row r="119" spans="2:7" x14ac:dyDescent="0.55000000000000004">
      <c r="B119" s="18">
        <v>60</v>
      </c>
      <c r="C119" s="43">
        <v>1152.6228664227697</v>
      </c>
      <c r="D119" s="18">
        <v>60</v>
      </c>
      <c r="E119" s="43">
        <v>-9.5206676449508603</v>
      </c>
      <c r="F119" s="18">
        <v>60</v>
      </c>
      <c r="G119" s="43">
        <v>1176.449737742882</v>
      </c>
    </row>
    <row r="120" spans="2:7" x14ac:dyDescent="0.55000000000000004">
      <c r="B120" s="18">
        <v>61</v>
      </c>
      <c r="C120" s="43">
        <v>1111.6460317297237</v>
      </c>
      <c r="D120" s="18">
        <v>61</v>
      </c>
      <c r="E120" s="43">
        <v>9.6681297089975402</v>
      </c>
      <c r="F120" s="18">
        <v>61</v>
      </c>
      <c r="G120" s="43">
        <v>955.60736061955902</v>
      </c>
    </row>
    <row r="121" spans="2:7" x14ac:dyDescent="0.55000000000000004">
      <c r="B121" s="18">
        <v>62</v>
      </c>
      <c r="C121" s="43">
        <v>1387.6248690987613</v>
      </c>
      <c r="D121" s="18">
        <v>62</v>
      </c>
      <c r="E121" s="43">
        <v>-13.70586590792025</v>
      </c>
      <c r="F121" s="18">
        <v>62</v>
      </c>
      <c r="G121" s="43">
        <v>635.97473248061624</v>
      </c>
    </row>
    <row r="122" spans="2:7" x14ac:dyDescent="0.55000000000000004">
      <c r="B122" s="18">
        <v>63</v>
      </c>
      <c r="C122" s="43">
        <v>746.87986113809109</v>
      </c>
      <c r="D122" s="18">
        <v>63</v>
      </c>
      <c r="E122" s="43">
        <v>24.78944660343884</v>
      </c>
      <c r="F122" s="18">
        <v>63</v>
      </c>
      <c r="G122" s="43">
        <v>1188.9213904436399</v>
      </c>
    </row>
    <row r="123" spans="2:7" x14ac:dyDescent="0.55000000000000004">
      <c r="B123" s="18">
        <v>64</v>
      </c>
      <c r="C123" s="43">
        <v>550.77324487725275</v>
      </c>
      <c r="D123" s="18">
        <v>64</v>
      </c>
      <c r="E123" s="43">
        <v>-23.835713081650972</v>
      </c>
      <c r="F123" s="18">
        <v>64</v>
      </c>
      <c r="G123" s="43">
        <v>1154.6091995223398</v>
      </c>
    </row>
    <row r="124" spans="2:7" x14ac:dyDescent="0.55000000000000004">
      <c r="B124" s="18">
        <v>65</v>
      </c>
      <c r="C124" s="43">
        <v>901.77272341953017</v>
      </c>
      <c r="D124" s="18">
        <v>65</v>
      </c>
      <c r="E124" s="43">
        <v>20.148119850132808</v>
      </c>
      <c r="F124" s="18">
        <v>65</v>
      </c>
      <c r="G124" s="43">
        <v>789.86515634370664</v>
      </c>
    </row>
    <row r="125" spans="2:7" x14ac:dyDescent="0.55000000000000004">
      <c r="B125" s="18">
        <v>66</v>
      </c>
      <c r="C125" s="43">
        <v>946.45679374969518</v>
      </c>
      <c r="D125" s="18">
        <v>66</v>
      </c>
      <c r="E125" s="43">
        <v>4.910222340758037</v>
      </c>
      <c r="F125" s="18">
        <v>66</v>
      </c>
      <c r="G125" s="43">
        <v>1172.3412820041654</v>
      </c>
    </row>
    <row r="126" spans="2:7" x14ac:dyDescent="0.55000000000000004">
      <c r="B126" s="18">
        <v>67</v>
      </c>
      <c r="C126" s="43">
        <v>933.96779100794242</v>
      </c>
      <c r="D126" s="18">
        <v>67</v>
      </c>
      <c r="E126" s="43">
        <v>-20.822985766507731</v>
      </c>
      <c r="F126" s="18">
        <v>67</v>
      </c>
      <c r="G126" s="43">
        <v>827.42230826268644</v>
      </c>
    </row>
    <row r="127" spans="2:7" x14ac:dyDescent="0.55000000000000004">
      <c r="B127" s="18">
        <v>68</v>
      </c>
      <c r="C127" s="43">
        <v>724.59677152839663</v>
      </c>
      <c r="D127" s="18">
        <v>68</v>
      </c>
      <c r="E127" s="43">
        <v>-13.060143533044343</v>
      </c>
      <c r="F127" s="18">
        <v>68</v>
      </c>
      <c r="G127" s="43">
        <v>1027.2398530609148</v>
      </c>
    </row>
    <row r="128" spans="2:7" x14ac:dyDescent="0.55000000000000004">
      <c r="B128" s="18">
        <v>69</v>
      </c>
      <c r="C128" s="43">
        <v>973.8053721540482</v>
      </c>
      <c r="D128" s="18">
        <v>69</v>
      </c>
      <c r="E128" s="43">
        <v>-36.619388859924385</v>
      </c>
      <c r="F128" s="18">
        <v>69</v>
      </c>
      <c r="G128" s="43">
        <v>1017.0633849370446</v>
      </c>
    </row>
    <row r="129" spans="2:7" x14ac:dyDescent="0.55000000000000004">
      <c r="B129" s="18">
        <v>70</v>
      </c>
      <c r="C129" s="43">
        <v>999.98722154053667</v>
      </c>
      <c r="D129" s="18">
        <v>70</v>
      </c>
      <c r="E129" s="43">
        <v>-12.525270845660685</v>
      </c>
      <c r="F129" s="18">
        <v>70</v>
      </c>
      <c r="G129" s="43">
        <v>882.82079731683075</v>
      </c>
    </row>
    <row r="130" spans="2:7" x14ac:dyDescent="0.55000000000000004">
      <c r="B130" s="18">
        <v>71</v>
      </c>
      <c r="C130" s="43">
        <v>1062.2798724718934</v>
      </c>
      <c r="D130" s="18">
        <v>71</v>
      </c>
      <c r="E130" s="43">
        <v>-38.498048682513179</v>
      </c>
      <c r="F130" s="18">
        <v>71</v>
      </c>
      <c r="G130" s="43">
        <v>857.18040996274522</v>
      </c>
    </row>
    <row r="131" spans="2:7" x14ac:dyDescent="0.55000000000000004">
      <c r="B131" s="18">
        <v>72</v>
      </c>
      <c r="C131" s="43">
        <v>1252.3307947343712</v>
      </c>
      <c r="D131" s="18">
        <v>72</v>
      </c>
      <c r="E131" s="43">
        <v>7.2749644766629276</v>
      </c>
      <c r="F131" s="18">
        <v>72</v>
      </c>
      <c r="G131" s="43">
        <v>1118.1069463869553</v>
      </c>
    </row>
    <row r="132" spans="2:7" x14ac:dyDescent="0.55000000000000004">
      <c r="B132" s="18">
        <v>73</v>
      </c>
      <c r="C132" s="43">
        <v>364.17291137786549</v>
      </c>
      <c r="D132" s="18">
        <v>73</v>
      </c>
      <c r="E132" s="43">
        <v>-51.314322482003419</v>
      </c>
      <c r="F132" s="18">
        <v>73</v>
      </c>
      <c r="G132" s="43">
        <v>518.91433659147583</v>
      </c>
    </row>
    <row r="133" spans="2:7" x14ac:dyDescent="0.55000000000000004">
      <c r="B133" s="18">
        <v>74</v>
      </c>
      <c r="C133" s="43">
        <v>1114.3904550274106</v>
      </c>
      <c r="D133" s="18">
        <v>74</v>
      </c>
      <c r="E133" s="43">
        <v>4.7239224274325675</v>
      </c>
      <c r="F133" s="18">
        <v>74</v>
      </c>
      <c r="G133" s="43">
        <v>708.99806163243454</v>
      </c>
    </row>
    <row r="134" spans="2:7" x14ac:dyDescent="0.55000000000000004">
      <c r="B134" s="18">
        <v>75</v>
      </c>
      <c r="C134" s="43">
        <v>571.75532130694398</v>
      </c>
      <c r="D134" s="18">
        <v>75</v>
      </c>
      <c r="E134" s="43">
        <v>24.517050145052238</v>
      </c>
      <c r="F134" s="18">
        <v>75</v>
      </c>
      <c r="G134" s="43">
        <v>401.53238958609137</v>
      </c>
    </row>
    <row r="135" spans="2:7" x14ac:dyDescent="0.55000000000000004">
      <c r="B135" s="18">
        <v>76</v>
      </c>
      <c r="C135" s="43">
        <v>1107.1135407659117</v>
      </c>
      <c r="D135" s="18">
        <v>76</v>
      </c>
      <c r="E135" s="43">
        <v>20.498198916721812</v>
      </c>
      <c r="F135" s="18">
        <v>76</v>
      </c>
      <c r="G135" s="43">
        <v>994.5622251744129</v>
      </c>
    </row>
    <row r="136" spans="2:7" x14ac:dyDescent="0.55000000000000004">
      <c r="B136" s="18">
        <v>77</v>
      </c>
      <c r="C136" s="43">
        <v>1470.3215787398256</v>
      </c>
      <c r="D136" s="18">
        <v>77</v>
      </c>
      <c r="E136" s="43">
        <v>-26.744193786234867</v>
      </c>
      <c r="F136" s="18">
        <v>77</v>
      </c>
      <c r="G136" s="43">
        <v>593.17321485189632</v>
      </c>
    </row>
    <row r="137" spans="2:7" x14ac:dyDescent="0.55000000000000004">
      <c r="B137" s="18">
        <v>78</v>
      </c>
      <c r="C137" s="43">
        <v>1032.9873922711058</v>
      </c>
      <c r="D137" s="18">
        <v>78</v>
      </c>
      <c r="E137" s="43">
        <v>10.883241367970118</v>
      </c>
      <c r="F137" s="18">
        <v>78</v>
      </c>
      <c r="G137" s="43">
        <v>1145.4612286951508</v>
      </c>
    </row>
    <row r="138" spans="2:7" x14ac:dyDescent="0.55000000000000004">
      <c r="B138" s="18">
        <v>79</v>
      </c>
      <c r="C138" s="43">
        <v>1436.2763312862548</v>
      </c>
      <c r="D138" s="18">
        <v>79</v>
      </c>
      <c r="E138" s="43">
        <v>-12.664788229591503</v>
      </c>
      <c r="F138" s="18">
        <v>79</v>
      </c>
      <c r="G138" s="43">
        <v>1101.3327634920774</v>
      </c>
    </row>
    <row r="139" spans="2:7" x14ac:dyDescent="0.55000000000000004">
      <c r="B139" s="18">
        <v>80</v>
      </c>
      <c r="C139" s="43">
        <v>1039.4832851344686</v>
      </c>
      <c r="D139" s="18">
        <v>80</v>
      </c>
      <c r="E139" s="43">
        <v>12.07119595064991</v>
      </c>
      <c r="F139" s="18">
        <v>80</v>
      </c>
      <c r="G139" s="43">
        <v>990.17507009933854</v>
      </c>
    </row>
    <row r="140" spans="2:7" x14ac:dyDescent="0.55000000000000004">
      <c r="B140" s="18">
        <v>81</v>
      </c>
      <c r="C140" s="43">
        <v>1042.2812225262633</v>
      </c>
      <c r="D140" s="18">
        <v>81</v>
      </c>
      <c r="E140" s="43">
        <v>48.29948538850303</v>
      </c>
      <c r="F140" s="18">
        <v>81</v>
      </c>
      <c r="G140" s="43">
        <v>874.89723287623201</v>
      </c>
    </row>
    <row r="141" spans="2:7" x14ac:dyDescent="0.55000000000000004">
      <c r="B141" s="18">
        <v>82</v>
      </c>
      <c r="C141" s="43">
        <v>1118.2024255320014</v>
      </c>
      <c r="D141" s="18">
        <v>82</v>
      </c>
      <c r="E141" s="43">
        <v>2.6925387277218196</v>
      </c>
      <c r="F141" s="18">
        <v>82</v>
      </c>
      <c r="G141" s="43">
        <v>524.74052791588815</v>
      </c>
    </row>
    <row r="142" spans="2:7" x14ac:dyDescent="0.55000000000000004">
      <c r="B142" s="18">
        <v>83</v>
      </c>
      <c r="C142" s="43">
        <v>700.28748289682403</v>
      </c>
      <c r="D142" s="18">
        <v>83</v>
      </c>
      <c r="E142" s="43">
        <v>9.1483227815116646</v>
      </c>
      <c r="F142" s="18">
        <v>83</v>
      </c>
      <c r="G142" s="43">
        <v>866.99892049971061</v>
      </c>
    </row>
    <row r="143" spans="2:7" x14ac:dyDescent="0.55000000000000004">
      <c r="B143" s="18">
        <v>84</v>
      </c>
      <c r="C143" s="43">
        <v>1000.4901819941886</v>
      </c>
      <c r="D143" s="18">
        <v>84</v>
      </c>
      <c r="E143" s="43">
        <v>19.922718787210489</v>
      </c>
      <c r="F143" s="18">
        <v>84</v>
      </c>
      <c r="G143" s="43">
        <v>1322.2129345021997</v>
      </c>
    </row>
    <row r="144" spans="2:7" x14ac:dyDescent="0.55000000000000004">
      <c r="B144" s="18">
        <v>85</v>
      </c>
      <c r="C144" s="43">
        <v>1343.2562157673697</v>
      </c>
      <c r="D144" s="18">
        <v>85</v>
      </c>
      <c r="E144" s="43">
        <v>-7.6200154467025358</v>
      </c>
      <c r="F144" s="18">
        <v>85</v>
      </c>
      <c r="G144" s="43">
        <v>1049.245550855856</v>
      </c>
    </row>
    <row r="145" spans="2:7" x14ac:dyDescent="0.55000000000000004">
      <c r="B145" s="18">
        <v>86</v>
      </c>
      <c r="C145" s="43">
        <v>1277.2334416393178</v>
      </c>
      <c r="D145" s="18">
        <v>86</v>
      </c>
      <c r="E145" s="43">
        <v>42.53279956588873</v>
      </c>
      <c r="F145" s="18">
        <v>86</v>
      </c>
      <c r="G145" s="43">
        <v>1297.212311645914</v>
      </c>
    </row>
    <row r="146" spans="2:7" x14ac:dyDescent="0.55000000000000004">
      <c r="B146" s="18">
        <v>87</v>
      </c>
      <c r="C146" s="43">
        <v>1079.6405749351002</v>
      </c>
      <c r="D146" s="18">
        <v>87</v>
      </c>
      <c r="E146" s="43">
        <v>-5.9261465679076819</v>
      </c>
      <c r="F146" s="18">
        <v>87</v>
      </c>
      <c r="G146" s="43">
        <v>657.32474902259366</v>
      </c>
    </row>
    <row r="147" spans="2:7" x14ac:dyDescent="0.55000000000000004">
      <c r="B147" s="18">
        <v>88</v>
      </c>
      <c r="C147" s="43">
        <v>853.41323887757881</v>
      </c>
      <c r="D147" s="18">
        <v>88</v>
      </c>
      <c r="E147" s="43">
        <v>-24.237476765117854</v>
      </c>
      <c r="F147" s="18">
        <v>88</v>
      </c>
      <c r="G147" s="43">
        <v>1347.7023087418697</v>
      </c>
    </row>
    <row r="148" spans="2:7" x14ac:dyDescent="0.55000000000000004">
      <c r="B148" s="18">
        <v>89</v>
      </c>
      <c r="C148" s="43">
        <v>728.72008865534099</v>
      </c>
      <c r="D148" s="18">
        <v>89</v>
      </c>
      <c r="E148" s="43">
        <v>24.786443363886125</v>
      </c>
      <c r="F148" s="18">
        <v>89</v>
      </c>
      <c r="G148" s="43">
        <v>1210.7115763901782</v>
      </c>
    </row>
    <row r="149" spans="2:7" x14ac:dyDescent="0.55000000000000004">
      <c r="B149" s="18">
        <v>90</v>
      </c>
      <c r="C149" s="43">
        <v>916.52622070732218</v>
      </c>
      <c r="D149" s="18">
        <v>90</v>
      </c>
      <c r="E149" s="43">
        <v>-26.542826830932558</v>
      </c>
      <c r="F149" s="18">
        <v>90</v>
      </c>
      <c r="G149" s="43">
        <v>1190.3583322045408</v>
      </c>
    </row>
    <row r="150" spans="2:7" x14ac:dyDescent="0.55000000000000004">
      <c r="B150" s="18">
        <v>91</v>
      </c>
      <c r="C150" s="43">
        <v>727.38230920244428</v>
      </c>
      <c r="D150" s="18">
        <v>91</v>
      </c>
      <c r="E150" s="43">
        <v>-36.776819929359462</v>
      </c>
      <c r="F150" s="18">
        <v>91</v>
      </c>
      <c r="G150" s="43">
        <v>1273.9742577967695</v>
      </c>
    </row>
    <row r="151" spans="2:7" x14ac:dyDescent="0.55000000000000004">
      <c r="B151" s="18">
        <v>92</v>
      </c>
      <c r="C151" s="43">
        <v>1178.0153433361211</v>
      </c>
      <c r="D151" s="18">
        <v>92</v>
      </c>
      <c r="E151" s="43">
        <v>22.638499153497492</v>
      </c>
      <c r="F151" s="18">
        <v>92</v>
      </c>
      <c r="G151" s="43">
        <v>1328.5894721819107</v>
      </c>
    </row>
    <row r="152" spans="2:7" x14ac:dyDescent="0.55000000000000004">
      <c r="B152" s="18">
        <v>93</v>
      </c>
      <c r="C152" s="43">
        <v>1145.9023236300707</v>
      </c>
      <c r="D152" s="18">
        <v>93</v>
      </c>
      <c r="E152" s="43">
        <v>4.4484545218184897</v>
      </c>
      <c r="F152" s="18">
        <v>93</v>
      </c>
      <c r="G152" s="43">
        <v>1349.185740803196</v>
      </c>
    </row>
    <row r="153" spans="2:7" x14ac:dyDescent="0.55000000000000004">
      <c r="B153" s="18">
        <v>94</v>
      </c>
      <c r="C153" s="43">
        <v>627.37081183047849</v>
      </c>
      <c r="D153" s="18">
        <v>94</v>
      </c>
      <c r="E153" s="43">
        <v>1.5140865080725676</v>
      </c>
      <c r="F153" s="18">
        <v>94</v>
      </c>
      <c r="G153" s="43">
        <v>1432.6770004578038</v>
      </c>
    </row>
    <row r="154" spans="2:7" x14ac:dyDescent="0.55000000000000004">
      <c r="B154" s="18">
        <v>95</v>
      </c>
      <c r="C154" s="43">
        <v>1087.0643286608463</v>
      </c>
      <c r="D154" s="18">
        <v>95</v>
      </c>
      <c r="E154" s="43">
        <v>41.217089430450699</v>
      </c>
      <c r="F154" s="18">
        <v>95</v>
      </c>
      <c r="G154" s="43">
        <v>1072.8965139787285</v>
      </c>
    </row>
    <row r="155" spans="2:7" x14ac:dyDescent="0.55000000000000004">
      <c r="B155" s="18">
        <v>96</v>
      </c>
      <c r="C155" s="43">
        <v>395.30509127925336</v>
      </c>
      <c r="D155" s="18">
        <v>96</v>
      </c>
      <c r="E155" s="43">
        <v>-22.84178293376198</v>
      </c>
      <c r="F155" s="18">
        <v>96</v>
      </c>
      <c r="G155" s="43">
        <v>653.5477004936522</v>
      </c>
    </row>
    <row r="156" spans="2:7" x14ac:dyDescent="0.55000000000000004">
      <c r="B156" s="18">
        <v>97</v>
      </c>
      <c r="C156" s="43">
        <v>1087.0765697513853</v>
      </c>
      <c r="D156" s="18">
        <v>97</v>
      </c>
      <c r="E156" s="43">
        <v>-27.416774132535256</v>
      </c>
      <c r="F156" s="18">
        <v>97</v>
      </c>
      <c r="G156" s="43">
        <v>933.05622560334507</v>
      </c>
    </row>
    <row r="157" spans="2:7" x14ac:dyDescent="0.55000000000000004">
      <c r="B157" s="18">
        <v>98</v>
      </c>
      <c r="C157" s="43">
        <v>754.66523682048569</v>
      </c>
      <c r="D157" s="18">
        <v>98</v>
      </c>
      <c r="E157" s="43">
        <v>1.7436039058785464</v>
      </c>
      <c r="F157" s="18">
        <v>98</v>
      </c>
      <c r="G157" s="43">
        <v>432.38476856388417</v>
      </c>
    </row>
    <row r="158" spans="2:7" x14ac:dyDescent="0.55000000000000004">
      <c r="B158" s="18">
        <v>99</v>
      </c>
      <c r="C158" s="43">
        <v>1307.6338051442849</v>
      </c>
      <c r="D158" s="18">
        <v>99</v>
      </c>
      <c r="E158" s="43">
        <v>-1.4522586325679621</v>
      </c>
      <c r="F158" s="18">
        <v>99</v>
      </c>
      <c r="G158" s="43">
        <v>826.98113512077782</v>
      </c>
    </row>
    <row r="159" spans="2:7" x14ac:dyDescent="0.55000000000000004">
      <c r="B159" s="18">
        <v>100</v>
      </c>
      <c r="C159" s="43">
        <v>1019.4570874304993</v>
      </c>
      <c r="D159" s="18">
        <v>100</v>
      </c>
      <c r="E159" s="43">
        <v>60.402737441457319</v>
      </c>
      <c r="F159" s="18">
        <v>100</v>
      </c>
      <c r="G159" s="43">
        <v>806.93275908875717</v>
      </c>
    </row>
    <row r="160" spans="2:7" x14ac:dyDescent="0.55000000000000004">
      <c r="B160" s="18">
        <v>101</v>
      </c>
      <c r="C160" s="43">
        <v>1103.3851243802605</v>
      </c>
      <c r="D160" s="18">
        <v>101</v>
      </c>
      <c r="E160" s="43">
        <v>-15.912781557561877</v>
      </c>
      <c r="F160" s="18">
        <v>101</v>
      </c>
      <c r="G160" s="43">
        <v>886.15174205964956</v>
      </c>
    </row>
    <row r="161" spans="2:7" x14ac:dyDescent="0.55000000000000004">
      <c r="B161" s="18">
        <v>102</v>
      </c>
      <c r="C161" s="43">
        <v>1113.6057310997762</v>
      </c>
      <c r="D161" s="18">
        <v>102</v>
      </c>
      <c r="E161" s="43">
        <v>-33.327041331863029</v>
      </c>
      <c r="F161" s="18">
        <v>102</v>
      </c>
      <c r="G161" s="43">
        <v>854.60335491690478</v>
      </c>
    </row>
    <row r="162" spans="2:7" x14ac:dyDescent="0.55000000000000004">
      <c r="B162" s="18">
        <v>103</v>
      </c>
      <c r="C162" s="43">
        <v>1253.509501771779</v>
      </c>
      <c r="D162" s="18">
        <v>103</v>
      </c>
      <c r="E162" s="43">
        <v>29.625318554300588</v>
      </c>
      <c r="F162" s="18">
        <v>103</v>
      </c>
      <c r="G162" s="43">
        <v>552.3772223442495</v>
      </c>
    </row>
    <row r="163" spans="2:7" x14ac:dyDescent="0.55000000000000004">
      <c r="B163" s="18">
        <v>104</v>
      </c>
      <c r="C163" s="43">
        <v>727.73942309577194</v>
      </c>
      <c r="D163" s="18">
        <v>104</v>
      </c>
      <c r="E163" s="43">
        <v>11.363050309009356</v>
      </c>
      <c r="F163" s="18">
        <v>104</v>
      </c>
      <c r="G163" s="43">
        <v>674.54367298799298</v>
      </c>
    </row>
    <row r="164" spans="2:7" x14ac:dyDescent="0.55000000000000004">
      <c r="B164" s="18">
        <v>105</v>
      </c>
      <c r="C164" s="43">
        <v>1229.6512863669507</v>
      </c>
      <c r="D164" s="18">
        <v>105</v>
      </c>
      <c r="E164" s="43">
        <v>-1.622562433508838</v>
      </c>
      <c r="F164" s="18">
        <v>105</v>
      </c>
      <c r="G164" s="43">
        <v>764.61585567754935</v>
      </c>
    </row>
    <row r="165" spans="2:7" x14ac:dyDescent="0.55000000000000004">
      <c r="B165" s="18">
        <v>106</v>
      </c>
      <c r="C165" s="43">
        <v>672.98083910565674</v>
      </c>
      <c r="D165" s="18">
        <v>106</v>
      </c>
      <c r="E165" s="43">
        <v>38.508492421763791</v>
      </c>
      <c r="F165" s="18">
        <v>106</v>
      </c>
      <c r="G165" s="43">
        <v>519.37479389055147</v>
      </c>
    </row>
    <row r="166" spans="2:7" x14ac:dyDescent="0.55000000000000004">
      <c r="B166" s="18">
        <v>107</v>
      </c>
      <c r="C166" s="43">
        <v>809.20498181873893</v>
      </c>
      <c r="D166" s="18">
        <v>107</v>
      </c>
      <c r="E166" s="43">
        <v>-67.122846695141419</v>
      </c>
      <c r="F166" s="18">
        <v>107</v>
      </c>
      <c r="G166" s="43">
        <v>768.77812203950157</v>
      </c>
    </row>
    <row r="167" spans="2:7" x14ac:dyDescent="0.55000000000000004">
      <c r="B167" s="18">
        <v>108</v>
      </c>
      <c r="C167" s="43">
        <v>996.82416039215423</v>
      </c>
      <c r="D167" s="18">
        <v>108</v>
      </c>
      <c r="E167" s="43">
        <v>46.373025726839558</v>
      </c>
      <c r="F167" s="18">
        <v>108</v>
      </c>
      <c r="G167" s="43">
        <v>879.65198926752169</v>
      </c>
    </row>
    <row r="168" spans="2:7" x14ac:dyDescent="0.55000000000000004">
      <c r="B168" s="18">
        <v>109</v>
      </c>
      <c r="C168" s="43">
        <v>1107.449654341927</v>
      </c>
      <c r="D168" s="18">
        <v>109</v>
      </c>
      <c r="E168" s="43">
        <v>-31.216262799244589</v>
      </c>
      <c r="F168" s="18">
        <v>109</v>
      </c>
      <c r="G168" s="43">
        <v>726.75927320575761</v>
      </c>
    </row>
    <row r="169" spans="2:7" x14ac:dyDescent="0.55000000000000004">
      <c r="B169" s="18">
        <v>110</v>
      </c>
      <c r="C169" s="43">
        <v>378.39460438421173</v>
      </c>
      <c r="D169" s="18">
        <v>110</v>
      </c>
      <c r="E169" s="43">
        <v>-1.6070030030289479</v>
      </c>
      <c r="F169" s="18">
        <v>110</v>
      </c>
      <c r="G169" s="43">
        <v>1298.7844620592268</v>
      </c>
    </row>
    <row r="170" spans="2:7" x14ac:dyDescent="0.55000000000000004">
      <c r="B170" s="18">
        <v>111</v>
      </c>
      <c r="C170" s="43">
        <v>1023.0337727990327</v>
      </c>
      <c r="D170" s="18">
        <v>111</v>
      </c>
      <c r="E170" s="43">
        <v>-23.073367325785959</v>
      </c>
      <c r="F170" s="18">
        <v>111</v>
      </c>
      <c r="G170" s="43">
        <v>865.50844800790458</v>
      </c>
    </row>
    <row r="171" spans="2:7" x14ac:dyDescent="0.55000000000000004">
      <c r="B171" s="18">
        <v>112</v>
      </c>
      <c r="C171" s="43">
        <v>1747.529925462851</v>
      </c>
      <c r="D171" s="18">
        <v>112</v>
      </c>
      <c r="E171" s="43">
        <v>-6.9580727601447734</v>
      </c>
      <c r="F171" s="18">
        <v>112</v>
      </c>
      <c r="G171" s="43">
        <v>820.96175535438033</v>
      </c>
    </row>
    <row r="172" spans="2:7" x14ac:dyDescent="0.55000000000000004">
      <c r="B172" s="18">
        <v>113</v>
      </c>
      <c r="C172" s="43">
        <v>928.11502721481179</v>
      </c>
      <c r="D172" s="18">
        <v>113</v>
      </c>
      <c r="E172" s="43">
        <v>5.3585623770038424</v>
      </c>
      <c r="F172" s="18">
        <v>113</v>
      </c>
      <c r="G172" s="43">
        <v>698.84824556331409</v>
      </c>
    </row>
    <row r="173" spans="2:7" x14ac:dyDescent="0.55000000000000004">
      <c r="B173" s="18">
        <v>114</v>
      </c>
      <c r="C173" s="43">
        <v>1159.694102640623</v>
      </c>
      <c r="D173" s="18">
        <v>114</v>
      </c>
      <c r="E173" s="43">
        <v>18.419907982036744</v>
      </c>
      <c r="F173" s="18">
        <v>114</v>
      </c>
      <c r="G173" s="43">
        <v>877.8218608161194</v>
      </c>
    </row>
    <row r="174" spans="2:7" x14ac:dyDescent="0.55000000000000004">
      <c r="B174" s="18">
        <v>115</v>
      </c>
      <c r="C174" s="43">
        <v>422.33172783379632</v>
      </c>
      <c r="D174" s="18">
        <v>115</v>
      </c>
      <c r="E174" s="43">
        <v>10.37677990355072</v>
      </c>
      <c r="F174" s="18">
        <v>115</v>
      </c>
      <c r="G174" s="43">
        <v>908.01309203997084</v>
      </c>
    </row>
    <row r="175" spans="2:7" x14ac:dyDescent="0.55000000000000004">
      <c r="B175" s="18">
        <v>116</v>
      </c>
      <c r="C175" s="43">
        <v>1059.143983231409</v>
      </c>
      <c r="D175" s="18">
        <v>116</v>
      </c>
      <c r="E175" s="43">
        <v>-8.9382032339359405</v>
      </c>
      <c r="F175" s="18">
        <v>116</v>
      </c>
      <c r="G175" s="43">
        <v>1104.2951305202155</v>
      </c>
    </row>
    <row r="176" spans="2:7" x14ac:dyDescent="0.55000000000000004">
      <c r="B176" s="18">
        <v>117</v>
      </c>
      <c r="C176" s="43">
        <v>841.91075299499948</v>
      </c>
      <c r="D176" s="18">
        <v>117</v>
      </c>
      <c r="E176" s="43">
        <v>20.955766318648095</v>
      </c>
      <c r="F176" s="18">
        <v>117</v>
      </c>
      <c r="G176" s="43">
        <v>435.85467624364628</v>
      </c>
    </row>
    <row r="177" spans="2:7" x14ac:dyDescent="0.55000000000000004">
      <c r="B177" s="18">
        <v>118</v>
      </c>
      <c r="C177" s="43">
        <v>670.01054656508154</v>
      </c>
      <c r="D177" s="18">
        <v>118</v>
      </c>
      <c r="E177" s="43">
        <v>-19.135723136866513</v>
      </c>
      <c r="F177" s="18">
        <v>118</v>
      </c>
      <c r="G177" s="43">
        <v>427.84067303008578</v>
      </c>
    </row>
    <row r="178" spans="2:7" x14ac:dyDescent="0.55000000000000004">
      <c r="B178" s="18">
        <v>119</v>
      </c>
      <c r="C178" s="43">
        <v>1232.8174895783841</v>
      </c>
      <c r="D178" s="18">
        <v>119</v>
      </c>
      <c r="E178" s="43">
        <v>12.978277240882161</v>
      </c>
      <c r="F178" s="18">
        <v>119</v>
      </c>
      <c r="G178" s="43">
        <v>292.04539695994879</v>
      </c>
    </row>
    <row r="179" spans="2:7" x14ac:dyDescent="0.55000000000000004">
      <c r="B179" s="18">
        <v>120</v>
      </c>
      <c r="C179" s="43">
        <v>1210.9196581362282</v>
      </c>
      <c r="D179" s="18">
        <v>120</v>
      </c>
      <c r="E179" s="43">
        <v>-5.4833572154005124</v>
      </c>
      <c r="F179" s="18">
        <v>120</v>
      </c>
      <c r="G179" s="43">
        <v>1366.8806655975002</v>
      </c>
    </row>
    <row r="180" spans="2:7" x14ac:dyDescent="0.55000000000000004">
      <c r="B180" s="18">
        <v>121</v>
      </c>
      <c r="C180" s="43">
        <v>1123.5659430144915</v>
      </c>
      <c r="D180" s="18">
        <v>121</v>
      </c>
      <c r="E180" s="43">
        <v>-3.5845453696675955</v>
      </c>
      <c r="F180" s="18">
        <v>121</v>
      </c>
      <c r="G180" s="43">
        <v>593.19690059942855</v>
      </c>
    </row>
    <row r="181" spans="2:7" x14ac:dyDescent="0.55000000000000004">
      <c r="B181" s="18">
        <v>122</v>
      </c>
      <c r="C181" s="43">
        <v>970.84029581396112</v>
      </c>
      <c r="D181" s="18">
        <v>122</v>
      </c>
      <c r="E181" s="43">
        <v>37.85288448654201</v>
      </c>
      <c r="F181" s="18">
        <v>122</v>
      </c>
      <c r="G181" s="43">
        <v>1109.9289719295327</v>
      </c>
    </row>
    <row r="182" spans="2:7" x14ac:dyDescent="0.55000000000000004">
      <c r="B182" s="18">
        <v>123</v>
      </c>
      <c r="C182" s="43">
        <v>1167.4360149761499</v>
      </c>
      <c r="D182" s="18">
        <v>123</v>
      </c>
      <c r="E182" s="43">
        <v>17.773702756228918</v>
      </c>
      <c r="F182" s="18">
        <v>123</v>
      </c>
      <c r="G182" s="43">
        <v>941.46202799343132</v>
      </c>
    </row>
    <row r="183" spans="2:7" x14ac:dyDescent="0.55000000000000004">
      <c r="B183" s="18">
        <v>124</v>
      </c>
      <c r="C183" s="43">
        <v>491.81929763075931</v>
      </c>
      <c r="D183" s="18">
        <v>124</v>
      </c>
      <c r="E183" s="43">
        <v>-3.3371096681219519</v>
      </c>
      <c r="F183" s="18">
        <v>124</v>
      </c>
      <c r="G183" s="43">
        <v>1382.9584462589596</v>
      </c>
    </row>
    <row r="184" spans="2:7" x14ac:dyDescent="0.55000000000000004">
      <c r="B184" s="18">
        <v>125</v>
      </c>
      <c r="C184" s="43">
        <v>1081.4835786099163</v>
      </c>
      <c r="D184" s="18">
        <v>125</v>
      </c>
      <c r="E184" s="43">
        <v>14.886023099431759</v>
      </c>
      <c r="F184" s="18">
        <v>125</v>
      </c>
      <c r="G184" s="43">
        <v>1392.4499683082142</v>
      </c>
    </row>
    <row r="185" spans="2:7" x14ac:dyDescent="0.55000000000000004">
      <c r="B185" s="18">
        <v>126</v>
      </c>
      <c r="C185" s="43">
        <v>737.53557659550324</v>
      </c>
      <c r="D185" s="18">
        <v>126</v>
      </c>
      <c r="E185" s="43">
        <v>76.558802297575781</v>
      </c>
      <c r="F185" s="18">
        <v>126</v>
      </c>
      <c r="G185" s="43">
        <v>757.14476905693891</v>
      </c>
    </row>
    <row r="186" spans="2:7" x14ac:dyDescent="0.55000000000000004">
      <c r="B186" s="18">
        <v>127</v>
      </c>
      <c r="C186" s="43">
        <v>1193.6222509229638</v>
      </c>
      <c r="D186" s="18">
        <v>127</v>
      </c>
      <c r="E186" s="43">
        <v>-28.696230399926566</v>
      </c>
      <c r="F186" s="18">
        <v>127</v>
      </c>
      <c r="G186" s="43">
        <v>935.37988919195141</v>
      </c>
    </row>
    <row r="187" spans="2:7" x14ac:dyDescent="0.55000000000000004">
      <c r="B187" s="18">
        <v>128</v>
      </c>
      <c r="C187" s="43">
        <v>724.74801094649797</v>
      </c>
      <c r="D187" s="18">
        <v>128</v>
      </c>
      <c r="E187" s="43">
        <v>29.621958618372151</v>
      </c>
      <c r="F187" s="18">
        <v>128</v>
      </c>
      <c r="G187" s="43">
        <v>1547.2115600771754</v>
      </c>
    </row>
    <row r="188" spans="2:7" x14ac:dyDescent="0.55000000000000004">
      <c r="B188" s="18">
        <v>129</v>
      </c>
      <c r="C188" s="43">
        <v>507.08381172250455</v>
      </c>
      <c r="D188" s="18">
        <v>129</v>
      </c>
      <c r="E188" s="43">
        <v>-9.5153686227579328</v>
      </c>
      <c r="F188" s="18">
        <v>129</v>
      </c>
      <c r="G188" s="43">
        <v>1537.4992733553829</v>
      </c>
    </row>
    <row r="189" spans="2:7" x14ac:dyDescent="0.55000000000000004">
      <c r="B189" s="18">
        <v>130</v>
      </c>
      <c r="C189" s="43">
        <v>533.91389982533269</v>
      </c>
      <c r="D189" s="18">
        <v>130</v>
      </c>
      <c r="E189" s="43">
        <v>-9.4824257387184687</v>
      </c>
      <c r="F189" s="18">
        <v>130</v>
      </c>
      <c r="G189" s="43">
        <v>706.47626964270751</v>
      </c>
    </row>
    <row r="190" spans="2:7" x14ac:dyDescent="0.55000000000000004">
      <c r="B190" s="18">
        <v>131</v>
      </c>
      <c r="C190" s="43">
        <v>458.89380811636164</v>
      </c>
      <c r="D190" s="18">
        <v>131</v>
      </c>
      <c r="E190" s="43">
        <v>-9.4530051146613445</v>
      </c>
      <c r="F190" s="18">
        <v>131</v>
      </c>
      <c r="G190" s="43">
        <v>1259.2617001658077</v>
      </c>
    </row>
    <row r="191" spans="2:7" x14ac:dyDescent="0.55000000000000004">
      <c r="B191" s="18">
        <v>132</v>
      </c>
      <c r="C191" s="43">
        <v>832.76891154375062</v>
      </c>
      <c r="D191" s="18">
        <v>132</v>
      </c>
      <c r="E191" s="43">
        <v>-10.659166216054915</v>
      </c>
      <c r="F191" s="18">
        <v>132</v>
      </c>
      <c r="G191" s="43">
        <v>832.67508410530445</v>
      </c>
    </row>
    <row r="192" spans="2:7" x14ac:dyDescent="0.55000000000000004">
      <c r="B192" s="18">
        <v>133</v>
      </c>
      <c r="C192" s="43">
        <v>1332.5954975557956</v>
      </c>
      <c r="D192" s="18">
        <v>133</v>
      </c>
      <c r="E192" s="43">
        <v>29.939564344170911</v>
      </c>
      <c r="F192" s="18">
        <v>133</v>
      </c>
      <c r="G192" s="43">
        <v>516.56966062245476</v>
      </c>
    </row>
    <row r="193" spans="2:7" x14ac:dyDescent="0.55000000000000004">
      <c r="B193" s="18">
        <v>134</v>
      </c>
      <c r="C193" s="43">
        <v>987.61232579847069</v>
      </c>
      <c r="D193" s="18">
        <v>134</v>
      </c>
      <c r="E193" s="43">
        <v>23.328989993880583</v>
      </c>
      <c r="F193" s="18">
        <v>134</v>
      </c>
      <c r="G193" s="43">
        <v>655.25202746521529</v>
      </c>
    </row>
    <row r="194" spans="2:7" x14ac:dyDescent="0.55000000000000004">
      <c r="B194" s="18">
        <v>135</v>
      </c>
      <c r="C194" s="43">
        <v>771.64617669017036</v>
      </c>
      <c r="D194" s="18">
        <v>135</v>
      </c>
      <c r="E194" s="43">
        <v>-44.824058038293828</v>
      </c>
      <c r="F194" s="18">
        <v>135</v>
      </c>
      <c r="G194" s="43">
        <v>1480.8006315204534</v>
      </c>
    </row>
    <row r="195" spans="2:7" x14ac:dyDescent="0.55000000000000004">
      <c r="B195" s="18">
        <v>136</v>
      </c>
      <c r="C195" s="43">
        <v>827.68147889788543</v>
      </c>
      <c r="D195" s="18">
        <v>136</v>
      </c>
      <c r="E195" s="43">
        <v>-34.465986500081769</v>
      </c>
      <c r="F195" s="18">
        <v>136</v>
      </c>
      <c r="G195" s="43">
        <v>918.02062711913823</v>
      </c>
    </row>
    <row r="196" spans="2:7" x14ac:dyDescent="0.55000000000000004">
      <c r="B196" s="18">
        <v>137</v>
      </c>
      <c r="C196" s="43">
        <v>960.70974382070563</v>
      </c>
      <c r="D196" s="18">
        <v>137</v>
      </c>
      <c r="E196" s="43">
        <v>-35.791441147472518</v>
      </c>
      <c r="F196" s="18">
        <v>137</v>
      </c>
      <c r="G196" s="43">
        <v>1083.427735815817</v>
      </c>
    </row>
    <row r="197" spans="2:7" x14ac:dyDescent="0.55000000000000004">
      <c r="B197" s="18">
        <v>138</v>
      </c>
      <c r="C197" s="43">
        <v>336.34756937101196</v>
      </c>
      <c r="D197" s="18">
        <v>138</v>
      </c>
      <c r="E197" s="43">
        <v>29.607443744415786</v>
      </c>
      <c r="F197" s="18">
        <v>138</v>
      </c>
      <c r="G197" s="43">
        <v>920.64515873018684</v>
      </c>
    </row>
    <row r="198" spans="2:7" x14ac:dyDescent="0.55000000000000004">
      <c r="B198" s="18">
        <v>139</v>
      </c>
      <c r="C198" s="43">
        <v>782.34787881354293</v>
      </c>
      <c r="D198" s="18">
        <v>139</v>
      </c>
      <c r="E198" s="43">
        <v>-1.4379211011417778</v>
      </c>
      <c r="F198" s="18">
        <v>139</v>
      </c>
      <c r="G198" s="43">
        <v>730.2342827049431</v>
      </c>
    </row>
    <row r="199" spans="2:7" x14ac:dyDescent="0.55000000000000004">
      <c r="B199" s="18">
        <v>140</v>
      </c>
      <c r="C199" s="43">
        <v>1058.7124438282342</v>
      </c>
      <c r="D199" s="18">
        <v>140</v>
      </c>
      <c r="E199" s="43">
        <v>11.408126774203668</v>
      </c>
      <c r="F199" s="18">
        <v>140</v>
      </c>
      <c r="G199" s="43">
        <v>1646.1225329808963</v>
      </c>
    </row>
    <row r="200" spans="2:7" x14ac:dyDescent="0.55000000000000004">
      <c r="B200" s="18">
        <v>141</v>
      </c>
      <c r="C200" s="43">
        <v>629.46454021839645</v>
      </c>
      <c r="D200" s="18">
        <v>141</v>
      </c>
      <c r="E200" s="43">
        <v>-0.2092449298651966</v>
      </c>
      <c r="F200" s="18">
        <v>141</v>
      </c>
      <c r="G200" s="43">
        <v>852.31638933384386</v>
      </c>
    </row>
    <row r="201" spans="2:7" x14ac:dyDescent="0.55000000000000004">
      <c r="B201" s="18">
        <v>142</v>
      </c>
      <c r="C201" s="43">
        <v>1237.5173677449743</v>
      </c>
      <c r="D201" s="18">
        <v>142</v>
      </c>
      <c r="E201" s="43">
        <v>40.015354038056756</v>
      </c>
      <c r="F201" s="18">
        <v>142</v>
      </c>
      <c r="G201" s="43">
        <v>834.10185857112378</v>
      </c>
    </row>
    <row r="202" spans="2:7" x14ac:dyDescent="0.55000000000000004">
      <c r="B202" s="18">
        <v>143</v>
      </c>
      <c r="C202" s="43">
        <v>1210.1192352685539</v>
      </c>
      <c r="D202" s="18">
        <v>143</v>
      </c>
      <c r="E202" s="43">
        <v>-7.6438717382153483</v>
      </c>
      <c r="F202" s="18">
        <v>143</v>
      </c>
      <c r="G202" s="43">
        <v>879.59269577540692</v>
      </c>
    </row>
    <row r="203" spans="2:7" x14ac:dyDescent="0.55000000000000004">
      <c r="B203" s="18">
        <v>144</v>
      </c>
      <c r="C203" s="43">
        <v>539.33184599148467</v>
      </c>
      <c r="D203" s="18">
        <v>144</v>
      </c>
      <c r="E203" s="43">
        <v>18.607134666459984</v>
      </c>
      <c r="F203" s="18">
        <v>144</v>
      </c>
      <c r="G203" s="43">
        <v>1169.8500106749091</v>
      </c>
    </row>
    <row r="204" spans="2:7" x14ac:dyDescent="0.55000000000000004">
      <c r="B204" s="18">
        <v>145</v>
      </c>
      <c r="C204" s="43">
        <v>1631.407644806286</v>
      </c>
      <c r="D204" s="18">
        <v>145</v>
      </c>
      <c r="E204" s="43">
        <v>-35.362170281182109</v>
      </c>
      <c r="F204" s="18">
        <v>145</v>
      </c>
      <c r="G204" s="43">
        <v>837.22732393883291</v>
      </c>
    </row>
    <row r="205" spans="2:7" x14ac:dyDescent="0.55000000000000004">
      <c r="B205" s="18">
        <v>146</v>
      </c>
      <c r="C205" s="43">
        <v>1217.9043416951304</v>
      </c>
      <c r="D205" s="18">
        <v>146</v>
      </c>
      <c r="E205" s="43">
        <v>-6.400288039265277</v>
      </c>
      <c r="F205" s="18">
        <v>146</v>
      </c>
      <c r="G205" s="43">
        <v>931.91861665396664</v>
      </c>
    </row>
    <row r="206" spans="2:7" x14ac:dyDescent="0.55000000000000004">
      <c r="B206" s="18">
        <v>147</v>
      </c>
      <c r="C206" s="43">
        <v>922.03163972306606</v>
      </c>
      <c r="D206" s="18">
        <v>147</v>
      </c>
      <c r="E206" s="43">
        <v>5.2125576733696715</v>
      </c>
      <c r="F206" s="18">
        <v>147</v>
      </c>
      <c r="G206" s="43">
        <v>532.93091817269215</v>
      </c>
    </row>
    <row r="207" spans="2:7" x14ac:dyDescent="0.55000000000000004">
      <c r="B207" s="18">
        <v>148</v>
      </c>
      <c r="C207" s="43">
        <v>440.29959570921767</v>
      </c>
      <c r="D207" s="18">
        <v>148</v>
      </c>
      <c r="E207" s="43">
        <v>19.469373037140677</v>
      </c>
      <c r="F207" s="18">
        <v>148</v>
      </c>
      <c r="G207" s="43">
        <v>913.63054995569837</v>
      </c>
    </row>
    <row r="208" spans="2:7" x14ac:dyDescent="0.55000000000000004">
      <c r="B208" s="18">
        <v>149</v>
      </c>
      <c r="C208" s="43">
        <v>1112.3833349132472</v>
      </c>
      <c r="D208" s="18">
        <v>149</v>
      </c>
      <c r="E208" s="43">
        <v>17.891072782236893</v>
      </c>
      <c r="F208" s="18">
        <v>149</v>
      </c>
      <c r="G208" s="43">
        <v>821.57933427124919</v>
      </c>
    </row>
    <row r="209" spans="2:7" x14ac:dyDescent="0.55000000000000004">
      <c r="B209" s="18">
        <v>150</v>
      </c>
      <c r="C209" s="43">
        <v>1001.4302323634347</v>
      </c>
      <c r="D209" s="18">
        <v>150</v>
      </c>
      <c r="E209" s="43">
        <v>-18.575471095609469</v>
      </c>
      <c r="F209" s="18">
        <v>150</v>
      </c>
      <c r="G209" s="43">
        <v>1487.326852647489</v>
      </c>
    </row>
    <row r="210" spans="2:7" x14ac:dyDescent="0.55000000000000004">
      <c r="B210" s="18">
        <v>151</v>
      </c>
      <c r="C210" s="43">
        <v>1737.1497088480694</v>
      </c>
      <c r="D210" s="18">
        <v>151</v>
      </c>
      <c r="E210" s="43">
        <v>-3.8810173483570063</v>
      </c>
      <c r="F210" s="18">
        <v>151</v>
      </c>
      <c r="G210" s="43">
        <v>1092.2868950806333</v>
      </c>
    </row>
    <row r="211" spans="2:7" x14ac:dyDescent="0.55000000000000004">
      <c r="B211" s="18">
        <v>152</v>
      </c>
      <c r="C211" s="43">
        <v>782.71656250091485</v>
      </c>
      <c r="D211" s="18">
        <v>152</v>
      </c>
      <c r="E211" s="43">
        <v>-20.122025597389559</v>
      </c>
      <c r="F211" s="18">
        <v>152</v>
      </c>
      <c r="G211" s="43">
        <v>829.55577978302244</v>
      </c>
    </row>
    <row r="212" spans="2:7" x14ac:dyDescent="0.55000000000000004">
      <c r="B212" s="18">
        <v>153</v>
      </c>
      <c r="C212" s="43">
        <v>951.57550923145027</v>
      </c>
      <c r="D212" s="18">
        <v>153</v>
      </c>
      <c r="E212" s="43">
        <v>21.028135557871522</v>
      </c>
      <c r="F212" s="18">
        <v>153</v>
      </c>
      <c r="G212" s="43">
        <v>1284.0311539476647</v>
      </c>
    </row>
    <row r="213" spans="2:7" x14ac:dyDescent="0.55000000000000004">
      <c r="B213" s="18">
        <v>154</v>
      </c>
      <c r="C213" s="43">
        <v>468.73739107213669</v>
      </c>
      <c r="D213" s="18">
        <v>154</v>
      </c>
      <c r="E213" s="43">
        <v>-29.044999826432974</v>
      </c>
      <c r="F213" s="18">
        <v>154</v>
      </c>
      <c r="G213" s="43">
        <v>1678.0187100530511</v>
      </c>
    </row>
    <row r="214" spans="2:7" x14ac:dyDescent="0.55000000000000004">
      <c r="B214" s="18">
        <v>155</v>
      </c>
      <c r="C214" s="43">
        <v>1397.2780813468048</v>
      </c>
      <c r="D214" s="18">
        <v>155</v>
      </c>
      <c r="E214" s="43">
        <v>-8.2446054883355178</v>
      </c>
      <c r="F214" s="18">
        <v>155</v>
      </c>
      <c r="G214" s="43">
        <v>821.83655558478199</v>
      </c>
    </row>
    <row r="215" spans="2:7" x14ac:dyDescent="0.55000000000000004">
      <c r="B215" s="18">
        <v>156</v>
      </c>
      <c r="C215" s="43">
        <v>881.66409101054046</v>
      </c>
      <c r="D215" s="18">
        <v>156</v>
      </c>
      <c r="E215" s="43">
        <v>20.904583478197683</v>
      </c>
      <c r="F215" s="18">
        <v>156</v>
      </c>
      <c r="G215" s="43">
        <v>1439.306046493524</v>
      </c>
    </row>
    <row r="216" spans="2:7" x14ac:dyDescent="0.55000000000000004">
      <c r="B216" s="18">
        <v>157</v>
      </c>
      <c r="C216" s="43">
        <v>1043.7311959480071</v>
      </c>
      <c r="D216" s="18">
        <v>157</v>
      </c>
      <c r="E216" s="43">
        <v>17.294590844154719</v>
      </c>
      <c r="F216" s="18">
        <v>157</v>
      </c>
      <c r="G216" s="43">
        <v>1220.752120303817</v>
      </c>
    </row>
    <row r="217" spans="2:7" x14ac:dyDescent="0.55000000000000004">
      <c r="B217" s="18">
        <v>158</v>
      </c>
      <c r="C217" s="43">
        <v>843.20357721303412</v>
      </c>
      <c r="D217" s="18">
        <v>158</v>
      </c>
      <c r="E217" s="43">
        <v>10.984741505499288</v>
      </c>
      <c r="F217" s="18">
        <v>158</v>
      </c>
      <c r="G217" s="43">
        <v>1446.115630949726</v>
      </c>
    </row>
    <row r="218" spans="2:7" x14ac:dyDescent="0.55000000000000004">
      <c r="B218" s="18">
        <v>159</v>
      </c>
      <c r="C218" s="43">
        <v>1218.2637597038988</v>
      </c>
      <c r="D218" s="18">
        <v>159</v>
      </c>
      <c r="E218" s="43">
        <v>24.169360814675478</v>
      </c>
      <c r="F218" s="18">
        <v>159</v>
      </c>
      <c r="G218" s="43">
        <v>967.78801215227884</v>
      </c>
    </row>
    <row r="219" spans="2:7" x14ac:dyDescent="0.55000000000000004">
      <c r="B219" s="18">
        <v>160</v>
      </c>
      <c r="C219" s="43">
        <v>1511.6883698477186</v>
      </c>
      <c r="D219" s="18">
        <v>160</v>
      </c>
      <c r="E219" s="43">
        <v>4.4547609753704629</v>
      </c>
      <c r="F219" s="18">
        <v>160</v>
      </c>
      <c r="G219" s="43">
        <v>1196.8406959262988</v>
      </c>
    </row>
    <row r="220" spans="2:7" x14ac:dyDescent="0.55000000000000004">
      <c r="B220" s="18">
        <v>161</v>
      </c>
      <c r="C220" s="43">
        <v>1062.6395833208958</v>
      </c>
      <c r="D220" s="18">
        <v>161</v>
      </c>
      <c r="E220" s="43">
        <v>23.978741827400423</v>
      </c>
      <c r="F220" s="18">
        <v>161</v>
      </c>
      <c r="G220" s="43">
        <v>1312.8230233714351</v>
      </c>
    </row>
    <row r="221" spans="2:7" x14ac:dyDescent="0.55000000000000004">
      <c r="B221" s="18">
        <v>162</v>
      </c>
      <c r="C221" s="43">
        <v>902.42015543611092</v>
      </c>
      <c r="D221" s="18">
        <v>162</v>
      </c>
      <c r="E221" s="43">
        <v>-9.4605835321499221</v>
      </c>
      <c r="F221" s="18">
        <v>162</v>
      </c>
      <c r="G221" s="43">
        <v>833.17531821328726</v>
      </c>
    </row>
    <row r="222" spans="2:7" x14ac:dyDescent="0.55000000000000004">
      <c r="B222" s="18">
        <v>163</v>
      </c>
      <c r="C222" s="43">
        <v>884.60600786403597</v>
      </c>
      <c r="D222" s="18">
        <v>163</v>
      </c>
      <c r="E222" s="43">
        <v>-11.580020724727135</v>
      </c>
      <c r="F222" s="18">
        <v>163</v>
      </c>
      <c r="G222" s="43">
        <v>1152.7285070073062</v>
      </c>
    </row>
    <row r="223" spans="2:7" x14ac:dyDescent="0.55000000000000004">
      <c r="B223" s="18">
        <v>164</v>
      </c>
      <c r="C223" s="43">
        <v>514.11926543842367</v>
      </c>
      <c r="D223" s="18">
        <v>164</v>
      </c>
      <c r="E223" s="43">
        <v>10.812912887044751</v>
      </c>
      <c r="F223" s="18">
        <v>164</v>
      </c>
      <c r="G223" s="43">
        <v>975.93567019549732</v>
      </c>
    </row>
    <row r="224" spans="2:7" x14ac:dyDescent="0.55000000000000004">
      <c r="B224" s="18">
        <v>165</v>
      </c>
      <c r="C224" s="43">
        <v>1196.1584815416643</v>
      </c>
      <c r="D224" s="18">
        <v>165</v>
      </c>
      <c r="E224" s="43">
        <v>15.167102615867211</v>
      </c>
      <c r="F224" s="18">
        <v>165</v>
      </c>
      <c r="G224" s="43">
        <v>1409.439685230559</v>
      </c>
    </row>
    <row r="225" spans="2:7" x14ac:dyDescent="0.55000000000000004">
      <c r="B225" s="18">
        <v>166</v>
      </c>
      <c r="C225" s="43">
        <v>1605.8163151436743</v>
      </c>
      <c r="D225" s="18">
        <v>166</v>
      </c>
      <c r="E225" s="43">
        <v>7.6695054421980657</v>
      </c>
      <c r="F225" s="18">
        <v>166</v>
      </c>
      <c r="G225" s="43">
        <v>636.5053564468642</v>
      </c>
    </row>
    <row r="226" spans="2:7" x14ac:dyDescent="0.55000000000000004">
      <c r="B226" s="18">
        <v>167</v>
      </c>
      <c r="C226" s="43">
        <v>725.03685767365289</v>
      </c>
      <c r="D226" s="18">
        <v>167</v>
      </c>
      <c r="E226" s="43">
        <v>31.858983806755948</v>
      </c>
      <c r="F226" s="18">
        <v>167</v>
      </c>
      <c r="G226" s="43">
        <v>941.83578926797475</v>
      </c>
    </row>
    <row r="227" spans="2:7" x14ac:dyDescent="0.55000000000000004">
      <c r="B227" s="18">
        <v>168</v>
      </c>
      <c r="C227" s="43">
        <v>425.98909999811912</v>
      </c>
      <c r="D227" s="18">
        <v>168</v>
      </c>
      <c r="E227" s="43">
        <v>-28.680789396275024</v>
      </c>
      <c r="F227" s="18">
        <v>168</v>
      </c>
      <c r="G227" s="43">
        <v>949.82983984493967</v>
      </c>
    </row>
    <row r="228" spans="2:7" x14ac:dyDescent="0.55000000000000004">
      <c r="B228" s="18">
        <v>169</v>
      </c>
      <c r="C228" s="43">
        <v>1074.6136030774637</v>
      </c>
      <c r="D228" s="18">
        <v>169</v>
      </c>
      <c r="E228" s="43">
        <v>15.63921300910952</v>
      </c>
      <c r="F228" s="18">
        <v>169</v>
      </c>
      <c r="G228" s="43">
        <v>1207.4797496802516</v>
      </c>
    </row>
    <row r="229" spans="2:7" x14ac:dyDescent="0.55000000000000004">
      <c r="B229" s="18">
        <v>170</v>
      </c>
      <c r="C229" s="43">
        <v>741.07035393884712</v>
      </c>
      <c r="D229" s="18">
        <v>170</v>
      </c>
      <c r="E229" s="43">
        <v>48.36597916304563</v>
      </c>
      <c r="F229" s="18">
        <v>170</v>
      </c>
      <c r="G229" s="43">
        <v>1886.2824777290309</v>
      </c>
    </row>
    <row r="230" spans="2:7" x14ac:dyDescent="0.55000000000000004">
      <c r="B230" s="18">
        <v>171</v>
      </c>
      <c r="C230" s="43">
        <v>679.43939235189077</v>
      </c>
      <c r="D230" s="18">
        <v>171</v>
      </c>
      <c r="E230" s="43">
        <v>1.5689396457055298</v>
      </c>
      <c r="F230" s="18">
        <v>171</v>
      </c>
      <c r="G230" s="43">
        <v>721.86977160565607</v>
      </c>
    </row>
    <row r="231" spans="2:7" x14ac:dyDescent="0.55000000000000004">
      <c r="B231" s="18">
        <v>172</v>
      </c>
      <c r="C231" s="43">
        <v>565.877091864769</v>
      </c>
      <c r="D231" s="18">
        <v>172</v>
      </c>
      <c r="E231" s="43">
        <v>-0.48998143560323204</v>
      </c>
      <c r="F231" s="18">
        <v>172</v>
      </c>
      <c r="G231" s="43">
        <v>1034.0600819234132</v>
      </c>
    </row>
    <row r="232" spans="2:7" x14ac:dyDescent="0.55000000000000004">
      <c r="B232" s="18">
        <v>173</v>
      </c>
      <c r="C232" s="43">
        <v>939.73670631624896</v>
      </c>
      <c r="D232" s="18">
        <v>173</v>
      </c>
      <c r="E232" s="43">
        <v>-2.4546110848892866</v>
      </c>
      <c r="F232" s="18">
        <v>173</v>
      </c>
      <c r="G232" s="43">
        <v>347.43983764936462</v>
      </c>
    </row>
    <row r="233" spans="2:7" x14ac:dyDescent="0.55000000000000004">
      <c r="B233" s="18">
        <v>174</v>
      </c>
      <c r="C233" s="43">
        <v>674.50942980468562</v>
      </c>
      <c r="D233" s="18">
        <v>174</v>
      </c>
      <c r="E233" s="43">
        <v>43.497609965341098</v>
      </c>
      <c r="F233" s="18">
        <v>174</v>
      </c>
      <c r="G233" s="43">
        <v>1137.0101499200787</v>
      </c>
    </row>
    <row r="234" spans="2:7" x14ac:dyDescent="0.55000000000000004">
      <c r="B234" s="18">
        <v>175</v>
      </c>
      <c r="C234" s="43">
        <v>1001.5617317994938</v>
      </c>
      <c r="D234" s="18">
        <v>175</v>
      </c>
      <c r="E234" s="43">
        <v>10.208991268657975</v>
      </c>
      <c r="F234" s="18">
        <v>175</v>
      </c>
      <c r="G234" s="43">
        <v>1350.0417289284801</v>
      </c>
    </row>
    <row r="235" spans="2:7" x14ac:dyDescent="0.55000000000000004">
      <c r="B235" s="18">
        <v>176</v>
      </c>
      <c r="C235" s="43">
        <v>1246.414553148709</v>
      </c>
      <c r="D235" s="18">
        <v>176</v>
      </c>
      <c r="E235" s="43">
        <v>-53.701433714519752</v>
      </c>
      <c r="F235" s="18">
        <v>176</v>
      </c>
      <c r="G235" s="43">
        <v>905.98039914812284</v>
      </c>
    </row>
    <row r="236" spans="2:7" x14ac:dyDescent="0.55000000000000004">
      <c r="B236" s="18">
        <v>177</v>
      </c>
      <c r="C236" s="43">
        <v>738.54686504394863</v>
      </c>
      <c r="D236" s="18">
        <v>177</v>
      </c>
      <c r="E236" s="43">
        <v>-14.758696400323156</v>
      </c>
      <c r="F236" s="18">
        <v>177</v>
      </c>
      <c r="G236" s="43">
        <v>1514.2773162595868</v>
      </c>
    </row>
    <row r="237" spans="2:7" x14ac:dyDescent="0.55000000000000004">
      <c r="B237" s="18">
        <v>178</v>
      </c>
      <c r="C237" s="43">
        <v>472.97335592354887</v>
      </c>
      <c r="D237" s="18">
        <v>178</v>
      </c>
      <c r="E237" s="43">
        <v>-44.835451509101219</v>
      </c>
      <c r="F237" s="18">
        <v>178</v>
      </c>
      <c r="G237" s="43">
        <v>271.91698511707523</v>
      </c>
    </row>
    <row r="238" spans="2:7" x14ac:dyDescent="0.55000000000000004">
      <c r="B238" s="18">
        <v>179</v>
      </c>
      <c r="C238" s="43">
        <v>1412.3844807074468</v>
      </c>
      <c r="D238" s="18">
        <v>179</v>
      </c>
      <c r="E238" s="43">
        <v>1.0677031693507675</v>
      </c>
      <c r="F238" s="18">
        <v>179</v>
      </c>
      <c r="G238" s="43">
        <v>1085.67515236586</v>
      </c>
    </row>
    <row r="239" spans="2:7" x14ac:dyDescent="0.55000000000000004">
      <c r="B239" s="18">
        <v>180</v>
      </c>
      <c r="C239" s="43">
        <v>986.3624986763092</v>
      </c>
      <c r="D239" s="18">
        <v>180</v>
      </c>
      <c r="E239" s="43">
        <v>-1.5635306993079028</v>
      </c>
      <c r="F239" s="18">
        <v>180</v>
      </c>
      <c r="G239" s="43">
        <v>817.14208887123323</v>
      </c>
    </row>
    <row r="240" spans="2:7" x14ac:dyDescent="0.55000000000000004">
      <c r="B240" s="18">
        <v>181</v>
      </c>
      <c r="C240" s="43">
        <v>454.7799208848237</v>
      </c>
      <c r="D240" s="18">
        <v>181</v>
      </c>
      <c r="E240" s="43">
        <v>-4.549227163573569</v>
      </c>
      <c r="F240" s="18">
        <v>181</v>
      </c>
      <c r="G240" s="43">
        <v>1200.4373976687598</v>
      </c>
    </row>
    <row r="241" spans="2:7" x14ac:dyDescent="0.55000000000000004">
      <c r="B241" s="18">
        <v>182</v>
      </c>
      <c r="C241" s="43">
        <v>825.49328941884391</v>
      </c>
      <c r="D241" s="18">
        <v>182</v>
      </c>
      <c r="E241" s="43">
        <v>-36.29726203076747</v>
      </c>
      <c r="F241" s="18">
        <v>182</v>
      </c>
      <c r="G241" s="43">
        <v>545.41589783527183</v>
      </c>
    </row>
    <row r="242" spans="2:7" x14ac:dyDescent="0.55000000000000004">
      <c r="B242" s="18">
        <v>183</v>
      </c>
      <c r="C242" s="43">
        <v>1105.7005418856947</v>
      </c>
      <c r="D242" s="18">
        <v>183</v>
      </c>
      <c r="E242" s="43">
        <v>-50.475790985458353</v>
      </c>
      <c r="F242" s="18">
        <v>183</v>
      </c>
      <c r="G242" s="43">
        <v>1386.5278752303107</v>
      </c>
    </row>
    <row r="243" spans="2:7" x14ac:dyDescent="0.55000000000000004">
      <c r="B243" s="18">
        <v>184</v>
      </c>
      <c r="C243" s="43">
        <v>865.99326588608108</v>
      </c>
      <c r="D243" s="18">
        <v>184</v>
      </c>
      <c r="E243" s="43">
        <v>-6.9568386695845206</v>
      </c>
      <c r="F243" s="18">
        <v>184</v>
      </c>
      <c r="G243" s="43">
        <v>964.95057988302653</v>
      </c>
    </row>
    <row r="244" spans="2:7" x14ac:dyDescent="0.55000000000000004">
      <c r="B244" s="18">
        <v>185</v>
      </c>
      <c r="C244" s="43">
        <v>881.79847280684885</v>
      </c>
      <c r="D244" s="18">
        <v>185</v>
      </c>
      <c r="E244" s="43">
        <v>4.6729257306631338</v>
      </c>
      <c r="F244" s="18">
        <v>185</v>
      </c>
      <c r="G244" s="43">
        <v>1107.299706278855</v>
      </c>
    </row>
    <row r="245" spans="2:7" x14ac:dyDescent="0.55000000000000004">
      <c r="B245" s="18">
        <v>186</v>
      </c>
      <c r="C245" s="43">
        <v>1067.1386322285948</v>
      </c>
      <c r="D245" s="18">
        <v>186</v>
      </c>
      <c r="E245" s="43">
        <v>20.795975390356894</v>
      </c>
      <c r="F245" s="18">
        <v>186</v>
      </c>
      <c r="G245" s="43">
        <v>729.5578420954123</v>
      </c>
    </row>
    <row r="246" spans="2:7" x14ac:dyDescent="0.55000000000000004">
      <c r="B246" s="18">
        <v>187</v>
      </c>
      <c r="C246" s="43">
        <v>1034.387693177164</v>
      </c>
      <c r="D246" s="18">
        <v>187</v>
      </c>
      <c r="E246" s="43">
        <v>10.710268601094667</v>
      </c>
      <c r="F246" s="18">
        <v>187</v>
      </c>
      <c r="G246" s="43">
        <v>737.47189307520591</v>
      </c>
    </row>
    <row r="247" spans="2:7" x14ac:dyDescent="0.55000000000000004">
      <c r="B247" s="18">
        <v>188</v>
      </c>
      <c r="C247" s="43">
        <v>979.09911511023256</v>
      </c>
      <c r="D247" s="18">
        <v>188</v>
      </c>
      <c r="E247" s="43">
        <v>-0.75235210413204778</v>
      </c>
      <c r="F247" s="18">
        <v>188</v>
      </c>
      <c r="G247" s="43">
        <v>934.26290111768708</v>
      </c>
    </row>
    <row r="248" spans="2:7" x14ac:dyDescent="0.55000000000000004">
      <c r="B248" s="18">
        <v>189</v>
      </c>
      <c r="C248" s="43">
        <v>1427.9299203658188</v>
      </c>
      <c r="D248" s="18">
        <v>189</v>
      </c>
      <c r="E248" s="43">
        <v>9.0191442595050315</v>
      </c>
      <c r="F248" s="18">
        <v>189</v>
      </c>
      <c r="G248" s="43">
        <v>1463.814029817577</v>
      </c>
    </row>
    <row r="249" spans="2:7" x14ac:dyDescent="0.55000000000000004">
      <c r="B249" s="18">
        <v>190</v>
      </c>
      <c r="C249" s="43">
        <v>864.71010429555758</v>
      </c>
      <c r="D249" s="18">
        <v>190</v>
      </c>
      <c r="E249" s="43">
        <v>0.12672685347150894</v>
      </c>
      <c r="F249" s="18">
        <v>190</v>
      </c>
      <c r="G249" s="43">
        <v>954.55948782911821</v>
      </c>
    </row>
    <row r="250" spans="2:7" x14ac:dyDescent="0.55000000000000004">
      <c r="B250" s="18">
        <v>191</v>
      </c>
      <c r="C250" s="43">
        <v>1274.9590572582031</v>
      </c>
      <c r="D250" s="18">
        <v>191</v>
      </c>
      <c r="E250" s="43">
        <v>-32.445024952109392</v>
      </c>
      <c r="F250" s="18">
        <v>191</v>
      </c>
      <c r="G250" s="43">
        <v>1305.5491920931649</v>
      </c>
    </row>
    <row r="251" spans="2:7" x14ac:dyDescent="0.55000000000000004">
      <c r="B251" s="18">
        <v>192</v>
      </c>
      <c r="C251" s="43">
        <v>1061.6639753059583</v>
      </c>
      <c r="D251" s="18">
        <v>192</v>
      </c>
      <c r="E251" s="43">
        <v>-27.179596755651595</v>
      </c>
      <c r="F251" s="18">
        <v>192</v>
      </c>
      <c r="G251" s="43">
        <v>767.8742450980784</v>
      </c>
    </row>
    <row r="252" spans="2:7" x14ac:dyDescent="0.55000000000000004">
      <c r="B252" s="18">
        <v>193</v>
      </c>
      <c r="C252" s="43">
        <v>630.81126158102472</v>
      </c>
      <c r="D252" s="18">
        <v>193</v>
      </c>
      <c r="E252" s="43">
        <v>1.4354611155427108</v>
      </c>
      <c r="F252" s="18">
        <v>193</v>
      </c>
      <c r="G252" s="43">
        <v>1220.7196104933735</v>
      </c>
    </row>
    <row r="253" spans="2:7" x14ac:dyDescent="0.55000000000000004">
      <c r="B253" s="18">
        <v>194</v>
      </c>
      <c r="C253" s="43">
        <v>979.14332432620836</v>
      </c>
      <c r="D253" s="18">
        <v>194</v>
      </c>
      <c r="E253" s="43">
        <v>-25.750678937755559</v>
      </c>
      <c r="F253" s="18">
        <v>194</v>
      </c>
      <c r="G253" s="43">
        <v>982.06195753268344</v>
      </c>
    </row>
    <row r="254" spans="2:7" x14ac:dyDescent="0.55000000000000004">
      <c r="B254" s="18">
        <v>195</v>
      </c>
      <c r="C254" s="43">
        <v>732.7400219357055</v>
      </c>
      <c r="D254" s="18">
        <v>195</v>
      </c>
      <c r="E254" s="43">
        <v>11.998583638490501</v>
      </c>
      <c r="F254" s="18">
        <v>195</v>
      </c>
      <c r="G254" s="43">
        <v>1198.0085132951863</v>
      </c>
    </row>
    <row r="255" spans="2:7" x14ac:dyDescent="0.55000000000000004">
      <c r="B255" s="18">
        <v>196</v>
      </c>
      <c r="C255" s="43">
        <v>799.95123619316018</v>
      </c>
      <c r="D255" s="18">
        <v>196</v>
      </c>
      <c r="E255" s="43">
        <v>57.175212322783338</v>
      </c>
      <c r="F255" s="18">
        <v>196</v>
      </c>
      <c r="G255" s="43">
        <v>938.95764383043138</v>
      </c>
    </row>
    <row r="256" spans="2:7" x14ac:dyDescent="0.55000000000000004">
      <c r="B256" s="18">
        <v>197</v>
      </c>
      <c r="C256" s="43">
        <v>505.31403451756512</v>
      </c>
      <c r="D256" s="18">
        <v>197</v>
      </c>
      <c r="E256" s="43">
        <v>-33.465843473608977</v>
      </c>
      <c r="F256" s="18">
        <v>197</v>
      </c>
      <c r="G256" s="43">
        <v>821.29809047541858</v>
      </c>
    </row>
    <row r="257" spans="2:7" x14ac:dyDescent="0.55000000000000004">
      <c r="B257" s="18">
        <v>198</v>
      </c>
      <c r="C257" s="43">
        <v>800.9258532999213</v>
      </c>
      <c r="D257" s="18">
        <v>198</v>
      </c>
      <c r="E257" s="43">
        <v>21.950253509587313</v>
      </c>
      <c r="F257" s="18">
        <v>198</v>
      </c>
      <c r="G257" s="43">
        <v>1084.9670233361596</v>
      </c>
    </row>
    <row r="258" spans="2:7" x14ac:dyDescent="0.55000000000000004">
      <c r="B258" s="18">
        <v>199</v>
      </c>
      <c r="C258" s="43">
        <v>1347.4078090188975</v>
      </c>
      <c r="D258" s="18">
        <v>199</v>
      </c>
      <c r="E258" s="43">
        <v>12.4287828248937</v>
      </c>
      <c r="F258" s="18">
        <v>199</v>
      </c>
      <c r="G258" s="43">
        <v>713.41544560498835</v>
      </c>
    </row>
    <row r="259" spans="2:7" x14ac:dyDescent="0.55000000000000004">
      <c r="B259" s="18">
        <v>200</v>
      </c>
      <c r="C259" s="43">
        <v>1032.8005239610397</v>
      </c>
      <c r="D259" s="18">
        <v>200</v>
      </c>
      <c r="E259" s="43">
        <v>2.4302054145822098</v>
      </c>
      <c r="F259" s="18">
        <v>200</v>
      </c>
      <c r="G259" s="43">
        <v>1000.5467319377456</v>
      </c>
    </row>
    <row r="260" spans="2:7" x14ac:dyDescent="0.55000000000000004">
      <c r="B260" s="18">
        <v>201</v>
      </c>
      <c r="C260" s="43">
        <v>927.17482022978788</v>
      </c>
      <c r="D260" s="18">
        <v>201</v>
      </c>
      <c r="E260" s="43">
        <v>-34.337296467054102</v>
      </c>
      <c r="F260" s="18">
        <v>201</v>
      </c>
      <c r="G260" s="43">
        <v>628.82370028402818</v>
      </c>
    </row>
    <row r="261" spans="2:7" x14ac:dyDescent="0.55000000000000004">
      <c r="B261" s="18">
        <v>202</v>
      </c>
      <c r="C261" s="43">
        <v>1189.6838510166431</v>
      </c>
      <c r="D261" s="18">
        <v>202</v>
      </c>
      <c r="E261" s="43">
        <v>38.375795707950168</v>
      </c>
      <c r="F261" s="18">
        <v>202</v>
      </c>
      <c r="G261" s="43">
        <v>1056.0849726440683</v>
      </c>
    </row>
    <row r="262" spans="2:7" x14ac:dyDescent="0.55000000000000004">
      <c r="B262" s="18">
        <v>203</v>
      </c>
      <c r="C262" s="43">
        <v>786.14034310290015</v>
      </c>
      <c r="D262" s="18">
        <v>203</v>
      </c>
      <c r="E262" s="43">
        <v>-1.694418711999828</v>
      </c>
      <c r="F262" s="18">
        <v>203</v>
      </c>
      <c r="G262" s="43">
        <v>924.44204583650412</v>
      </c>
    </row>
    <row r="263" spans="2:7" x14ac:dyDescent="0.55000000000000004">
      <c r="B263" s="18">
        <v>204</v>
      </c>
      <c r="C263" s="43">
        <v>1024.2714409579432</v>
      </c>
      <c r="D263" s="18">
        <v>204</v>
      </c>
      <c r="E263" s="43">
        <v>-38.846485769543442</v>
      </c>
      <c r="F263" s="18">
        <v>204</v>
      </c>
      <c r="G263" s="43">
        <v>898.60025529301345</v>
      </c>
    </row>
    <row r="264" spans="2:7" x14ac:dyDescent="0.55000000000000004">
      <c r="B264" s="18">
        <v>205</v>
      </c>
      <c r="C264" s="43">
        <v>696.05939380492623</v>
      </c>
      <c r="D264" s="18">
        <v>205</v>
      </c>
      <c r="E264" s="43">
        <v>27.351594963489447</v>
      </c>
      <c r="F264" s="18">
        <v>205</v>
      </c>
      <c r="G264" s="43">
        <v>843.29353158544632</v>
      </c>
    </row>
    <row r="265" spans="2:7" x14ac:dyDescent="0.55000000000000004">
      <c r="B265" s="18">
        <v>206</v>
      </c>
      <c r="C265" s="43">
        <v>628.30777488220178</v>
      </c>
      <c r="D265" s="18">
        <v>206</v>
      </c>
      <c r="E265" s="43">
        <v>11.914368392285363</v>
      </c>
      <c r="F265" s="18">
        <v>206</v>
      </c>
      <c r="G265" s="43">
        <v>1318.3150361794596</v>
      </c>
    </row>
    <row r="266" spans="2:7" x14ac:dyDescent="0.55000000000000004">
      <c r="B266" s="18">
        <v>207</v>
      </c>
      <c r="C266" s="43">
        <v>1245.3602470809994</v>
      </c>
      <c r="D266" s="18">
        <v>207</v>
      </c>
      <c r="E266" s="43">
        <v>24.334078966923084</v>
      </c>
      <c r="F266" s="18">
        <v>207</v>
      </c>
      <c r="G266" s="43">
        <v>672.90387278055778</v>
      </c>
    </row>
    <row r="267" spans="2:7" x14ac:dyDescent="0.55000000000000004">
      <c r="B267" s="18">
        <v>208</v>
      </c>
      <c r="C267" s="43">
        <v>511.7454180388828</v>
      </c>
      <c r="D267" s="18">
        <v>208</v>
      </c>
      <c r="E267" s="43">
        <v>-51.359421796207258</v>
      </c>
      <c r="F267" s="18">
        <v>208</v>
      </c>
      <c r="G267" s="43">
        <v>1082.6506431316388</v>
      </c>
    </row>
    <row r="268" spans="2:7" x14ac:dyDescent="0.55000000000000004">
      <c r="B268" s="18">
        <v>209</v>
      </c>
      <c r="C268" s="43">
        <v>719.09776954542451</v>
      </c>
      <c r="D268" s="18">
        <v>209</v>
      </c>
      <c r="E268" s="43">
        <v>39.153341536362881</v>
      </c>
      <c r="F268" s="18">
        <v>209</v>
      </c>
      <c r="G268" s="43">
        <v>1274.8728490171914</v>
      </c>
    </row>
    <row r="269" spans="2:7" x14ac:dyDescent="0.55000000000000004">
      <c r="B269" s="18">
        <v>210</v>
      </c>
      <c r="C269" s="43">
        <v>917.20211416300151</v>
      </c>
      <c r="D269" s="18">
        <v>210</v>
      </c>
      <c r="E269" s="43">
        <v>-16.585024197701593</v>
      </c>
      <c r="F269" s="18">
        <v>210</v>
      </c>
      <c r="G269" s="43">
        <v>1118.6631042148003</v>
      </c>
    </row>
    <row r="270" spans="2:7" x14ac:dyDescent="0.55000000000000004">
      <c r="B270" s="18">
        <v>211</v>
      </c>
      <c r="C270" s="43">
        <v>1138.5428335456022</v>
      </c>
      <c r="D270" s="18">
        <v>211</v>
      </c>
      <c r="E270" s="43">
        <v>-47.494713118091326</v>
      </c>
      <c r="F270" s="18">
        <v>211</v>
      </c>
      <c r="G270" s="43">
        <v>973.32670797773824</v>
      </c>
    </row>
    <row r="271" spans="2:7" x14ac:dyDescent="0.55000000000000004">
      <c r="B271" s="18">
        <v>212</v>
      </c>
      <c r="C271" s="43">
        <v>929.98806393561097</v>
      </c>
      <c r="D271" s="18">
        <v>212</v>
      </c>
      <c r="E271" s="43">
        <v>-4.6240966038091376</v>
      </c>
      <c r="F271" s="18">
        <v>212</v>
      </c>
      <c r="G271" s="43">
        <v>682.62049240004751</v>
      </c>
    </row>
    <row r="272" spans="2:7" x14ac:dyDescent="0.55000000000000004">
      <c r="B272" s="18">
        <v>213</v>
      </c>
      <c r="C272" s="43">
        <v>999.06739228690162</v>
      </c>
      <c r="D272" s="18">
        <v>213</v>
      </c>
      <c r="E272" s="43">
        <v>58.428359355238669</v>
      </c>
      <c r="F272" s="18">
        <v>213</v>
      </c>
      <c r="G272" s="43">
        <v>883.43044908167735</v>
      </c>
    </row>
    <row r="273" spans="2:7" x14ac:dyDescent="0.55000000000000004">
      <c r="B273" s="18">
        <v>214</v>
      </c>
      <c r="C273" s="43">
        <v>1001.5279194628589</v>
      </c>
      <c r="D273" s="18">
        <v>214</v>
      </c>
      <c r="E273" s="43">
        <v>29.665657383281037</v>
      </c>
      <c r="F273" s="18">
        <v>214</v>
      </c>
      <c r="G273" s="43">
        <v>729.70633029552914</v>
      </c>
    </row>
    <row r="274" spans="2:7" x14ac:dyDescent="0.55000000000000004">
      <c r="B274" s="18">
        <v>215</v>
      </c>
      <c r="C274" s="43">
        <v>529.71966818238411</v>
      </c>
      <c r="D274" s="18">
        <v>215</v>
      </c>
      <c r="E274" s="43">
        <v>41.716581815245618</v>
      </c>
      <c r="F274" s="18">
        <v>215</v>
      </c>
      <c r="G274" s="43">
        <v>1221.5334611581366</v>
      </c>
    </row>
    <row r="275" spans="2:7" x14ac:dyDescent="0.55000000000000004">
      <c r="B275" s="18">
        <v>216</v>
      </c>
      <c r="C275" s="43">
        <v>504.55339024207416</v>
      </c>
      <c r="D275" s="18">
        <v>216</v>
      </c>
      <c r="E275" s="43">
        <v>-10.614267879341808</v>
      </c>
      <c r="F275" s="18">
        <v>216</v>
      </c>
      <c r="G275" s="43">
        <v>1257.2438719793759</v>
      </c>
    </row>
    <row r="276" spans="2:7" x14ac:dyDescent="0.55000000000000004">
      <c r="B276" s="18">
        <v>217</v>
      </c>
      <c r="C276" s="43">
        <v>881.82807008432314</v>
      </c>
      <c r="D276" s="18">
        <v>217</v>
      </c>
      <c r="E276" s="43">
        <v>-7.1676266885803939</v>
      </c>
      <c r="F276" s="18">
        <v>217</v>
      </c>
      <c r="G276" s="43">
        <v>683.40989259000014</v>
      </c>
    </row>
    <row r="277" spans="2:7" x14ac:dyDescent="0.55000000000000004">
      <c r="B277" s="18">
        <v>218</v>
      </c>
      <c r="C277" s="43">
        <v>1236.6892195016108</v>
      </c>
      <c r="D277" s="18">
        <v>218</v>
      </c>
      <c r="E277" s="43">
        <v>-16.55298186934332</v>
      </c>
      <c r="F277" s="18">
        <v>218</v>
      </c>
      <c r="G277" s="43">
        <v>710.68819299157576</v>
      </c>
    </row>
    <row r="278" spans="2:7" x14ac:dyDescent="0.55000000000000004">
      <c r="B278" s="18">
        <v>219</v>
      </c>
      <c r="C278" s="43">
        <v>449.21400922896919</v>
      </c>
      <c r="D278" s="18">
        <v>219</v>
      </c>
      <c r="E278" s="43">
        <v>2.7345201905251391</v>
      </c>
      <c r="F278" s="18">
        <v>219</v>
      </c>
      <c r="G278" s="43">
        <v>793.93604418324742</v>
      </c>
    </row>
    <row r="279" spans="2:7" x14ac:dyDescent="0.55000000000000004">
      <c r="B279" s="18">
        <v>220</v>
      </c>
      <c r="C279" s="43">
        <v>1072.5316614290755</v>
      </c>
      <c r="D279" s="18">
        <v>220</v>
      </c>
      <c r="E279" s="43">
        <v>14.830214741692483</v>
      </c>
      <c r="F279" s="18">
        <v>220</v>
      </c>
      <c r="G279" s="43">
        <v>829.9246024722172</v>
      </c>
    </row>
    <row r="280" spans="2:7" x14ac:dyDescent="0.55000000000000004">
      <c r="B280" s="18">
        <v>221</v>
      </c>
      <c r="C280" s="43">
        <v>834.58553404483939</v>
      </c>
      <c r="D280" s="18">
        <v>221</v>
      </c>
      <c r="E280" s="43">
        <v>-0.34087840378205247</v>
      </c>
      <c r="F280" s="18">
        <v>221</v>
      </c>
      <c r="G280" s="43">
        <v>555.19175799520133</v>
      </c>
    </row>
    <row r="281" spans="2:7" x14ac:dyDescent="0.55000000000000004">
      <c r="B281" s="18">
        <v>222</v>
      </c>
      <c r="C281" s="43">
        <v>1367.1931836902286</v>
      </c>
      <c r="D281" s="18">
        <v>222</v>
      </c>
      <c r="E281" s="43">
        <v>-6.0873838933545521</v>
      </c>
      <c r="F281" s="18">
        <v>222</v>
      </c>
      <c r="G281" s="43">
        <v>1106.3667045900429</v>
      </c>
    </row>
    <row r="282" spans="2:7" x14ac:dyDescent="0.55000000000000004">
      <c r="B282" s="18">
        <v>223</v>
      </c>
      <c r="C282" s="43">
        <v>1332.3031491488407</v>
      </c>
      <c r="D282" s="18">
        <v>223</v>
      </c>
      <c r="E282" s="43">
        <v>38.786989743769297</v>
      </c>
      <c r="F282" s="18">
        <v>223</v>
      </c>
      <c r="G282" s="43">
        <v>808.66738575103159</v>
      </c>
    </row>
    <row r="283" spans="2:7" x14ac:dyDescent="0.55000000000000004">
      <c r="B283" s="18">
        <v>224</v>
      </c>
      <c r="C283" s="43">
        <v>644.5647370000363</v>
      </c>
      <c r="D283" s="18">
        <v>224</v>
      </c>
      <c r="E283" s="43">
        <v>-26.247763825014044</v>
      </c>
      <c r="F283" s="18">
        <v>224</v>
      </c>
      <c r="G283" s="43">
        <v>1222.7640975576039</v>
      </c>
    </row>
    <row r="284" spans="2:7" x14ac:dyDescent="0.55000000000000004">
      <c r="B284" s="18">
        <v>225</v>
      </c>
      <c r="C284" s="43">
        <v>685.9783832756649</v>
      </c>
      <c r="D284" s="18">
        <v>225</v>
      </c>
      <c r="E284" s="43">
        <v>-16.967202979655202</v>
      </c>
      <c r="F284" s="18">
        <v>225</v>
      </c>
      <c r="G284" s="43">
        <v>429.32367937056267</v>
      </c>
    </row>
    <row r="285" spans="2:7" x14ac:dyDescent="0.55000000000000004">
      <c r="B285" s="18">
        <v>226</v>
      </c>
      <c r="C285" s="43">
        <v>229.10598526338245</v>
      </c>
      <c r="D285" s="18">
        <v>226</v>
      </c>
      <c r="E285" s="43">
        <v>-2.5924256200945988</v>
      </c>
      <c r="F285" s="18">
        <v>226</v>
      </c>
      <c r="G285" s="43">
        <v>899.70306659032087</v>
      </c>
    </row>
    <row r="286" spans="2:7" x14ac:dyDescent="0.55000000000000004">
      <c r="B286" s="18">
        <v>227</v>
      </c>
      <c r="C286" s="43">
        <v>418.15300575411368</v>
      </c>
      <c r="D286" s="18">
        <v>227</v>
      </c>
      <c r="E286" s="43">
        <v>-8.630380621786383</v>
      </c>
      <c r="F286" s="18">
        <v>227</v>
      </c>
      <c r="G286" s="43">
        <v>1008.4906457943023</v>
      </c>
    </row>
    <row r="287" spans="2:7" x14ac:dyDescent="0.55000000000000004">
      <c r="B287" s="18">
        <v>228</v>
      </c>
      <c r="C287" s="43">
        <v>557.57449943380698</v>
      </c>
      <c r="D287" s="18">
        <v>228</v>
      </c>
      <c r="E287" s="43">
        <v>-6.6073288105414036</v>
      </c>
      <c r="F287" s="18">
        <v>228</v>
      </c>
      <c r="G287" s="43">
        <v>1113.3046330418006</v>
      </c>
    </row>
    <row r="288" spans="2:7" x14ac:dyDescent="0.55000000000000004">
      <c r="B288" s="18">
        <v>229</v>
      </c>
      <c r="C288" s="43">
        <v>1205.9553134115733</v>
      </c>
      <c r="D288" s="18">
        <v>229</v>
      </c>
      <c r="E288" s="43">
        <v>-42.313494070916434</v>
      </c>
      <c r="F288" s="18">
        <v>229</v>
      </c>
      <c r="G288" s="43">
        <v>1008.2866297823545</v>
      </c>
    </row>
    <row r="289" spans="2:7" x14ac:dyDescent="0.55000000000000004">
      <c r="B289" s="18">
        <v>230</v>
      </c>
      <c r="C289" s="43">
        <v>280.64658753759215</v>
      </c>
      <c r="D289" s="18">
        <v>230</v>
      </c>
      <c r="E289" s="43">
        <v>16.148674147942494</v>
      </c>
      <c r="F289" s="18">
        <v>230</v>
      </c>
      <c r="G289" s="43">
        <v>1155.3740214640254</v>
      </c>
    </row>
    <row r="290" spans="2:7" x14ac:dyDescent="0.55000000000000004">
      <c r="B290" s="18">
        <v>231</v>
      </c>
      <c r="C290" s="43">
        <v>1084.4173437653856</v>
      </c>
      <c r="D290" s="18">
        <v>231</v>
      </c>
      <c r="E290" s="43">
        <v>-35.604612948190621</v>
      </c>
      <c r="F290" s="18">
        <v>231</v>
      </c>
      <c r="G290" s="43">
        <v>860.16195018099313</v>
      </c>
    </row>
    <row r="291" spans="2:7" x14ac:dyDescent="0.55000000000000004">
      <c r="B291" s="18">
        <v>232</v>
      </c>
      <c r="C291" s="43">
        <v>950.52648013595649</v>
      </c>
      <c r="D291" s="18">
        <v>232</v>
      </c>
      <c r="E291" s="43">
        <v>-4.3583255452428356</v>
      </c>
      <c r="F291" s="18">
        <v>232</v>
      </c>
      <c r="G291" s="43">
        <v>1365.4894772597411</v>
      </c>
    </row>
    <row r="292" spans="2:7" x14ac:dyDescent="0.55000000000000004">
      <c r="B292" s="18">
        <v>233</v>
      </c>
      <c r="C292" s="43">
        <v>719.2393532287058</v>
      </c>
      <c r="D292" s="18">
        <v>233</v>
      </c>
      <c r="E292" s="43">
        <v>36.057357132964697</v>
      </c>
      <c r="F292" s="18">
        <v>233</v>
      </c>
      <c r="G292" s="43">
        <v>1039.305581200008</v>
      </c>
    </row>
    <row r="293" spans="2:7" x14ac:dyDescent="0.55000000000000004">
      <c r="B293" s="18">
        <v>234</v>
      </c>
      <c r="C293" s="43">
        <v>1025.82289759688</v>
      </c>
      <c r="D293" s="18">
        <v>234</v>
      </c>
      <c r="E293" s="43">
        <v>51.940053865113555</v>
      </c>
      <c r="F293" s="18">
        <v>234</v>
      </c>
      <c r="G293" s="43">
        <v>1502.9956448353539</v>
      </c>
    </row>
    <row r="294" spans="2:7" x14ac:dyDescent="0.55000000000000004">
      <c r="B294" s="18">
        <v>235</v>
      </c>
      <c r="C294" s="43">
        <v>1037.4489268039838</v>
      </c>
      <c r="D294" s="18">
        <v>235</v>
      </c>
      <c r="E294" s="43">
        <v>33.848549375289466</v>
      </c>
      <c r="F294" s="18">
        <v>235</v>
      </c>
      <c r="G294" s="43">
        <v>696.44269050771072</v>
      </c>
    </row>
    <row r="295" spans="2:7" x14ac:dyDescent="0.55000000000000004">
      <c r="B295" s="18">
        <v>236</v>
      </c>
      <c r="C295" s="43">
        <v>829.41510286070354</v>
      </c>
      <c r="D295" s="18">
        <v>236</v>
      </c>
      <c r="E295" s="43">
        <v>-33.861278086880723</v>
      </c>
      <c r="F295" s="18">
        <v>236</v>
      </c>
      <c r="G295" s="43">
        <v>915.39082434108172</v>
      </c>
    </row>
    <row r="296" spans="2:7" x14ac:dyDescent="0.55000000000000004">
      <c r="B296" s="18">
        <v>237</v>
      </c>
      <c r="C296" s="43">
        <v>931.29873505760258</v>
      </c>
      <c r="D296" s="18">
        <v>237</v>
      </c>
      <c r="E296" s="43">
        <v>-1.4285356523033628</v>
      </c>
      <c r="F296" s="18">
        <v>237</v>
      </c>
      <c r="G296" s="43">
        <v>488.27068910194487</v>
      </c>
    </row>
    <row r="297" spans="2:7" x14ac:dyDescent="0.55000000000000004">
      <c r="B297" s="18">
        <v>238</v>
      </c>
      <c r="C297" s="43">
        <v>1611.4390930932275</v>
      </c>
      <c r="D297" s="18">
        <v>238</v>
      </c>
      <c r="E297" s="43">
        <v>10.222309699138005</v>
      </c>
      <c r="F297" s="18">
        <v>238</v>
      </c>
      <c r="G297" s="43">
        <v>951.37028543604049</v>
      </c>
    </row>
    <row r="298" spans="2:7" x14ac:dyDescent="0.55000000000000004">
      <c r="B298" s="18">
        <v>239</v>
      </c>
      <c r="C298" s="43">
        <v>1017.5431010277136</v>
      </c>
      <c r="D298" s="18">
        <v>239</v>
      </c>
      <c r="E298" s="43">
        <v>-4.1816900136682822</v>
      </c>
      <c r="F298" s="18">
        <v>239</v>
      </c>
      <c r="G298" s="43">
        <v>501.97928774198562</v>
      </c>
    </row>
    <row r="299" spans="2:7" x14ac:dyDescent="0.55000000000000004">
      <c r="B299" s="18">
        <v>240</v>
      </c>
      <c r="C299" s="43">
        <v>1209.9507379876206</v>
      </c>
      <c r="D299" s="18">
        <v>240</v>
      </c>
      <c r="E299" s="43">
        <v>-25.141610461877271</v>
      </c>
      <c r="F299" s="18">
        <v>240</v>
      </c>
      <c r="G299" s="43">
        <v>726.94537613074476</v>
      </c>
    </row>
    <row r="300" spans="2:7" x14ac:dyDescent="0.55000000000000004">
      <c r="B300" s="18">
        <v>241</v>
      </c>
      <c r="C300" s="43">
        <v>1049.5551066877752</v>
      </c>
      <c r="D300" s="18">
        <v>241</v>
      </c>
      <c r="E300" s="43">
        <v>7.7874842396494515</v>
      </c>
      <c r="F300" s="18">
        <v>241</v>
      </c>
      <c r="G300" s="43">
        <v>1009.256562077798</v>
      </c>
    </row>
    <row r="301" spans="2:7" x14ac:dyDescent="0.55000000000000004">
      <c r="B301" s="18">
        <v>242</v>
      </c>
      <c r="C301" s="43">
        <v>1031.6720492234515</v>
      </c>
      <c r="D301" s="18">
        <v>242</v>
      </c>
      <c r="E301" s="43">
        <v>-8.5735820254440789</v>
      </c>
      <c r="F301" s="18">
        <v>242</v>
      </c>
      <c r="G301" s="43">
        <v>848.43302833404482</v>
      </c>
    </row>
    <row r="302" spans="2:7" x14ac:dyDescent="0.55000000000000004">
      <c r="B302" s="18">
        <v>243</v>
      </c>
      <c r="C302" s="43">
        <v>373.21345913586839</v>
      </c>
      <c r="D302" s="18">
        <v>243</v>
      </c>
      <c r="E302" s="43">
        <v>35.915532558195011</v>
      </c>
      <c r="F302" s="18">
        <v>243</v>
      </c>
      <c r="G302" s="43">
        <v>945.51134734500897</v>
      </c>
    </row>
    <row r="303" spans="2:7" x14ac:dyDescent="0.55000000000000004">
      <c r="B303" s="18">
        <v>244</v>
      </c>
      <c r="C303" s="43">
        <v>1042.8915097855524</v>
      </c>
      <c r="D303" s="18">
        <v>244</v>
      </c>
      <c r="E303" s="43">
        <v>-12.842097740546084</v>
      </c>
      <c r="F303" s="18">
        <v>244</v>
      </c>
      <c r="G303" s="43">
        <v>889.12619405247824</v>
      </c>
    </row>
    <row r="304" spans="2:7" x14ac:dyDescent="0.55000000000000004">
      <c r="B304" s="18">
        <v>245</v>
      </c>
      <c r="C304" s="43">
        <v>601.2704156623837</v>
      </c>
      <c r="D304" s="18">
        <v>245</v>
      </c>
      <c r="E304" s="43">
        <v>-24.013039645539106</v>
      </c>
      <c r="F304" s="18">
        <v>245</v>
      </c>
      <c r="G304" s="43">
        <v>1121.6260620839846</v>
      </c>
    </row>
    <row r="305" spans="2:7" x14ac:dyDescent="0.55000000000000004">
      <c r="B305" s="18">
        <v>246</v>
      </c>
      <c r="C305" s="43">
        <v>994.33507809775165</v>
      </c>
      <c r="D305" s="18">
        <v>246</v>
      </c>
      <c r="E305" s="43">
        <v>0.50252142884870521</v>
      </c>
      <c r="F305" s="18">
        <v>246</v>
      </c>
      <c r="G305" s="43">
        <v>772.1356258477573</v>
      </c>
    </row>
    <row r="306" spans="2:7" x14ac:dyDescent="0.55000000000000004">
      <c r="B306" s="18">
        <v>247</v>
      </c>
      <c r="C306" s="43">
        <v>904.13687145673282</v>
      </c>
      <c r="D306" s="18">
        <v>247</v>
      </c>
      <c r="E306" s="43">
        <v>-18.098494030005128</v>
      </c>
      <c r="F306" s="18">
        <v>247</v>
      </c>
      <c r="G306" s="43">
        <v>518.03906169438471</v>
      </c>
    </row>
    <row r="307" spans="2:7" x14ac:dyDescent="0.55000000000000004">
      <c r="B307" s="18">
        <v>248</v>
      </c>
      <c r="C307" s="43">
        <v>569.86374219079039</v>
      </c>
      <c r="D307" s="18">
        <v>248</v>
      </c>
      <c r="E307" s="43">
        <v>-43.163524232526854</v>
      </c>
      <c r="F307" s="18">
        <v>248</v>
      </c>
      <c r="G307" s="43">
        <v>865.58658665197618</v>
      </c>
    </row>
    <row r="308" spans="2:7" x14ac:dyDescent="0.55000000000000004">
      <c r="B308" s="18">
        <v>249</v>
      </c>
      <c r="C308" s="43">
        <v>1233.9700010283857</v>
      </c>
      <c r="D308" s="18">
        <v>249</v>
      </c>
      <c r="E308" s="43">
        <v>12.982837328991831</v>
      </c>
      <c r="F308" s="18">
        <v>249</v>
      </c>
      <c r="G308" s="43">
        <v>648.03008234575782</v>
      </c>
    </row>
    <row r="309" spans="2:7" x14ac:dyDescent="0.55000000000000004">
      <c r="B309" s="18">
        <v>250</v>
      </c>
      <c r="C309" s="43">
        <v>1188.215488310346</v>
      </c>
      <c r="D309" s="18">
        <v>250</v>
      </c>
      <c r="E309" s="43">
        <v>17.564192568676795</v>
      </c>
      <c r="F309" s="18">
        <v>250</v>
      </c>
      <c r="G309" s="43">
        <v>1170.1458510012851</v>
      </c>
    </row>
    <row r="310" spans="2:7" x14ac:dyDescent="0.55000000000000004">
      <c r="B310" s="18">
        <v>251</v>
      </c>
      <c r="C310" s="43">
        <v>930.95049109113347</v>
      </c>
      <c r="D310" s="18">
        <v>251</v>
      </c>
      <c r="E310" s="43">
        <v>21.69684970118578</v>
      </c>
      <c r="F310" s="18">
        <v>251</v>
      </c>
      <c r="G310" s="43">
        <v>655.48442853409256</v>
      </c>
    </row>
    <row r="311" spans="2:7" x14ac:dyDescent="0.55000000000000004">
      <c r="B311" s="18">
        <v>252</v>
      </c>
      <c r="C311" s="43">
        <v>1301.9178077863776</v>
      </c>
      <c r="D311" s="18">
        <v>252</v>
      </c>
      <c r="E311" s="43">
        <v>56.99624534696612</v>
      </c>
      <c r="F311" s="18">
        <v>252</v>
      </c>
      <c r="G311" s="43">
        <v>1009.384535740605</v>
      </c>
    </row>
    <row r="312" spans="2:7" x14ac:dyDescent="0.55000000000000004">
      <c r="B312" s="18">
        <v>253</v>
      </c>
      <c r="C312" s="43">
        <v>907.66933837030706</v>
      </c>
      <c r="D312" s="18">
        <v>253</v>
      </c>
      <c r="E312" s="43">
        <v>47.220759939027225</v>
      </c>
      <c r="F312" s="18">
        <v>253</v>
      </c>
      <c r="G312" s="43">
        <v>1349.6405670976369</v>
      </c>
    </row>
    <row r="313" spans="2:7" x14ac:dyDescent="0.55000000000000004">
      <c r="B313" s="18">
        <v>254</v>
      </c>
      <c r="C313" s="43">
        <v>1182.0442753416639</v>
      </c>
      <c r="D313" s="18">
        <v>254</v>
      </c>
      <c r="E313" s="43">
        <v>21.204360031968925</v>
      </c>
      <c r="F313" s="18">
        <v>254</v>
      </c>
      <c r="G313" s="43">
        <v>1021.4580710422264</v>
      </c>
    </row>
    <row r="314" spans="2:7" x14ac:dyDescent="0.55000000000000004">
      <c r="B314" s="18">
        <v>255</v>
      </c>
      <c r="C314" s="43">
        <v>756.25075396596344</v>
      </c>
      <c r="D314" s="18">
        <v>255</v>
      </c>
      <c r="E314" s="43">
        <v>5.2388021810781984</v>
      </c>
      <c r="F314" s="18">
        <v>255</v>
      </c>
      <c r="G314" s="43">
        <v>784.75387905574917</v>
      </c>
    </row>
    <row r="315" spans="2:7" x14ac:dyDescent="0.55000000000000004">
      <c r="B315" s="18">
        <v>256</v>
      </c>
      <c r="C315" s="43">
        <v>822.33618740402721</v>
      </c>
      <c r="D315" s="18">
        <v>256</v>
      </c>
      <c r="E315" s="43">
        <v>18.321926591341576</v>
      </c>
      <c r="F315" s="18">
        <v>256</v>
      </c>
      <c r="G315" s="43">
        <v>648.7193739657356</v>
      </c>
    </row>
    <row r="316" spans="2:7" x14ac:dyDescent="0.55000000000000004">
      <c r="B316" s="18">
        <v>257</v>
      </c>
      <c r="C316" s="43">
        <v>1216.0279421663868</v>
      </c>
      <c r="D316" s="18">
        <v>257</v>
      </c>
      <c r="E316" s="43">
        <v>-8.1223385894434408</v>
      </c>
      <c r="F316" s="18">
        <v>257</v>
      </c>
      <c r="G316" s="43">
        <v>946.39219700446597</v>
      </c>
    </row>
    <row r="317" spans="2:7" x14ac:dyDescent="0.55000000000000004">
      <c r="B317" s="18">
        <v>258</v>
      </c>
      <c r="C317" s="43">
        <v>635.18740840530313</v>
      </c>
      <c r="D317" s="18">
        <v>258</v>
      </c>
      <c r="E317" s="43">
        <v>-22.943908787854774</v>
      </c>
      <c r="F317" s="18">
        <v>258</v>
      </c>
      <c r="G317" s="43">
        <v>1220.8268226875339</v>
      </c>
    </row>
    <row r="318" spans="2:7" x14ac:dyDescent="0.55000000000000004">
      <c r="B318" s="18">
        <v>259</v>
      </c>
      <c r="C318" s="43">
        <v>324.63659213636288</v>
      </c>
      <c r="D318" s="18">
        <v>259</v>
      </c>
      <c r="E318" s="43">
        <v>-5.6863751684141572</v>
      </c>
      <c r="F318" s="18">
        <v>259</v>
      </c>
      <c r="G318" s="43">
        <v>994.6333297623047</v>
      </c>
    </row>
    <row r="319" spans="2:7" x14ac:dyDescent="0.55000000000000004">
      <c r="B319" s="18">
        <v>260</v>
      </c>
      <c r="C319" s="43">
        <v>489.46050657597891</v>
      </c>
      <c r="D319" s="18">
        <v>260</v>
      </c>
      <c r="E319" s="43">
        <v>-19.920200011771819</v>
      </c>
      <c r="F319" s="18">
        <v>260</v>
      </c>
      <c r="G319" s="43">
        <v>1028.3053469084628</v>
      </c>
    </row>
    <row r="320" spans="2:7" x14ac:dyDescent="0.55000000000000004">
      <c r="B320" s="18">
        <v>261</v>
      </c>
      <c r="C320" s="43">
        <v>757.89685371168355</v>
      </c>
      <c r="D320" s="18">
        <v>261</v>
      </c>
      <c r="E320" s="43">
        <v>3.9568926921740379</v>
      </c>
      <c r="F320" s="18">
        <v>261</v>
      </c>
      <c r="G320" s="43">
        <v>944.31879157956587</v>
      </c>
    </row>
    <row r="321" spans="2:7" x14ac:dyDescent="0.55000000000000004">
      <c r="B321" s="18">
        <v>262</v>
      </c>
      <c r="C321" s="43">
        <v>1514.4894314267601</v>
      </c>
      <c r="D321" s="18">
        <v>262</v>
      </c>
      <c r="E321" s="43">
        <v>-6.5893886267537116</v>
      </c>
      <c r="F321" s="18">
        <v>262</v>
      </c>
      <c r="G321" s="43">
        <v>1226.7229778060837</v>
      </c>
    </row>
    <row r="322" spans="2:7" x14ac:dyDescent="0.55000000000000004">
      <c r="B322" s="18">
        <v>263</v>
      </c>
      <c r="C322" s="43">
        <v>985.06099220439478</v>
      </c>
      <c r="D322" s="18">
        <v>263</v>
      </c>
      <c r="E322" s="43">
        <v>1.3575511869091974</v>
      </c>
      <c r="F322" s="18">
        <v>263</v>
      </c>
      <c r="G322" s="43">
        <v>908.21477410025841</v>
      </c>
    </row>
    <row r="323" spans="2:7" x14ac:dyDescent="0.55000000000000004">
      <c r="B323" s="18">
        <v>264</v>
      </c>
      <c r="C323" s="43">
        <v>533.60561747640963</v>
      </c>
      <c r="D323" s="18">
        <v>264</v>
      </c>
      <c r="E323" s="43">
        <v>3.6842548394017101</v>
      </c>
      <c r="F323" s="18">
        <v>264</v>
      </c>
      <c r="G323" s="43">
        <v>1083.2761977084187</v>
      </c>
    </row>
    <row r="324" spans="2:7" x14ac:dyDescent="0.55000000000000004">
      <c r="B324" s="18">
        <v>265</v>
      </c>
      <c r="C324" s="43">
        <v>558.92117136091861</v>
      </c>
      <c r="D324" s="18">
        <v>265</v>
      </c>
      <c r="E324" s="43">
        <v>-8.072382919901564</v>
      </c>
      <c r="F324" s="18">
        <v>265</v>
      </c>
      <c r="G324" s="43">
        <v>987.2336878612216</v>
      </c>
    </row>
    <row r="325" spans="2:7" x14ac:dyDescent="0.55000000000000004">
      <c r="B325" s="18">
        <v>266</v>
      </c>
      <c r="C325" s="43">
        <v>1381.2344450221374</v>
      </c>
      <c r="D325" s="18">
        <v>266</v>
      </c>
      <c r="E325" s="43">
        <v>10.909311771583031</v>
      </c>
      <c r="F325" s="18">
        <v>266</v>
      </c>
      <c r="G325" s="43">
        <v>808.95117449101099</v>
      </c>
    </row>
    <row r="326" spans="2:7" x14ac:dyDescent="0.55000000000000004">
      <c r="B326" s="18">
        <v>267</v>
      </c>
      <c r="C326" s="43">
        <v>1516.1642167435098</v>
      </c>
      <c r="D326" s="18">
        <v>267</v>
      </c>
      <c r="E326" s="43">
        <v>4.8438783197952846</v>
      </c>
      <c r="F326" s="18">
        <v>267</v>
      </c>
      <c r="G326" s="43">
        <v>1024.0747835226725</v>
      </c>
    </row>
    <row r="327" spans="2:7" x14ac:dyDescent="0.55000000000000004">
      <c r="B327" s="18">
        <v>268</v>
      </c>
      <c r="C327" s="43">
        <v>832.87645993537558</v>
      </c>
      <c r="D327" s="18">
        <v>268</v>
      </c>
      <c r="E327" s="43">
        <v>16.238741221747656</v>
      </c>
      <c r="F327" s="18">
        <v>268</v>
      </c>
      <c r="G327" s="43">
        <v>989.03791681168752</v>
      </c>
    </row>
    <row r="328" spans="2:7" x14ac:dyDescent="0.55000000000000004">
      <c r="B328" s="18">
        <v>269</v>
      </c>
      <c r="C328" s="43">
        <v>1540.6793458855282</v>
      </c>
      <c r="D328" s="18">
        <v>269</v>
      </c>
      <c r="E328" s="43">
        <v>36.893500468070208</v>
      </c>
      <c r="F328" s="18">
        <v>269</v>
      </c>
      <c r="G328" s="43">
        <v>896.41057033500601</v>
      </c>
    </row>
    <row r="329" spans="2:7" x14ac:dyDescent="0.55000000000000004">
      <c r="B329" s="18">
        <v>270</v>
      </c>
      <c r="C329" s="43">
        <v>1191.0828271796795</v>
      </c>
      <c r="D329" s="18">
        <v>270</v>
      </c>
      <c r="E329" s="43">
        <v>-29.770135081066417</v>
      </c>
      <c r="F329" s="18">
        <v>270</v>
      </c>
      <c r="G329" s="43">
        <v>828.48390855379478</v>
      </c>
    </row>
    <row r="330" spans="2:7" x14ac:dyDescent="0.55000000000000004">
      <c r="B330" s="18">
        <v>271</v>
      </c>
      <c r="C330" s="43">
        <v>609.69709326843576</v>
      </c>
      <c r="D330" s="18">
        <v>271</v>
      </c>
      <c r="E330" s="43">
        <v>-1.5425678778967116</v>
      </c>
      <c r="F330" s="18">
        <v>271</v>
      </c>
      <c r="G330" s="43">
        <v>1345.4672962376885</v>
      </c>
    </row>
    <row r="331" spans="2:7" x14ac:dyDescent="0.55000000000000004">
      <c r="B331" s="18">
        <v>272</v>
      </c>
      <c r="C331" s="43">
        <v>1312.1577698841452</v>
      </c>
      <c r="D331" s="18">
        <v>272</v>
      </c>
      <c r="E331" s="43">
        <v>-5.321346330954869</v>
      </c>
      <c r="F331" s="18">
        <v>272</v>
      </c>
      <c r="G331" s="43">
        <v>847.63862652492878</v>
      </c>
    </row>
    <row r="332" spans="2:7" x14ac:dyDescent="0.55000000000000004">
      <c r="B332" s="18">
        <v>273</v>
      </c>
      <c r="C332" s="43">
        <v>628.54166212066161</v>
      </c>
      <c r="D332" s="18">
        <v>273</v>
      </c>
      <c r="E332" s="43">
        <v>40.073610733115324</v>
      </c>
      <c r="F332" s="18">
        <v>273</v>
      </c>
      <c r="G332" s="43">
        <v>1230.7092010970623</v>
      </c>
    </row>
    <row r="333" spans="2:7" x14ac:dyDescent="0.55000000000000004">
      <c r="B333" s="18">
        <v>274</v>
      </c>
      <c r="C333" s="43">
        <v>288.62067990711375</v>
      </c>
      <c r="D333" s="18">
        <v>274</v>
      </c>
      <c r="E333" s="43">
        <v>-66.576424829342642</v>
      </c>
      <c r="F333" s="18">
        <v>274</v>
      </c>
      <c r="G333" s="43">
        <v>868.59570145963221</v>
      </c>
    </row>
    <row r="334" spans="2:7" x14ac:dyDescent="0.55000000000000004">
      <c r="B334" s="18">
        <v>275</v>
      </c>
      <c r="C334" s="43">
        <v>740.88942280647564</v>
      </c>
      <c r="D334" s="18">
        <v>275</v>
      </c>
      <c r="E334" s="43">
        <v>-23.200173740237467</v>
      </c>
      <c r="F334" s="18">
        <v>275</v>
      </c>
      <c r="G334" s="43">
        <v>917.95322720098557</v>
      </c>
    </row>
    <row r="335" spans="2:7" x14ac:dyDescent="0.55000000000000004">
      <c r="B335" s="18">
        <v>276</v>
      </c>
      <c r="C335" s="43">
        <v>1551.3137094899857</v>
      </c>
      <c r="D335" s="18">
        <v>276</v>
      </c>
      <c r="E335" s="43">
        <v>-11.78161933309123</v>
      </c>
      <c r="F335" s="18">
        <v>276</v>
      </c>
      <c r="G335" s="43">
        <v>1065.6499930663074</v>
      </c>
    </row>
    <row r="336" spans="2:7" x14ac:dyDescent="0.55000000000000004">
      <c r="B336" s="18">
        <v>277</v>
      </c>
      <c r="C336" s="43">
        <v>1157.6842736179208</v>
      </c>
      <c r="D336" s="18">
        <v>277</v>
      </c>
      <c r="E336" s="43">
        <v>-23.050396577540031</v>
      </c>
      <c r="F336" s="18">
        <v>277</v>
      </c>
      <c r="G336" s="43">
        <v>1036.7286637426698</v>
      </c>
    </row>
    <row r="337" spans="2:7" x14ac:dyDescent="0.55000000000000004">
      <c r="B337" s="18">
        <v>278</v>
      </c>
      <c r="C337" s="43">
        <v>658.234254134509</v>
      </c>
      <c r="D337" s="18">
        <v>278</v>
      </c>
      <c r="E337" s="43">
        <v>10.406518894457486</v>
      </c>
      <c r="F337" s="18">
        <v>278</v>
      </c>
      <c r="G337" s="43">
        <v>947.02902719903739</v>
      </c>
    </row>
    <row r="338" spans="2:7" x14ac:dyDescent="0.55000000000000004">
      <c r="B338" s="18">
        <v>279</v>
      </c>
      <c r="C338" s="43">
        <v>1032.8066604191295</v>
      </c>
      <c r="D338" s="18">
        <v>279</v>
      </c>
      <c r="E338" s="43">
        <v>-13.832897714588507</v>
      </c>
      <c r="F338" s="18">
        <v>279</v>
      </c>
      <c r="G338" s="43">
        <v>1188.1490722359727</v>
      </c>
    </row>
    <row r="339" spans="2:7" x14ac:dyDescent="0.55000000000000004">
      <c r="B339" s="18">
        <v>280</v>
      </c>
      <c r="C339" s="43">
        <v>812.17471742292946</v>
      </c>
      <c r="D339" s="18">
        <v>280</v>
      </c>
      <c r="E339" s="43">
        <v>-44.672624175863021</v>
      </c>
      <c r="F339" s="18">
        <v>280</v>
      </c>
      <c r="G339" s="43">
        <v>864.89653130330169</v>
      </c>
    </row>
    <row r="340" spans="2:7" x14ac:dyDescent="0.55000000000000004">
      <c r="B340" s="18">
        <v>281</v>
      </c>
      <c r="C340" s="43">
        <v>772.22675856637181</v>
      </c>
      <c r="D340" s="18">
        <v>281</v>
      </c>
      <c r="E340" s="43">
        <v>42.639780474757082</v>
      </c>
      <c r="F340" s="18">
        <v>281</v>
      </c>
      <c r="G340" s="43">
        <v>920.53330645185792</v>
      </c>
    </row>
    <row r="341" spans="2:7" x14ac:dyDescent="0.55000000000000004">
      <c r="B341" s="18">
        <v>282</v>
      </c>
      <c r="C341" s="43">
        <v>884.00169035651072</v>
      </c>
      <c r="D341" s="18">
        <v>282</v>
      </c>
      <c r="E341" s="43">
        <v>-34.466414911833006</v>
      </c>
      <c r="F341" s="18">
        <v>282</v>
      </c>
      <c r="G341" s="43">
        <v>1451.1779493372633</v>
      </c>
    </row>
    <row r="342" spans="2:7" x14ac:dyDescent="0.55000000000000004">
      <c r="B342" s="18">
        <v>283</v>
      </c>
      <c r="C342" s="43">
        <v>720.87966190114912</v>
      </c>
      <c r="D342" s="18">
        <v>283</v>
      </c>
      <c r="E342" s="43">
        <v>48.84295717055646</v>
      </c>
      <c r="F342" s="18">
        <v>283</v>
      </c>
      <c r="G342" s="43">
        <v>585.71307455475653</v>
      </c>
    </row>
    <row r="343" spans="2:7" x14ac:dyDescent="0.55000000000000004">
      <c r="B343" s="18">
        <v>284</v>
      </c>
      <c r="C343" s="43">
        <v>881.90591500650044</v>
      </c>
      <c r="D343" s="18">
        <v>284</v>
      </c>
      <c r="E343" s="43">
        <v>6.8068405294239867</v>
      </c>
      <c r="F343" s="18">
        <v>284</v>
      </c>
      <c r="G343" s="43">
        <v>1112.1077461102068</v>
      </c>
    </row>
    <row r="344" spans="2:7" x14ac:dyDescent="0.55000000000000004">
      <c r="B344" s="18">
        <v>285</v>
      </c>
      <c r="C344" s="43">
        <v>1318.8350964838291</v>
      </c>
      <c r="D344" s="18">
        <v>285</v>
      </c>
      <c r="E344" s="43">
        <v>-13.971593032807192</v>
      </c>
      <c r="F344" s="18">
        <v>285</v>
      </c>
      <c r="G344" s="43">
        <v>1175.5817894568024</v>
      </c>
    </row>
    <row r="345" spans="2:7" x14ac:dyDescent="0.55000000000000004">
      <c r="B345" s="18">
        <v>286</v>
      </c>
      <c r="C345" s="43">
        <v>471.61418747836262</v>
      </c>
      <c r="D345" s="18">
        <v>286</v>
      </c>
      <c r="E345" s="43">
        <v>72.409659551339729</v>
      </c>
      <c r="F345" s="18">
        <v>286</v>
      </c>
      <c r="G345" s="43">
        <v>771.0277402677375</v>
      </c>
    </row>
    <row r="346" spans="2:7" x14ac:dyDescent="0.55000000000000004">
      <c r="B346" s="18">
        <v>287</v>
      </c>
      <c r="C346" s="43">
        <v>464.98374179392141</v>
      </c>
      <c r="D346" s="18">
        <v>287</v>
      </c>
      <c r="E346" s="43">
        <v>12.772207420082491</v>
      </c>
      <c r="F346" s="18">
        <v>287</v>
      </c>
      <c r="G346" s="43">
        <v>1067.7864252259892</v>
      </c>
    </row>
    <row r="347" spans="2:7" x14ac:dyDescent="0.55000000000000004">
      <c r="B347" s="18">
        <v>288</v>
      </c>
      <c r="C347" s="43">
        <v>336.9329150420092</v>
      </c>
      <c r="D347" s="18">
        <v>288</v>
      </c>
      <c r="E347" s="43">
        <v>18.503719031559534</v>
      </c>
      <c r="F347" s="18">
        <v>288</v>
      </c>
      <c r="G347" s="43">
        <v>1007.9092164614891</v>
      </c>
    </row>
    <row r="348" spans="2:7" x14ac:dyDescent="0.55000000000000004">
      <c r="B348" s="18">
        <v>289</v>
      </c>
      <c r="C348" s="43">
        <v>1281.8821367735231</v>
      </c>
      <c r="D348" s="18">
        <v>289</v>
      </c>
      <c r="E348" s="43">
        <v>1.1941625852086513E-2</v>
      </c>
      <c r="F348" s="18">
        <v>289</v>
      </c>
      <c r="G348" s="43">
        <v>856.54574044328706</v>
      </c>
    </row>
    <row r="349" spans="2:7" x14ac:dyDescent="0.55000000000000004">
      <c r="B349" s="18">
        <v>290</v>
      </c>
      <c r="C349" s="43">
        <v>1232.2251770088599</v>
      </c>
      <c r="D349" s="18">
        <v>290</v>
      </c>
      <c r="E349" s="43">
        <v>-8.127747695557737</v>
      </c>
      <c r="F349" s="18">
        <v>290</v>
      </c>
      <c r="G349" s="43">
        <v>1182.0634196685719</v>
      </c>
    </row>
    <row r="350" spans="2:7" x14ac:dyDescent="0.55000000000000004">
      <c r="B350" s="18">
        <v>291</v>
      </c>
      <c r="C350" s="43">
        <v>1060.8958053363206</v>
      </c>
      <c r="D350" s="18">
        <v>291</v>
      </c>
      <c r="E350" s="43">
        <v>11.513462481660627</v>
      </c>
      <c r="F350" s="18">
        <v>291</v>
      </c>
      <c r="G350" s="43">
        <v>1071.6370749941436</v>
      </c>
    </row>
    <row r="351" spans="2:7" x14ac:dyDescent="0.55000000000000004">
      <c r="B351" s="18">
        <v>292</v>
      </c>
      <c r="C351" s="43">
        <v>706.53662924342507</v>
      </c>
      <c r="D351" s="18">
        <v>292</v>
      </c>
      <c r="E351" s="43">
        <v>-10.56271633176164</v>
      </c>
      <c r="F351" s="18">
        <v>292</v>
      </c>
      <c r="G351" s="43">
        <v>1072.0268373359088</v>
      </c>
    </row>
    <row r="352" spans="2:7" x14ac:dyDescent="0.55000000000000004">
      <c r="B352" s="18">
        <v>293</v>
      </c>
      <c r="C352" s="43">
        <v>1331.8273074077724</v>
      </c>
      <c r="D352" s="18">
        <v>293</v>
      </c>
      <c r="E352" s="43">
        <v>-1.7799088935577898</v>
      </c>
      <c r="F352" s="18">
        <v>293</v>
      </c>
      <c r="G352" s="43">
        <v>1571.5085351451348</v>
      </c>
    </row>
    <row r="353" spans="2:7" x14ac:dyDescent="0.55000000000000004">
      <c r="B353" s="18">
        <v>294</v>
      </c>
      <c r="C353" s="43">
        <v>732.11660709577279</v>
      </c>
      <c r="D353" s="18">
        <v>294</v>
      </c>
      <c r="E353" s="43">
        <v>35.576993252984764</v>
      </c>
      <c r="F353" s="18">
        <v>294</v>
      </c>
      <c r="G353" s="43">
        <v>829.96276611338521</v>
      </c>
    </row>
    <row r="354" spans="2:7" x14ac:dyDescent="0.55000000000000004">
      <c r="B354" s="18">
        <v>295</v>
      </c>
      <c r="C354" s="43">
        <v>1167.0576567480953</v>
      </c>
      <c r="D354" s="18">
        <v>295</v>
      </c>
      <c r="E354" s="43">
        <v>40.983971408550936</v>
      </c>
      <c r="F354" s="18">
        <v>295</v>
      </c>
      <c r="G354" s="43">
        <v>843.62156088305824</v>
      </c>
    </row>
    <row r="355" spans="2:7" x14ac:dyDescent="0.55000000000000004">
      <c r="B355" s="18">
        <v>296</v>
      </c>
      <c r="C355" s="43">
        <v>1092.7437029514304</v>
      </c>
      <c r="D355" s="18">
        <v>296</v>
      </c>
      <c r="E355" s="43">
        <v>-14.57886793544956</v>
      </c>
      <c r="F355" s="18">
        <v>296</v>
      </c>
      <c r="G355" s="43">
        <v>889.95360809073588</v>
      </c>
    </row>
    <row r="356" spans="2:7" x14ac:dyDescent="0.55000000000000004">
      <c r="B356" s="18">
        <v>297</v>
      </c>
      <c r="C356" s="43">
        <v>543.01248995879439</v>
      </c>
      <c r="D356" s="18">
        <v>297</v>
      </c>
      <c r="E356" s="43">
        <v>6.7560892824918231</v>
      </c>
      <c r="F356" s="18">
        <v>297</v>
      </c>
      <c r="G356" s="43">
        <v>1043.7719852639925</v>
      </c>
    </row>
    <row r="357" spans="2:7" x14ac:dyDescent="0.55000000000000004">
      <c r="B357" s="18">
        <v>298</v>
      </c>
      <c r="C357" s="43">
        <v>1415.5340310585088</v>
      </c>
      <c r="D357" s="18">
        <v>298</v>
      </c>
      <c r="E357" s="43">
        <v>16.781644980026691</v>
      </c>
      <c r="F357" s="18">
        <v>298</v>
      </c>
      <c r="G357" s="43">
        <v>1135.220097278572</v>
      </c>
    </row>
    <row r="358" spans="2:7" x14ac:dyDescent="0.55000000000000004">
      <c r="B358" s="18">
        <v>299</v>
      </c>
      <c r="C358" s="43">
        <v>816.47113362649714</v>
      </c>
      <c r="D358" s="18">
        <v>299</v>
      </c>
      <c r="E358" s="43">
        <v>45.872090065390907</v>
      </c>
      <c r="F358" s="18">
        <v>299</v>
      </c>
      <c r="G358" s="43">
        <v>1384.7594565560571</v>
      </c>
    </row>
    <row r="359" spans="2:7" x14ac:dyDescent="0.55000000000000004">
      <c r="B359" s="18">
        <v>300</v>
      </c>
      <c r="C359" s="43">
        <v>849.63193224498286</v>
      </c>
      <c r="D359" s="18">
        <v>300</v>
      </c>
      <c r="E359" s="43">
        <v>32.367965770486684</v>
      </c>
      <c r="F359" s="18">
        <v>300</v>
      </c>
      <c r="G359" s="43">
        <v>1199.0097210669751</v>
      </c>
    </row>
    <row r="360" spans="2:7" x14ac:dyDescent="0.55000000000000004">
      <c r="B360" s="18">
        <v>301</v>
      </c>
      <c r="C360" s="43">
        <v>1270.1253557312853</v>
      </c>
      <c r="D360" s="18">
        <v>301</v>
      </c>
      <c r="E360" s="43">
        <v>1.5849397861016039</v>
      </c>
      <c r="F360" s="18">
        <v>301</v>
      </c>
      <c r="G360" s="43">
        <v>1197.7127555233149</v>
      </c>
    </row>
    <row r="361" spans="2:7" x14ac:dyDescent="0.55000000000000004">
      <c r="B361" s="18">
        <v>302</v>
      </c>
      <c r="C361" s="43">
        <v>329.81118287192555</v>
      </c>
      <c r="D361" s="18">
        <v>302</v>
      </c>
      <c r="E361" s="43">
        <v>-27.568921380557754</v>
      </c>
      <c r="F361" s="18">
        <v>302</v>
      </c>
      <c r="G361" s="43">
        <v>1309.0865040768128</v>
      </c>
    </row>
    <row r="362" spans="2:7" x14ac:dyDescent="0.55000000000000004">
      <c r="B362" s="18">
        <v>303</v>
      </c>
      <c r="C362" s="43">
        <v>668.24511836030058</v>
      </c>
      <c r="D362" s="18">
        <v>303</v>
      </c>
      <c r="E362" s="43">
        <v>-25.349930681230504</v>
      </c>
      <c r="F362" s="18">
        <v>303</v>
      </c>
      <c r="G362" s="43">
        <v>567.79489480619634</v>
      </c>
    </row>
    <row r="363" spans="2:7" x14ac:dyDescent="0.55000000000000004">
      <c r="B363" s="18">
        <v>304</v>
      </c>
      <c r="C363" s="43">
        <v>249.47489699554444</v>
      </c>
      <c r="D363" s="18">
        <v>304</v>
      </c>
      <c r="E363" s="43">
        <v>-28.275934457804716</v>
      </c>
      <c r="F363" s="18">
        <v>304</v>
      </c>
      <c r="G363" s="43">
        <v>989.59566840707885</v>
      </c>
    </row>
    <row r="364" spans="2:7" x14ac:dyDescent="0.55000000000000004">
      <c r="B364" s="18">
        <v>305</v>
      </c>
      <c r="C364" s="43">
        <v>389.38308594668314</v>
      </c>
      <c r="D364" s="18">
        <v>305</v>
      </c>
      <c r="E364" s="43">
        <v>-17.733966011660439</v>
      </c>
      <c r="F364" s="18">
        <v>305</v>
      </c>
      <c r="G364" s="43">
        <v>921.81372766514482</v>
      </c>
    </row>
    <row r="365" spans="2:7" x14ac:dyDescent="0.55000000000000004">
      <c r="B365" s="18">
        <v>306</v>
      </c>
      <c r="C365" s="43">
        <v>1372.966393512208</v>
      </c>
      <c r="D365" s="18">
        <v>306</v>
      </c>
      <c r="E365" s="43">
        <v>-18.959674477393815</v>
      </c>
      <c r="F365" s="18">
        <v>306</v>
      </c>
      <c r="G365" s="43">
        <v>1217.5772806572957</v>
      </c>
    </row>
    <row r="366" spans="2:7" x14ac:dyDescent="0.55000000000000004">
      <c r="B366" s="18">
        <v>307</v>
      </c>
      <c r="C366" s="43">
        <v>1055.3018132440825</v>
      </c>
      <c r="D366" s="18">
        <v>307</v>
      </c>
      <c r="E366" s="43">
        <v>35.610711126143606</v>
      </c>
      <c r="F366" s="18">
        <v>307</v>
      </c>
      <c r="G366" s="43">
        <v>954.6617975034344</v>
      </c>
    </row>
    <row r="367" spans="2:7" x14ac:dyDescent="0.55000000000000004">
      <c r="B367" s="18">
        <v>308</v>
      </c>
      <c r="C367" s="43">
        <v>312.19012075130968</v>
      </c>
      <c r="D367" s="18">
        <v>308</v>
      </c>
      <c r="E367" s="43">
        <v>6.2624279942400056</v>
      </c>
      <c r="F367" s="18">
        <v>308</v>
      </c>
      <c r="G367" s="43">
        <v>919.4681145948141</v>
      </c>
    </row>
    <row r="368" spans="2:7" x14ac:dyDescent="0.55000000000000004">
      <c r="B368" s="18">
        <v>309</v>
      </c>
      <c r="C368" s="43">
        <v>1163.6409353938338</v>
      </c>
      <c r="D368" s="18">
        <v>309</v>
      </c>
      <c r="E368" s="43">
        <v>31.102189978138728</v>
      </c>
      <c r="F368" s="18">
        <v>309</v>
      </c>
      <c r="G368" s="43">
        <v>1278.8301170952802</v>
      </c>
    </row>
    <row r="369" spans="2:7" x14ac:dyDescent="0.55000000000000004">
      <c r="B369" s="18">
        <v>310</v>
      </c>
      <c r="C369" s="43">
        <v>1075.9610365551587</v>
      </c>
      <c r="D369" s="18">
        <v>310</v>
      </c>
      <c r="E369" s="43">
        <v>41.164062341390256</v>
      </c>
      <c r="F369" s="18">
        <v>310</v>
      </c>
      <c r="G369" s="43">
        <v>796.92840664459629</v>
      </c>
    </row>
    <row r="370" spans="2:7" x14ac:dyDescent="0.55000000000000004">
      <c r="B370" s="18">
        <v>311</v>
      </c>
      <c r="C370" s="43">
        <v>1207.8698018080768</v>
      </c>
      <c r="D370" s="18">
        <v>311</v>
      </c>
      <c r="E370" s="43">
        <v>-1.9297296779141651</v>
      </c>
      <c r="F370" s="18">
        <v>311</v>
      </c>
      <c r="G370" s="43">
        <v>1285.8624829911273</v>
      </c>
    </row>
    <row r="371" spans="2:7" x14ac:dyDescent="0.55000000000000004">
      <c r="B371" s="18">
        <v>312</v>
      </c>
      <c r="C371" s="43">
        <v>681.37601523738283</v>
      </c>
      <c r="D371" s="18">
        <v>312</v>
      </c>
      <c r="E371" s="43">
        <v>4.9163706015396123E-2</v>
      </c>
      <c r="F371" s="18">
        <v>312</v>
      </c>
      <c r="G371" s="43">
        <v>721.07334736700591</v>
      </c>
    </row>
    <row r="372" spans="2:7" x14ac:dyDescent="0.55000000000000004">
      <c r="B372" s="18">
        <v>313</v>
      </c>
      <c r="C372" s="43">
        <v>1347.284119056292</v>
      </c>
      <c r="D372" s="18">
        <v>313</v>
      </c>
      <c r="E372" s="43">
        <v>-4.4754266013094766</v>
      </c>
      <c r="F372" s="18">
        <v>313</v>
      </c>
      <c r="G372" s="43">
        <v>1308.4361739253891</v>
      </c>
    </row>
    <row r="373" spans="2:7" x14ac:dyDescent="0.55000000000000004">
      <c r="B373" s="18">
        <v>314</v>
      </c>
      <c r="C373" s="43">
        <v>1551.1673036043471</v>
      </c>
      <c r="D373" s="18">
        <v>314</v>
      </c>
      <c r="E373" s="43">
        <v>4.6486646275384</v>
      </c>
      <c r="F373" s="18">
        <v>314</v>
      </c>
      <c r="G373" s="43">
        <v>1052.3591457546022</v>
      </c>
    </row>
    <row r="374" spans="2:7" x14ac:dyDescent="0.55000000000000004">
      <c r="B374" s="18">
        <v>315</v>
      </c>
      <c r="C374" s="43">
        <v>886.16551518333108</v>
      </c>
      <c r="D374" s="18">
        <v>315</v>
      </c>
      <c r="E374" s="43">
        <v>17.292010198944233</v>
      </c>
      <c r="F374" s="18">
        <v>315</v>
      </c>
      <c r="G374" s="43">
        <v>766.56618944595596</v>
      </c>
    </row>
    <row r="375" spans="2:7" x14ac:dyDescent="0.55000000000000004">
      <c r="B375" s="18">
        <v>316</v>
      </c>
      <c r="C375" s="43">
        <v>947.97418380863326</v>
      </c>
      <c r="D375" s="18">
        <v>316</v>
      </c>
      <c r="E375" s="43">
        <v>15.847160066406014</v>
      </c>
      <c r="F375" s="18">
        <v>316</v>
      </c>
      <c r="G375" s="43">
        <v>785.8844790780646</v>
      </c>
    </row>
    <row r="376" spans="2:7" x14ac:dyDescent="0.55000000000000004">
      <c r="B376" s="18">
        <v>317</v>
      </c>
      <c r="C376" s="43">
        <v>476.71572805653415</v>
      </c>
      <c r="D376" s="18">
        <v>317</v>
      </c>
      <c r="E376" s="43">
        <v>34.747630894918814</v>
      </c>
      <c r="F376" s="18">
        <v>317</v>
      </c>
      <c r="G376" s="43">
        <v>1275.8597364445141</v>
      </c>
    </row>
    <row r="377" spans="2:7" x14ac:dyDescent="0.55000000000000004">
      <c r="B377" s="18">
        <v>318</v>
      </c>
      <c r="C377" s="43">
        <v>495.67933727145464</v>
      </c>
      <c r="D377" s="18">
        <v>318</v>
      </c>
      <c r="E377" s="43">
        <v>69.149129560311508</v>
      </c>
      <c r="F377" s="18">
        <v>318</v>
      </c>
      <c r="G377" s="43">
        <v>978.21196870024107</v>
      </c>
    </row>
    <row r="378" spans="2:7" x14ac:dyDescent="0.55000000000000004">
      <c r="B378" s="18">
        <v>319</v>
      </c>
      <c r="C378" s="43">
        <v>891.41033814127002</v>
      </c>
      <c r="D378" s="18">
        <v>319</v>
      </c>
      <c r="E378" s="43">
        <v>-25.196401791135699</v>
      </c>
      <c r="F378" s="18">
        <v>319</v>
      </c>
      <c r="G378" s="43">
        <v>660.88232791848873</v>
      </c>
    </row>
    <row r="379" spans="2:7" x14ac:dyDescent="0.55000000000000004">
      <c r="B379" s="18">
        <v>320</v>
      </c>
      <c r="C379" s="43">
        <v>1466.7386388954992</v>
      </c>
      <c r="D379" s="18">
        <v>320</v>
      </c>
      <c r="E379" s="43">
        <v>-59.129643925603091</v>
      </c>
      <c r="F379" s="18">
        <v>320</v>
      </c>
      <c r="G379" s="43">
        <v>836.23864940038163</v>
      </c>
    </row>
    <row r="380" spans="2:7" x14ac:dyDescent="0.55000000000000004">
      <c r="B380" s="18">
        <v>321</v>
      </c>
      <c r="C380" s="43">
        <v>777.64333646700845</v>
      </c>
      <c r="D380" s="18">
        <v>321</v>
      </c>
      <c r="E380" s="43">
        <v>55.236929343364167</v>
      </c>
      <c r="F380" s="18">
        <v>321</v>
      </c>
      <c r="G380" s="43">
        <v>1379.0555308763642</v>
      </c>
    </row>
    <row r="381" spans="2:7" x14ac:dyDescent="0.55000000000000004">
      <c r="B381" s="18">
        <v>322</v>
      </c>
      <c r="C381" s="43">
        <v>1544.2699796288985</v>
      </c>
      <c r="D381" s="18">
        <v>322</v>
      </c>
      <c r="E381" s="43">
        <v>-24.060185530252273</v>
      </c>
      <c r="F381" s="18">
        <v>322</v>
      </c>
      <c r="G381" s="43">
        <v>969.39705822639246</v>
      </c>
    </row>
    <row r="382" spans="2:7" x14ac:dyDescent="0.55000000000000004">
      <c r="B382" s="18">
        <v>323</v>
      </c>
      <c r="C382" s="43">
        <v>321.99450556518343</v>
      </c>
      <c r="D382" s="18">
        <v>323</v>
      </c>
      <c r="E382" s="43">
        <v>35.066396064304357</v>
      </c>
      <c r="F382" s="18">
        <v>323</v>
      </c>
      <c r="G382" s="43">
        <v>395.31009591665577</v>
      </c>
    </row>
    <row r="383" spans="2:7" x14ac:dyDescent="0.55000000000000004">
      <c r="B383" s="18">
        <v>324</v>
      </c>
      <c r="C383" s="43">
        <v>1110.0094921936332</v>
      </c>
      <c r="D383" s="18">
        <v>324</v>
      </c>
      <c r="E383" s="43">
        <v>4.2802098263160584</v>
      </c>
      <c r="F383" s="18">
        <v>324</v>
      </c>
      <c r="G383" s="43">
        <v>793.54396360365047</v>
      </c>
    </row>
    <row r="384" spans="2:7" x14ac:dyDescent="0.55000000000000004">
      <c r="B384" s="18">
        <v>325</v>
      </c>
      <c r="C384" s="43">
        <v>694.14667830412861</v>
      </c>
      <c r="D384" s="18">
        <v>325</v>
      </c>
      <c r="E384" s="43">
        <v>-0.79125011805413503</v>
      </c>
      <c r="F384" s="18">
        <v>325</v>
      </c>
      <c r="G384" s="43">
        <v>754.07266691289567</v>
      </c>
    </row>
    <row r="385" spans="2:7" x14ac:dyDescent="0.55000000000000004">
      <c r="B385" s="18">
        <v>326</v>
      </c>
      <c r="C385" s="43">
        <v>996.74789439111498</v>
      </c>
      <c r="D385" s="18">
        <v>326</v>
      </c>
      <c r="E385" s="43">
        <v>-9.3976390383410866</v>
      </c>
      <c r="F385" s="18">
        <v>326</v>
      </c>
      <c r="G385" s="43">
        <v>604.68556486331249</v>
      </c>
    </row>
    <row r="386" spans="2:7" x14ac:dyDescent="0.55000000000000004">
      <c r="B386" s="18">
        <v>327</v>
      </c>
      <c r="C386" s="43">
        <v>1215.0866787419886</v>
      </c>
      <c r="D386" s="18">
        <v>327</v>
      </c>
      <c r="E386" s="43">
        <v>14.355846529284742</v>
      </c>
      <c r="F386" s="18">
        <v>327</v>
      </c>
      <c r="G386" s="43">
        <v>1238.2464349818729</v>
      </c>
    </row>
    <row r="387" spans="2:7" x14ac:dyDescent="0.55000000000000004">
      <c r="B387" s="18">
        <v>328</v>
      </c>
      <c r="C387" s="43">
        <v>1325.686908824001</v>
      </c>
      <c r="D387" s="18">
        <v>328</v>
      </c>
      <c r="E387" s="43">
        <v>6.4871375239893725</v>
      </c>
      <c r="F387" s="18">
        <v>328</v>
      </c>
      <c r="G387" s="43">
        <v>984.53075225023224</v>
      </c>
    </row>
    <row r="388" spans="2:7" x14ac:dyDescent="0.55000000000000004">
      <c r="B388" s="18">
        <v>329</v>
      </c>
      <c r="C388" s="43">
        <v>625.20745358592058</v>
      </c>
      <c r="D388" s="18">
        <v>329</v>
      </c>
      <c r="E388" s="43">
        <v>-1.6540939133354492E-2</v>
      </c>
      <c r="F388" s="18">
        <v>329</v>
      </c>
      <c r="G388" s="43">
        <v>468.26142608878081</v>
      </c>
    </row>
    <row r="389" spans="2:7" x14ac:dyDescent="0.55000000000000004">
      <c r="B389" s="18">
        <v>330</v>
      </c>
      <c r="C389" s="43">
        <v>963.49056533552391</v>
      </c>
      <c r="D389" s="18">
        <v>330</v>
      </c>
      <c r="E389" s="43">
        <v>-2.5639103911023526</v>
      </c>
      <c r="F389" s="18">
        <v>330</v>
      </c>
      <c r="G389" s="43">
        <v>862.198779624797</v>
      </c>
    </row>
    <row r="390" spans="2:7" x14ac:dyDescent="0.55000000000000004">
      <c r="B390" s="18">
        <v>331</v>
      </c>
      <c r="C390" s="43">
        <v>273.56632120983636</v>
      </c>
      <c r="D390" s="18">
        <v>331</v>
      </c>
      <c r="E390" s="43">
        <v>-60.200577025846499</v>
      </c>
      <c r="F390" s="18">
        <v>331</v>
      </c>
      <c r="G390" s="43">
        <v>382.39536382372341</v>
      </c>
    </row>
    <row r="391" spans="2:7" x14ac:dyDescent="0.55000000000000004">
      <c r="B391" s="18">
        <v>332</v>
      </c>
      <c r="C391" s="43">
        <v>300.12487942035011</v>
      </c>
      <c r="D391" s="18">
        <v>332</v>
      </c>
      <c r="E391" s="43">
        <v>-5.3793912398365595</v>
      </c>
      <c r="F391" s="18">
        <v>332</v>
      </c>
      <c r="G391" s="43">
        <v>98.707250236003148</v>
      </c>
    </row>
    <row r="392" spans="2:7" x14ac:dyDescent="0.55000000000000004">
      <c r="B392" s="18">
        <v>333</v>
      </c>
      <c r="C392" s="43">
        <v>1075.1233332287825</v>
      </c>
      <c r="D392" s="18">
        <v>333</v>
      </c>
      <c r="E392" s="43">
        <v>2.1926536118936742E-2</v>
      </c>
      <c r="F392" s="18">
        <v>333</v>
      </c>
      <c r="G392" s="43">
        <v>1021.477065429279</v>
      </c>
    </row>
    <row r="393" spans="2:7" x14ac:dyDescent="0.55000000000000004">
      <c r="B393" s="18">
        <v>334</v>
      </c>
      <c r="C393" s="43">
        <v>1034.9960016346954</v>
      </c>
      <c r="D393" s="18">
        <v>334</v>
      </c>
      <c r="E393" s="43">
        <v>-0.6489660258669504</v>
      </c>
      <c r="F393" s="18">
        <v>334</v>
      </c>
      <c r="G393" s="43">
        <v>622.41051052972432</v>
      </c>
    </row>
    <row r="394" spans="2:7" x14ac:dyDescent="0.55000000000000004">
      <c r="B394" s="18">
        <v>335</v>
      </c>
      <c r="C394" s="43">
        <v>1104.0734659714176</v>
      </c>
      <c r="D394" s="18">
        <v>335</v>
      </c>
      <c r="E394" s="43">
        <v>-17.870134876984064</v>
      </c>
      <c r="F394" s="18">
        <v>335</v>
      </c>
      <c r="G394" s="43">
        <v>1336.3718284753995</v>
      </c>
    </row>
    <row r="395" spans="2:7" x14ac:dyDescent="0.55000000000000004">
      <c r="B395" s="18">
        <v>336</v>
      </c>
      <c r="C395" s="43">
        <v>705.26988729175059</v>
      </c>
      <c r="D395" s="18">
        <v>336</v>
      </c>
      <c r="E395" s="43">
        <v>-29.256400783279645</v>
      </c>
      <c r="F395" s="18">
        <v>336</v>
      </c>
      <c r="G395" s="43">
        <v>986.78380761487608</v>
      </c>
    </row>
    <row r="396" spans="2:7" x14ac:dyDescent="0.55000000000000004">
      <c r="B396" s="18">
        <v>337</v>
      </c>
      <c r="C396" s="43">
        <v>820.37408143477842</v>
      </c>
      <c r="D396" s="18">
        <v>337</v>
      </c>
      <c r="E396" s="43">
        <v>-41.403254684684725</v>
      </c>
      <c r="F396" s="18">
        <v>337</v>
      </c>
      <c r="G396" s="43">
        <v>926.83867171736222</v>
      </c>
    </row>
    <row r="397" spans="2:7" x14ac:dyDescent="0.55000000000000004">
      <c r="B397" s="18">
        <v>338</v>
      </c>
      <c r="C397" s="43">
        <v>1008.5381310044484</v>
      </c>
      <c r="D397" s="18">
        <v>338</v>
      </c>
      <c r="E397" s="43">
        <v>7.7032891687984604</v>
      </c>
      <c r="F397" s="18">
        <v>338</v>
      </c>
      <c r="G397" s="43">
        <v>1224.268058333314</v>
      </c>
    </row>
    <row r="398" spans="2:7" x14ac:dyDescent="0.55000000000000004">
      <c r="B398" s="18">
        <v>339</v>
      </c>
      <c r="C398" s="43">
        <v>312.77400231924469</v>
      </c>
      <c r="D398" s="18">
        <v>339</v>
      </c>
      <c r="E398" s="43">
        <v>32.57918566739999</v>
      </c>
      <c r="F398" s="18">
        <v>339</v>
      </c>
      <c r="G398" s="43">
        <v>759.75107122366774</v>
      </c>
    </row>
    <row r="399" spans="2:7" x14ac:dyDescent="0.55000000000000004">
      <c r="B399" s="18">
        <v>340</v>
      </c>
      <c r="C399" s="43">
        <v>1350.6125367175714</v>
      </c>
      <c r="D399" s="18">
        <v>340</v>
      </c>
      <c r="E399" s="43">
        <v>-0.62272520248376551</v>
      </c>
      <c r="F399" s="18">
        <v>340</v>
      </c>
      <c r="G399" s="43">
        <v>373.37135108930977</v>
      </c>
    </row>
    <row r="400" spans="2:7" x14ac:dyDescent="0.55000000000000004">
      <c r="B400" s="18">
        <v>341</v>
      </c>
      <c r="C400" s="43">
        <v>916.50810990658624</v>
      </c>
      <c r="D400" s="18">
        <v>341</v>
      </c>
      <c r="E400" s="43">
        <v>1.5024559510141304</v>
      </c>
      <c r="F400" s="18">
        <v>341</v>
      </c>
      <c r="G400" s="43">
        <v>898.31128275745471</v>
      </c>
    </row>
    <row r="401" spans="2:7" x14ac:dyDescent="0.55000000000000004">
      <c r="B401" s="18">
        <v>342</v>
      </c>
      <c r="C401" s="43">
        <v>822.71815196831653</v>
      </c>
      <c r="D401" s="18">
        <v>342</v>
      </c>
      <c r="E401" s="43">
        <v>-19.360642326620859</v>
      </c>
      <c r="F401" s="18">
        <v>342</v>
      </c>
      <c r="G401" s="43">
        <v>740.53433783981995</v>
      </c>
    </row>
    <row r="402" spans="2:7" x14ac:dyDescent="0.55000000000000004">
      <c r="B402" s="18">
        <v>343</v>
      </c>
      <c r="C402" s="43">
        <v>901.6067107079067</v>
      </c>
      <c r="D402" s="18">
        <v>343</v>
      </c>
      <c r="E402" s="43">
        <v>14.073416656932002</v>
      </c>
      <c r="F402" s="18">
        <v>343</v>
      </c>
      <c r="G402" s="43">
        <v>668.29637009146131</v>
      </c>
    </row>
    <row r="403" spans="2:7" x14ac:dyDescent="0.55000000000000004">
      <c r="B403" s="18">
        <v>344</v>
      </c>
      <c r="C403" s="43">
        <v>79.346250404154461</v>
      </c>
      <c r="D403" s="18">
        <v>344</v>
      </c>
      <c r="E403" s="43">
        <v>-11.128739994590537</v>
      </c>
      <c r="F403" s="18">
        <v>344</v>
      </c>
      <c r="G403" s="43">
        <v>815.74934155911421</v>
      </c>
    </row>
    <row r="404" spans="2:7" x14ac:dyDescent="0.55000000000000004">
      <c r="B404" s="18">
        <v>345</v>
      </c>
      <c r="C404" s="43">
        <v>1161.3756654658184</v>
      </c>
      <c r="D404" s="18">
        <v>345</v>
      </c>
      <c r="E404" s="43">
        <v>-0.12294047585669676</v>
      </c>
      <c r="F404" s="18">
        <v>345</v>
      </c>
      <c r="G404" s="43">
        <v>956.9879558766645</v>
      </c>
    </row>
    <row r="405" spans="2:7" x14ac:dyDescent="0.55000000000000004">
      <c r="B405" s="18">
        <v>346</v>
      </c>
      <c r="C405" s="43">
        <v>1000.6388037387048</v>
      </c>
      <c r="D405" s="18">
        <v>346</v>
      </c>
      <c r="E405" s="43">
        <v>1.3649729733056295</v>
      </c>
      <c r="F405" s="18">
        <v>346</v>
      </c>
      <c r="G405" s="43">
        <v>1041.3690491996108</v>
      </c>
    </row>
    <row r="406" spans="2:7" x14ac:dyDescent="0.55000000000000004">
      <c r="B406" s="18">
        <v>347</v>
      </c>
      <c r="C406" s="43">
        <v>461.10625659114464</v>
      </c>
      <c r="D406" s="18">
        <v>347</v>
      </c>
      <c r="E406" s="43">
        <v>-1.3148905569718312</v>
      </c>
      <c r="F406" s="18">
        <v>347</v>
      </c>
      <c r="G406" s="43">
        <v>839.29223159658522</v>
      </c>
    </row>
    <row r="407" spans="2:7" x14ac:dyDescent="0.55000000000000004">
      <c r="B407" s="18">
        <v>348</v>
      </c>
      <c r="C407" s="43">
        <v>946.17830987590753</v>
      </c>
      <c r="D407" s="18">
        <v>348</v>
      </c>
      <c r="E407" s="43">
        <v>3.2105070906192998</v>
      </c>
      <c r="F407" s="18">
        <v>348</v>
      </c>
      <c r="G407" s="43">
        <v>1158.5298332527227</v>
      </c>
    </row>
    <row r="408" spans="2:7" x14ac:dyDescent="0.55000000000000004">
      <c r="B408" s="18">
        <v>349</v>
      </c>
      <c r="C408" s="43">
        <v>789.42995791923738</v>
      </c>
      <c r="D408" s="18">
        <v>349</v>
      </c>
      <c r="E408" s="43">
        <v>-7.6748352228985821</v>
      </c>
      <c r="F408" s="18">
        <v>349</v>
      </c>
      <c r="G408" s="43">
        <v>851.60619787843609</v>
      </c>
    </row>
    <row r="409" spans="2:7" x14ac:dyDescent="0.55000000000000004">
      <c r="B409" s="18">
        <v>350</v>
      </c>
      <c r="C409" s="43">
        <v>833.44518832542599</v>
      </c>
      <c r="D409" s="18">
        <v>350</v>
      </c>
      <c r="E409" s="43">
        <v>-18.400507299261612</v>
      </c>
      <c r="F409" s="18">
        <v>350</v>
      </c>
      <c r="G409" s="43">
        <v>791.56697850145122</v>
      </c>
    </row>
    <row r="410" spans="2:7" x14ac:dyDescent="0.55000000000000004">
      <c r="B410" s="18">
        <v>351</v>
      </c>
      <c r="C410" s="43">
        <v>708.05108162874023</v>
      </c>
      <c r="D410" s="18">
        <v>351</v>
      </c>
      <c r="E410" s="43">
        <v>-21.076072706482005</v>
      </c>
      <c r="F410" s="18">
        <v>351</v>
      </c>
      <c r="G410" s="43">
        <v>651.17326047557685</v>
      </c>
    </row>
    <row r="411" spans="2:7" x14ac:dyDescent="0.55000000000000004">
      <c r="B411" s="18">
        <v>352</v>
      </c>
      <c r="C411" s="43">
        <v>1143.0372364938139</v>
      </c>
      <c r="D411" s="18">
        <v>352</v>
      </c>
      <c r="E411" s="43">
        <v>54.836940520708559</v>
      </c>
      <c r="F411" s="18">
        <v>352</v>
      </c>
      <c r="G411" s="43">
        <v>916.47408754565981</v>
      </c>
    </row>
    <row r="412" spans="2:7" x14ac:dyDescent="0.55000000000000004">
      <c r="B412" s="18">
        <v>353</v>
      </c>
      <c r="C412" s="43">
        <v>942.05422460360319</v>
      </c>
      <c r="D412" s="18">
        <v>353</v>
      </c>
      <c r="E412" s="43">
        <v>-2.3880488840675644</v>
      </c>
      <c r="F412" s="18">
        <v>353</v>
      </c>
      <c r="G412" s="43">
        <v>864.86826015709028</v>
      </c>
    </row>
    <row r="413" spans="2:7" x14ac:dyDescent="0.55000000000000004">
      <c r="B413" s="18">
        <v>354</v>
      </c>
      <c r="C413" s="43">
        <v>1043.4139239452636</v>
      </c>
      <c r="D413" s="18">
        <v>354</v>
      </c>
      <c r="E413" s="43">
        <v>17.722503031147731</v>
      </c>
      <c r="F413" s="18">
        <v>354</v>
      </c>
      <c r="G413" s="43">
        <v>981.76667165905894</v>
      </c>
    </row>
    <row r="414" spans="2:7" x14ac:dyDescent="0.55000000000000004">
      <c r="B414" s="18">
        <v>355</v>
      </c>
      <c r="C414" s="43">
        <v>945.53781084004663</v>
      </c>
      <c r="D414" s="18">
        <v>355</v>
      </c>
      <c r="E414" s="43">
        <v>67.160957763277878</v>
      </c>
      <c r="F414" s="18">
        <v>355</v>
      </c>
      <c r="G414" s="43">
        <v>962.82837106054865</v>
      </c>
    </row>
    <row r="415" spans="2:7" x14ac:dyDescent="0.55000000000000004">
      <c r="B415" s="18">
        <v>356</v>
      </c>
      <c r="C415" s="43">
        <v>463.33617168366652</v>
      </c>
      <c r="D415" s="18">
        <v>356</v>
      </c>
      <c r="E415" s="43">
        <v>1.3906448774556017</v>
      </c>
      <c r="F415" s="18">
        <v>356</v>
      </c>
      <c r="G415" s="43">
        <v>988.22078870031203</v>
      </c>
    </row>
    <row r="416" spans="2:7" x14ac:dyDescent="0.55000000000000004">
      <c r="B416" s="18">
        <v>357</v>
      </c>
      <c r="C416" s="43">
        <v>769.25160766391673</v>
      </c>
      <c r="D416" s="18">
        <v>357</v>
      </c>
      <c r="E416" s="43">
        <v>22.012404381592297</v>
      </c>
      <c r="F416" s="18">
        <v>357</v>
      </c>
      <c r="G416" s="43">
        <v>804.42975940643032</v>
      </c>
    </row>
    <row r="417" spans="2:7" x14ac:dyDescent="0.55000000000000004">
      <c r="B417" s="18">
        <v>358</v>
      </c>
      <c r="C417" s="43">
        <v>417.60784114302976</v>
      </c>
      <c r="D417" s="18">
        <v>358</v>
      </c>
      <c r="E417" s="43">
        <v>-27.944150120178183</v>
      </c>
      <c r="F417" s="18">
        <v>358</v>
      </c>
      <c r="G417" s="43">
        <v>994.10235970719259</v>
      </c>
    </row>
    <row r="418" spans="2:7" x14ac:dyDescent="0.55000000000000004">
      <c r="B418" s="18">
        <v>359</v>
      </c>
      <c r="C418" s="43">
        <v>1084.3551604002555</v>
      </c>
      <c r="D418" s="18">
        <v>359</v>
      </c>
      <c r="E418" s="43">
        <v>-0.70765455219215334</v>
      </c>
      <c r="F418" s="18">
        <v>359</v>
      </c>
      <c r="G418" s="43">
        <v>778.04950560979285</v>
      </c>
    </row>
    <row r="419" spans="2:7" x14ac:dyDescent="0.55000000000000004">
      <c r="B419" s="18">
        <v>360</v>
      </c>
      <c r="C419" s="43">
        <v>909.00813611008687</v>
      </c>
      <c r="D419" s="18">
        <v>360</v>
      </c>
      <c r="E419" s="43">
        <v>1.1100569856735887</v>
      </c>
      <c r="F419" s="18">
        <v>360</v>
      </c>
      <c r="G419" s="43">
        <v>1357.3394460072773</v>
      </c>
    </row>
    <row r="420" spans="2:7" x14ac:dyDescent="0.55000000000000004">
      <c r="B420" s="18">
        <v>361</v>
      </c>
      <c r="C420" s="43">
        <v>743.92479864842994</v>
      </c>
      <c r="D420" s="18">
        <v>361</v>
      </c>
      <c r="E420" s="43">
        <v>-17.427131244128979</v>
      </c>
      <c r="F420" s="18">
        <v>361</v>
      </c>
      <c r="G420" s="43">
        <v>1069.666882383794</v>
      </c>
    </row>
    <row r="421" spans="2:7" x14ac:dyDescent="0.55000000000000004">
      <c r="B421" s="18">
        <v>362</v>
      </c>
      <c r="C421" s="43">
        <v>409.72499977698601</v>
      </c>
      <c r="D421" s="18">
        <v>362</v>
      </c>
      <c r="E421" s="43">
        <v>-9.5023223329186219</v>
      </c>
      <c r="F421" s="18">
        <v>362</v>
      </c>
      <c r="G421" s="43">
        <v>741.69817530553519</v>
      </c>
    </row>
    <row r="422" spans="2:7" x14ac:dyDescent="0.55000000000000004">
      <c r="B422" s="18">
        <v>363</v>
      </c>
      <c r="C422" s="43">
        <v>972.71628831550765</v>
      </c>
      <c r="D422" s="18">
        <v>363</v>
      </c>
      <c r="E422" s="43">
        <v>-4.3156246896594501</v>
      </c>
      <c r="F422" s="18">
        <v>363</v>
      </c>
      <c r="G422" s="43">
        <v>849.91695390972723</v>
      </c>
    </row>
    <row r="423" spans="2:7" x14ac:dyDescent="0.55000000000000004">
      <c r="B423" s="18">
        <v>364</v>
      </c>
      <c r="C423" s="43">
        <v>901.27749655254809</v>
      </c>
      <c r="D423" s="18">
        <v>364</v>
      </c>
      <c r="E423" s="43">
        <v>-7.8463693912671193</v>
      </c>
      <c r="F423" s="18">
        <v>364</v>
      </c>
      <c r="G423" s="43">
        <v>1261.1003876862603</v>
      </c>
    </row>
    <row r="424" spans="2:7" x14ac:dyDescent="0.55000000000000004">
      <c r="B424" s="18">
        <v>365</v>
      </c>
      <c r="C424" s="43">
        <v>1305.5139912678446</v>
      </c>
      <c r="D424" s="18">
        <v>365</v>
      </c>
      <c r="E424" s="43">
        <v>-24.178100330076003</v>
      </c>
      <c r="F424" s="18">
        <v>365</v>
      </c>
      <c r="G424" s="43">
        <v>785.66523046771476</v>
      </c>
    </row>
    <row r="425" spans="2:7" x14ac:dyDescent="0.55000000000000004">
      <c r="B425" s="18">
        <v>366</v>
      </c>
      <c r="C425" s="43">
        <v>1305.2418088414292</v>
      </c>
      <c r="D425" s="18">
        <v>366</v>
      </c>
      <c r="E425" s="43">
        <v>-8.7277934106448534</v>
      </c>
      <c r="F425" s="18">
        <v>366</v>
      </c>
      <c r="G425" s="43">
        <v>996.26563262319507</v>
      </c>
    </row>
    <row r="426" spans="2:7" x14ac:dyDescent="0.55000000000000004">
      <c r="B426" s="18">
        <v>367</v>
      </c>
      <c r="C426" s="43">
        <v>1401.3534357004992</v>
      </c>
      <c r="D426" s="18">
        <v>367</v>
      </c>
      <c r="E426" s="43">
        <v>14.604533500355021</v>
      </c>
      <c r="F426" s="18">
        <v>367</v>
      </c>
      <c r="G426" s="43">
        <v>802.9983053547893</v>
      </c>
    </row>
    <row r="427" spans="2:7" x14ac:dyDescent="0.55000000000000004">
      <c r="B427" s="18">
        <v>368</v>
      </c>
      <c r="C427" s="43">
        <v>1298.1807667432734</v>
      </c>
      <c r="D427" s="18">
        <v>368</v>
      </c>
      <c r="E427" s="43">
        <v>-35.541659260645368</v>
      </c>
      <c r="F427" s="18">
        <v>368</v>
      </c>
      <c r="G427" s="43">
        <v>851.49936620480855</v>
      </c>
    </row>
    <row r="428" spans="2:7" x14ac:dyDescent="0.55000000000000004">
      <c r="B428" s="18">
        <v>369</v>
      </c>
      <c r="C428" s="43">
        <v>948.18574066270651</v>
      </c>
      <c r="D428" s="18">
        <v>369</v>
      </c>
      <c r="E428" s="43">
        <v>11.747955191238962</v>
      </c>
      <c r="F428" s="18">
        <v>369</v>
      </c>
      <c r="G428" s="43">
        <v>722.36671428800662</v>
      </c>
    </row>
    <row r="429" spans="2:7" x14ac:dyDescent="0.55000000000000004">
      <c r="B429" s="18">
        <v>370</v>
      </c>
      <c r="C429" s="43">
        <v>1406.7097575014627</v>
      </c>
      <c r="D429" s="18">
        <v>370</v>
      </c>
      <c r="E429" s="43">
        <v>7.5508536300649993</v>
      </c>
      <c r="F429" s="18">
        <v>370</v>
      </c>
      <c r="G429" s="43">
        <v>1054.3959293737905</v>
      </c>
    </row>
    <row r="430" spans="2:7" x14ac:dyDescent="0.55000000000000004">
      <c r="B430" s="18">
        <v>371</v>
      </c>
      <c r="C430" s="43">
        <v>1030.2157569013357</v>
      </c>
      <c r="D430" s="18">
        <v>371</v>
      </c>
      <c r="E430" s="43">
        <v>-14.996124517665487</v>
      </c>
      <c r="F430" s="18">
        <v>371</v>
      </c>
      <c r="G430" s="43">
        <v>1149.3658952290175</v>
      </c>
    </row>
    <row r="431" spans="2:7" x14ac:dyDescent="0.55000000000000004">
      <c r="B431" s="18">
        <v>372</v>
      </c>
      <c r="C431" s="43">
        <v>886.34541182343924</v>
      </c>
      <c r="D431" s="18">
        <v>372</v>
      </c>
      <c r="E431" s="43">
        <v>4.0866229000873897</v>
      </c>
      <c r="F431" s="18">
        <v>372</v>
      </c>
      <c r="G431" s="43">
        <v>697.58975330386488</v>
      </c>
    </row>
    <row r="432" spans="2:7" x14ac:dyDescent="0.55000000000000004">
      <c r="B432" s="18">
        <v>373</v>
      </c>
      <c r="C432" s="43">
        <v>1356.9427386749962</v>
      </c>
      <c r="D432" s="18">
        <v>373</v>
      </c>
      <c r="E432" s="43">
        <v>1.9967066606548816</v>
      </c>
      <c r="F432" s="18">
        <v>373</v>
      </c>
      <c r="G432" s="43">
        <v>1131.2416446815325</v>
      </c>
    </row>
    <row r="433" spans="2:7" x14ac:dyDescent="0.55000000000000004">
      <c r="B433" s="18">
        <v>374</v>
      </c>
      <c r="C433" s="43">
        <v>164.22429017254009</v>
      </c>
      <c r="D433" s="18">
        <v>374</v>
      </c>
      <c r="E433" s="43">
        <v>5.8268494486628919</v>
      </c>
      <c r="F433" s="18">
        <v>374</v>
      </c>
      <c r="G433" s="43">
        <v>1263.7081435270118</v>
      </c>
    </row>
    <row r="434" spans="2:7" x14ac:dyDescent="0.55000000000000004">
      <c r="B434" s="18">
        <v>375</v>
      </c>
      <c r="C434" s="43">
        <v>752.83704066556083</v>
      </c>
      <c r="D434" s="18">
        <v>375</v>
      </c>
      <c r="E434" s="43">
        <v>21.620373539241974</v>
      </c>
      <c r="F434" s="18">
        <v>375</v>
      </c>
      <c r="G434" s="43">
        <v>960.89765781359927</v>
      </c>
    </row>
    <row r="435" spans="2:7" x14ac:dyDescent="0.55000000000000004">
      <c r="B435" s="18">
        <v>376</v>
      </c>
      <c r="C435" s="43">
        <v>739.9503498595858</v>
      </c>
      <c r="D435" s="18">
        <v>376</v>
      </c>
      <c r="E435" s="43">
        <v>10.418234100121508</v>
      </c>
      <c r="F435" s="18">
        <v>376</v>
      </c>
      <c r="G435" s="43">
        <v>1053.6131647590748</v>
      </c>
    </row>
    <row r="436" spans="2:7" x14ac:dyDescent="0.55000000000000004">
      <c r="B436" s="18">
        <v>377</v>
      </c>
      <c r="C436" s="43">
        <v>854.62227100868529</v>
      </c>
      <c r="D436" s="18">
        <v>377</v>
      </c>
      <c r="E436" s="43">
        <v>-7.1908393451950774</v>
      </c>
      <c r="F436" s="18">
        <v>377</v>
      </c>
      <c r="G436" s="43">
        <v>1047.6772440379532</v>
      </c>
    </row>
    <row r="437" spans="2:7" x14ac:dyDescent="0.55000000000000004">
      <c r="B437" s="18">
        <v>378</v>
      </c>
      <c r="C437" s="43">
        <v>612.91236564996086</v>
      </c>
      <c r="D437" s="18">
        <v>378</v>
      </c>
      <c r="E437" s="43">
        <v>-3.5688901541833715</v>
      </c>
      <c r="F437" s="18">
        <v>378</v>
      </c>
      <c r="G437" s="43">
        <v>1279.2314899000633</v>
      </c>
    </row>
    <row r="438" spans="2:7" x14ac:dyDescent="0.55000000000000004">
      <c r="B438" s="18">
        <v>379</v>
      </c>
      <c r="C438" s="43">
        <v>635.71361990782782</v>
      </c>
      <c r="D438" s="18">
        <v>379</v>
      </c>
      <c r="E438" s="43">
        <v>27.190091399588521</v>
      </c>
      <c r="F438" s="18">
        <v>379</v>
      </c>
      <c r="G438" s="43">
        <v>302.32479961503071</v>
      </c>
    </row>
    <row r="439" spans="2:7" x14ac:dyDescent="0.55000000000000004">
      <c r="B439" s="18">
        <v>380</v>
      </c>
      <c r="C439" s="43">
        <v>930.2321358756277</v>
      </c>
      <c r="D439" s="18">
        <v>380</v>
      </c>
      <c r="E439" s="43">
        <v>26.802951193015133</v>
      </c>
      <c r="F439" s="18">
        <v>380</v>
      </c>
      <c r="G439" s="43">
        <v>1187.0156824129667</v>
      </c>
    </row>
    <row r="440" spans="2:7" x14ac:dyDescent="0.55000000000000004">
      <c r="B440" s="18">
        <v>381</v>
      </c>
      <c r="C440" s="43">
        <v>674.03636783603304</v>
      </c>
      <c r="D440" s="18">
        <v>381</v>
      </c>
      <c r="E440" s="43">
        <v>34.790975517629469</v>
      </c>
      <c r="F440" s="18">
        <v>381</v>
      </c>
      <c r="G440" s="43">
        <v>534.52955449300509</v>
      </c>
    </row>
    <row r="441" spans="2:7" x14ac:dyDescent="0.55000000000000004">
      <c r="B441" s="18">
        <v>382</v>
      </c>
      <c r="C441" s="43">
        <v>775.84560797733025</v>
      </c>
      <c r="D441" s="18">
        <v>382</v>
      </c>
      <c r="E441" s="43">
        <v>-9.6493550296673991</v>
      </c>
      <c r="F441" s="18">
        <v>382</v>
      </c>
      <c r="G441" s="43">
        <v>673.32579954745222</v>
      </c>
    </row>
    <row r="442" spans="2:7" x14ac:dyDescent="0.55000000000000004">
      <c r="B442" s="18">
        <v>383</v>
      </c>
      <c r="C442" s="43">
        <v>711.04384992864686</v>
      </c>
      <c r="D442" s="18">
        <v>383</v>
      </c>
      <c r="E442" s="43">
        <v>-17.329361579176194</v>
      </c>
      <c r="F442" s="18">
        <v>383</v>
      </c>
      <c r="G442" s="43">
        <v>1215.1798515676903</v>
      </c>
    </row>
    <row r="443" spans="2:7" x14ac:dyDescent="0.55000000000000004">
      <c r="B443" s="18">
        <v>384</v>
      </c>
      <c r="C443" s="43">
        <v>785.30473466888668</v>
      </c>
      <c r="D443" s="18">
        <v>384</v>
      </c>
      <c r="E443" s="43">
        <v>21.028617798161285</v>
      </c>
      <c r="F443" s="18">
        <v>384</v>
      </c>
      <c r="G443" s="43">
        <v>932.04529124942815</v>
      </c>
    </row>
    <row r="444" spans="2:7" x14ac:dyDescent="0.55000000000000004">
      <c r="B444" s="18">
        <v>385</v>
      </c>
      <c r="C444" s="43">
        <v>707.55408874642728</v>
      </c>
      <c r="D444" s="18">
        <v>385</v>
      </c>
      <c r="E444" s="43">
        <v>-15.010746147883534</v>
      </c>
      <c r="F444" s="18">
        <v>385</v>
      </c>
      <c r="G444" s="43">
        <v>1044.3100486980829</v>
      </c>
    </row>
    <row r="445" spans="2:7" x14ac:dyDescent="0.55000000000000004">
      <c r="B445" s="18">
        <v>386</v>
      </c>
      <c r="C445" s="43">
        <v>1326.8324991663221</v>
      </c>
      <c r="D445" s="18">
        <v>386</v>
      </c>
      <c r="E445" s="43">
        <v>-5.8241606396328995</v>
      </c>
      <c r="F445" s="18">
        <v>386</v>
      </c>
      <c r="G445" s="43">
        <v>1112.4848751578813</v>
      </c>
    </row>
    <row r="446" spans="2:7" x14ac:dyDescent="0.55000000000000004">
      <c r="B446" s="18">
        <v>387</v>
      </c>
      <c r="C446" s="43">
        <v>724.45563650653298</v>
      </c>
      <c r="D446" s="18">
        <v>387</v>
      </c>
      <c r="E446" s="43">
        <v>-4.8306687489761071</v>
      </c>
      <c r="F446" s="18">
        <v>387</v>
      </c>
      <c r="G446" s="43">
        <v>854.7166550232414</v>
      </c>
    </row>
    <row r="447" spans="2:7" x14ac:dyDescent="0.55000000000000004">
      <c r="B447" s="18">
        <v>388</v>
      </c>
      <c r="C447" s="43">
        <v>1091.2969980569187</v>
      </c>
      <c r="D447" s="18">
        <v>388</v>
      </c>
      <c r="E447" s="43">
        <v>-27.214940142412974</v>
      </c>
      <c r="F447" s="18">
        <v>388</v>
      </c>
      <c r="G447" s="43">
        <v>1097.2063093822383</v>
      </c>
    </row>
    <row r="448" spans="2:7" x14ac:dyDescent="0.55000000000000004">
      <c r="B448" s="18">
        <v>389</v>
      </c>
      <c r="C448" s="43">
        <v>1180.733946401851</v>
      </c>
      <c r="D448" s="18">
        <v>389</v>
      </c>
      <c r="E448" s="43">
        <v>-24.272386653502437</v>
      </c>
      <c r="F448" s="18">
        <v>389</v>
      </c>
      <c r="G448" s="43">
        <v>826.16575029562296</v>
      </c>
    </row>
    <row r="449" spans="2:7" x14ac:dyDescent="0.55000000000000004">
      <c r="B449" s="18">
        <v>390</v>
      </c>
      <c r="C449" s="43">
        <v>1003.1084716564852</v>
      </c>
      <c r="D449" s="18">
        <v>390</v>
      </c>
      <c r="E449" s="43">
        <v>-30.361850908360033</v>
      </c>
      <c r="F449" s="18">
        <v>390</v>
      </c>
      <c r="G449" s="43">
        <v>442.01309132774139</v>
      </c>
    </row>
    <row r="450" spans="2:7" x14ac:dyDescent="0.55000000000000004">
      <c r="B450" s="18">
        <v>391</v>
      </c>
      <c r="C450" s="43">
        <v>737.33114843672467</v>
      </c>
      <c r="D450" s="18">
        <v>391</v>
      </c>
      <c r="E450" s="43">
        <v>-4.5474704241476456</v>
      </c>
      <c r="F450" s="18">
        <v>391</v>
      </c>
      <c r="G450" s="43">
        <v>476.33092270506279</v>
      </c>
    </row>
    <row r="451" spans="2:7" x14ac:dyDescent="0.55000000000000004">
      <c r="B451" s="18">
        <v>392</v>
      </c>
      <c r="C451" s="43">
        <v>661.82577995160409</v>
      </c>
      <c r="D451" s="18">
        <v>392</v>
      </c>
      <c r="E451" s="43">
        <v>15.798234620098858</v>
      </c>
      <c r="F451" s="18">
        <v>392</v>
      </c>
      <c r="G451" s="43">
        <v>917.69181832934714</v>
      </c>
    </row>
    <row r="452" spans="2:7" x14ac:dyDescent="0.55000000000000004">
      <c r="B452" s="18">
        <v>393</v>
      </c>
      <c r="C452" s="43">
        <v>1229.4673628725595</v>
      </c>
      <c r="D452" s="18">
        <v>393</v>
      </c>
      <c r="E452" s="43">
        <v>25.557697469162314</v>
      </c>
      <c r="F452" s="18">
        <v>393</v>
      </c>
      <c r="G452" s="43">
        <v>741.13382526330338</v>
      </c>
    </row>
    <row r="453" spans="2:7" x14ac:dyDescent="0.55000000000000004">
      <c r="B453" s="18">
        <v>394</v>
      </c>
      <c r="C453" s="43">
        <v>708.55087817630897</v>
      </c>
      <c r="D453" s="18">
        <v>394</v>
      </c>
      <c r="E453" s="43">
        <v>-13.712418858416495</v>
      </c>
      <c r="F453" s="18">
        <v>394</v>
      </c>
      <c r="G453" s="43">
        <v>805.37798041146402</v>
      </c>
    </row>
    <row r="454" spans="2:7" x14ac:dyDescent="0.55000000000000004">
      <c r="B454" s="18">
        <v>395</v>
      </c>
      <c r="C454" s="43">
        <v>930.02061142999696</v>
      </c>
      <c r="D454" s="18">
        <v>395</v>
      </c>
      <c r="E454" s="43">
        <v>-15.504936141885432</v>
      </c>
      <c r="F454" s="18">
        <v>395</v>
      </c>
      <c r="G454" s="43">
        <v>1429.0779481364075</v>
      </c>
    </row>
    <row r="455" spans="2:7" x14ac:dyDescent="0.55000000000000004">
      <c r="B455" s="18">
        <v>396</v>
      </c>
      <c r="C455" s="43">
        <v>495.92872966366815</v>
      </c>
      <c r="D455" s="18">
        <v>396</v>
      </c>
      <c r="E455" s="43">
        <v>71.637717736746964</v>
      </c>
      <c r="F455" s="18">
        <v>396</v>
      </c>
      <c r="G455" s="43">
        <v>1102.6035860482814</v>
      </c>
    </row>
    <row r="456" spans="2:7" x14ac:dyDescent="0.55000000000000004">
      <c r="B456" s="18">
        <v>397</v>
      </c>
      <c r="C456" s="43">
        <v>423.09417357122766</v>
      </c>
      <c r="D456" s="18">
        <v>397</v>
      </c>
      <c r="E456" s="43">
        <v>0.59316851536534432</v>
      </c>
      <c r="F456" s="18">
        <v>397</v>
      </c>
      <c r="G456" s="43">
        <v>915.36317362373484</v>
      </c>
    </row>
    <row r="457" spans="2:7" x14ac:dyDescent="0.55000000000000004">
      <c r="B457" s="18">
        <v>398</v>
      </c>
      <c r="C457" s="43">
        <v>759.13349984823026</v>
      </c>
      <c r="D457" s="18">
        <v>398</v>
      </c>
      <c r="E457" s="43">
        <v>17.515775829568902</v>
      </c>
      <c r="F457" s="18">
        <v>398</v>
      </c>
      <c r="G457" s="43">
        <v>964.08592562013655</v>
      </c>
    </row>
    <row r="458" spans="2:7" x14ac:dyDescent="0.55000000000000004">
      <c r="B458" s="18">
        <v>399</v>
      </c>
      <c r="C458" s="43">
        <v>1215.8683334805817</v>
      </c>
      <c r="D458" s="18">
        <v>399</v>
      </c>
      <c r="E458" s="43">
        <v>-33.167978980093729</v>
      </c>
      <c r="F458" s="18">
        <v>399</v>
      </c>
      <c r="G458" s="43">
        <v>1306.7932361480621</v>
      </c>
    </row>
    <row r="459" spans="2:7" x14ac:dyDescent="0.55000000000000004">
      <c r="B459" s="18">
        <v>400</v>
      </c>
      <c r="C459" s="43">
        <v>1084.0082936687224</v>
      </c>
      <c r="D459" s="18">
        <v>400</v>
      </c>
      <c r="E459" s="43">
        <v>-14.335718793799149</v>
      </c>
      <c r="F459" s="18">
        <v>400</v>
      </c>
      <c r="G459" s="43">
        <v>1188.4737488162682</v>
      </c>
    </row>
    <row r="460" spans="2:7" x14ac:dyDescent="0.55000000000000004">
      <c r="B460" s="18">
        <v>401</v>
      </c>
      <c r="C460" s="43">
        <v>1351.3677226509094</v>
      </c>
      <c r="D460" s="18">
        <v>401</v>
      </c>
      <c r="E460" s="43">
        <v>27.840994965894971</v>
      </c>
      <c r="F460" s="18">
        <v>401</v>
      </c>
      <c r="G460" s="43">
        <v>730.47432082515559</v>
      </c>
    </row>
    <row r="461" spans="2:7" x14ac:dyDescent="0.55000000000000004">
      <c r="B461" s="18">
        <v>402</v>
      </c>
      <c r="C461" s="43">
        <v>903.12311173322666</v>
      </c>
      <c r="D461" s="18">
        <v>402</v>
      </c>
      <c r="E461" s="43">
        <v>5.9567883976269744</v>
      </c>
      <c r="F461" s="18">
        <v>402</v>
      </c>
      <c r="G461" s="43">
        <v>358.13488442003177</v>
      </c>
    </row>
    <row r="462" spans="2:7" x14ac:dyDescent="0.55000000000000004">
      <c r="B462" s="18">
        <v>403</v>
      </c>
      <c r="C462" s="43">
        <v>618.23408811418176</v>
      </c>
      <c r="D462" s="18">
        <v>403</v>
      </c>
      <c r="E462" s="43">
        <v>-2.6233515395193168</v>
      </c>
      <c r="F462" s="18">
        <v>403</v>
      </c>
      <c r="G462" s="43">
        <v>806.13178451220392</v>
      </c>
    </row>
    <row r="463" spans="2:7" x14ac:dyDescent="0.55000000000000004">
      <c r="B463" s="18">
        <v>404</v>
      </c>
      <c r="C463" s="43">
        <v>1036.7681708110622</v>
      </c>
      <c r="D463" s="18">
        <v>404</v>
      </c>
      <c r="E463" s="43">
        <v>4.9606612692528591</v>
      </c>
      <c r="F463" s="18">
        <v>404</v>
      </c>
      <c r="G463" s="43">
        <v>674.80655816442663</v>
      </c>
    </row>
    <row r="464" spans="2:7" x14ac:dyDescent="0.55000000000000004">
      <c r="B464" s="18">
        <v>405</v>
      </c>
      <c r="C464" s="43">
        <v>1042.76826257525</v>
      </c>
      <c r="D464" s="18">
        <v>405</v>
      </c>
      <c r="E464" s="43">
        <v>89.310999792910962</v>
      </c>
      <c r="F464" s="18">
        <v>405</v>
      </c>
      <c r="G464" s="43">
        <v>962.27290894706402</v>
      </c>
    </row>
    <row r="465" spans="2:7" x14ac:dyDescent="0.55000000000000004">
      <c r="B465" s="18">
        <v>406</v>
      </c>
      <c r="C465" s="43">
        <v>1139.1458420553945</v>
      </c>
      <c r="D465" s="18">
        <v>406</v>
      </c>
      <c r="E465" s="43">
        <v>-13.342462207540231</v>
      </c>
      <c r="F465" s="18">
        <v>406</v>
      </c>
      <c r="G465" s="43">
        <v>813.90135041588007</v>
      </c>
    </row>
    <row r="466" spans="2:7" x14ac:dyDescent="0.55000000000000004">
      <c r="B466" s="18">
        <v>407</v>
      </c>
      <c r="C466" s="43">
        <v>791.55566003478498</v>
      </c>
      <c r="D466" s="18">
        <v>407</v>
      </c>
      <c r="E466" s="43">
        <v>-40.113577985765929</v>
      </c>
      <c r="F466" s="18">
        <v>407</v>
      </c>
      <c r="G466" s="43">
        <v>507.16569075064018</v>
      </c>
    </row>
    <row r="467" spans="2:7" x14ac:dyDescent="0.55000000000000004">
      <c r="B467" s="18">
        <v>408</v>
      </c>
      <c r="C467" s="43">
        <v>1303.1634238229071</v>
      </c>
      <c r="D467" s="18">
        <v>408</v>
      </c>
      <c r="E467" s="43">
        <v>13.53122137111435</v>
      </c>
      <c r="F467" s="18">
        <v>408</v>
      </c>
      <c r="G467" s="43">
        <v>1304.2098201986119</v>
      </c>
    </row>
    <row r="468" spans="2:7" x14ac:dyDescent="0.55000000000000004">
      <c r="B468" s="18">
        <v>409</v>
      </c>
      <c r="C468" s="43">
        <v>1147.387031155974</v>
      </c>
      <c r="D468" s="18">
        <v>409</v>
      </c>
      <c r="E468" s="43">
        <v>34.595945483709002</v>
      </c>
      <c r="F468" s="18">
        <v>409</v>
      </c>
      <c r="G468" s="43">
        <v>644.83316669179112</v>
      </c>
    </row>
    <row r="469" spans="2:7" x14ac:dyDescent="0.55000000000000004">
      <c r="B469" s="18">
        <v>410</v>
      </c>
      <c r="C469" s="43">
        <v>478.43587650930522</v>
      </c>
      <c r="D469" s="18">
        <v>410</v>
      </c>
      <c r="E469" s="43">
        <v>-4.6274933271370138</v>
      </c>
      <c r="F469" s="18">
        <v>410</v>
      </c>
      <c r="G469" s="43">
        <v>1184.2924967069671</v>
      </c>
    </row>
    <row r="470" spans="2:7" x14ac:dyDescent="0.55000000000000004">
      <c r="B470" s="18">
        <v>411</v>
      </c>
      <c r="C470" s="43">
        <v>872.39342134088201</v>
      </c>
      <c r="D470" s="18">
        <v>411</v>
      </c>
      <c r="E470" s="43">
        <v>-3.8429873751193226</v>
      </c>
      <c r="F470" s="18">
        <v>411</v>
      </c>
      <c r="G470" s="43">
        <v>707.09757463992582</v>
      </c>
    </row>
    <row r="471" spans="2:7" x14ac:dyDescent="0.55000000000000004">
      <c r="B471" s="18">
        <v>412</v>
      </c>
      <c r="C471" s="43">
        <v>1498.7564572018387</v>
      </c>
      <c r="D471" s="18">
        <v>412</v>
      </c>
      <c r="E471" s="43">
        <v>-10.856444118331963</v>
      </c>
      <c r="F471" s="18">
        <v>412</v>
      </c>
      <c r="G471" s="43">
        <v>982.63980916024707</v>
      </c>
    </row>
    <row r="472" spans="2:7" x14ac:dyDescent="0.55000000000000004">
      <c r="B472" s="18">
        <v>413</v>
      </c>
      <c r="C472" s="43">
        <v>1233.4284912762514</v>
      </c>
      <c r="D472" s="18">
        <v>413</v>
      </c>
      <c r="E472" s="43">
        <v>35.741034109325952</v>
      </c>
      <c r="F472" s="18">
        <v>413</v>
      </c>
      <c r="G472" s="43">
        <v>924.00922836048596</v>
      </c>
    </row>
    <row r="473" spans="2:7" x14ac:dyDescent="0.55000000000000004">
      <c r="B473" s="18">
        <v>414</v>
      </c>
      <c r="C473" s="43">
        <v>308.05467344125162</v>
      </c>
      <c r="D473" s="18">
        <v>414</v>
      </c>
      <c r="E473" s="43">
        <v>1.5297670163284902</v>
      </c>
      <c r="F473" s="18">
        <v>414</v>
      </c>
      <c r="G473" s="43">
        <v>789.15115612477655</v>
      </c>
    </row>
    <row r="474" spans="2:7" x14ac:dyDescent="0.55000000000000004">
      <c r="B474" s="18">
        <v>415</v>
      </c>
      <c r="C474" s="43">
        <v>576.78028764690794</v>
      </c>
      <c r="D474" s="18">
        <v>415</v>
      </c>
      <c r="E474" s="43">
        <v>-39.359682859803044</v>
      </c>
      <c r="F474" s="18">
        <v>415</v>
      </c>
      <c r="G474" s="43">
        <v>1082.7873968893177</v>
      </c>
    </row>
    <row r="475" spans="2:7" x14ac:dyDescent="0.55000000000000004">
      <c r="B475" s="18">
        <v>416</v>
      </c>
      <c r="C475" s="43">
        <v>1388.1618569693949</v>
      </c>
      <c r="D475" s="18">
        <v>416</v>
      </c>
      <c r="E475" s="43">
        <v>-23.996886439174471</v>
      </c>
      <c r="F475" s="18">
        <v>416</v>
      </c>
      <c r="G475" s="43">
        <v>748.73021393877093</v>
      </c>
    </row>
    <row r="476" spans="2:7" x14ac:dyDescent="0.55000000000000004">
      <c r="B476" s="18">
        <v>417</v>
      </c>
      <c r="C476" s="43">
        <v>671.09042785789347</v>
      </c>
      <c r="D476" s="18">
        <v>417</v>
      </c>
      <c r="E476" s="43">
        <v>1.8147377495727273</v>
      </c>
      <c r="F476" s="18">
        <v>417</v>
      </c>
      <c r="G476" s="43">
        <v>949.32169758020723</v>
      </c>
    </row>
    <row r="477" spans="2:7" x14ac:dyDescent="0.55000000000000004">
      <c r="B477" s="18">
        <v>418</v>
      </c>
      <c r="C477" s="43">
        <v>790.99959572428247</v>
      </c>
      <c r="D477" s="18">
        <v>418</v>
      </c>
      <c r="E477" s="43">
        <v>-14.912443507577976</v>
      </c>
      <c r="F477" s="18">
        <v>418</v>
      </c>
      <c r="G477" s="43">
        <v>827.71958050216745</v>
      </c>
    </row>
    <row r="478" spans="2:7" x14ac:dyDescent="0.55000000000000004">
      <c r="B478" s="18">
        <v>419</v>
      </c>
      <c r="C478" s="43">
        <v>1149.5904266653113</v>
      </c>
      <c r="D478" s="18">
        <v>419</v>
      </c>
      <c r="E478" s="43">
        <v>-0.81920475655231173</v>
      </c>
      <c r="F478" s="18">
        <v>419</v>
      </c>
      <c r="G478" s="43">
        <v>1265.5764795699811</v>
      </c>
    </row>
    <row r="479" spans="2:7" x14ac:dyDescent="0.55000000000000004">
      <c r="B479" s="18">
        <v>420</v>
      </c>
      <c r="C479" s="43">
        <v>1276.7990206384691</v>
      </c>
      <c r="D479" s="18">
        <v>420</v>
      </c>
      <c r="E479" s="43">
        <v>-20.757356031553119</v>
      </c>
      <c r="F479" s="18">
        <v>420</v>
      </c>
      <c r="G479" s="43">
        <v>1530.3293138397705</v>
      </c>
    </row>
    <row r="480" spans="2:7" x14ac:dyDescent="0.55000000000000004">
      <c r="B480" s="18">
        <v>421</v>
      </c>
      <c r="C480" s="43">
        <v>1497.4054279914071</v>
      </c>
      <c r="D480" s="18">
        <v>421</v>
      </c>
      <c r="E480" s="43">
        <v>-12.045189241958184</v>
      </c>
      <c r="F480" s="18">
        <v>421</v>
      </c>
      <c r="G480" s="43">
        <v>1114.3965502404533</v>
      </c>
    </row>
    <row r="481" spans="2:7" x14ac:dyDescent="0.55000000000000004">
      <c r="B481" s="18">
        <v>422</v>
      </c>
      <c r="C481" s="43">
        <v>243.64578220871408</v>
      </c>
      <c r="D481" s="18">
        <v>422</v>
      </c>
      <c r="E481" s="43">
        <v>27.322832009758997</v>
      </c>
      <c r="F481" s="18">
        <v>422</v>
      </c>
      <c r="G481" s="43">
        <v>892.33890901422581</v>
      </c>
    </row>
    <row r="482" spans="2:7" x14ac:dyDescent="0.55000000000000004">
      <c r="B482" s="18">
        <v>423</v>
      </c>
      <c r="C482" s="43">
        <v>610.32511493647746</v>
      </c>
      <c r="D482" s="18">
        <v>423</v>
      </c>
      <c r="E482" s="43">
        <v>-36.387351773953739</v>
      </c>
      <c r="F482" s="18">
        <v>423</v>
      </c>
      <c r="G482" s="43">
        <v>974.93819075643478</v>
      </c>
    </row>
    <row r="483" spans="2:7" x14ac:dyDescent="0.55000000000000004">
      <c r="B483" s="18">
        <v>424</v>
      </c>
      <c r="C483" s="43">
        <v>1088.5503344397209</v>
      </c>
      <c r="D483" s="18">
        <v>424</v>
      </c>
      <c r="E483" s="43">
        <v>-15.469348648724132</v>
      </c>
      <c r="F483" s="18">
        <v>424</v>
      </c>
      <c r="G483" s="43">
        <v>996.72832666319209</v>
      </c>
    </row>
    <row r="484" spans="2:7" x14ac:dyDescent="0.55000000000000004">
      <c r="B484" s="18">
        <v>425</v>
      </c>
      <c r="C484" s="43">
        <v>829.19810067289177</v>
      </c>
      <c r="D484" s="18">
        <v>425</v>
      </c>
      <c r="E484" s="43">
        <v>-3.2688886312222323</v>
      </c>
      <c r="F484" s="18">
        <v>425</v>
      </c>
      <c r="G484" s="43">
        <v>1086.6833983249692</v>
      </c>
    </row>
    <row r="485" spans="2:7" x14ac:dyDescent="0.55000000000000004">
      <c r="B485" s="18">
        <v>426</v>
      </c>
      <c r="C485" s="43">
        <v>1291.2141114756919</v>
      </c>
      <c r="D485" s="18">
        <v>426</v>
      </c>
      <c r="E485" s="43">
        <v>42.31107550780284</v>
      </c>
      <c r="F485" s="18">
        <v>426</v>
      </c>
      <c r="G485" s="43">
        <v>940.95200226672137</v>
      </c>
    </row>
    <row r="486" spans="2:7" x14ac:dyDescent="0.55000000000000004">
      <c r="B486" s="18">
        <v>427</v>
      </c>
      <c r="C486" s="43">
        <v>1501.7037698570216</v>
      </c>
      <c r="D486" s="18">
        <v>427</v>
      </c>
      <c r="E486" s="43">
        <v>1.3638196472481243</v>
      </c>
      <c r="F486" s="18">
        <v>427</v>
      </c>
      <c r="G486" s="43">
        <v>1402.6258653528737</v>
      </c>
    </row>
    <row r="487" spans="2:7" x14ac:dyDescent="0.55000000000000004">
      <c r="B487" s="18">
        <v>428</v>
      </c>
      <c r="C487" s="43">
        <v>888.12982512812084</v>
      </c>
      <c r="D487" s="18">
        <v>428</v>
      </c>
      <c r="E487" s="43">
        <v>25.754615636010811</v>
      </c>
      <c r="F487" s="18">
        <v>428</v>
      </c>
      <c r="G487" s="43">
        <v>1221.8098373198879</v>
      </c>
    </row>
    <row r="488" spans="2:7" x14ac:dyDescent="0.55000000000000004">
      <c r="B488" s="18">
        <v>429</v>
      </c>
      <c r="C488" s="43">
        <v>906.73891132131541</v>
      </c>
      <c r="D488" s="18">
        <v>429</v>
      </c>
      <c r="E488" s="43">
        <v>-5.3674552696584374</v>
      </c>
      <c r="F488" s="18">
        <v>429</v>
      </c>
      <c r="G488" s="43">
        <v>826.52785533030215</v>
      </c>
    </row>
    <row r="489" spans="2:7" x14ac:dyDescent="0.55000000000000004">
      <c r="B489" s="18">
        <v>430</v>
      </c>
      <c r="C489" s="43">
        <v>623.17137115089167</v>
      </c>
      <c r="D489" s="18">
        <v>430</v>
      </c>
      <c r="E489" s="43">
        <v>-15.65636570301675</v>
      </c>
      <c r="F489" s="18">
        <v>430</v>
      </c>
      <c r="G489" s="43">
        <v>900.08362958149939</v>
      </c>
    </row>
    <row r="490" spans="2:7" x14ac:dyDescent="0.55000000000000004">
      <c r="B490" s="18">
        <v>431</v>
      </c>
      <c r="C490" s="43">
        <v>1198.0060595788923</v>
      </c>
      <c r="D490" s="18">
        <v>431</v>
      </c>
      <c r="E490" s="43">
        <v>50.236211362028811</v>
      </c>
      <c r="F490" s="18">
        <v>431</v>
      </c>
      <c r="G490" s="43">
        <v>793.69978411190232</v>
      </c>
    </row>
    <row r="491" spans="2:7" x14ac:dyDescent="0.55000000000000004">
      <c r="B491" s="18">
        <v>432</v>
      </c>
      <c r="C491" s="43">
        <v>529.04276441767627</v>
      </c>
      <c r="D491" s="18">
        <v>432</v>
      </c>
      <c r="E491" s="43">
        <v>-18.540506519519219</v>
      </c>
      <c r="F491" s="18">
        <v>432</v>
      </c>
      <c r="G491" s="43">
        <v>1024.9788144761644</v>
      </c>
    </row>
    <row r="492" spans="2:7" x14ac:dyDescent="0.55000000000000004">
      <c r="B492" s="18">
        <v>433</v>
      </c>
      <c r="C492" s="43">
        <v>707.97435376866019</v>
      </c>
      <c r="D492" s="18">
        <v>433</v>
      </c>
      <c r="E492" s="43">
        <v>-6.3293664716312525</v>
      </c>
      <c r="F492" s="18">
        <v>433</v>
      </c>
      <c r="G492" s="43">
        <v>1197.0668776656764</v>
      </c>
    </row>
    <row r="493" spans="2:7" x14ac:dyDescent="0.55000000000000004">
      <c r="B493" s="18">
        <v>434</v>
      </c>
      <c r="C493" s="43">
        <v>758.8859716023378</v>
      </c>
      <c r="D493" s="18">
        <v>434</v>
      </c>
      <c r="E493" s="43">
        <v>16.708524245901728</v>
      </c>
      <c r="F493" s="18">
        <v>434</v>
      </c>
      <c r="G493" s="43">
        <v>885.13779649441642</v>
      </c>
    </row>
    <row r="494" spans="2:7" x14ac:dyDescent="0.55000000000000004">
      <c r="B494" s="18">
        <v>435</v>
      </c>
      <c r="C494" s="43">
        <v>266.83336667255077</v>
      </c>
      <c r="D494" s="18">
        <v>435</v>
      </c>
      <c r="E494" s="43">
        <v>63.72708667368628</v>
      </c>
      <c r="F494" s="18">
        <v>435</v>
      </c>
      <c r="G494" s="43">
        <v>1122.2793594003215</v>
      </c>
    </row>
    <row r="495" spans="2:7" x14ac:dyDescent="0.55000000000000004">
      <c r="B495" s="18">
        <v>436</v>
      </c>
      <c r="C495" s="43">
        <v>1014.3375421694061</v>
      </c>
      <c r="D495" s="18">
        <v>436</v>
      </c>
      <c r="E495" s="43">
        <v>-20.375610304889715</v>
      </c>
      <c r="F495" s="18">
        <v>436</v>
      </c>
      <c r="G495" s="43">
        <v>404.77240468497263</v>
      </c>
    </row>
    <row r="496" spans="2:7" x14ac:dyDescent="0.55000000000000004">
      <c r="B496" s="18">
        <v>437</v>
      </c>
      <c r="C496" s="43">
        <v>676.56172015413676</v>
      </c>
      <c r="D496" s="18">
        <v>437</v>
      </c>
      <c r="E496" s="43">
        <v>-6.5694090416726114</v>
      </c>
      <c r="F496" s="18">
        <v>437</v>
      </c>
      <c r="G496" s="43">
        <v>1097.0858593920511</v>
      </c>
    </row>
    <row r="497" spans="2:7" x14ac:dyDescent="0.55000000000000004">
      <c r="B497" s="18">
        <v>438</v>
      </c>
      <c r="C497" s="43">
        <v>1110.475012020753</v>
      </c>
      <c r="D497" s="18">
        <v>438</v>
      </c>
      <c r="E497" s="43">
        <v>14.037284722255396</v>
      </c>
      <c r="F497" s="18">
        <v>438</v>
      </c>
      <c r="G497" s="43">
        <v>1556.7344721588654</v>
      </c>
    </row>
    <row r="498" spans="2:7" x14ac:dyDescent="0.55000000000000004">
      <c r="B498" s="18">
        <v>439</v>
      </c>
      <c r="C498" s="43">
        <v>1349.6181533462818</v>
      </c>
      <c r="D498" s="18">
        <v>439</v>
      </c>
      <c r="E498" s="43">
        <v>24.158053546514967</v>
      </c>
      <c r="F498" s="18">
        <v>439</v>
      </c>
      <c r="G498" s="43">
        <v>1169.4733629592613</v>
      </c>
    </row>
    <row r="499" spans="2:7" x14ac:dyDescent="0.55000000000000004">
      <c r="B499" s="18">
        <v>440</v>
      </c>
      <c r="C499" s="43">
        <v>1003.7379010685663</v>
      </c>
      <c r="D499" s="18">
        <v>440</v>
      </c>
      <c r="E499" s="43">
        <v>-30.406579137712555</v>
      </c>
      <c r="F499" s="18">
        <v>440</v>
      </c>
      <c r="G499" s="43">
        <v>875.36492757308315</v>
      </c>
    </row>
    <row r="500" spans="2:7" x14ac:dyDescent="0.55000000000000004">
      <c r="B500" s="18">
        <v>441</v>
      </c>
      <c r="C500" s="43">
        <v>969.00508315367881</v>
      </c>
      <c r="D500" s="18">
        <v>441</v>
      </c>
      <c r="E500" s="43">
        <v>66.159797805444427</v>
      </c>
      <c r="F500" s="18">
        <v>441</v>
      </c>
      <c r="G500" s="43">
        <v>721.60003298700076</v>
      </c>
    </row>
    <row r="501" spans="2:7" x14ac:dyDescent="0.55000000000000004">
      <c r="B501" s="18">
        <v>442</v>
      </c>
      <c r="C501" s="43">
        <v>1028.0768637752763</v>
      </c>
      <c r="D501" s="18">
        <v>442</v>
      </c>
      <c r="E501" s="43">
        <v>7.5592234827544305</v>
      </c>
      <c r="F501" s="18">
        <v>442</v>
      </c>
      <c r="G501" s="43">
        <v>349.47964992781237</v>
      </c>
    </row>
    <row r="502" spans="2:7" x14ac:dyDescent="0.55000000000000004">
      <c r="B502" s="18">
        <v>443</v>
      </c>
      <c r="C502" s="43">
        <v>1334.0236367214393</v>
      </c>
      <c r="D502" s="18">
        <v>443</v>
      </c>
      <c r="E502" s="43">
        <v>-1.2996295509481905</v>
      </c>
      <c r="F502" s="18">
        <v>443</v>
      </c>
      <c r="G502" s="43">
        <v>509.73139619924711</v>
      </c>
    </row>
    <row r="503" spans="2:7" x14ac:dyDescent="0.55000000000000004">
      <c r="B503" s="18">
        <v>444</v>
      </c>
      <c r="C503" s="43">
        <v>1226.0752335747316</v>
      </c>
      <c r="D503" s="18">
        <v>444</v>
      </c>
      <c r="E503" s="43">
        <v>12.085393007487983</v>
      </c>
      <c r="F503" s="18">
        <v>444</v>
      </c>
      <c r="G503" s="43">
        <v>1145.8050867314855</v>
      </c>
    </row>
    <row r="504" spans="2:7" x14ac:dyDescent="0.55000000000000004">
      <c r="B504" s="18">
        <v>445</v>
      </c>
      <c r="C504" s="43">
        <v>905.18851939808212</v>
      </c>
      <c r="D504" s="18">
        <v>445</v>
      </c>
      <c r="E504" s="43">
        <v>-2.3799176639398825</v>
      </c>
      <c r="F504" s="18">
        <v>445</v>
      </c>
      <c r="G504" s="43">
        <v>685.70724169018217</v>
      </c>
    </row>
    <row r="505" spans="2:7" x14ac:dyDescent="0.55000000000000004">
      <c r="B505" s="18">
        <v>446</v>
      </c>
      <c r="C505" s="43">
        <v>355.31593120661245</v>
      </c>
      <c r="D505" s="18">
        <v>446</v>
      </c>
      <c r="E505" s="43">
        <v>-41.03720010193139</v>
      </c>
      <c r="F505" s="18">
        <v>446</v>
      </c>
      <c r="G505" s="43">
        <v>778.56078721689653</v>
      </c>
    </row>
    <row r="506" spans="2:7" x14ac:dyDescent="0.55000000000000004">
      <c r="B506" s="18">
        <v>447</v>
      </c>
      <c r="C506" s="43">
        <v>1300.9311651422918</v>
      </c>
      <c r="D506" s="18">
        <v>447</v>
      </c>
      <c r="E506" s="43">
        <v>-16.062255812625612</v>
      </c>
      <c r="F506" s="18">
        <v>447</v>
      </c>
      <c r="G506" s="43">
        <v>1198.9915831217013</v>
      </c>
    </row>
    <row r="507" spans="2:7" x14ac:dyDescent="0.55000000000000004">
      <c r="B507" s="18">
        <v>448</v>
      </c>
      <c r="C507" s="43">
        <v>696.98766489837703</v>
      </c>
      <c r="D507" s="18">
        <v>448</v>
      </c>
      <c r="E507" s="43">
        <v>12.485578916418872</v>
      </c>
      <c r="F507" s="18">
        <v>448</v>
      </c>
      <c r="G507" s="43">
        <v>971.07442573045319</v>
      </c>
    </row>
    <row r="508" spans="2:7" x14ac:dyDescent="0.55000000000000004">
      <c r="B508" s="18">
        <v>449</v>
      </c>
      <c r="C508" s="43">
        <v>862.89694364244883</v>
      </c>
      <c r="D508" s="18">
        <v>449</v>
      </c>
      <c r="E508" s="43">
        <v>59.380212277346629</v>
      </c>
      <c r="F508" s="18">
        <v>449</v>
      </c>
      <c r="G508" s="43">
        <v>677.5246690033041</v>
      </c>
    </row>
    <row r="509" spans="2:7" x14ac:dyDescent="0.55000000000000004">
      <c r="B509" s="18">
        <v>450</v>
      </c>
      <c r="C509" s="43">
        <v>879.87306800000056</v>
      </c>
      <c r="D509" s="18">
        <v>450</v>
      </c>
      <c r="E509" s="43">
        <v>20.655068987935934</v>
      </c>
      <c r="F509" s="18">
        <v>450</v>
      </c>
      <c r="G509" s="43">
        <v>976.79780126821481</v>
      </c>
    </row>
    <row r="510" spans="2:7" x14ac:dyDescent="0.55000000000000004">
      <c r="B510" s="18">
        <v>451</v>
      </c>
      <c r="C510" s="43">
        <v>798.48307472772626</v>
      </c>
      <c r="D510" s="18">
        <v>451</v>
      </c>
      <c r="E510" s="43">
        <v>13.334388235230104</v>
      </c>
      <c r="F510" s="18">
        <v>451</v>
      </c>
      <c r="G510" s="43">
        <v>711.99353742251981</v>
      </c>
    </row>
    <row r="511" spans="2:7" x14ac:dyDescent="0.55000000000000004">
      <c r="B511" s="18">
        <v>452</v>
      </c>
      <c r="C511" s="43">
        <v>1058.6909889219462</v>
      </c>
      <c r="D511" s="18">
        <v>452</v>
      </c>
      <c r="E511" s="43">
        <v>-23.465818149690655</v>
      </c>
      <c r="F511" s="18">
        <v>452</v>
      </c>
      <c r="G511" s="43">
        <v>1207.907492812099</v>
      </c>
    </row>
    <row r="512" spans="2:7" x14ac:dyDescent="0.55000000000000004">
      <c r="B512" s="18">
        <v>453</v>
      </c>
      <c r="C512" s="43">
        <v>640.28075145301898</v>
      </c>
      <c r="D512" s="18">
        <v>453</v>
      </c>
      <c r="E512" s="43">
        <v>-12.453681969121039</v>
      </c>
      <c r="F512" s="18">
        <v>453</v>
      </c>
      <c r="G512" s="43">
        <v>1458.5676970359714</v>
      </c>
    </row>
    <row r="513" spans="2:7" x14ac:dyDescent="0.55000000000000004">
      <c r="B513" s="18">
        <v>454</v>
      </c>
      <c r="C513" s="43">
        <v>1379.452577320845</v>
      </c>
      <c r="D513" s="18">
        <v>454</v>
      </c>
      <c r="E513" s="43">
        <v>-3.6366830518577706</v>
      </c>
      <c r="F513" s="18">
        <v>454</v>
      </c>
      <c r="G513" s="43">
        <v>831.93740681602742</v>
      </c>
    </row>
    <row r="514" spans="2:7" x14ac:dyDescent="0.55000000000000004">
      <c r="B514" s="18">
        <v>455</v>
      </c>
      <c r="C514" s="43">
        <v>920.99570538764397</v>
      </c>
      <c r="D514" s="18">
        <v>455</v>
      </c>
      <c r="E514" s="43">
        <v>19.164668425314105</v>
      </c>
      <c r="F514" s="18">
        <v>455</v>
      </c>
      <c r="G514" s="43">
        <v>1405.9018815541424</v>
      </c>
    </row>
    <row r="515" spans="2:7" x14ac:dyDescent="0.55000000000000004">
      <c r="B515" s="18">
        <v>456</v>
      </c>
      <c r="C515" s="43">
        <v>708.10079626593244</v>
      </c>
      <c r="D515" s="18">
        <v>456</v>
      </c>
      <c r="E515" s="43">
        <v>-4.5576953302562018</v>
      </c>
      <c r="F515" s="18">
        <v>456</v>
      </c>
      <c r="G515" s="43">
        <v>1323.8417216406083</v>
      </c>
    </row>
    <row r="516" spans="2:7" x14ac:dyDescent="0.55000000000000004">
      <c r="B516" s="18">
        <v>457</v>
      </c>
      <c r="C516" s="43">
        <v>745.49840241361926</v>
      </c>
      <c r="D516" s="18">
        <v>457</v>
      </c>
      <c r="E516" s="43">
        <v>-10.411923474153621</v>
      </c>
      <c r="F516" s="18">
        <v>457</v>
      </c>
      <c r="G516" s="43">
        <v>1372.5926730328788</v>
      </c>
    </row>
    <row r="517" spans="2:7" x14ac:dyDescent="0.55000000000000004">
      <c r="B517" s="18">
        <v>458</v>
      </c>
      <c r="C517" s="43">
        <v>825.5816108939589</v>
      </c>
      <c r="D517" s="18">
        <v>458</v>
      </c>
      <c r="E517" s="43">
        <v>47.14841391588601</v>
      </c>
      <c r="F517" s="18">
        <v>458</v>
      </c>
      <c r="G517" s="43">
        <v>625.96362942619987</v>
      </c>
    </row>
    <row r="518" spans="2:7" x14ac:dyDescent="0.55000000000000004">
      <c r="B518" s="18">
        <v>459</v>
      </c>
      <c r="C518" s="43">
        <v>844.52442003144699</v>
      </c>
      <c r="D518" s="18">
        <v>459</v>
      </c>
      <c r="E518" s="43">
        <v>-9.5879532171699164</v>
      </c>
      <c r="F518" s="18">
        <v>459</v>
      </c>
      <c r="G518" s="43">
        <v>576.2105860981934</v>
      </c>
    </row>
    <row r="519" spans="2:7" x14ac:dyDescent="0.55000000000000004">
      <c r="B519" s="18">
        <v>460</v>
      </c>
      <c r="C519" s="43">
        <v>1101.6325439455359</v>
      </c>
      <c r="D519" s="18">
        <v>460</v>
      </c>
      <c r="E519" s="43">
        <v>4.7225402945710417</v>
      </c>
      <c r="F519" s="18">
        <v>460</v>
      </c>
      <c r="G519" s="43">
        <v>799.1671335745574</v>
      </c>
    </row>
    <row r="520" spans="2:7" x14ac:dyDescent="0.55000000000000004">
      <c r="B520" s="18">
        <v>461</v>
      </c>
      <c r="C520" s="43">
        <v>1120.3054642699819</v>
      </c>
      <c r="D520" s="18">
        <v>461</v>
      </c>
      <c r="E520" s="43">
        <v>5.5710760251107967</v>
      </c>
      <c r="F520" s="18">
        <v>461</v>
      </c>
      <c r="G520" s="43">
        <v>738.51844239048808</v>
      </c>
    </row>
    <row r="521" spans="2:7" x14ac:dyDescent="0.55000000000000004">
      <c r="B521" s="18">
        <v>462</v>
      </c>
      <c r="C521" s="43">
        <v>805.84187685044435</v>
      </c>
      <c r="D521" s="18">
        <v>462</v>
      </c>
      <c r="E521" s="43">
        <v>-47.531688921437237</v>
      </c>
      <c r="F521" s="18">
        <v>462</v>
      </c>
      <c r="G521" s="43">
        <v>565.71243452346346</v>
      </c>
    </row>
    <row r="522" spans="2:7" x14ac:dyDescent="0.55000000000000004">
      <c r="B522" s="18">
        <v>463</v>
      </c>
      <c r="C522" s="43">
        <v>1201.684834031696</v>
      </c>
      <c r="D522" s="18">
        <v>463</v>
      </c>
      <c r="E522" s="43">
        <v>-72.743745262903047</v>
      </c>
      <c r="F522" s="18">
        <v>463</v>
      </c>
      <c r="G522" s="43">
        <v>839.36008784541605</v>
      </c>
    </row>
    <row r="523" spans="2:7" x14ac:dyDescent="0.55000000000000004">
      <c r="B523" s="18">
        <v>464</v>
      </c>
      <c r="C523" s="43">
        <v>616.04483896242232</v>
      </c>
      <c r="D523" s="18">
        <v>464</v>
      </c>
      <c r="E523" s="43">
        <v>-30.598099647717241</v>
      </c>
      <c r="F523" s="18">
        <v>464</v>
      </c>
      <c r="G523" s="43">
        <v>954.09047664167031</v>
      </c>
    </row>
    <row r="524" spans="2:7" x14ac:dyDescent="0.55000000000000004">
      <c r="B524" s="18">
        <v>465</v>
      </c>
      <c r="C524" s="43">
        <v>521.15684505721686</v>
      </c>
      <c r="D524" s="18">
        <v>465</v>
      </c>
      <c r="E524" s="43">
        <v>17.27066831928202</v>
      </c>
      <c r="F524" s="18">
        <v>465</v>
      </c>
      <c r="G524" s="43">
        <v>1031.1562277105782</v>
      </c>
    </row>
    <row r="525" spans="2:7" x14ac:dyDescent="0.55000000000000004">
      <c r="B525" s="18">
        <v>466</v>
      </c>
      <c r="C525" s="43">
        <v>1113.7730175003337</v>
      </c>
      <c r="D525" s="18">
        <v>466</v>
      </c>
      <c r="E525" s="43">
        <v>23.712301031901998</v>
      </c>
      <c r="F525" s="18">
        <v>466</v>
      </c>
      <c r="G525" s="43">
        <v>1356.1559793234806</v>
      </c>
    </row>
    <row r="526" spans="2:7" x14ac:dyDescent="0.55000000000000004">
      <c r="B526" s="18">
        <v>467</v>
      </c>
      <c r="C526" s="43">
        <v>1051.2871045963398</v>
      </c>
      <c r="D526" s="18">
        <v>467</v>
      </c>
      <c r="E526" s="43">
        <v>-7.1075377744731041</v>
      </c>
      <c r="F526" s="18">
        <v>467</v>
      </c>
      <c r="G526" s="43">
        <v>622.54562963853789</v>
      </c>
    </row>
    <row r="527" spans="2:7" x14ac:dyDescent="0.55000000000000004">
      <c r="B527" s="18">
        <v>468</v>
      </c>
      <c r="C527" s="43">
        <v>1282.1607200763433</v>
      </c>
      <c r="D527" s="18">
        <v>468</v>
      </c>
      <c r="E527" s="43">
        <v>-42.649594334461781</v>
      </c>
      <c r="F527" s="18">
        <v>468</v>
      </c>
      <c r="G527" s="43">
        <v>1304.6606631037587</v>
      </c>
    </row>
    <row r="528" spans="2:7" x14ac:dyDescent="0.55000000000000004">
      <c r="B528" s="18">
        <v>469</v>
      </c>
      <c r="C528" s="43">
        <v>512.05816205118015</v>
      </c>
      <c r="D528" s="18">
        <v>469</v>
      </c>
      <c r="E528" s="43">
        <v>14.943140079744424</v>
      </c>
      <c r="F528" s="18">
        <v>469</v>
      </c>
      <c r="G528" s="43">
        <v>1174.7674705105326</v>
      </c>
    </row>
    <row r="529" spans="2:7" x14ac:dyDescent="0.55000000000000004">
      <c r="B529" s="18">
        <v>470</v>
      </c>
      <c r="C529" s="43">
        <v>1117.3860296315497</v>
      </c>
      <c r="D529" s="18">
        <v>470</v>
      </c>
      <c r="E529" s="43">
        <v>-17.709539546375503</v>
      </c>
      <c r="F529" s="18">
        <v>470</v>
      </c>
      <c r="G529" s="43">
        <v>907.88793728576059</v>
      </c>
    </row>
    <row r="530" spans="2:7" x14ac:dyDescent="0.55000000000000004">
      <c r="B530" s="18">
        <v>471</v>
      </c>
      <c r="C530" s="43">
        <v>485.22661645514324</v>
      </c>
      <c r="D530" s="18">
        <v>471</v>
      </c>
      <c r="E530" s="43">
        <v>4.5644809157471977</v>
      </c>
      <c r="F530" s="18">
        <v>471</v>
      </c>
      <c r="G530" s="43">
        <v>759.21471343521591</v>
      </c>
    </row>
    <row r="531" spans="2:7" x14ac:dyDescent="0.55000000000000004">
      <c r="B531" s="18">
        <v>472</v>
      </c>
      <c r="C531" s="43">
        <v>478.18472599571589</v>
      </c>
      <c r="D531" s="18">
        <v>472</v>
      </c>
      <c r="E531" s="43">
        <v>-5.7499477407620381</v>
      </c>
      <c r="F531" s="18">
        <v>472</v>
      </c>
      <c r="G531" s="43">
        <v>1000.8157568183703</v>
      </c>
    </row>
    <row r="532" spans="2:7" x14ac:dyDescent="0.55000000000000004">
      <c r="B532" s="18">
        <v>473</v>
      </c>
      <c r="C532" s="43">
        <v>967.54481726411871</v>
      </c>
      <c r="D532" s="18">
        <v>473</v>
      </c>
      <c r="E532" s="43">
        <v>-0.7806678144131769</v>
      </c>
      <c r="F532" s="18">
        <v>473</v>
      </c>
      <c r="G532" s="43">
        <v>1541.4405926407358</v>
      </c>
    </row>
    <row r="533" spans="2:7" x14ac:dyDescent="0.55000000000000004">
      <c r="B533" s="18">
        <v>474</v>
      </c>
      <c r="C533" s="43">
        <v>903.29598622655976</v>
      </c>
      <c r="D533" s="18">
        <v>474</v>
      </c>
      <c r="E533" s="43">
        <v>12.727725966076534</v>
      </c>
      <c r="F533" s="18">
        <v>474</v>
      </c>
      <c r="G533" s="43">
        <v>670.60966452592936</v>
      </c>
    </row>
    <row r="534" spans="2:7" x14ac:dyDescent="0.55000000000000004">
      <c r="B534" s="18">
        <v>475</v>
      </c>
      <c r="C534" s="43">
        <v>946.92035478538196</v>
      </c>
      <c r="D534" s="18">
        <v>475</v>
      </c>
      <c r="E534" s="43">
        <v>-7.3496159268332111</v>
      </c>
      <c r="F534" s="18">
        <v>475</v>
      </c>
      <c r="G534" s="43">
        <v>1524.4194784614551</v>
      </c>
    </row>
    <row r="535" spans="2:7" x14ac:dyDescent="0.55000000000000004">
      <c r="B535" s="18">
        <v>476</v>
      </c>
      <c r="C535" s="43">
        <v>726.40948525701879</v>
      </c>
      <c r="D535" s="18">
        <v>476</v>
      </c>
      <c r="E535" s="43">
        <v>32.166560279228101</v>
      </c>
      <c r="F535" s="18">
        <v>476</v>
      </c>
      <c r="G535" s="43">
        <v>704.24830843292239</v>
      </c>
    </row>
    <row r="536" spans="2:7" x14ac:dyDescent="0.55000000000000004">
      <c r="B536" s="18">
        <v>477</v>
      </c>
      <c r="C536" s="43">
        <v>1236.6953930587806</v>
      </c>
      <c r="D536" s="18">
        <v>477</v>
      </c>
      <c r="E536" s="43">
        <v>12.918659235844384</v>
      </c>
      <c r="F536" s="18">
        <v>477</v>
      </c>
      <c r="G536" s="43">
        <v>648.51530438591249</v>
      </c>
    </row>
    <row r="537" spans="2:7" x14ac:dyDescent="0.55000000000000004">
      <c r="B537" s="18">
        <v>478</v>
      </c>
      <c r="C537" s="43">
        <v>280.73109679038225</v>
      </c>
      <c r="D537" s="18">
        <v>478</v>
      </c>
      <c r="E537" s="43">
        <v>44.459603161856464</v>
      </c>
      <c r="F537" s="18">
        <v>478</v>
      </c>
      <c r="G537" s="43">
        <v>796.17943150169026</v>
      </c>
    </row>
    <row r="538" spans="2:7" x14ac:dyDescent="0.55000000000000004">
      <c r="B538" s="18">
        <v>479</v>
      </c>
      <c r="C538" s="43">
        <v>1120.1835321818671</v>
      </c>
      <c r="D538" s="18">
        <v>479</v>
      </c>
      <c r="E538" s="43">
        <v>8.7415210795819309</v>
      </c>
      <c r="F538" s="18">
        <v>479</v>
      </c>
      <c r="G538" s="43">
        <v>1361.2802668667189</v>
      </c>
    </row>
    <row r="539" spans="2:7" x14ac:dyDescent="0.55000000000000004">
      <c r="B539" s="18">
        <v>480</v>
      </c>
      <c r="C539" s="43">
        <v>407.90854591524686</v>
      </c>
      <c r="D539" s="18">
        <v>480</v>
      </c>
      <c r="E539" s="43">
        <v>12.427414071758571</v>
      </c>
      <c r="F539" s="18">
        <v>480</v>
      </c>
      <c r="G539" s="43">
        <v>919.24662625932797</v>
      </c>
    </row>
    <row r="540" spans="2:7" x14ac:dyDescent="0.55000000000000004">
      <c r="B540" s="18">
        <v>481</v>
      </c>
      <c r="C540" s="43">
        <v>559.01169997336319</v>
      </c>
      <c r="D540" s="18">
        <v>481</v>
      </c>
      <c r="E540" s="43">
        <v>-13.053523511892049</v>
      </c>
      <c r="F540" s="18">
        <v>481</v>
      </c>
      <c r="G540" s="43">
        <v>1220.6213368164565</v>
      </c>
    </row>
    <row r="541" spans="2:7" x14ac:dyDescent="0.55000000000000004">
      <c r="B541" s="18">
        <v>482</v>
      </c>
      <c r="C541" s="43">
        <v>1492.6553854231954</v>
      </c>
      <c r="D541" s="18">
        <v>482</v>
      </c>
      <c r="E541" s="43">
        <v>-5.6751872247430075</v>
      </c>
      <c r="F541" s="18">
        <v>482</v>
      </c>
      <c r="G541" s="43">
        <v>1093.8851996666522</v>
      </c>
    </row>
    <row r="542" spans="2:7" x14ac:dyDescent="0.55000000000000004">
      <c r="B542" s="18">
        <v>483</v>
      </c>
      <c r="C542" s="43">
        <v>491.49903692063901</v>
      </c>
      <c r="D542" s="18">
        <v>483</v>
      </c>
      <c r="E542" s="43">
        <v>-5.6464005530994914</v>
      </c>
      <c r="F542" s="18">
        <v>483</v>
      </c>
      <c r="G542" s="43">
        <v>1138.8128882661633</v>
      </c>
    </row>
    <row r="543" spans="2:7" x14ac:dyDescent="0.55000000000000004">
      <c r="B543" s="18">
        <v>484</v>
      </c>
      <c r="C543" s="43">
        <v>479.39060723337855</v>
      </c>
      <c r="D543" s="18">
        <v>484</v>
      </c>
      <c r="E543" s="43">
        <v>24.082024509013124</v>
      </c>
      <c r="F543" s="18">
        <v>484</v>
      </c>
      <c r="G543" s="43">
        <v>1118.5598895050243</v>
      </c>
    </row>
    <row r="544" spans="2:7" x14ac:dyDescent="0.55000000000000004">
      <c r="B544" s="18">
        <v>485</v>
      </c>
      <c r="C544" s="43">
        <v>1013.660377336549</v>
      </c>
      <c r="D544" s="18">
        <v>485</v>
      </c>
      <c r="E544" s="43">
        <v>11.117137970472815</v>
      </c>
      <c r="F544" s="18">
        <v>485</v>
      </c>
      <c r="G544" s="43">
        <v>1542.4787870157111</v>
      </c>
    </row>
    <row r="545" spans="2:7" x14ac:dyDescent="0.55000000000000004">
      <c r="B545" s="18">
        <v>486</v>
      </c>
      <c r="C545" s="43">
        <v>1020.6235821861808</v>
      </c>
      <c r="D545" s="18">
        <v>486</v>
      </c>
      <c r="E545" s="43">
        <v>37.446871933581576</v>
      </c>
      <c r="F545" s="18">
        <v>486</v>
      </c>
      <c r="G545" s="43">
        <v>1009.3386988170516</v>
      </c>
    </row>
    <row r="546" spans="2:7" x14ac:dyDescent="0.55000000000000004">
      <c r="B546" s="18">
        <v>487</v>
      </c>
      <c r="C546" s="43">
        <v>636.70066424834317</v>
      </c>
      <c r="D546" s="18">
        <v>487</v>
      </c>
      <c r="E546" s="43">
        <v>16.604182706228325</v>
      </c>
      <c r="F546" s="18">
        <v>487</v>
      </c>
      <c r="G546" s="43">
        <v>1322.1006038190199</v>
      </c>
    </row>
    <row r="547" spans="2:7" x14ac:dyDescent="0.55000000000000004">
      <c r="B547" s="18">
        <v>488</v>
      </c>
      <c r="C547" s="43">
        <v>835.1013457236113</v>
      </c>
      <c r="D547" s="18">
        <v>488</v>
      </c>
      <c r="E547" s="43">
        <v>32.448341486138268</v>
      </c>
      <c r="F547" s="18">
        <v>488</v>
      </c>
      <c r="G547" s="43">
        <v>949.59289012515637</v>
      </c>
    </row>
    <row r="548" spans="2:7" x14ac:dyDescent="0.55000000000000004">
      <c r="B548" s="18">
        <v>489</v>
      </c>
      <c r="C548" s="43">
        <v>647.78191910664634</v>
      </c>
      <c r="D548" s="18">
        <v>489</v>
      </c>
      <c r="E548" s="43">
        <v>-1.3253002012171522</v>
      </c>
      <c r="F548" s="18">
        <v>489</v>
      </c>
      <c r="G548" s="43">
        <v>1156.4395303764559</v>
      </c>
    </row>
    <row r="549" spans="2:7" x14ac:dyDescent="0.55000000000000004">
      <c r="B549" s="18">
        <v>490</v>
      </c>
      <c r="C549" s="43">
        <v>975.33054749559778</v>
      </c>
      <c r="D549" s="18">
        <v>490</v>
      </c>
      <c r="E549" s="43">
        <v>10.639413523629276</v>
      </c>
      <c r="F549" s="18">
        <v>490</v>
      </c>
      <c r="G549" s="43">
        <v>809.48078801187353</v>
      </c>
    </row>
    <row r="550" spans="2:7" x14ac:dyDescent="0.55000000000000004">
      <c r="B550" s="18">
        <v>491</v>
      </c>
      <c r="C550" s="43">
        <v>833.21172096872397</v>
      </c>
      <c r="D550" s="18">
        <v>491</v>
      </c>
      <c r="E550" s="43">
        <v>-47.011111995833019</v>
      </c>
      <c r="F550" s="18">
        <v>491</v>
      </c>
      <c r="G550" s="43">
        <v>1025.8718768814308</v>
      </c>
    </row>
    <row r="551" spans="2:7" x14ac:dyDescent="0.55000000000000004">
      <c r="B551" s="18">
        <v>492</v>
      </c>
      <c r="C551" s="43">
        <v>908.36228992209817</v>
      </c>
      <c r="D551" s="18">
        <v>492</v>
      </c>
      <c r="E551" s="43">
        <v>-18.169787551996325</v>
      </c>
      <c r="F551" s="18">
        <v>492</v>
      </c>
      <c r="G551" s="43">
        <v>962.02120959732895</v>
      </c>
    </row>
    <row r="552" spans="2:7" x14ac:dyDescent="0.55000000000000004">
      <c r="B552" s="18">
        <v>493</v>
      </c>
      <c r="C552" s="43">
        <v>620.08450920811413</v>
      </c>
      <c r="D552" s="18">
        <v>493</v>
      </c>
      <c r="E552" s="43">
        <v>12.499804458181924</v>
      </c>
      <c r="F552" s="18">
        <v>493</v>
      </c>
      <c r="G552" s="43">
        <v>884.29507398406656</v>
      </c>
    </row>
    <row r="553" spans="2:7" x14ac:dyDescent="0.55000000000000004">
      <c r="B553" s="18">
        <v>494</v>
      </c>
      <c r="C553" s="43">
        <v>1143.7455794020545</v>
      </c>
      <c r="D553" s="18">
        <v>494</v>
      </c>
      <c r="E553" s="43">
        <v>-37.575286556846983</v>
      </c>
      <c r="F553" s="18">
        <v>494</v>
      </c>
      <c r="G553" s="43">
        <v>746.61457601089228</v>
      </c>
    </row>
    <row r="554" spans="2:7" x14ac:dyDescent="0.55000000000000004">
      <c r="B554" s="18">
        <v>495</v>
      </c>
      <c r="C554" s="43">
        <v>985.27491572981603</v>
      </c>
      <c r="D554" s="18">
        <v>495</v>
      </c>
      <c r="E554" s="43">
        <v>16.4532196039547</v>
      </c>
      <c r="F554" s="18">
        <v>495</v>
      </c>
      <c r="G554" s="43">
        <v>799.54506477880352</v>
      </c>
    </row>
    <row r="555" spans="2:7" x14ac:dyDescent="0.55000000000000004">
      <c r="B555" s="18">
        <v>496</v>
      </c>
      <c r="C555" s="43">
        <v>1040.2568842425665</v>
      </c>
      <c r="D555" s="18">
        <v>496</v>
      </c>
      <c r="E555" s="43">
        <v>2.7962868170674056</v>
      </c>
      <c r="F555" s="18">
        <v>496</v>
      </c>
      <c r="G555" s="43">
        <v>463.42374279366641</v>
      </c>
    </row>
    <row r="556" spans="2:7" x14ac:dyDescent="0.55000000000000004">
      <c r="B556" s="18">
        <v>497</v>
      </c>
      <c r="C556" s="43">
        <v>987.83995633734048</v>
      </c>
      <c r="D556" s="18">
        <v>497</v>
      </c>
      <c r="E556" s="43">
        <v>24.175486598935176</v>
      </c>
      <c r="F556" s="18">
        <v>497</v>
      </c>
      <c r="G556" s="43">
        <v>807.17985446900389</v>
      </c>
    </row>
    <row r="557" spans="2:7" x14ac:dyDescent="0.55000000000000004">
      <c r="B557" s="18">
        <v>498</v>
      </c>
      <c r="C557" s="43">
        <v>972.21384911062103</v>
      </c>
      <c r="D557" s="18">
        <v>498</v>
      </c>
      <c r="E557" s="43">
        <v>30.073041429319954</v>
      </c>
      <c r="F557" s="18">
        <v>498</v>
      </c>
      <c r="G557" s="43">
        <v>670.43853394012149</v>
      </c>
    </row>
    <row r="558" spans="2:7" x14ac:dyDescent="0.55000000000000004">
      <c r="B558" s="18">
        <v>499</v>
      </c>
      <c r="C558" s="43">
        <v>1339.2229072516775</v>
      </c>
      <c r="D558" s="18">
        <v>499</v>
      </c>
      <c r="E558" s="43">
        <v>7.3435919022216449</v>
      </c>
      <c r="F558" s="18">
        <v>499</v>
      </c>
      <c r="G558" s="43">
        <v>893.938567807411</v>
      </c>
    </row>
    <row r="559" spans="2:7" x14ac:dyDescent="0.55000000000000004">
      <c r="B559" s="18">
        <v>500</v>
      </c>
      <c r="C559" s="43">
        <v>1051.0390837589769</v>
      </c>
      <c r="D559" s="18">
        <v>500</v>
      </c>
      <c r="E559" s="43">
        <v>-45.846492064719058</v>
      </c>
      <c r="F559" s="18">
        <v>500</v>
      </c>
      <c r="G559" s="43">
        <v>1230.396779399827</v>
      </c>
    </row>
    <row r="560" spans="2:7" x14ac:dyDescent="0.55000000000000004">
      <c r="C560" s="28"/>
      <c r="E560" s="28"/>
      <c r="G560" s="28"/>
    </row>
    <row r="561" spans="3:7" x14ac:dyDescent="0.55000000000000004">
      <c r="C561" s="28"/>
      <c r="E561" s="28"/>
      <c r="G561" s="28"/>
    </row>
    <row r="562" spans="3:7" x14ac:dyDescent="0.55000000000000004">
      <c r="C562" s="28"/>
      <c r="E562" s="28"/>
      <c r="G562" s="28"/>
    </row>
    <row r="563" spans="3:7" x14ac:dyDescent="0.55000000000000004">
      <c r="C563" s="28"/>
      <c r="E563" s="28"/>
      <c r="G563" s="28"/>
    </row>
    <row r="564" spans="3:7" x14ac:dyDescent="0.55000000000000004">
      <c r="C564" s="28"/>
      <c r="E564" s="28"/>
      <c r="G564" s="28"/>
    </row>
    <row r="565" spans="3:7" x14ac:dyDescent="0.55000000000000004">
      <c r="C565" s="28"/>
      <c r="E565" s="28"/>
      <c r="G565" s="28"/>
    </row>
    <row r="566" spans="3:7" x14ac:dyDescent="0.55000000000000004">
      <c r="C566" s="28"/>
      <c r="E566" s="28"/>
      <c r="G566" s="28"/>
    </row>
    <row r="567" spans="3:7" x14ac:dyDescent="0.55000000000000004">
      <c r="C567" s="28"/>
      <c r="E567" s="28"/>
      <c r="G567" s="28"/>
    </row>
    <row r="568" spans="3:7" x14ac:dyDescent="0.55000000000000004">
      <c r="C568" s="28"/>
      <c r="E568" s="28"/>
      <c r="G568" s="28"/>
    </row>
    <row r="569" spans="3:7" x14ac:dyDescent="0.55000000000000004">
      <c r="C569" s="28"/>
      <c r="E569" s="28"/>
      <c r="G569" s="28"/>
    </row>
    <row r="570" spans="3:7" x14ac:dyDescent="0.55000000000000004">
      <c r="C570" s="28"/>
      <c r="E570" s="28"/>
      <c r="G570" s="28"/>
    </row>
    <row r="571" spans="3:7" x14ac:dyDescent="0.55000000000000004">
      <c r="C571" s="28"/>
      <c r="E571" s="28"/>
      <c r="G571" s="28"/>
    </row>
    <row r="572" spans="3:7" x14ac:dyDescent="0.55000000000000004">
      <c r="C572" s="28"/>
      <c r="E572" s="28"/>
      <c r="G572" s="28"/>
    </row>
    <row r="573" spans="3:7" x14ac:dyDescent="0.55000000000000004">
      <c r="C573" s="28"/>
      <c r="E573" s="28"/>
      <c r="G573" s="28"/>
    </row>
    <row r="574" spans="3:7" x14ac:dyDescent="0.55000000000000004">
      <c r="C574" s="28"/>
      <c r="E574" s="28"/>
      <c r="G574" s="28"/>
    </row>
    <row r="575" spans="3:7" x14ac:dyDescent="0.55000000000000004">
      <c r="C575" s="28"/>
      <c r="E575" s="28"/>
      <c r="G575" s="28"/>
    </row>
    <row r="576" spans="3:7" x14ac:dyDescent="0.55000000000000004">
      <c r="C576" s="28"/>
      <c r="E576" s="28"/>
      <c r="G576" s="28"/>
    </row>
    <row r="577" spans="3:7" x14ac:dyDescent="0.55000000000000004">
      <c r="C577" s="28"/>
      <c r="E577" s="28"/>
      <c r="G577" s="28"/>
    </row>
    <row r="578" spans="3:7" x14ac:dyDescent="0.55000000000000004">
      <c r="C578" s="28"/>
      <c r="E578" s="28"/>
      <c r="G578" s="28"/>
    </row>
    <row r="579" spans="3:7" x14ac:dyDescent="0.55000000000000004">
      <c r="C579" s="28"/>
      <c r="E579" s="28"/>
      <c r="G579" s="28"/>
    </row>
    <row r="580" spans="3:7" x14ac:dyDescent="0.55000000000000004">
      <c r="C580" s="28"/>
      <c r="E580" s="28"/>
      <c r="G580" s="28"/>
    </row>
    <row r="581" spans="3:7" x14ac:dyDescent="0.55000000000000004">
      <c r="C581" s="28"/>
      <c r="E581" s="28"/>
      <c r="G581" s="28"/>
    </row>
    <row r="582" spans="3:7" x14ac:dyDescent="0.55000000000000004">
      <c r="C582" s="28"/>
      <c r="E582" s="28"/>
      <c r="G582" s="28"/>
    </row>
    <row r="583" spans="3:7" x14ac:dyDescent="0.55000000000000004">
      <c r="C583" s="28"/>
      <c r="E583" s="28"/>
      <c r="G583" s="28"/>
    </row>
    <row r="584" spans="3:7" x14ac:dyDescent="0.55000000000000004">
      <c r="C584" s="28"/>
      <c r="E584" s="28"/>
      <c r="G584" s="28"/>
    </row>
    <row r="585" spans="3:7" x14ac:dyDescent="0.55000000000000004">
      <c r="C585" s="28"/>
      <c r="E585" s="28"/>
      <c r="G585" s="28"/>
    </row>
    <row r="586" spans="3:7" x14ac:dyDescent="0.55000000000000004">
      <c r="C586" s="28"/>
      <c r="E586" s="28"/>
      <c r="G586" s="28"/>
    </row>
    <row r="587" spans="3:7" x14ac:dyDescent="0.55000000000000004">
      <c r="C587" s="28"/>
      <c r="E587" s="28"/>
      <c r="G587" s="28"/>
    </row>
    <row r="588" spans="3:7" x14ac:dyDescent="0.55000000000000004">
      <c r="C588" s="28"/>
      <c r="E588" s="28"/>
      <c r="G588" s="28"/>
    </row>
    <row r="589" spans="3:7" x14ac:dyDescent="0.55000000000000004">
      <c r="C589" s="28"/>
      <c r="E589" s="28"/>
      <c r="G589" s="28"/>
    </row>
    <row r="590" spans="3:7" x14ac:dyDescent="0.55000000000000004">
      <c r="C590" s="28"/>
      <c r="E590" s="28"/>
      <c r="G590" s="28"/>
    </row>
    <row r="591" spans="3:7" x14ac:dyDescent="0.55000000000000004">
      <c r="C591" s="28"/>
      <c r="E591" s="28"/>
      <c r="G591" s="28"/>
    </row>
    <row r="592" spans="3:7" x14ac:dyDescent="0.55000000000000004">
      <c r="C592" s="28"/>
      <c r="E592" s="28"/>
      <c r="G592" s="28"/>
    </row>
    <row r="593" spans="3:7" x14ac:dyDescent="0.55000000000000004">
      <c r="C593" s="28"/>
      <c r="E593" s="28"/>
      <c r="G593" s="28"/>
    </row>
    <row r="594" spans="3:7" x14ac:dyDescent="0.55000000000000004">
      <c r="C594" s="28"/>
      <c r="E594" s="28"/>
      <c r="G594" s="28"/>
    </row>
    <row r="595" spans="3:7" x14ac:dyDescent="0.55000000000000004">
      <c r="C595" s="28"/>
      <c r="E595" s="28"/>
      <c r="G595" s="28"/>
    </row>
    <row r="596" spans="3:7" x14ac:dyDescent="0.55000000000000004">
      <c r="C596" s="28"/>
      <c r="E596" s="28"/>
      <c r="G596" s="28"/>
    </row>
    <row r="597" spans="3:7" x14ac:dyDescent="0.55000000000000004">
      <c r="C597" s="28"/>
      <c r="E597" s="28"/>
      <c r="G597" s="28"/>
    </row>
    <row r="598" spans="3:7" x14ac:dyDescent="0.55000000000000004">
      <c r="C598" s="28"/>
      <c r="E598" s="28"/>
      <c r="G598" s="28"/>
    </row>
    <row r="599" spans="3:7" x14ac:dyDescent="0.55000000000000004">
      <c r="C599" s="28"/>
      <c r="E599" s="28"/>
      <c r="G599" s="28"/>
    </row>
    <row r="600" spans="3:7" x14ac:dyDescent="0.55000000000000004">
      <c r="C600" s="28"/>
      <c r="E600" s="28"/>
      <c r="G600" s="28"/>
    </row>
    <row r="601" spans="3:7" x14ac:dyDescent="0.55000000000000004">
      <c r="C601" s="28"/>
      <c r="E601" s="28"/>
      <c r="G601" s="28"/>
    </row>
    <row r="602" spans="3:7" x14ac:dyDescent="0.55000000000000004">
      <c r="C602" s="28"/>
      <c r="E602" s="28"/>
      <c r="G602" s="28"/>
    </row>
    <row r="603" spans="3:7" x14ac:dyDescent="0.55000000000000004">
      <c r="C603" s="28"/>
      <c r="E603" s="28"/>
      <c r="G603" s="28"/>
    </row>
    <row r="604" spans="3:7" x14ac:dyDescent="0.55000000000000004">
      <c r="C604" s="28"/>
      <c r="E604" s="28"/>
      <c r="G604" s="28"/>
    </row>
    <row r="605" spans="3:7" x14ac:dyDescent="0.55000000000000004">
      <c r="C605" s="28"/>
      <c r="E605" s="28"/>
      <c r="G605" s="28"/>
    </row>
    <row r="606" spans="3:7" x14ac:dyDescent="0.55000000000000004">
      <c r="C606" s="28"/>
      <c r="E606" s="28"/>
      <c r="G606" s="28"/>
    </row>
    <row r="607" spans="3:7" x14ac:dyDescent="0.55000000000000004">
      <c r="C607" s="28"/>
      <c r="E607" s="28"/>
      <c r="G607" s="28"/>
    </row>
    <row r="608" spans="3:7" x14ac:dyDescent="0.55000000000000004">
      <c r="C608" s="28"/>
      <c r="E608" s="28"/>
      <c r="G608" s="28"/>
    </row>
    <row r="609" spans="3:7" x14ac:dyDescent="0.55000000000000004">
      <c r="C609" s="28"/>
      <c r="E609" s="28"/>
      <c r="G609" s="28"/>
    </row>
    <row r="610" spans="3:7" x14ac:dyDescent="0.55000000000000004">
      <c r="C610" s="28"/>
      <c r="E610" s="28"/>
      <c r="G610" s="28"/>
    </row>
    <row r="611" spans="3:7" x14ac:dyDescent="0.55000000000000004">
      <c r="C611" s="28"/>
      <c r="E611" s="28"/>
      <c r="G611" s="28"/>
    </row>
    <row r="612" spans="3:7" x14ac:dyDescent="0.55000000000000004">
      <c r="C612" s="28"/>
      <c r="E612" s="28"/>
      <c r="G612" s="28"/>
    </row>
    <row r="613" spans="3:7" x14ac:dyDescent="0.55000000000000004">
      <c r="C613" s="28"/>
      <c r="E613" s="28"/>
      <c r="G613" s="28"/>
    </row>
    <row r="614" spans="3:7" x14ac:dyDescent="0.55000000000000004">
      <c r="C614" s="28"/>
      <c r="E614" s="28"/>
      <c r="G614" s="28"/>
    </row>
    <row r="615" spans="3:7" x14ac:dyDescent="0.55000000000000004">
      <c r="C615" s="28"/>
      <c r="E615" s="28"/>
      <c r="G615" s="28"/>
    </row>
    <row r="616" spans="3:7" x14ac:dyDescent="0.55000000000000004">
      <c r="C616" s="28"/>
      <c r="E616" s="28"/>
      <c r="G616" s="28"/>
    </row>
    <row r="617" spans="3:7" x14ac:dyDescent="0.55000000000000004">
      <c r="C617" s="28"/>
      <c r="E617" s="28"/>
      <c r="G617" s="28"/>
    </row>
    <row r="618" spans="3:7" x14ac:dyDescent="0.55000000000000004">
      <c r="C618" s="28"/>
      <c r="E618" s="28"/>
      <c r="G618" s="28"/>
    </row>
    <row r="619" spans="3:7" x14ac:dyDescent="0.55000000000000004">
      <c r="C619" s="28"/>
      <c r="E619" s="28"/>
      <c r="G619" s="28"/>
    </row>
    <row r="620" spans="3:7" x14ac:dyDescent="0.55000000000000004">
      <c r="C620" s="28"/>
      <c r="E620" s="28"/>
      <c r="G620" s="28"/>
    </row>
    <row r="621" spans="3:7" x14ac:dyDescent="0.55000000000000004">
      <c r="C621" s="28"/>
      <c r="E621" s="28"/>
      <c r="G621" s="28"/>
    </row>
    <row r="622" spans="3:7" x14ac:dyDescent="0.55000000000000004">
      <c r="C622" s="28"/>
      <c r="E622" s="28"/>
      <c r="G622" s="28"/>
    </row>
    <row r="623" spans="3:7" x14ac:dyDescent="0.55000000000000004">
      <c r="C623" s="28"/>
      <c r="E623" s="28"/>
      <c r="G623" s="28"/>
    </row>
    <row r="624" spans="3:7" x14ac:dyDescent="0.55000000000000004">
      <c r="C624" s="28"/>
      <c r="E624" s="28"/>
      <c r="G624" s="28"/>
    </row>
    <row r="625" spans="3:7" x14ac:dyDescent="0.55000000000000004">
      <c r="C625" s="28"/>
      <c r="E625" s="28"/>
      <c r="G625" s="28"/>
    </row>
    <row r="626" spans="3:7" x14ac:dyDescent="0.55000000000000004">
      <c r="C626" s="28"/>
      <c r="E626" s="28"/>
      <c r="G626" s="28"/>
    </row>
    <row r="627" spans="3:7" x14ac:dyDescent="0.55000000000000004">
      <c r="C627" s="28"/>
      <c r="E627" s="28"/>
      <c r="G627" s="28"/>
    </row>
    <row r="628" spans="3:7" x14ac:dyDescent="0.55000000000000004">
      <c r="C628" s="28"/>
      <c r="E628" s="28"/>
      <c r="G628" s="28"/>
    </row>
    <row r="629" spans="3:7" x14ac:dyDescent="0.55000000000000004">
      <c r="C629" s="28"/>
      <c r="E629" s="28"/>
      <c r="G629" s="28"/>
    </row>
    <row r="630" spans="3:7" x14ac:dyDescent="0.55000000000000004">
      <c r="C630" s="28"/>
      <c r="E630" s="28"/>
      <c r="G630" s="28"/>
    </row>
    <row r="631" spans="3:7" x14ac:dyDescent="0.55000000000000004">
      <c r="C631" s="28"/>
      <c r="E631" s="28"/>
      <c r="G631" s="28"/>
    </row>
    <row r="632" spans="3:7" x14ac:dyDescent="0.55000000000000004">
      <c r="C632" s="28"/>
      <c r="E632" s="28"/>
      <c r="G632" s="28"/>
    </row>
    <row r="633" spans="3:7" x14ac:dyDescent="0.55000000000000004">
      <c r="C633" s="28"/>
      <c r="E633" s="28"/>
      <c r="G633" s="28"/>
    </row>
    <row r="634" spans="3:7" x14ac:dyDescent="0.55000000000000004">
      <c r="C634" s="28"/>
      <c r="E634" s="28"/>
      <c r="G634" s="28"/>
    </row>
    <row r="635" spans="3:7" x14ac:dyDescent="0.55000000000000004">
      <c r="C635" s="28"/>
      <c r="E635" s="28"/>
      <c r="G635" s="28"/>
    </row>
    <row r="636" spans="3:7" x14ac:dyDescent="0.55000000000000004">
      <c r="C636" s="28"/>
      <c r="E636" s="28"/>
      <c r="G636" s="28"/>
    </row>
    <row r="637" spans="3:7" x14ac:dyDescent="0.55000000000000004">
      <c r="C637" s="28"/>
      <c r="E637" s="28"/>
      <c r="G637" s="28"/>
    </row>
    <row r="638" spans="3:7" x14ac:dyDescent="0.55000000000000004">
      <c r="C638" s="28"/>
      <c r="E638" s="28"/>
      <c r="G638" s="28"/>
    </row>
    <row r="639" spans="3:7" x14ac:dyDescent="0.55000000000000004">
      <c r="C639" s="28"/>
      <c r="E639" s="28"/>
      <c r="G639" s="28"/>
    </row>
    <row r="640" spans="3:7" x14ac:dyDescent="0.55000000000000004">
      <c r="C640" s="28"/>
      <c r="E640" s="28"/>
      <c r="G640" s="28"/>
    </row>
    <row r="641" spans="3:7" x14ac:dyDescent="0.55000000000000004">
      <c r="C641" s="28"/>
      <c r="E641" s="28"/>
      <c r="G641" s="28"/>
    </row>
    <row r="642" spans="3:7" x14ac:dyDescent="0.55000000000000004">
      <c r="C642" s="28"/>
      <c r="E642" s="28"/>
      <c r="G642" s="28"/>
    </row>
    <row r="643" spans="3:7" x14ac:dyDescent="0.55000000000000004">
      <c r="C643" s="28"/>
      <c r="E643" s="28"/>
      <c r="G643" s="28"/>
    </row>
    <row r="644" spans="3:7" x14ac:dyDescent="0.55000000000000004">
      <c r="C644" s="28"/>
      <c r="E644" s="28"/>
      <c r="G644" s="28"/>
    </row>
    <row r="645" spans="3:7" x14ac:dyDescent="0.55000000000000004">
      <c r="C645" s="28"/>
      <c r="E645" s="28"/>
      <c r="G645" s="28"/>
    </row>
    <row r="646" spans="3:7" x14ac:dyDescent="0.55000000000000004">
      <c r="C646" s="28"/>
      <c r="E646" s="28"/>
      <c r="G646" s="28"/>
    </row>
    <row r="647" spans="3:7" x14ac:dyDescent="0.55000000000000004">
      <c r="C647" s="28"/>
      <c r="E647" s="28"/>
      <c r="G647" s="28"/>
    </row>
    <row r="648" spans="3:7" x14ac:dyDescent="0.55000000000000004">
      <c r="C648" s="28"/>
      <c r="E648" s="28"/>
      <c r="G648" s="28"/>
    </row>
    <row r="649" spans="3:7" x14ac:dyDescent="0.55000000000000004">
      <c r="C649" s="28"/>
      <c r="E649" s="28"/>
      <c r="G649" s="28"/>
    </row>
    <row r="650" spans="3:7" x14ac:dyDescent="0.55000000000000004">
      <c r="C650" s="28"/>
      <c r="E650" s="28"/>
      <c r="G650" s="28"/>
    </row>
    <row r="651" spans="3:7" x14ac:dyDescent="0.55000000000000004">
      <c r="C651" s="28"/>
      <c r="E651" s="28"/>
      <c r="G651" s="28"/>
    </row>
    <row r="652" spans="3:7" x14ac:dyDescent="0.55000000000000004">
      <c r="C652" s="28"/>
      <c r="E652" s="28"/>
      <c r="G652" s="28"/>
    </row>
    <row r="653" spans="3:7" x14ac:dyDescent="0.55000000000000004">
      <c r="C653" s="28"/>
      <c r="E653" s="28"/>
      <c r="G653" s="28"/>
    </row>
    <row r="654" spans="3:7" x14ac:dyDescent="0.55000000000000004">
      <c r="C654" s="28"/>
      <c r="E654" s="28"/>
      <c r="G654" s="28"/>
    </row>
    <row r="655" spans="3:7" x14ac:dyDescent="0.55000000000000004">
      <c r="C655" s="28"/>
      <c r="E655" s="28"/>
      <c r="G655" s="28"/>
    </row>
    <row r="656" spans="3:7" x14ac:dyDescent="0.55000000000000004">
      <c r="C656" s="28"/>
      <c r="E656" s="28"/>
      <c r="G656" s="28"/>
    </row>
    <row r="657" spans="3:7" x14ac:dyDescent="0.55000000000000004">
      <c r="C657" s="28"/>
      <c r="E657" s="28"/>
      <c r="G657" s="28"/>
    </row>
    <row r="658" spans="3:7" x14ac:dyDescent="0.55000000000000004">
      <c r="C658" s="28"/>
      <c r="E658" s="28"/>
      <c r="G658" s="28"/>
    </row>
    <row r="659" spans="3:7" x14ac:dyDescent="0.55000000000000004">
      <c r="C659" s="28"/>
      <c r="E659" s="28"/>
      <c r="G659" s="28"/>
    </row>
    <row r="660" spans="3:7" x14ac:dyDescent="0.55000000000000004">
      <c r="C660" s="28"/>
      <c r="E660" s="28"/>
      <c r="G660" s="28"/>
    </row>
    <row r="661" spans="3:7" x14ac:dyDescent="0.55000000000000004">
      <c r="C661" s="28"/>
      <c r="E661" s="28"/>
      <c r="G661" s="28"/>
    </row>
    <row r="662" spans="3:7" x14ac:dyDescent="0.55000000000000004">
      <c r="C662" s="28"/>
      <c r="E662" s="28"/>
      <c r="G662" s="28"/>
    </row>
    <row r="663" spans="3:7" x14ac:dyDescent="0.55000000000000004">
      <c r="C663" s="28"/>
      <c r="E663" s="28"/>
      <c r="G663" s="28"/>
    </row>
    <row r="664" spans="3:7" x14ac:dyDescent="0.55000000000000004">
      <c r="C664" s="28"/>
      <c r="E664" s="28"/>
      <c r="G664" s="28"/>
    </row>
    <row r="665" spans="3:7" x14ac:dyDescent="0.55000000000000004">
      <c r="C665" s="28"/>
      <c r="E665" s="28"/>
      <c r="G665" s="28"/>
    </row>
    <row r="666" spans="3:7" x14ac:dyDescent="0.55000000000000004">
      <c r="C666" s="28"/>
      <c r="E666" s="28"/>
      <c r="G666" s="28"/>
    </row>
    <row r="667" spans="3:7" x14ac:dyDescent="0.55000000000000004">
      <c r="C667" s="28"/>
      <c r="E667" s="28"/>
      <c r="G667" s="28"/>
    </row>
    <row r="668" spans="3:7" x14ac:dyDescent="0.55000000000000004">
      <c r="C668" s="28"/>
      <c r="E668" s="28"/>
      <c r="G668" s="28"/>
    </row>
    <row r="669" spans="3:7" x14ac:dyDescent="0.55000000000000004">
      <c r="C669" s="28"/>
      <c r="E669" s="28"/>
      <c r="G669" s="28"/>
    </row>
    <row r="670" spans="3:7" x14ac:dyDescent="0.55000000000000004">
      <c r="C670" s="28"/>
      <c r="E670" s="28"/>
      <c r="G670" s="28"/>
    </row>
    <row r="671" spans="3:7" x14ac:dyDescent="0.55000000000000004">
      <c r="C671" s="28"/>
      <c r="E671" s="28"/>
      <c r="G671" s="28"/>
    </row>
    <row r="672" spans="3:7" x14ac:dyDescent="0.55000000000000004">
      <c r="C672" s="28"/>
      <c r="E672" s="28"/>
      <c r="G672" s="28"/>
    </row>
    <row r="673" spans="3:7" x14ac:dyDescent="0.55000000000000004">
      <c r="C673" s="28"/>
      <c r="E673" s="28"/>
      <c r="G673" s="28"/>
    </row>
    <row r="674" spans="3:7" x14ac:dyDescent="0.55000000000000004">
      <c r="C674" s="28"/>
      <c r="E674" s="28"/>
      <c r="G674" s="28"/>
    </row>
    <row r="675" spans="3:7" x14ac:dyDescent="0.55000000000000004">
      <c r="C675" s="28"/>
      <c r="E675" s="28"/>
      <c r="G675" s="28"/>
    </row>
    <row r="676" spans="3:7" x14ac:dyDescent="0.55000000000000004">
      <c r="C676" s="28"/>
      <c r="E676" s="28"/>
      <c r="G676" s="28"/>
    </row>
    <row r="677" spans="3:7" x14ac:dyDescent="0.55000000000000004">
      <c r="C677" s="28"/>
      <c r="E677" s="28"/>
      <c r="G677" s="28"/>
    </row>
    <row r="678" spans="3:7" x14ac:dyDescent="0.55000000000000004">
      <c r="C678" s="28"/>
      <c r="E678" s="28"/>
      <c r="G678" s="28"/>
    </row>
    <row r="679" spans="3:7" x14ac:dyDescent="0.55000000000000004">
      <c r="C679" s="28"/>
      <c r="E679" s="28"/>
      <c r="G679" s="28"/>
    </row>
    <row r="680" spans="3:7" x14ac:dyDescent="0.55000000000000004">
      <c r="C680" s="28"/>
      <c r="E680" s="28"/>
      <c r="G680" s="28"/>
    </row>
    <row r="681" spans="3:7" x14ac:dyDescent="0.55000000000000004">
      <c r="C681" s="28"/>
      <c r="E681" s="28"/>
      <c r="G681" s="28"/>
    </row>
    <row r="682" spans="3:7" x14ac:dyDescent="0.55000000000000004">
      <c r="C682" s="28"/>
      <c r="E682" s="28"/>
      <c r="G682" s="28"/>
    </row>
    <row r="683" spans="3:7" x14ac:dyDescent="0.55000000000000004">
      <c r="C683" s="28"/>
      <c r="E683" s="28"/>
      <c r="G683" s="28"/>
    </row>
    <row r="684" spans="3:7" x14ac:dyDescent="0.55000000000000004">
      <c r="C684" s="28"/>
      <c r="E684" s="28"/>
      <c r="G684" s="28"/>
    </row>
    <row r="685" spans="3:7" x14ac:dyDescent="0.55000000000000004">
      <c r="C685" s="28"/>
      <c r="E685" s="28"/>
      <c r="G685" s="28"/>
    </row>
    <row r="686" spans="3:7" x14ac:dyDescent="0.55000000000000004">
      <c r="C686" s="28"/>
      <c r="E686" s="28"/>
      <c r="G686" s="28"/>
    </row>
    <row r="687" spans="3:7" x14ac:dyDescent="0.55000000000000004">
      <c r="C687" s="28"/>
      <c r="E687" s="28"/>
      <c r="G687" s="28"/>
    </row>
    <row r="688" spans="3:7" x14ac:dyDescent="0.55000000000000004">
      <c r="C688" s="28"/>
      <c r="E688" s="28"/>
      <c r="G688" s="28"/>
    </row>
    <row r="689" spans="3:7" x14ac:dyDescent="0.55000000000000004">
      <c r="C689" s="28"/>
      <c r="E689" s="28"/>
      <c r="G689" s="28"/>
    </row>
    <row r="690" spans="3:7" x14ac:dyDescent="0.55000000000000004">
      <c r="C690" s="28"/>
      <c r="E690" s="28"/>
      <c r="G690" s="28"/>
    </row>
    <row r="691" spans="3:7" x14ac:dyDescent="0.55000000000000004">
      <c r="C691" s="28"/>
      <c r="E691" s="28"/>
      <c r="G691" s="28"/>
    </row>
    <row r="692" spans="3:7" x14ac:dyDescent="0.55000000000000004">
      <c r="C692" s="28"/>
      <c r="E692" s="28"/>
      <c r="G692" s="28"/>
    </row>
    <row r="693" spans="3:7" x14ac:dyDescent="0.55000000000000004">
      <c r="C693" s="28"/>
      <c r="E693" s="28"/>
      <c r="G693" s="28"/>
    </row>
    <row r="694" spans="3:7" x14ac:dyDescent="0.55000000000000004">
      <c r="C694" s="28"/>
      <c r="E694" s="28"/>
      <c r="G694" s="28"/>
    </row>
    <row r="695" spans="3:7" x14ac:dyDescent="0.55000000000000004">
      <c r="C695" s="28"/>
      <c r="E695" s="28"/>
      <c r="G695" s="28"/>
    </row>
    <row r="696" spans="3:7" x14ac:dyDescent="0.55000000000000004">
      <c r="C696" s="28"/>
      <c r="E696" s="28"/>
      <c r="G696" s="28"/>
    </row>
    <row r="697" spans="3:7" x14ac:dyDescent="0.55000000000000004">
      <c r="C697" s="28"/>
      <c r="E697" s="28"/>
      <c r="G697" s="28"/>
    </row>
    <row r="698" spans="3:7" x14ac:dyDescent="0.55000000000000004">
      <c r="C698" s="28"/>
      <c r="E698" s="28"/>
      <c r="G698" s="28"/>
    </row>
    <row r="699" spans="3:7" x14ac:dyDescent="0.55000000000000004">
      <c r="C699" s="28"/>
      <c r="E699" s="28"/>
      <c r="G699" s="28"/>
    </row>
    <row r="700" spans="3:7" x14ac:dyDescent="0.55000000000000004">
      <c r="C700" s="28"/>
      <c r="E700" s="28"/>
      <c r="G700" s="28"/>
    </row>
    <row r="701" spans="3:7" x14ac:dyDescent="0.55000000000000004">
      <c r="C701" s="28"/>
      <c r="E701" s="28"/>
      <c r="G701" s="28"/>
    </row>
    <row r="702" spans="3:7" x14ac:dyDescent="0.55000000000000004">
      <c r="C702" s="28"/>
      <c r="E702" s="28"/>
      <c r="G702" s="28"/>
    </row>
    <row r="703" spans="3:7" x14ac:dyDescent="0.55000000000000004">
      <c r="C703" s="28"/>
      <c r="E703" s="28"/>
      <c r="G703" s="28"/>
    </row>
    <row r="704" spans="3:7" x14ac:dyDescent="0.55000000000000004">
      <c r="C704" s="28"/>
      <c r="E704" s="28"/>
      <c r="G704" s="28"/>
    </row>
    <row r="705" spans="3:7" x14ac:dyDescent="0.55000000000000004">
      <c r="C705" s="28"/>
      <c r="E705" s="28"/>
      <c r="G705" s="28"/>
    </row>
    <row r="706" spans="3:7" x14ac:dyDescent="0.55000000000000004">
      <c r="C706" s="28"/>
      <c r="E706" s="28"/>
      <c r="G706" s="28"/>
    </row>
    <row r="707" spans="3:7" x14ac:dyDescent="0.55000000000000004">
      <c r="C707" s="28"/>
      <c r="E707" s="28"/>
      <c r="G707" s="28"/>
    </row>
    <row r="708" spans="3:7" x14ac:dyDescent="0.55000000000000004">
      <c r="C708" s="28"/>
      <c r="E708" s="28"/>
      <c r="G708" s="28"/>
    </row>
    <row r="709" spans="3:7" x14ac:dyDescent="0.55000000000000004">
      <c r="C709" s="28"/>
      <c r="E709" s="28"/>
      <c r="G709" s="28"/>
    </row>
    <row r="710" spans="3:7" x14ac:dyDescent="0.55000000000000004">
      <c r="C710" s="28"/>
      <c r="E710" s="28"/>
      <c r="G710" s="28"/>
    </row>
    <row r="711" spans="3:7" x14ac:dyDescent="0.55000000000000004">
      <c r="C711" s="28"/>
      <c r="E711" s="28"/>
      <c r="G711" s="28"/>
    </row>
    <row r="712" spans="3:7" x14ac:dyDescent="0.55000000000000004">
      <c r="C712" s="28"/>
      <c r="E712" s="28"/>
      <c r="G712" s="28"/>
    </row>
    <row r="713" spans="3:7" x14ac:dyDescent="0.55000000000000004">
      <c r="C713" s="28"/>
      <c r="E713" s="28"/>
      <c r="G713" s="28"/>
    </row>
    <row r="714" spans="3:7" x14ac:dyDescent="0.55000000000000004">
      <c r="C714" s="28"/>
      <c r="E714" s="28"/>
      <c r="G714" s="28"/>
    </row>
    <row r="715" spans="3:7" x14ac:dyDescent="0.55000000000000004">
      <c r="C715" s="28"/>
      <c r="E715" s="28"/>
      <c r="G715" s="28"/>
    </row>
    <row r="716" spans="3:7" x14ac:dyDescent="0.55000000000000004">
      <c r="C716" s="28"/>
      <c r="E716" s="28"/>
      <c r="G716" s="28"/>
    </row>
    <row r="717" spans="3:7" x14ac:dyDescent="0.55000000000000004">
      <c r="C717" s="28"/>
      <c r="E717" s="28"/>
      <c r="G717" s="28"/>
    </row>
    <row r="718" spans="3:7" x14ac:dyDescent="0.55000000000000004">
      <c r="C718" s="28"/>
      <c r="E718" s="28"/>
      <c r="G718" s="28"/>
    </row>
    <row r="719" spans="3:7" x14ac:dyDescent="0.55000000000000004">
      <c r="C719" s="28"/>
      <c r="E719" s="28"/>
      <c r="G719" s="28"/>
    </row>
    <row r="720" spans="3:7" x14ac:dyDescent="0.55000000000000004">
      <c r="C720" s="28"/>
      <c r="E720" s="28"/>
      <c r="G720" s="28"/>
    </row>
    <row r="721" spans="3:7" x14ac:dyDescent="0.55000000000000004">
      <c r="C721" s="28"/>
      <c r="E721" s="28"/>
      <c r="G721" s="28"/>
    </row>
    <row r="722" spans="3:7" x14ac:dyDescent="0.55000000000000004">
      <c r="C722" s="28"/>
      <c r="E722" s="28"/>
      <c r="G722" s="28"/>
    </row>
    <row r="723" spans="3:7" x14ac:dyDescent="0.55000000000000004">
      <c r="C723" s="28"/>
      <c r="E723" s="28"/>
      <c r="G723" s="28"/>
    </row>
    <row r="724" spans="3:7" x14ac:dyDescent="0.55000000000000004">
      <c r="C724" s="28"/>
      <c r="E724" s="28"/>
      <c r="G724" s="28"/>
    </row>
    <row r="725" spans="3:7" x14ac:dyDescent="0.55000000000000004">
      <c r="C725" s="28"/>
      <c r="E725" s="28"/>
      <c r="G725" s="28"/>
    </row>
    <row r="726" spans="3:7" x14ac:dyDescent="0.55000000000000004">
      <c r="C726" s="28"/>
      <c r="E726" s="28"/>
      <c r="G726" s="28"/>
    </row>
    <row r="727" spans="3:7" x14ac:dyDescent="0.55000000000000004">
      <c r="C727" s="28"/>
      <c r="E727" s="28"/>
      <c r="G727" s="28"/>
    </row>
    <row r="728" spans="3:7" x14ac:dyDescent="0.55000000000000004">
      <c r="C728" s="28"/>
      <c r="E728" s="28"/>
      <c r="G728" s="28"/>
    </row>
    <row r="729" spans="3:7" x14ac:dyDescent="0.55000000000000004">
      <c r="C729" s="28"/>
      <c r="E729" s="28"/>
      <c r="G729" s="28"/>
    </row>
    <row r="730" spans="3:7" x14ac:dyDescent="0.55000000000000004">
      <c r="C730" s="28"/>
      <c r="E730" s="28"/>
      <c r="G730" s="28"/>
    </row>
    <row r="731" spans="3:7" x14ac:dyDescent="0.55000000000000004">
      <c r="C731" s="28"/>
      <c r="E731" s="28"/>
      <c r="G731" s="28"/>
    </row>
    <row r="732" spans="3:7" x14ac:dyDescent="0.55000000000000004">
      <c r="C732" s="28"/>
      <c r="E732" s="28"/>
      <c r="G732" s="28"/>
    </row>
    <row r="733" spans="3:7" x14ac:dyDescent="0.55000000000000004">
      <c r="C733" s="28"/>
      <c r="E733" s="28"/>
      <c r="G733" s="28"/>
    </row>
    <row r="734" spans="3:7" x14ac:dyDescent="0.55000000000000004">
      <c r="C734" s="28"/>
      <c r="E734" s="28"/>
      <c r="G734" s="28"/>
    </row>
    <row r="735" spans="3:7" x14ac:dyDescent="0.55000000000000004">
      <c r="C735" s="28"/>
      <c r="E735" s="28"/>
      <c r="G735" s="28"/>
    </row>
    <row r="736" spans="3:7" x14ac:dyDescent="0.55000000000000004">
      <c r="C736" s="28"/>
      <c r="E736" s="28"/>
      <c r="G736" s="28"/>
    </row>
    <row r="737" spans="3:7" x14ac:dyDescent="0.55000000000000004">
      <c r="C737" s="28"/>
      <c r="E737" s="28"/>
      <c r="G737" s="28"/>
    </row>
    <row r="738" spans="3:7" x14ac:dyDescent="0.55000000000000004">
      <c r="C738" s="28"/>
      <c r="E738" s="28"/>
      <c r="G738" s="28"/>
    </row>
    <row r="739" spans="3:7" x14ac:dyDescent="0.55000000000000004">
      <c r="C739" s="28"/>
      <c r="E739" s="28"/>
      <c r="G739" s="28"/>
    </row>
    <row r="740" spans="3:7" x14ac:dyDescent="0.55000000000000004">
      <c r="C740" s="28"/>
      <c r="E740" s="28"/>
      <c r="G740" s="28"/>
    </row>
    <row r="741" spans="3:7" x14ac:dyDescent="0.55000000000000004">
      <c r="C741" s="28"/>
      <c r="E741" s="28"/>
      <c r="G741" s="28"/>
    </row>
    <row r="742" spans="3:7" x14ac:dyDescent="0.55000000000000004">
      <c r="C742" s="28"/>
      <c r="E742" s="28"/>
      <c r="G742" s="28"/>
    </row>
    <row r="743" spans="3:7" x14ac:dyDescent="0.55000000000000004">
      <c r="C743" s="28"/>
      <c r="E743" s="28"/>
      <c r="G743" s="28"/>
    </row>
    <row r="744" spans="3:7" x14ac:dyDescent="0.55000000000000004">
      <c r="C744" s="28"/>
      <c r="E744" s="28"/>
      <c r="G744" s="28"/>
    </row>
    <row r="745" spans="3:7" x14ac:dyDescent="0.55000000000000004">
      <c r="C745" s="28"/>
      <c r="E745" s="28"/>
      <c r="G745" s="28"/>
    </row>
    <row r="746" spans="3:7" x14ac:dyDescent="0.55000000000000004">
      <c r="C746" s="28"/>
      <c r="E746" s="28"/>
      <c r="G746" s="28"/>
    </row>
    <row r="747" spans="3:7" x14ac:dyDescent="0.55000000000000004">
      <c r="C747" s="28"/>
      <c r="E747" s="28"/>
      <c r="G747" s="28"/>
    </row>
    <row r="748" spans="3:7" x14ac:dyDescent="0.55000000000000004">
      <c r="C748" s="28"/>
      <c r="E748" s="28"/>
      <c r="G748" s="28"/>
    </row>
    <row r="749" spans="3:7" x14ac:dyDescent="0.55000000000000004">
      <c r="C749" s="28"/>
      <c r="E749" s="28"/>
      <c r="G749" s="28"/>
    </row>
    <row r="750" spans="3:7" x14ac:dyDescent="0.55000000000000004">
      <c r="C750" s="28"/>
      <c r="E750" s="28"/>
      <c r="G750" s="28"/>
    </row>
    <row r="751" spans="3:7" x14ac:dyDescent="0.55000000000000004">
      <c r="C751" s="28"/>
      <c r="E751" s="28"/>
      <c r="G751" s="28"/>
    </row>
    <row r="752" spans="3:7" x14ac:dyDescent="0.55000000000000004">
      <c r="C752" s="28"/>
      <c r="E752" s="28"/>
      <c r="G752" s="28"/>
    </row>
    <row r="753" spans="3:7" x14ac:dyDescent="0.55000000000000004">
      <c r="C753" s="28"/>
      <c r="E753" s="28"/>
      <c r="G753" s="28"/>
    </row>
    <row r="754" spans="3:7" x14ac:dyDescent="0.55000000000000004">
      <c r="C754" s="28"/>
      <c r="E754" s="28"/>
      <c r="G754" s="28"/>
    </row>
    <row r="755" spans="3:7" x14ac:dyDescent="0.55000000000000004">
      <c r="C755" s="28"/>
      <c r="E755" s="28"/>
      <c r="G755" s="28"/>
    </row>
    <row r="756" spans="3:7" x14ac:dyDescent="0.55000000000000004">
      <c r="C756" s="28"/>
      <c r="E756" s="28"/>
      <c r="G756" s="28"/>
    </row>
    <row r="757" spans="3:7" x14ac:dyDescent="0.55000000000000004">
      <c r="C757" s="28"/>
      <c r="E757" s="28"/>
      <c r="G757" s="28"/>
    </row>
    <row r="758" spans="3:7" x14ac:dyDescent="0.55000000000000004">
      <c r="C758" s="28"/>
      <c r="E758" s="28"/>
      <c r="G758" s="28"/>
    </row>
  </sheetData>
  <mergeCells count="114">
    <mergeCell ref="C1:G1"/>
    <mergeCell ref="C2:D2"/>
    <mergeCell ref="E2:F2"/>
    <mergeCell ref="C3:D3"/>
    <mergeCell ref="E3:F3"/>
    <mergeCell ref="C4:D4"/>
    <mergeCell ref="E4:F4"/>
    <mergeCell ref="C8:D8"/>
    <mergeCell ref="E8:F8"/>
    <mergeCell ref="C9:D9"/>
    <mergeCell ref="E9:F9"/>
    <mergeCell ref="C10:D10"/>
    <mergeCell ref="E10:F10"/>
    <mergeCell ref="C5:D5"/>
    <mergeCell ref="E5:F5"/>
    <mergeCell ref="C6:D6"/>
    <mergeCell ref="E6:F6"/>
    <mergeCell ref="C7:D7"/>
    <mergeCell ref="E7:F7"/>
    <mergeCell ref="C13:D13"/>
    <mergeCell ref="E13:F13"/>
    <mergeCell ref="C14:D14"/>
    <mergeCell ref="E14:F14"/>
    <mergeCell ref="C15:D15"/>
    <mergeCell ref="E15:F15"/>
    <mergeCell ref="C11:D11"/>
    <mergeCell ref="E11:F11"/>
    <mergeCell ref="C12:D12"/>
    <mergeCell ref="E12:F12"/>
    <mergeCell ref="C18:G18"/>
    <mergeCell ref="C19:D19"/>
    <mergeCell ref="E19:F19"/>
    <mergeCell ref="C20:D20"/>
    <mergeCell ref="E20:F20"/>
    <mergeCell ref="E22:F22"/>
    <mergeCell ref="C22:D22"/>
    <mergeCell ref="C16:D16"/>
    <mergeCell ref="E16:F16"/>
    <mergeCell ref="C17:D17"/>
    <mergeCell ref="E17:F17"/>
    <mergeCell ref="C25:D25"/>
    <mergeCell ref="E25:F25"/>
    <mergeCell ref="C26:D26"/>
    <mergeCell ref="E26:F26"/>
    <mergeCell ref="C27:D27"/>
    <mergeCell ref="E27:F27"/>
    <mergeCell ref="C21:D21"/>
    <mergeCell ref="E21:F21"/>
    <mergeCell ref="C23:D23"/>
    <mergeCell ref="E23:F23"/>
    <mergeCell ref="C24:D24"/>
    <mergeCell ref="E24:F24"/>
    <mergeCell ref="C32:D32"/>
    <mergeCell ref="E32:F32"/>
    <mergeCell ref="M32:N32"/>
    <mergeCell ref="C33:D33"/>
    <mergeCell ref="E33:F33"/>
    <mergeCell ref="C34:D34"/>
    <mergeCell ref="E34:F34"/>
    <mergeCell ref="C28:D28"/>
    <mergeCell ref="E28:F28"/>
    <mergeCell ref="C29:D29"/>
    <mergeCell ref="E29:F29"/>
    <mergeCell ref="A30:G30"/>
    <mergeCell ref="A31:G31"/>
    <mergeCell ref="C38:D38"/>
    <mergeCell ref="E38:F38"/>
    <mergeCell ref="C39:D39"/>
    <mergeCell ref="E39:F39"/>
    <mergeCell ref="C40:D40"/>
    <mergeCell ref="E40:F40"/>
    <mergeCell ref="C35:D35"/>
    <mergeCell ref="E35:F35"/>
    <mergeCell ref="C36:D36"/>
    <mergeCell ref="E36:F36"/>
    <mergeCell ref="C37:D37"/>
    <mergeCell ref="E37:F37"/>
    <mergeCell ref="C46:D46"/>
    <mergeCell ref="E46:F46"/>
    <mergeCell ref="C47:D47"/>
    <mergeCell ref="E47:F47"/>
    <mergeCell ref="C48:D48"/>
    <mergeCell ref="E48:F48"/>
    <mergeCell ref="C41:D41"/>
    <mergeCell ref="E41:F41"/>
    <mergeCell ref="B42:G42"/>
    <mergeCell ref="C43:D43"/>
    <mergeCell ref="E43:F43"/>
    <mergeCell ref="C45:D45"/>
    <mergeCell ref="E45:F45"/>
    <mergeCell ref="C44:D44"/>
    <mergeCell ref="E44:F44"/>
    <mergeCell ref="C53:D53"/>
    <mergeCell ref="E53:F53"/>
    <mergeCell ref="C54:D54"/>
    <mergeCell ref="E54:F54"/>
    <mergeCell ref="C51:D51"/>
    <mergeCell ref="E51:F51"/>
    <mergeCell ref="C52:D52"/>
    <mergeCell ref="E52:F52"/>
    <mergeCell ref="C49:D49"/>
    <mergeCell ref="E49:F49"/>
    <mergeCell ref="C50:D50"/>
    <mergeCell ref="E50:F50"/>
    <mergeCell ref="C59:D59"/>
    <mergeCell ref="E59:F59"/>
    <mergeCell ref="C56:D56"/>
    <mergeCell ref="E56:F56"/>
    <mergeCell ref="C57:D57"/>
    <mergeCell ref="E57:F57"/>
    <mergeCell ref="C58:D58"/>
    <mergeCell ref="E58:F58"/>
    <mergeCell ref="C55:D55"/>
    <mergeCell ref="E55:F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874C-A7C8-44B8-912E-336BF5ACB3D6}">
  <dimension ref="A1:L566"/>
  <sheetViews>
    <sheetView topLeftCell="A37" workbookViewId="0">
      <selection activeCell="F50" sqref="F50"/>
    </sheetView>
  </sheetViews>
  <sheetFormatPr defaultRowHeight="14.4" x14ac:dyDescent="0.55000000000000004"/>
  <cols>
    <col min="1" max="1" width="31.20703125" customWidth="1"/>
    <col min="2" max="2" width="4.68359375" customWidth="1"/>
    <col min="3" max="3" width="12.5234375" bestFit="1" customWidth="1"/>
    <col min="4" max="4" width="6.68359375" customWidth="1"/>
    <col min="5" max="5" width="12.5234375" bestFit="1" customWidth="1"/>
  </cols>
  <sheetData>
    <row r="1" spans="1:12" x14ac:dyDescent="0.55000000000000004">
      <c r="B1" s="75" t="s">
        <v>90</v>
      </c>
      <c r="C1" s="75"/>
      <c r="D1" s="75"/>
      <c r="E1" s="75"/>
    </row>
    <row r="2" spans="1:12" x14ac:dyDescent="0.55000000000000004">
      <c r="A2" s="1" t="s">
        <v>53</v>
      </c>
      <c r="B2" s="72" t="s">
        <v>98</v>
      </c>
      <c r="C2" s="72"/>
      <c r="D2" s="72" t="s">
        <v>99</v>
      </c>
      <c r="E2" s="72"/>
    </row>
    <row r="3" spans="1:12" x14ac:dyDescent="0.55000000000000004">
      <c r="A3" t="s">
        <v>15</v>
      </c>
      <c r="B3" s="76">
        <f>[1]All!$L$6*L17</f>
        <v>0.39642940716394504</v>
      </c>
      <c r="C3" s="76"/>
      <c r="D3" s="76">
        <f>[1]All!$L$7*L17</f>
        <v>0.55747885382429763</v>
      </c>
      <c r="E3" s="76"/>
    </row>
    <row r="4" spans="1:12" x14ac:dyDescent="0.55000000000000004">
      <c r="A4" t="s">
        <v>16</v>
      </c>
      <c r="B4" s="73">
        <f>[2]prod_herd_data!H17</f>
        <v>320.35867062067865</v>
      </c>
      <c r="C4" s="73"/>
      <c r="D4" s="73">
        <f>[2]prod_herd_data!H18</f>
        <v>1025.9808491887786</v>
      </c>
      <c r="E4" s="73"/>
    </row>
    <row r="5" spans="1:12" x14ac:dyDescent="0.55000000000000004">
      <c r="A5" t="s">
        <v>4</v>
      </c>
      <c r="B5" s="73">
        <f>B4*B3</f>
        <v>126.99959787398517</v>
      </c>
      <c r="C5" s="73"/>
      <c r="D5" s="73">
        <f>D4*D3</f>
        <v>571.96262785143983</v>
      </c>
      <c r="E5" s="73"/>
    </row>
    <row r="6" spans="1:12" x14ac:dyDescent="0.55000000000000004">
      <c r="B6" s="74"/>
      <c r="C6" s="74"/>
      <c r="D6" s="72"/>
      <c r="E6" s="72"/>
    </row>
    <row r="7" spans="1:12" x14ac:dyDescent="0.55000000000000004">
      <c r="A7" s="1" t="s">
        <v>54</v>
      </c>
      <c r="B7" s="74"/>
      <c r="C7" s="74"/>
      <c r="D7" s="72"/>
      <c r="E7" s="72"/>
    </row>
    <row r="8" spans="1:12" x14ac:dyDescent="0.55000000000000004">
      <c r="A8" t="s">
        <v>30</v>
      </c>
      <c r="B8" s="73">
        <f xml:space="preserve"> (([2]FEEDING_base!$H$17*L30)+([2]FEEDING_base!$H$18*L31))</f>
        <v>85.998727070361042</v>
      </c>
      <c r="C8" s="73"/>
      <c r="D8" s="73">
        <f>(([2]FEEDING_base!$H$23*L31)+([2]FEEDING_base!$H$24*L30))</f>
        <v>186.43581434115202</v>
      </c>
      <c r="E8" s="73"/>
    </row>
    <row r="9" spans="1:12" x14ac:dyDescent="0.55000000000000004">
      <c r="A9" t="s">
        <v>1</v>
      </c>
      <c r="B9" s="73">
        <f>[1]All!$P$6*L17</f>
        <v>1.404872254769135</v>
      </c>
      <c r="C9" s="73"/>
      <c r="D9" s="73">
        <f>[1]All!$P$7*Dairy_Income_Roadmap!L16</f>
        <v>7.6629395714680086</v>
      </c>
      <c r="E9" s="73"/>
    </row>
    <row r="10" spans="1:12" x14ac:dyDescent="0.55000000000000004">
      <c r="A10" t="s">
        <v>55</v>
      </c>
      <c r="B10" s="73">
        <f>[1]All!$Q$6*L17</f>
        <v>8.3015178690903433</v>
      </c>
      <c r="C10" s="73"/>
      <c r="D10" s="73">
        <f>[1]All!$Q$7*Dairy_Income_Roadmap!L16</f>
        <v>18.263339311998756</v>
      </c>
      <c r="E10" s="73"/>
      <c r="K10" s="1" t="str">
        <f>Dairy_Income_Roadmap!K10</f>
        <v>Basic income parameters</v>
      </c>
    </row>
    <row r="11" spans="1:12" x14ac:dyDescent="0.55000000000000004">
      <c r="A11" t="s">
        <v>56</v>
      </c>
      <c r="B11" s="73">
        <f>[1]All!$R$6*L17</f>
        <v>1.6620356445247293E-4</v>
      </c>
      <c r="C11" s="73"/>
      <c r="D11" s="73">
        <f>[1]All!$R$7*Dairy_Income_Roadmap!L16</f>
        <v>0.12771565952446681</v>
      </c>
      <c r="E11" s="73"/>
      <c r="K11" t="s">
        <v>88</v>
      </c>
      <c r="L11">
        <f>Dairy_Income_Roadmap!L11</f>
        <v>12</v>
      </c>
    </row>
    <row r="12" spans="1:12" x14ac:dyDescent="0.55000000000000004">
      <c r="A12" t="s">
        <v>57</v>
      </c>
      <c r="B12" s="73">
        <f>0*L17</f>
        <v>0</v>
      </c>
      <c r="C12" s="73"/>
      <c r="D12" s="73">
        <f>0*L17</f>
        <v>0</v>
      </c>
      <c r="E12" s="73"/>
    </row>
    <row r="13" spans="1:12" x14ac:dyDescent="0.55000000000000004">
      <c r="B13" s="72"/>
      <c r="C13" s="72"/>
      <c r="D13" s="73"/>
      <c r="E13" s="73"/>
    </row>
    <row r="14" spans="1:12" x14ac:dyDescent="0.55000000000000004">
      <c r="A14" s="1" t="s">
        <v>86</v>
      </c>
      <c r="B14" s="73">
        <f>SUM(B8:B12)</f>
        <v>95.705283397784967</v>
      </c>
      <c r="C14" s="73"/>
      <c r="D14" s="73">
        <f>SUM(D8:D12)</f>
        <v>212.48980888414323</v>
      </c>
      <c r="E14" s="73"/>
      <c r="K14" t="str">
        <f>[5]NPV_Roadmap!K14</f>
        <v>Price acquring new animal (USD/head)</v>
      </c>
      <c r="L14">
        <f>[1]All!$M$6</f>
        <v>254.1</v>
      </c>
    </row>
    <row r="15" spans="1:12" x14ac:dyDescent="0.55000000000000004">
      <c r="B15" s="72"/>
      <c r="C15" s="72"/>
      <c r="D15" s="72"/>
      <c r="E15" s="72"/>
    </row>
    <row r="16" spans="1:12" x14ac:dyDescent="0.55000000000000004">
      <c r="B16" s="72"/>
      <c r="C16" s="72"/>
      <c r="D16" s="72"/>
      <c r="E16" s="72"/>
    </row>
    <row r="17" spans="1:12" x14ac:dyDescent="0.55000000000000004">
      <c r="B17" s="73"/>
      <c r="C17" s="73"/>
      <c r="D17" s="73"/>
      <c r="E17" s="73"/>
      <c r="K17" t="s">
        <v>93</v>
      </c>
      <c r="L17" s="16">
        <f>Dairy_Income_Roadmap!L16</f>
        <v>1.2771565952446682</v>
      </c>
    </row>
    <row r="18" spans="1:12" x14ac:dyDescent="0.55000000000000004">
      <c r="B18" s="75" t="s">
        <v>58</v>
      </c>
      <c r="C18" s="75"/>
      <c r="D18" s="75"/>
      <c r="E18" s="75"/>
    </row>
    <row r="19" spans="1:12" x14ac:dyDescent="0.55000000000000004">
      <c r="A19" t="s">
        <v>7</v>
      </c>
      <c r="B19" s="73">
        <f>L36*L17</f>
        <v>319.71061048759782</v>
      </c>
      <c r="C19" s="73"/>
      <c r="D19" s="73">
        <f>L38*L17</f>
        <v>332.95472438028497</v>
      </c>
      <c r="E19" s="73"/>
      <c r="K19" s="1" t="str">
        <f>[5]NPV_Roadmap!K24</f>
        <v>Cropping parameters</v>
      </c>
    </row>
    <row r="20" spans="1:12" x14ac:dyDescent="0.55000000000000004">
      <c r="A20" t="s">
        <v>76</v>
      </c>
      <c r="B20" s="73">
        <f>( [6]Sheet1!$QH$29*[2]feeding_change_data!$H$4+      [6]Sheet1!$QH$20*[2]feeding_change_data!$I$4)/([2]feeding_change_data!$H$4+[2]feeding_change_data!$I$4)</f>
        <v>1.8944680977798487</v>
      </c>
      <c r="C20" s="73"/>
      <c r="D20" s="73">
        <f>( [6]Sheet1!$QG$29*[2]feeding_change_data!$H$4+      [6]Sheet1!$QG$20*[2]feeding_change_data!$I$4)/([2]feeding_change_data!$H$4+[2]feeding_change_data!$I$4)</f>
        <v>130.93127296143226</v>
      </c>
      <c r="E20" s="73"/>
      <c r="K20" t="str">
        <f>[5]NPV_Roadmap!K25</f>
        <v>Forage seeding cost (USD/ha/yr)</v>
      </c>
      <c r="L20">
        <f>[5]NPV_Roadmap!L25</f>
        <v>28</v>
      </c>
    </row>
    <row r="21" spans="1:12" x14ac:dyDescent="0.55000000000000004">
      <c r="A21" t="s">
        <v>77</v>
      </c>
      <c r="B21" s="77">
        <f>(((1/1000)*(1/L24)/L33))*B20</f>
        <v>1.9430442028511269E-4</v>
      </c>
      <c r="C21" s="77"/>
      <c r="D21" s="73">
        <f>(((1/1000)*(1/L24)/L33))*D20</f>
        <v>1.3428848508864846E-2</v>
      </c>
      <c r="E21" s="73"/>
    </row>
    <row r="22" spans="1:12" x14ac:dyDescent="0.55000000000000004">
      <c r="A22" t="s">
        <v>78</v>
      </c>
      <c r="B22" s="73">
        <f>( [6]Sheet1!$QP$29*[2]feeding_change_data_pasture!$H$4+      [6]Sheet1!$QP$20*[2]feeding_change_data_pasture!$I$4)/([2]feeding_change_data_pasture!$H$4+[2]feeding_change_data_pasture!$I$4)</f>
        <v>54.042316867241844</v>
      </c>
      <c r="C22" s="73"/>
      <c r="D22" s="73">
        <f>( [6]Sheet1!$QO$20*[2]feeding_change_data_pasture!$H$4+      [6]Sheet1!$QO$20*[2]feeding_change_data_pasture!$I$4)/([2]feeding_change_data_pasture!$H$4+[2]feeding_change_data_pasture!$I$4)</f>
        <v>205.7582485590861</v>
      </c>
      <c r="E22" s="73"/>
      <c r="K22" t="s">
        <v>129</v>
      </c>
      <c r="L22">
        <v>0.24</v>
      </c>
    </row>
    <row r="23" spans="1:12" x14ac:dyDescent="0.55000000000000004">
      <c r="A23" t="s">
        <v>79</v>
      </c>
      <c r="B23" s="73">
        <f>(((1/1000)*(1/L25)/L34))*B22</f>
        <v>2.1616926746896737E-2</v>
      </c>
      <c r="C23" s="73"/>
      <c r="D23" s="73">
        <f>(((1/1000)*(1/L25)/L34))*D22</f>
        <v>8.2303299423634443E-2</v>
      </c>
      <c r="E23" s="73"/>
      <c r="K23" t="s">
        <v>130</v>
      </c>
      <c r="L23">
        <v>0.21</v>
      </c>
    </row>
    <row r="24" spans="1:12" x14ac:dyDescent="0.55000000000000004">
      <c r="A24" t="s">
        <v>82</v>
      </c>
      <c r="B24" s="76">
        <f>SUM(B23+B21)</f>
        <v>2.1811231167181849E-2</v>
      </c>
      <c r="C24" s="76"/>
      <c r="D24" s="76">
        <f>SUM(D23+D21)</f>
        <v>9.573214793249929E-2</v>
      </c>
      <c r="E24" s="76"/>
      <c r="K24" t="s">
        <v>74</v>
      </c>
      <c r="L24">
        <v>0.75</v>
      </c>
    </row>
    <row r="25" spans="1:12" x14ac:dyDescent="0.55000000000000004">
      <c r="A25" t="s">
        <v>59</v>
      </c>
      <c r="B25" s="73">
        <f>(B21+B23)*L17*L20</f>
        <v>0.77997801659602606</v>
      </c>
      <c r="C25" s="73"/>
      <c r="D25" s="73">
        <f>(D21+D23)*L17*L20</f>
        <v>3.4234184350500314</v>
      </c>
      <c r="E25" s="73"/>
      <c r="K25" t="str">
        <f>[5]NPV_Roadmap!K29</f>
        <v>Use efficiency pasture</v>
      </c>
      <c r="L25">
        <f>[5]NPV_Roadmap!L29</f>
        <v>0.5</v>
      </c>
    </row>
    <row r="26" spans="1:12" x14ac:dyDescent="0.55000000000000004">
      <c r="A26" t="s">
        <v>81</v>
      </c>
      <c r="B26" s="73">
        <f>(B21+B23)*B19+B25</f>
        <v>7.753260048541855</v>
      </c>
      <c r="C26" s="73"/>
      <c r="D26" s="73">
        <f>(D21+D23)*D19+D25</f>
        <v>35.297889364248</v>
      </c>
      <c r="E26" s="73"/>
    </row>
    <row r="27" spans="1:12" x14ac:dyDescent="0.55000000000000004">
      <c r="B27" s="74"/>
      <c r="C27" s="74"/>
      <c r="D27" s="73"/>
      <c r="E27" s="73"/>
      <c r="K27" t="str">
        <f>[5]NPV_Roadmap!K31</f>
        <v>Standard error (%) improved forage yield</v>
      </c>
      <c r="L27">
        <f>[5]NPV_Roadmap!L31</f>
        <v>7.5</v>
      </c>
    </row>
    <row r="28" spans="1:12" x14ac:dyDescent="0.55000000000000004">
      <c r="A28" s="1" t="s">
        <v>48</v>
      </c>
      <c r="B28" s="73">
        <f>B5-B14</f>
        <v>31.294314476200199</v>
      </c>
      <c r="C28" s="73"/>
      <c r="D28" s="73">
        <f>D5-D14</f>
        <v>359.47281896729658</v>
      </c>
      <c r="E28" s="73">
        <f>E5-E14</f>
        <v>0</v>
      </c>
      <c r="K28" t="str">
        <f>[5]NPV_Roadmap!K32</f>
        <v>Standard error (%) improved forage yield</v>
      </c>
      <c r="L28">
        <f>[5]NPV_Roadmap!L32</f>
        <v>20</v>
      </c>
    </row>
    <row r="29" spans="1:12" x14ac:dyDescent="0.55000000000000004">
      <c r="B29" s="74"/>
      <c r="C29" s="74"/>
      <c r="D29" s="74"/>
      <c r="E29" s="74"/>
    </row>
    <row r="30" spans="1:12" x14ac:dyDescent="0.55000000000000004">
      <c r="B30" s="74"/>
      <c r="C30" s="74"/>
      <c r="D30" s="74"/>
      <c r="E30" s="74"/>
      <c r="K30" t="str">
        <f>[5]NPV_Roadmap!K34</f>
        <v>Market price Sunflower cake (USD/kg)</v>
      </c>
      <c r="L30" s="16">
        <f>Dairy_Income_Roadmap!L29</f>
        <v>0.31928914881116705</v>
      </c>
    </row>
    <row r="31" spans="1:12" x14ac:dyDescent="0.55000000000000004">
      <c r="B31" s="74"/>
      <c r="C31" s="74"/>
      <c r="D31" s="74"/>
      <c r="E31" s="74"/>
      <c r="K31" t="str">
        <f>[5]NPV_Roadmap!K35</f>
        <v>Market price Maize bran (USD/kg)</v>
      </c>
      <c r="L31" s="16">
        <f>Dairy_Income_Roadmap!L30</f>
        <v>0.26820288500138029</v>
      </c>
    </row>
    <row r="32" spans="1:12" x14ac:dyDescent="0.55000000000000004">
      <c r="B32" s="74"/>
      <c r="C32" s="74"/>
      <c r="D32" s="74"/>
      <c r="E32" s="74"/>
    </row>
    <row r="33" spans="1:12" x14ac:dyDescent="0.55000000000000004">
      <c r="B33" s="74"/>
      <c r="C33" s="74"/>
      <c r="D33" s="74"/>
      <c r="E33" s="74"/>
      <c r="K33" t="str">
        <f>[5]NPV_Roadmap!K37</f>
        <v>Napier yield (Mg/ha)</v>
      </c>
      <c r="L33">
        <f>[5]NPV_Roadmap!L37</f>
        <v>13</v>
      </c>
    </row>
    <row r="34" spans="1:12" x14ac:dyDescent="0.55000000000000004">
      <c r="A34" s="75" t="s">
        <v>60</v>
      </c>
      <c r="B34" s="75"/>
      <c r="C34" s="75"/>
      <c r="D34" s="75"/>
      <c r="E34" s="75"/>
      <c r="K34" t="str">
        <f>[5]NPV_Roadmap!K38</f>
        <v>Pasture yield (Mg/ha)</v>
      </c>
      <c r="L34">
        <f>[5]NPV_Roadmap!L38</f>
        <v>5</v>
      </c>
    </row>
    <row r="35" spans="1:12" x14ac:dyDescent="0.55000000000000004">
      <c r="A35" s="72" t="s">
        <v>61</v>
      </c>
      <c r="B35" s="72"/>
      <c r="C35" s="72"/>
      <c r="D35" s="72"/>
      <c r="E35" s="72"/>
    </row>
    <row r="36" spans="1:12" x14ac:dyDescent="0.55000000000000004">
      <c r="A36" t="s">
        <v>17</v>
      </c>
      <c r="B36" s="77">
        <f>[1]All!$S$6*L17</f>
        <v>0.17880192333425357</v>
      </c>
      <c r="C36" s="77"/>
      <c r="D36" s="77">
        <f>[1]All!$S$7*L17</f>
        <v>7.6629395714680082E-2</v>
      </c>
      <c r="E36" s="77"/>
      <c r="K36" t="str">
        <f>[5]NPV_Roadmap!K40</f>
        <v xml:space="preserve">Opportunity cost land strata 1 </v>
      </c>
      <c r="L36" s="28">
        <f>[1]All!$N$6</f>
        <v>250.33</v>
      </c>
    </row>
    <row r="37" spans="1:12" x14ac:dyDescent="0.55000000000000004">
      <c r="B37" s="74"/>
      <c r="C37" s="74"/>
      <c r="D37" s="77"/>
      <c r="E37" s="77"/>
      <c r="K37" t="str">
        <f>[5]NPV_Roadmap!K41</f>
        <v>SE (fraction)</v>
      </c>
      <c r="L37" s="28">
        <f>[1]All!$U$6*L17/L36</f>
        <v>1.9489226995704199</v>
      </c>
    </row>
    <row r="38" spans="1:12" x14ac:dyDescent="0.55000000000000004">
      <c r="A38" t="s">
        <v>0</v>
      </c>
      <c r="B38" s="77">
        <f>[1]All!$V$6*L17</f>
        <v>51.341695128835667</v>
      </c>
      <c r="C38" s="77"/>
      <c r="D38" s="77">
        <f>[1]All!$V$7*L17</f>
        <v>195.78810605100765</v>
      </c>
      <c r="E38" s="77"/>
      <c r="K38" t="str">
        <f>[5]NPV_Roadmap!K42</f>
        <v>Opportunity cost land strata 2</v>
      </c>
      <c r="L38" s="28">
        <f>[1]All!$N$7</f>
        <v>260.7</v>
      </c>
    </row>
    <row r="39" spans="1:12" x14ac:dyDescent="0.55000000000000004">
      <c r="A39" t="s">
        <v>1</v>
      </c>
      <c r="B39" s="77">
        <f>[1]All!$W$6*L17</f>
        <v>7.9183708905169432</v>
      </c>
      <c r="C39" s="77"/>
      <c r="D39" s="77">
        <f>[1]All!$W$7*L17</f>
        <v>43.934186876416582</v>
      </c>
      <c r="E39" s="77"/>
      <c r="K39" t="str">
        <f>[5]NPV_Roadmap!K43</f>
        <v>SE (fraction)</v>
      </c>
      <c r="L39" s="28">
        <f>[1]All!$U$7*L17/L38</f>
        <v>1.6881786065259405</v>
      </c>
    </row>
    <row r="40" spans="1:12" x14ac:dyDescent="0.55000000000000004">
      <c r="A40" t="s">
        <v>2</v>
      </c>
      <c r="B40" s="77">
        <f>[1]All!$X$6*L17</f>
        <v>10.344968421481811</v>
      </c>
      <c r="C40" s="77"/>
      <c r="D40" s="77">
        <f>[1]All!$X$7*L17</f>
        <v>13.28242859054455</v>
      </c>
      <c r="E40" s="77"/>
    </row>
    <row r="41" spans="1:12" x14ac:dyDescent="0.55000000000000004">
      <c r="A41" t="s">
        <v>5</v>
      </c>
      <c r="B41" s="77">
        <f>[1]All!$Y$6*L17</f>
        <v>1.6620356445247294E-5</v>
      </c>
      <c r="C41" s="77"/>
      <c r="D41" s="77">
        <f>[1]All!$Y$7*L17</f>
        <v>0.76629395714680093</v>
      </c>
      <c r="E41" s="77"/>
    </row>
    <row r="42" spans="1:12" x14ac:dyDescent="0.55000000000000004">
      <c r="A42" t="s">
        <v>3</v>
      </c>
      <c r="B42" s="77">
        <f>B12*L17</f>
        <v>0</v>
      </c>
      <c r="C42" s="77"/>
      <c r="D42" s="77">
        <f>D12*L17</f>
        <v>0</v>
      </c>
      <c r="E42" s="77"/>
    </row>
    <row r="43" spans="1:12" x14ac:dyDescent="0.55000000000000004">
      <c r="A43" t="s">
        <v>18</v>
      </c>
      <c r="B43" s="77">
        <f>(1/100)*(B21*L27+B23*L28)/SUM(B21,B23)</f>
        <v>0.19888644284453855</v>
      </c>
      <c r="C43" s="77"/>
      <c r="D43" s="77">
        <f>(1/100)*(D21*L27+D23*L28)/SUM(D21,D23)</f>
        <v>0.18246559698219983</v>
      </c>
      <c r="E43" s="77"/>
    </row>
    <row r="44" spans="1:12" x14ac:dyDescent="0.55000000000000004">
      <c r="A44" t="s">
        <v>19</v>
      </c>
      <c r="B44" s="77">
        <f>B19*L37</f>
        <v>623.09126607279609</v>
      </c>
      <c r="C44" s="77"/>
      <c r="D44" s="77">
        <f>D19*L39</f>
        <v>562.08704264053813</v>
      </c>
      <c r="E44" s="77"/>
    </row>
    <row r="45" spans="1:12" x14ac:dyDescent="0.55000000000000004">
      <c r="B45" s="74"/>
      <c r="C45" s="74"/>
      <c r="D45" s="74"/>
      <c r="E45" s="74"/>
    </row>
    <row r="46" spans="1:12" x14ac:dyDescent="0.55000000000000004">
      <c r="B46" s="74"/>
      <c r="C46" s="74"/>
      <c r="D46" s="74"/>
      <c r="E46" s="74"/>
    </row>
    <row r="47" spans="1:12" x14ac:dyDescent="0.55000000000000004">
      <c r="B47" s="1" t="s">
        <v>62</v>
      </c>
      <c r="C47" s="1"/>
      <c r="D47" s="1"/>
      <c r="E47" s="1"/>
    </row>
    <row r="48" spans="1:12" x14ac:dyDescent="0.55000000000000004">
      <c r="A48" t="s">
        <v>9</v>
      </c>
      <c r="B48" s="76">
        <f ca="1">_xlfn.NORM.INV(RAND(),B3,B36)</f>
        <v>0.27529950279706045</v>
      </c>
      <c r="C48" s="76"/>
      <c r="D48" s="76">
        <f ca="1">_xlfn.NORM.INV(RAND(),D3,D36)</f>
        <v>0.47345663897992518</v>
      </c>
      <c r="E48" s="76"/>
    </row>
    <row r="49" spans="1:5" x14ac:dyDescent="0.55000000000000004">
      <c r="A49" t="s">
        <v>96</v>
      </c>
      <c r="B49" s="77">
        <f ca="1">_xlfn.NORM.INV(RAND(),B4,B4*L22)</f>
        <v>304.53339362235829</v>
      </c>
      <c r="C49" s="77"/>
      <c r="D49" s="77">
        <f ca="1">_xlfn.NORM.INV(RAND(),D4,D4*L23)</f>
        <v>1304.3753574557718</v>
      </c>
      <c r="E49" s="77"/>
    </row>
    <row r="50" spans="1:5" x14ac:dyDescent="0.55000000000000004">
      <c r="B50" s="74"/>
      <c r="C50" s="74"/>
      <c r="D50" s="77"/>
      <c r="E50" s="77"/>
    </row>
    <row r="51" spans="1:5" x14ac:dyDescent="0.55000000000000004">
      <c r="A51" t="s">
        <v>10</v>
      </c>
      <c r="B51" s="73">
        <f ca="1">_xlfn.NORM.INV(RAND(),B8,B38)</f>
        <v>106.330874711452</v>
      </c>
      <c r="C51" s="73"/>
      <c r="D51" s="73">
        <f ca="1">_xlfn.NORM.INV(RAND(),D8,D38)</f>
        <v>-73.07342358563352</v>
      </c>
      <c r="E51" s="73"/>
    </row>
    <row r="52" spans="1:5" x14ac:dyDescent="0.55000000000000004">
      <c r="A52" t="s">
        <v>1</v>
      </c>
      <c r="B52" s="73">
        <f ca="1">_xlfn.NORM.INV(RAND(),B9,B39)</f>
        <v>6.1343504318672109</v>
      </c>
      <c r="C52" s="73"/>
      <c r="D52" s="73">
        <f ca="1">_xlfn.NORM.INV(RAND(),D9,D39)</f>
        <v>80.729870748903522</v>
      </c>
      <c r="E52" s="73"/>
    </row>
    <row r="53" spans="1:5" x14ac:dyDescent="0.55000000000000004">
      <c r="A53" t="s">
        <v>2</v>
      </c>
      <c r="B53" s="73">
        <f ca="1">_xlfn.NORM.INV(RAND(),B10,B40)</f>
        <v>16.223317474616685</v>
      </c>
      <c r="C53" s="73"/>
      <c r="D53" s="73">
        <f ca="1">_xlfn.NORM.INV(RAND(),D10,D40)</f>
        <v>11.294052075121431</v>
      </c>
      <c r="E53" s="73"/>
    </row>
    <row r="54" spans="1:5" x14ac:dyDescent="0.55000000000000004">
      <c r="A54" t="s">
        <v>12</v>
      </c>
      <c r="B54" s="73">
        <f ca="1">_xlfn.NORM.INV(RAND(),B11,B41)</f>
        <v>1.7282798760843147E-4</v>
      </c>
      <c r="C54" s="73"/>
      <c r="D54" s="73">
        <f ca="1">_xlfn.NORM.INV(RAND(),D11,D41)</f>
        <v>0.69647729398534208</v>
      </c>
      <c r="E54" s="73"/>
    </row>
    <row r="55" spans="1:5" x14ac:dyDescent="0.55000000000000004">
      <c r="A55" t="s">
        <v>3</v>
      </c>
      <c r="B55" s="73">
        <v>1E-4</v>
      </c>
      <c r="C55" s="73"/>
      <c r="D55" s="73">
        <v>1E-4</v>
      </c>
      <c r="E55" s="73"/>
    </row>
    <row r="56" spans="1:5" x14ac:dyDescent="0.55000000000000004">
      <c r="A56" t="s">
        <v>63</v>
      </c>
      <c r="B56" s="73">
        <f ca="1">_xlfn.NORM.INV(RAND(),(B21+B23),B43)</f>
        <v>-0.27501845913002498</v>
      </c>
      <c r="C56" s="73"/>
      <c r="D56" s="73">
        <f ca="1">_xlfn.NORM.INV(RAND(),ABS(D21+D23),ABS(D43))</f>
        <v>0.31796958940686976</v>
      </c>
      <c r="E56" s="73"/>
    </row>
    <row r="57" spans="1:5" x14ac:dyDescent="0.55000000000000004">
      <c r="A57" t="s">
        <v>19</v>
      </c>
      <c r="B57" s="73">
        <f ca="1">_xlfn.NORM.INV(RAND(),B19,B44)</f>
        <v>359.76795848736344</v>
      </c>
      <c r="C57" s="73"/>
      <c r="D57" s="73">
        <f ca="1">_xlfn.NORM.INV(RAND(),D19,D44)</f>
        <v>-174.52438250361672</v>
      </c>
      <c r="E57" s="73"/>
    </row>
    <row r="58" spans="1:5" x14ac:dyDescent="0.55000000000000004">
      <c r="B58" s="74"/>
      <c r="C58" s="74"/>
      <c r="D58" s="72"/>
      <c r="E58" s="72"/>
    </row>
    <row r="59" spans="1:5" x14ac:dyDescent="0.55000000000000004">
      <c r="A59" s="1" t="s">
        <v>92</v>
      </c>
      <c r="B59" s="73">
        <f>SUM(C52:C55)</f>
        <v>0</v>
      </c>
      <c r="C59" s="73"/>
      <c r="D59" s="73">
        <f>SUM(E52:E55)</f>
        <v>0</v>
      </c>
      <c r="E59" s="73"/>
    </row>
    <row r="60" spans="1:5" x14ac:dyDescent="0.55000000000000004">
      <c r="B60" s="74"/>
      <c r="C60" s="74"/>
      <c r="D60" s="73"/>
      <c r="E60" s="73"/>
    </row>
    <row r="61" spans="1:5" x14ac:dyDescent="0.55000000000000004">
      <c r="A61" s="1" t="s">
        <v>48</v>
      </c>
      <c r="B61" s="73">
        <f ca="1">B48*B49-B59</f>
        <v>83.837891849336742</v>
      </c>
      <c r="C61" s="73"/>
      <c r="D61" s="73">
        <f ca="1">D48*D49-D59</f>
        <v>617.56517270924826</v>
      </c>
      <c r="E61" s="73"/>
    </row>
    <row r="62" spans="1:5" x14ac:dyDescent="0.55000000000000004">
      <c r="A62" s="1"/>
      <c r="B62" s="74"/>
      <c r="C62" s="74"/>
      <c r="D62" s="73"/>
      <c r="E62" s="73"/>
    </row>
    <row r="63" spans="1:5" x14ac:dyDescent="0.55000000000000004">
      <c r="A63" s="1" t="s">
        <v>13</v>
      </c>
      <c r="B63" s="73">
        <f ca="1">AVERAGE(C67:C566)</f>
        <v>110.03575297485207</v>
      </c>
      <c r="C63" s="73"/>
      <c r="D63" s="73">
        <f ca="1">AVERAGE(E67:E566)</f>
        <v>135.74592055054882</v>
      </c>
      <c r="E63" s="73"/>
    </row>
    <row r="64" spans="1:5" x14ac:dyDescent="0.55000000000000004">
      <c r="A64" s="1" t="s">
        <v>11</v>
      </c>
      <c r="B64" s="73">
        <f ca="1">STDEVA(C67:C566)</f>
        <v>54.973724751184037</v>
      </c>
      <c r="C64" s="73"/>
      <c r="D64" s="73">
        <f ca="1">STDEVA(E67:E566)</f>
        <v>155.90966811174806</v>
      </c>
      <c r="E64" s="73"/>
    </row>
    <row r="65" spans="1:5" x14ac:dyDescent="0.55000000000000004">
      <c r="B65" s="74"/>
      <c r="C65" s="74"/>
      <c r="D65" s="72"/>
      <c r="E65" s="72"/>
    </row>
    <row r="66" spans="1:5" x14ac:dyDescent="0.55000000000000004">
      <c r="A66" s="1" t="s">
        <v>64</v>
      </c>
      <c r="B66" s="72"/>
      <c r="C66" s="72"/>
      <c r="D66" s="72"/>
      <c r="E66" s="72"/>
    </row>
    <row r="67" spans="1:5" x14ac:dyDescent="0.55000000000000004">
      <c r="B67" s="18">
        <v>1</v>
      </c>
      <c r="C67" s="43">
        <f ca="1">B61</f>
        <v>83.837891849336742</v>
      </c>
      <c r="D67" s="18">
        <f>B67</f>
        <v>1</v>
      </c>
      <c r="E67" s="43">
        <f ca="1">D61</f>
        <v>617.56517270924826</v>
      </c>
    </row>
    <row r="68" spans="1:5" x14ac:dyDescent="0.55000000000000004">
      <c r="B68" s="18">
        <v>2</v>
      </c>
      <c r="C68" s="43">
        <v>160.25905930034503</v>
      </c>
      <c r="D68" s="18">
        <f>B68</f>
        <v>2</v>
      </c>
      <c r="E68" s="43">
        <v>164.13392041025185</v>
      </c>
    </row>
    <row r="69" spans="1:5" x14ac:dyDescent="0.55000000000000004">
      <c r="B69" s="18">
        <v>3</v>
      </c>
      <c r="C69" s="43">
        <v>151.92902126547568</v>
      </c>
      <c r="D69" s="18">
        <f t="shared" ref="D69:D132" si="0">B69</f>
        <v>3</v>
      </c>
      <c r="E69" s="43">
        <v>61.673922607328755</v>
      </c>
    </row>
    <row r="70" spans="1:5" x14ac:dyDescent="0.55000000000000004">
      <c r="B70" s="18">
        <v>4</v>
      </c>
      <c r="C70" s="43">
        <v>144.63171858110269</v>
      </c>
      <c r="D70" s="18">
        <f t="shared" si="0"/>
        <v>4</v>
      </c>
      <c r="E70" s="43">
        <v>66.443626315318141</v>
      </c>
    </row>
    <row r="71" spans="1:5" x14ac:dyDescent="0.55000000000000004">
      <c r="B71" s="18">
        <v>5</v>
      </c>
      <c r="C71" s="43">
        <v>121.26693387957928</v>
      </c>
      <c r="D71" s="18">
        <f t="shared" si="0"/>
        <v>5</v>
      </c>
      <c r="E71" s="43">
        <v>77.466748785674895</v>
      </c>
    </row>
    <row r="72" spans="1:5" x14ac:dyDescent="0.55000000000000004">
      <c r="B72" s="18">
        <v>6</v>
      </c>
      <c r="C72" s="43">
        <v>164.00558440705746</v>
      </c>
      <c r="D72" s="18">
        <f t="shared" si="0"/>
        <v>6</v>
      </c>
      <c r="E72" s="43">
        <v>61.962454507798462</v>
      </c>
    </row>
    <row r="73" spans="1:5" x14ac:dyDescent="0.55000000000000004">
      <c r="B73" s="18">
        <v>7</v>
      </c>
      <c r="C73" s="43">
        <v>121.52155447865786</v>
      </c>
      <c r="D73" s="18">
        <f t="shared" si="0"/>
        <v>7</v>
      </c>
      <c r="E73" s="43">
        <v>95.472126079795274</v>
      </c>
    </row>
    <row r="74" spans="1:5" x14ac:dyDescent="0.55000000000000004">
      <c r="B74" s="18">
        <v>8</v>
      </c>
      <c r="C74" s="43">
        <v>135.55667801171893</v>
      </c>
      <c r="D74" s="18">
        <f t="shared" si="0"/>
        <v>8</v>
      </c>
      <c r="E74" s="43">
        <v>15.84334634643314</v>
      </c>
    </row>
    <row r="75" spans="1:5" x14ac:dyDescent="0.55000000000000004">
      <c r="B75" s="18">
        <v>9</v>
      </c>
      <c r="C75" s="43">
        <v>64.261285606994875</v>
      </c>
      <c r="D75" s="18">
        <f t="shared" si="0"/>
        <v>9</v>
      </c>
      <c r="E75" s="43">
        <v>6.3175678890945814</v>
      </c>
    </row>
    <row r="76" spans="1:5" x14ac:dyDescent="0.55000000000000004">
      <c r="B76" s="18">
        <v>10</v>
      </c>
      <c r="C76" s="43">
        <v>67.652519446420712</v>
      </c>
      <c r="D76" s="18">
        <f t="shared" si="0"/>
        <v>10</v>
      </c>
      <c r="E76" s="43">
        <v>228.81322604234819</v>
      </c>
    </row>
    <row r="77" spans="1:5" x14ac:dyDescent="0.55000000000000004">
      <c r="B77" s="18">
        <v>11</v>
      </c>
      <c r="C77" s="43">
        <v>142.00782306088979</v>
      </c>
      <c r="D77" s="18">
        <f t="shared" si="0"/>
        <v>11</v>
      </c>
      <c r="E77" s="43">
        <v>415.41391110754432</v>
      </c>
    </row>
    <row r="78" spans="1:5" x14ac:dyDescent="0.55000000000000004">
      <c r="B78" s="18">
        <v>12</v>
      </c>
      <c r="C78" s="43">
        <v>65.447825974447028</v>
      </c>
      <c r="D78" s="18">
        <f t="shared" si="0"/>
        <v>12</v>
      </c>
      <c r="E78" s="43">
        <v>215.41197306966893</v>
      </c>
    </row>
    <row r="79" spans="1:5" x14ac:dyDescent="0.55000000000000004">
      <c r="B79" s="18">
        <v>13</v>
      </c>
      <c r="C79" s="43">
        <v>116.64723819039861</v>
      </c>
      <c r="D79" s="18">
        <f t="shared" si="0"/>
        <v>13</v>
      </c>
      <c r="E79" s="43">
        <v>329.14996677122684</v>
      </c>
    </row>
    <row r="80" spans="1:5" x14ac:dyDescent="0.55000000000000004">
      <c r="B80" s="18">
        <v>14</v>
      </c>
      <c r="C80" s="43">
        <v>144.61557098210747</v>
      </c>
      <c r="D80" s="18">
        <f t="shared" si="0"/>
        <v>14</v>
      </c>
      <c r="E80" s="43">
        <v>-82.204033396896094</v>
      </c>
    </row>
    <row r="81" spans="2:5" x14ac:dyDescent="0.55000000000000004">
      <c r="B81" s="18">
        <v>15</v>
      </c>
      <c r="C81" s="43">
        <v>152.22898704905577</v>
      </c>
      <c r="D81" s="18">
        <f t="shared" si="0"/>
        <v>15</v>
      </c>
      <c r="E81" s="43">
        <v>9.5152978509521979</v>
      </c>
    </row>
    <row r="82" spans="2:5" x14ac:dyDescent="0.55000000000000004">
      <c r="B82" s="18">
        <v>16</v>
      </c>
      <c r="C82" s="43">
        <v>106.40965959325563</v>
      </c>
      <c r="D82" s="18">
        <f t="shared" si="0"/>
        <v>16</v>
      </c>
      <c r="E82" s="43">
        <v>288.84462288071546</v>
      </c>
    </row>
    <row r="83" spans="2:5" x14ac:dyDescent="0.55000000000000004">
      <c r="B83" s="18">
        <v>17</v>
      </c>
      <c r="C83" s="43">
        <v>78.03628441721709</v>
      </c>
      <c r="D83" s="18">
        <f t="shared" si="0"/>
        <v>17</v>
      </c>
      <c r="E83" s="43">
        <v>216.71508345255239</v>
      </c>
    </row>
    <row r="84" spans="2:5" x14ac:dyDescent="0.55000000000000004">
      <c r="B84" s="18">
        <v>18</v>
      </c>
      <c r="C84" s="43">
        <v>139.5921112843896</v>
      </c>
      <c r="D84" s="18">
        <f t="shared" si="0"/>
        <v>18</v>
      </c>
      <c r="E84" s="43">
        <v>-2.3436000327334154</v>
      </c>
    </row>
    <row r="85" spans="2:5" x14ac:dyDescent="0.55000000000000004">
      <c r="B85" s="18">
        <v>19</v>
      </c>
      <c r="C85" s="43">
        <v>98.224679052950009</v>
      </c>
      <c r="D85" s="18">
        <f t="shared" si="0"/>
        <v>19</v>
      </c>
      <c r="E85" s="43">
        <v>96.384134682480379</v>
      </c>
    </row>
    <row r="86" spans="2:5" x14ac:dyDescent="0.55000000000000004">
      <c r="B86" s="18">
        <v>20</v>
      </c>
      <c r="C86" s="43">
        <v>67.887819815811824</v>
      </c>
      <c r="D86" s="18">
        <f t="shared" si="0"/>
        <v>20</v>
      </c>
      <c r="E86" s="43">
        <v>13.480721413559928</v>
      </c>
    </row>
    <row r="87" spans="2:5" x14ac:dyDescent="0.55000000000000004">
      <c r="B87" s="18">
        <v>21</v>
      </c>
      <c r="C87" s="43">
        <v>125.51965152915606</v>
      </c>
      <c r="D87" s="18">
        <f t="shared" si="0"/>
        <v>21</v>
      </c>
      <c r="E87" s="43">
        <v>266.87725057616404</v>
      </c>
    </row>
    <row r="88" spans="2:5" x14ac:dyDescent="0.55000000000000004">
      <c r="B88" s="18">
        <v>22</v>
      </c>
      <c r="C88" s="43">
        <v>122.25619877827872</v>
      </c>
      <c r="D88" s="18">
        <f t="shared" si="0"/>
        <v>22</v>
      </c>
      <c r="E88" s="43">
        <v>337.58904038476402</v>
      </c>
    </row>
    <row r="89" spans="2:5" x14ac:dyDescent="0.55000000000000004">
      <c r="B89" s="18">
        <v>23</v>
      </c>
      <c r="C89" s="43">
        <v>-29.606952987696918</v>
      </c>
      <c r="D89" s="18">
        <f t="shared" si="0"/>
        <v>23</v>
      </c>
      <c r="E89" s="43">
        <v>446.86535626462035</v>
      </c>
    </row>
    <row r="90" spans="2:5" x14ac:dyDescent="0.55000000000000004">
      <c r="B90" s="18">
        <v>24</v>
      </c>
      <c r="C90" s="43">
        <v>105.09873278112943</v>
      </c>
      <c r="D90" s="18">
        <f t="shared" si="0"/>
        <v>24</v>
      </c>
      <c r="E90" s="43">
        <v>267.47810764979351</v>
      </c>
    </row>
    <row r="91" spans="2:5" x14ac:dyDescent="0.55000000000000004">
      <c r="B91" s="18">
        <v>25</v>
      </c>
      <c r="C91" s="43">
        <v>130.83000368966114</v>
      </c>
      <c r="D91" s="18">
        <f t="shared" si="0"/>
        <v>25</v>
      </c>
      <c r="E91" s="43">
        <v>90.937673675817777</v>
      </c>
    </row>
    <row r="92" spans="2:5" x14ac:dyDescent="0.55000000000000004">
      <c r="B92" s="18">
        <v>26</v>
      </c>
      <c r="C92" s="43">
        <v>137.2431109715647</v>
      </c>
      <c r="D92" s="18">
        <f t="shared" si="0"/>
        <v>26</v>
      </c>
      <c r="E92" s="43">
        <v>-114.3038628307726</v>
      </c>
    </row>
    <row r="93" spans="2:5" x14ac:dyDescent="0.55000000000000004">
      <c r="B93" s="18">
        <v>27</v>
      </c>
      <c r="C93" s="43">
        <v>142.22890854797316</v>
      </c>
      <c r="D93" s="18">
        <f t="shared" si="0"/>
        <v>27</v>
      </c>
      <c r="E93" s="43">
        <v>-120.46730260426448</v>
      </c>
    </row>
    <row r="94" spans="2:5" x14ac:dyDescent="0.55000000000000004">
      <c r="B94" s="18">
        <v>28</v>
      </c>
      <c r="C94" s="43">
        <v>143.15846267450195</v>
      </c>
      <c r="D94" s="18">
        <f t="shared" si="0"/>
        <v>28</v>
      </c>
      <c r="E94" s="43">
        <v>158.33312076542737</v>
      </c>
    </row>
    <row r="95" spans="2:5" x14ac:dyDescent="0.55000000000000004">
      <c r="B95" s="18">
        <v>29</v>
      </c>
      <c r="C95" s="43">
        <v>160.75834455713928</v>
      </c>
      <c r="D95" s="18">
        <f t="shared" si="0"/>
        <v>29</v>
      </c>
      <c r="E95" s="43">
        <v>142.4130802284264</v>
      </c>
    </row>
    <row r="96" spans="2:5" x14ac:dyDescent="0.55000000000000004">
      <c r="B96" s="18">
        <v>30</v>
      </c>
      <c r="C96" s="43">
        <v>96.408319797812766</v>
      </c>
      <c r="D96" s="18">
        <f t="shared" si="0"/>
        <v>30</v>
      </c>
      <c r="E96" s="43">
        <v>-57.243709540203596</v>
      </c>
    </row>
    <row r="97" spans="2:5" x14ac:dyDescent="0.55000000000000004">
      <c r="B97" s="18">
        <v>31</v>
      </c>
      <c r="C97" s="43">
        <v>131.10901988809243</v>
      </c>
      <c r="D97" s="18">
        <f t="shared" si="0"/>
        <v>31</v>
      </c>
      <c r="E97" s="43">
        <v>146.38748838275214</v>
      </c>
    </row>
    <row r="98" spans="2:5" x14ac:dyDescent="0.55000000000000004">
      <c r="B98" s="18">
        <v>32</v>
      </c>
      <c r="C98" s="43">
        <v>120.57692653377092</v>
      </c>
      <c r="D98" s="18">
        <f t="shared" si="0"/>
        <v>32</v>
      </c>
      <c r="E98" s="43">
        <v>263.14316771431402</v>
      </c>
    </row>
    <row r="99" spans="2:5" x14ac:dyDescent="0.55000000000000004">
      <c r="B99" s="18">
        <v>33</v>
      </c>
      <c r="C99" s="43">
        <v>141.39705283392021</v>
      </c>
      <c r="D99" s="18">
        <f t="shared" si="0"/>
        <v>33</v>
      </c>
      <c r="E99" s="43">
        <v>273.41458419313921</v>
      </c>
    </row>
    <row r="100" spans="2:5" x14ac:dyDescent="0.55000000000000004">
      <c r="B100" s="18">
        <v>34</v>
      </c>
      <c r="C100" s="43">
        <v>95.782914585273076</v>
      </c>
      <c r="D100" s="18">
        <f t="shared" si="0"/>
        <v>34</v>
      </c>
      <c r="E100" s="43">
        <v>260.02641306604039</v>
      </c>
    </row>
    <row r="101" spans="2:5" x14ac:dyDescent="0.55000000000000004">
      <c r="B101" s="18">
        <v>35</v>
      </c>
      <c r="C101" s="43">
        <v>143.48313737199405</v>
      </c>
      <c r="D101" s="18">
        <f t="shared" si="0"/>
        <v>35</v>
      </c>
      <c r="E101" s="43">
        <v>144.92832918498729</v>
      </c>
    </row>
    <row r="102" spans="2:5" x14ac:dyDescent="0.55000000000000004">
      <c r="B102" s="18">
        <v>36</v>
      </c>
      <c r="C102" s="43">
        <v>113.01878717813615</v>
      </c>
      <c r="D102" s="18">
        <f t="shared" si="0"/>
        <v>36</v>
      </c>
      <c r="E102" s="43">
        <v>291.99812236976118</v>
      </c>
    </row>
    <row r="103" spans="2:5" x14ac:dyDescent="0.55000000000000004">
      <c r="B103" s="18">
        <v>37</v>
      </c>
      <c r="C103" s="43">
        <v>144.4373124044651</v>
      </c>
      <c r="D103" s="18">
        <f t="shared" si="0"/>
        <v>37</v>
      </c>
      <c r="E103" s="43">
        <v>122.40739636574475</v>
      </c>
    </row>
    <row r="104" spans="2:5" x14ac:dyDescent="0.55000000000000004">
      <c r="B104" s="18">
        <v>38</v>
      </c>
      <c r="C104" s="43">
        <v>143.16122670503066</v>
      </c>
      <c r="D104" s="18">
        <f t="shared" si="0"/>
        <v>38</v>
      </c>
      <c r="E104" s="43">
        <v>288.27017587003036</v>
      </c>
    </row>
    <row r="105" spans="2:5" x14ac:dyDescent="0.55000000000000004">
      <c r="B105" s="18">
        <v>39</v>
      </c>
      <c r="C105" s="43">
        <v>132.54063892187676</v>
      </c>
      <c r="D105" s="18">
        <f t="shared" si="0"/>
        <v>39</v>
      </c>
      <c r="E105" s="43">
        <v>151.27919873502756</v>
      </c>
    </row>
    <row r="106" spans="2:5" x14ac:dyDescent="0.55000000000000004">
      <c r="B106" s="18">
        <v>40</v>
      </c>
      <c r="C106" s="43">
        <v>181.8828265160825</v>
      </c>
      <c r="D106" s="18">
        <f t="shared" si="0"/>
        <v>40</v>
      </c>
      <c r="E106" s="43">
        <v>129.87670769482315</v>
      </c>
    </row>
    <row r="107" spans="2:5" x14ac:dyDescent="0.55000000000000004">
      <c r="B107" s="18">
        <v>41</v>
      </c>
      <c r="C107" s="43">
        <v>145.45696833812215</v>
      </c>
      <c r="D107" s="18">
        <f t="shared" si="0"/>
        <v>41</v>
      </c>
      <c r="E107" s="43">
        <v>205.43732891582468</v>
      </c>
    </row>
    <row r="108" spans="2:5" x14ac:dyDescent="0.55000000000000004">
      <c r="B108" s="18">
        <v>42</v>
      </c>
      <c r="C108" s="43">
        <v>89.244620619436674</v>
      </c>
      <c r="D108" s="18">
        <f t="shared" si="0"/>
        <v>42</v>
      </c>
      <c r="E108" s="43">
        <v>-159.02822240344716</v>
      </c>
    </row>
    <row r="109" spans="2:5" x14ac:dyDescent="0.55000000000000004">
      <c r="B109" s="18">
        <v>43</v>
      </c>
      <c r="C109" s="43">
        <v>146.55551277256487</v>
      </c>
      <c r="D109" s="18">
        <f t="shared" si="0"/>
        <v>43</v>
      </c>
      <c r="E109" s="43">
        <v>359.1161214004664</v>
      </c>
    </row>
    <row r="110" spans="2:5" x14ac:dyDescent="0.55000000000000004">
      <c r="B110" s="18">
        <v>44</v>
      </c>
      <c r="C110" s="43">
        <v>115.155834232589</v>
      </c>
      <c r="D110" s="18">
        <f t="shared" si="0"/>
        <v>44</v>
      </c>
      <c r="E110" s="43">
        <v>-58.630652025442757</v>
      </c>
    </row>
    <row r="111" spans="2:5" x14ac:dyDescent="0.55000000000000004">
      <c r="B111" s="18">
        <v>45</v>
      </c>
      <c r="C111" s="43">
        <v>150.93720739744523</v>
      </c>
      <c r="D111" s="18">
        <f t="shared" si="0"/>
        <v>45</v>
      </c>
      <c r="E111" s="43">
        <v>72.654831445877065</v>
      </c>
    </row>
    <row r="112" spans="2:5" x14ac:dyDescent="0.55000000000000004">
      <c r="B112" s="18">
        <v>46</v>
      </c>
      <c r="C112" s="43">
        <v>119.06183719199628</v>
      </c>
      <c r="D112" s="18">
        <f t="shared" si="0"/>
        <v>46</v>
      </c>
      <c r="E112" s="43">
        <v>67.628309709563581</v>
      </c>
    </row>
    <row r="113" spans="2:5" x14ac:dyDescent="0.55000000000000004">
      <c r="B113" s="18">
        <v>47</v>
      </c>
      <c r="C113" s="43">
        <v>147.26875023900317</v>
      </c>
      <c r="D113" s="18">
        <f t="shared" si="0"/>
        <v>47</v>
      </c>
      <c r="E113" s="43">
        <v>90.855360390225002</v>
      </c>
    </row>
    <row r="114" spans="2:5" x14ac:dyDescent="0.55000000000000004">
      <c r="B114" s="18">
        <v>48</v>
      </c>
      <c r="C114" s="43">
        <v>161.46618822347497</v>
      </c>
      <c r="D114" s="18">
        <f t="shared" si="0"/>
        <v>48</v>
      </c>
      <c r="E114" s="43">
        <v>-172.07922833099323</v>
      </c>
    </row>
    <row r="115" spans="2:5" x14ac:dyDescent="0.55000000000000004">
      <c r="B115" s="18">
        <v>49</v>
      </c>
      <c r="C115" s="43">
        <v>86.11058056305346</v>
      </c>
      <c r="D115" s="18">
        <f t="shared" si="0"/>
        <v>49</v>
      </c>
      <c r="E115" s="43">
        <v>279.11804563444787</v>
      </c>
    </row>
    <row r="116" spans="2:5" x14ac:dyDescent="0.55000000000000004">
      <c r="B116" s="18">
        <v>50</v>
      </c>
      <c r="C116" s="43">
        <v>96.854250689868223</v>
      </c>
      <c r="D116" s="18">
        <f t="shared" si="0"/>
        <v>50</v>
      </c>
      <c r="E116" s="43">
        <v>270.66755066522973</v>
      </c>
    </row>
    <row r="117" spans="2:5" x14ac:dyDescent="0.55000000000000004">
      <c r="B117" s="18">
        <v>51</v>
      </c>
      <c r="C117" s="43">
        <v>77.797302657525762</v>
      </c>
      <c r="D117" s="18">
        <f t="shared" si="0"/>
        <v>51</v>
      </c>
      <c r="E117" s="43">
        <v>-187.16217054783368</v>
      </c>
    </row>
    <row r="118" spans="2:5" x14ac:dyDescent="0.55000000000000004">
      <c r="B118" s="18">
        <v>52</v>
      </c>
      <c r="C118" s="43">
        <v>55.965219878941674</v>
      </c>
      <c r="D118" s="18">
        <f t="shared" si="0"/>
        <v>52</v>
      </c>
      <c r="E118" s="43">
        <v>-113.45501237670624</v>
      </c>
    </row>
    <row r="119" spans="2:5" x14ac:dyDescent="0.55000000000000004">
      <c r="B119" s="18">
        <v>53</v>
      </c>
      <c r="C119" s="43">
        <v>126.61897821823213</v>
      </c>
      <c r="D119" s="18">
        <f t="shared" si="0"/>
        <v>53</v>
      </c>
      <c r="E119" s="43">
        <v>84.512254005829021</v>
      </c>
    </row>
    <row r="120" spans="2:5" x14ac:dyDescent="0.55000000000000004">
      <c r="B120" s="18">
        <v>54</v>
      </c>
      <c r="C120" s="43">
        <v>0.53962539765901751</v>
      </c>
      <c r="D120" s="18">
        <f t="shared" si="0"/>
        <v>54</v>
      </c>
      <c r="E120" s="43">
        <v>265.79466490863354</v>
      </c>
    </row>
    <row r="121" spans="2:5" x14ac:dyDescent="0.55000000000000004">
      <c r="B121" s="18">
        <v>55</v>
      </c>
      <c r="C121" s="43">
        <v>72.161915902088339</v>
      </c>
      <c r="D121" s="18">
        <f t="shared" si="0"/>
        <v>55</v>
      </c>
      <c r="E121" s="43">
        <v>207.90788356005334</v>
      </c>
    </row>
    <row r="122" spans="2:5" x14ac:dyDescent="0.55000000000000004">
      <c r="B122" s="18">
        <v>56</v>
      </c>
      <c r="C122" s="43">
        <v>106.42502787656784</v>
      </c>
      <c r="D122" s="18">
        <f t="shared" si="0"/>
        <v>56</v>
      </c>
      <c r="E122" s="43">
        <v>232.51334841323074</v>
      </c>
    </row>
    <row r="123" spans="2:5" x14ac:dyDescent="0.55000000000000004">
      <c r="B123" s="18">
        <v>57</v>
      </c>
      <c r="C123" s="43">
        <v>140.29558251063034</v>
      </c>
      <c r="D123" s="18">
        <f t="shared" si="0"/>
        <v>57</v>
      </c>
      <c r="E123" s="43">
        <v>376.71907679247664</v>
      </c>
    </row>
    <row r="124" spans="2:5" x14ac:dyDescent="0.55000000000000004">
      <c r="B124" s="18">
        <v>58</v>
      </c>
      <c r="C124" s="43">
        <v>105.5377073808658</v>
      </c>
      <c r="D124" s="18">
        <f t="shared" si="0"/>
        <v>58</v>
      </c>
      <c r="E124" s="43">
        <v>-4.5957823967569311</v>
      </c>
    </row>
    <row r="125" spans="2:5" x14ac:dyDescent="0.55000000000000004">
      <c r="B125" s="18">
        <v>59</v>
      </c>
      <c r="C125" s="43">
        <v>122.72966368515013</v>
      </c>
      <c r="D125" s="18">
        <f t="shared" si="0"/>
        <v>59</v>
      </c>
      <c r="E125" s="43">
        <v>105.39008433492165</v>
      </c>
    </row>
    <row r="126" spans="2:5" x14ac:dyDescent="0.55000000000000004">
      <c r="B126" s="18">
        <v>60</v>
      </c>
      <c r="C126" s="43">
        <v>101.37693726135603</v>
      </c>
      <c r="D126" s="18">
        <f t="shared" si="0"/>
        <v>60</v>
      </c>
      <c r="E126" s="43">
        <v>170.97229508617642</v>
      </c>
    </row>
    <row r="127" spans="2:5" x14ac:dyDescent="0.55000000000000004">
      <c r="B127" s="18">
        <v>61</v>
      </c>
      <c r="C127" s="43">
        <v>160.12913965350083</v>
      </c>
      <c r="D127" s="18">
        <f t="shared" si="0"/>
        <v>61</v>
      </c>
      <c r="E127" s="43">
        <v>74.435700954151557</v>
      </c>
    </row>
    <row r="128" spans="2:5" x14ac:dyDescent="0.55000000000000004">
      <c r="B128" s="18">
        <v>62</v>
      </c>
      <c r="C128" s="43">
        <v>54.997239929239853</v>
      </c>
      <c r="D128" s="18">
        <f t="shared" si="0"/>
        <v>62</v>
      </c>
      <c r="E128" s="43">
        <v>269.12953502833022</v>
      </c>
    </row>
    <row r="129" spans="2:5" x14ac:dyDescent="0.55000000000000004">
      <c r="B129" s="18">
        <v>63</v>
      </c>
      <c r="C129" s="43">
        <v>150.39752491490162</v>
      </c>
      <c r="D129" s="18">
        <f t="shared" si="0"/>
        <v>63</v>
      </c>
      <c r="E129" s="43">
        <v>124.98232154241687</v>
      </c>
    </row>
    <row r="130" spans="2:5" x14ac:dyDescent="0.55000000000000004">
      <c r="B130" s="18">
        <v>64</v>
      </c>
      <c r="C130" s="43">
        <v>223.42796170760317</v>
      </c>
      <c r="D130" s="18">
        <f t="shared" si="0"/>
        <v>64</v>
      </c>
      <c r="E130" s="43">
        <v>309.67284517196356</v>
      </c>
    </row>
    <row r="131" spans="2:5" x14ac:dyDescent="0.55000000000000004">
      <c r="B131" s="18">
        <v>65</v>
      </c>
      <c r="C131" s="43">
        <v>61.244267063187962</v>
      </c>
      <c r="D131" s="18">
        <f t="shared" si="0"/>
        <v>65</v>
      </c>
      <c r="E131" s="43">
        <v>-119.04405948326749</v>
      </c>
    </row>
    <row r="132" spans="2:5" x14ac:dyDescent="0.55000000000000004">
      <c r="B132" s="18">
        <v>66</v>
      </c>
      <c r="C132" s="43">
        <v>106.48767723797376</v>
      </c>
      <c r="D132" s="18">
        <f t="shared" si="0"/>
        <v>66</v>
      </c>
      <c r="E132" s="43">
        <v>313.55402954922266</v>
      </c>
    </row>
    <row r="133" spans="2:5" x14ac:dyDescent="0.55000000000000004">
      <c r="B133" s="18">
        <v>67</v>
      </c>
      <c r="C133" s="43">
        <v>-25.014771789520491</v>
      </c>
      <c r="D133" s="18">
        <f t="shared" ref="D133:D196" si="1">B133</f>
        <v>67</v>
      </c>
      <c r="E133" s="43">
        <v>9.0223685003881453</v>
      </c>
    </row>
    <row r="134" spans="2:5" x14ac:dyDescent="0.55000000000000004">
      <c r="B134" s="18">
        <v>68</v>
      </c>
      <c r="C134" s="43">
        <v>66.553865069434991</v>
      </c>
      <c r="D134" s="18">
        <f t="shared" si="1"/>
        <v>68</v>
      </c>
      <c r="E134" s="43">
        <v>137.91079707541041</v>
      </c>
    </row>
    <row r="135" spans="2:5" x14ac:dyDescent="0.55000000000000004">
      <c r="B135" s="18">
        <v>69</v>
      </c>
      <c r="C135" s="43">
        <v>130.86988950148285</v>
      </c>
      <c r="D135" s="18">
        <f t="shared" si="1"/>
        <v>69</v>
      </c>
      <c r="E135" s="43">
        <v>48.177735881899807</v>
      </c>
    </row>
    <row r="136" spans="2:5" x14ac:dyDescent="0.55000000000000004">
      <c r="B136" s="18">
        <v>70</v>
      </c>
      <c r="C136" s="43">
        <v>30.901678591659696</v>
      </c>
      <c r="D136" s="18">
        <f t="shared" si="1"/>
        <v>70</v>
      </c>
      <c r="E136" s="43">
        <v>232.40128155795287</v>
      </c>
    </row>
    <row r="137" spans="2:5" x14ac:dyDescent="0.55000000000000004">
      <c r="B137" s="18">
        <v>71</v>
      </c>
      <c r="C137" s="43">
        <v>188.33765066086178</v>
      </c>
      <c r="D137" s="18">
        <f t="shared" si="1"/>
        <v>71</v>
      </c>
      <c r="E137" s="43">
        <v>252.06767431920065</v>
      </c>
    </row>
    <row r="138" spans="2:5" x14ac:dyDescent="0.55000000000000004">
      <c r="B138" s="18">
        <v>72</v>
      </c>
      <c r="C138" s="43">
        <v>97.357083767220374</v>
      </c>
      <c r="D138" s="18">
        <f t="shared" si="1"/>
        <v>72</v>
      </c>
      <c r="E138" s="43">
        <v>246.86467782750356</v>
      </c>
    </row>
    <row r="139" spans="2:5" x14ac:dyDescent="0.55000000000000004">
      <c r="B139" s="18">
        <v>73</v>
      </c>
      <c r="C139" s="43">
        <v>121.20644421174184</v>
      </c>
      <c r="D139" s="18">
        <f t="shared" si="1"/>
        <v>73</v>
      </c>
      <c r="E139" s="43">
        <v>223.7081722448078</v>
      </c>
    </row>
    <row r="140" spans="2:5" x14ac:dyDescent="0.55000000000000004">
      <c r="B140" s="18">
        <v>74</v>
      </c>
      <c r="C140" s="43">
        <v>88.978966094501033</v>
      </c>
      <c r="D140" s="18">
        <f t="shared" si="1"/>
        <v>74</v>
      </c>
      <c r="E140" s="43">
        <v>111.02045375639428</v>
      </c>
    </row>
    <row r="141" spans="2:5" x14ac:dyDescent="0.55000000000000004">
      <c r="B141" s="18">
        <v>75</v>
      </c>
      <c r="C141" s="43">
        <v>101.60589552064481</v>
      </c>
      <c r="D141" s="18">
        <f t="shared" si="1"/>
        <v>75</v>
      </c>
      <c r="E141" s="43">
        <v>182.47369818856214</v>
      </c>
    </row>
    <row r="142" spans="2:5" x14ac:dyDescent="0.55000000000000004">
      <c r="B142" s="18">
        <v>76</v>
      </c>
      <c r="C142" s="43">
        <v>94.919363648844325</v>
      </c>
      <c r="D142" s="18">
        <f t="shared" si="1"/>
        <v>76</v>
      </c>
      <c r="E142" s="43">
        <v>-248.11668171696161</v>
      </c>
    </row>
    <row r="143" spans="2:5" x14ac:dyDescent="0.55000000000000004">
      <c r="B143" s="18">
        <v>77</v>
      </c>
      <c r="C143" s="43">
        <v>112.09498695426316</v>
      </c>
      <c r="D143" s="18">
        <f t="shared" si="1"/>
        <v>77</v>
      </c>
      <c r="E143" s="43">
        <v>-79.923162658970554</v>
      </c>
    </row>
    <row r="144" spans="2:5" x14ac:dyDescent="0.55000000000000004">
      <c r="B144" s="18">
        <v>78</v>
      </c>
      <c r="C144" s="43">
        <v>178.11483218070339</v>
      </c>
      <c r="D144" s="18">
        <f t="shared" si="1"/>
        <v>78</v>
      </c>
      <c r="E144" s="43">
        <v>-92.062493207582349</v>
      </c>
    </row>
    <row r="145" spans="2:5" x14ac:dyDescent="0.55000000000000004">
      <c r="B145" s="18">
        <v>79</v>
      </c>
      <c r="C145" s="43">
        <v>92.742767180247512</v>
      </c>
      <c r="D145" s="18">
        <f t="shared" si="1"/>
        <v>79</v>
      </c>
      <c r="E145" s="43">
        <v>-64.505226376854381</v>
      </c>
    </row>
    <row r="146" spans="2:5" x14ac:dyDescent="0.55000000000000004">
      <c r="B146" s="18">
        <v>80</v>
      </c>
      <c r="C146" s="43">
        <v>153.58714856548156</v>
      </c>
      <c r="D146" s="18">
        <f t="shared" si="1"/>
        <v>80</v>
      </c>
      <c r="E146" s="43">
        <v>-119.44497801531227</v>
      </c>
    </row>
    <row r="147" spans="2:5" x14ac:dyDescent="0.55000000000000004">
      <c r="B147" s="18">
        <v>81</v>
      </c>
      <c r="C147" s="43">
        <v>122.40248626243074</v>
      </c>
      <c r="D147" s="18">
        <f t="shared" si="1"/>
        <v>81</v>
      </c>
      <c r="E147" s="43">
        <v>121.62799418367119</v>
      </c>
    </row>
    <row r="148" spans="2:5" x14ac:dyDescent="0.55000000000000004">
      <c r="B148" s="18">
        <v>82</v>
      </c>
      <c r="C148" s="43">
        <v>140.0217512724725</v>
      </c>
      <c r="D148" s="18">
        <f t="shared" si="1"/>
        <v>82</v>
      </c>
      <c r="E148" s="43">
        <v>260.24404251167289</v>
      </c>
    </row>
    <row r="149" spans="2:5" x14ac:dyDescent="0.55000000000000004">
      <c r="B149" s="18">
        <v>83</v>
      </c>
      <c r="C149" s="43">
        <v>126.60736675079072</v>
      </c>
      <c r="D149" s="18">
        <f t="shared" si="1"/>
        <v>83</v>
      </c>
      <c r="E149" s="43">
        <v>138.3323544501192</v>
      </c>
    </row>
    <row r="150" spans="2:5" x14ac:dyDescent="0.55000000000000004">
      <c r="B150" s="18">
        <v>84</v>
      </c>
      <c r="C150" s="43">
        <v>205.94909223582562</v>
      </c>
      <c r="D150" s="18">
        <f t="shared" si="1"/>
        <v>84</v>
      </c>
      <c r="E150" s="43">
        <v>41.973534925947767</v>
      </c>
    </row>
    <row r="151" spans="2:5" x14ac:dyDescent="0.55000000000000004">
      <c r="B151" s="18">
        <v>85</v>
      </c>
      <c r="C151" s="43">
        <v>176.50538265796371</v>
      </c>
      <c r="D151" s="18">
        <f t="shared" si="1"/>
        <v>85</v>
      </c>
      <c r="E151" s="43">
        <v>142.3555069822593</v>
      </c>
    </row>
    <row r="152" spans="2:5" x14ac:dyDescent="0.55000000000000004">
      <c r="B152" s="18">
        <v>86</v>
      </c>
      <c r="C152" s="43">
        <v>78.074294099728121</v>
      </c>
      <c r="D152" s="18">
        <f t="shared" si="1"/>
        <v>86</v>
      </c>
      <c r="E152" s="43">
        <v>83.735770639543844</v>
      </c>
    </row>
    <row r="153" spans="2:5" x14ac:dyDescent="0.55000000000000004">
      <c r="B153" s="18">
        <v>87</v>
      </c>
      <c r="C153" s="43">
        <v>147.09799767667695</v>
      </c>
      <c r="D153" s="18">
        <f t="shared" si="1"/>
        <v>87</v>
      </c>
      <c r="E153" s="43">
        <v>125.64451090626167</v>
      </c>
    </row>
    <row r="154" spans="2:5" x14ac:dyDescent="0.55000000000000004">
      <c r="B154" s="18">
        <v>88</v>
      </c>
      <c r="C154" s="43">
        <v>103.21469269083676</v>
      </c>
      <c r="D154" s="18">
        <f t="shared" si="1"/>
        <v>88</v>
      </c>
      <c r="E154" s="43">
        <v>7.0117412736557769</v>
      </c>
    </row>
    <row r="155" spans="2:5" x14ac:dyDescent="0.55000000000000004">
      <c r="B155" s="18">
        <v>89</v>
      </c>
      <c r="C155" s="43">
        <v>79.136089222299319</v>
      </c>
      <c r="D155" s="18">
        <f t="shared" si="1"/>
        <v>89</v>
      </c>
      <c r="E155" s="43">
        <v>403.85578119709629</v>
      </c>
    </row>
    <row r="156" spans="2:5" x14ac:dyDescent="0.55000000000000004">
      <c r="B156" s="18">
        <v>90</v>
      </c>
      <c r="C156" s="43">
        <v>79.557313220000935</v>
      </c>
      <c r="D156" s="18">
        <f t="shared" si="1"/>
        <v>90</v>
      </c>
      <c r="E156" s="43">
        <v>117.7144017465685</v>
      </c>
    </row>
    <row r="157" spans="2:5" x14ac:dyDescent="0.55000000000000004">
      <c r="B157" s="18">
        <v>91</v>
      </c>
      <c r="C157" s="43">
        <v>149.73211318970684</v>
      </c>
      <c r="D157" s="18">
        <f t="shared" si="1"/>
        <v>91</v>
      </c>
      <c r="E157" s="43">
        <v>165.76853963872273</v>
      </c>
    </row>
    <row r="158" spans="2:5" x14ac:dyDescent="0.55000000000000004">
      <c r="B158" s="18">
        <v>92</v>
      </c>
      <c r="C158" s="43">
        <v>139.23110312285337</v>
      </c>
      <c r="D158" s="18">
        <f t="shared" si="1"/>
        <v>92</v>
      </c>
      <c r="E158" s="43">
        <v>77.119167080425683</v>
      </c>
    </row>
    <row r="159" spans="2:5" x14ac:dyDescent="0.55000000000000004">
      <c r="B159" s="18">
        <v>93</v>
      </c>
      <c r="C159" s="43">
        <v>107.40773238083152</v>
      </c>
      <c r="D159" s="18">
        <f t="shared" si="1"/>
        <v>93</v>
      </c>
      <c r="E159" s="43">
        <v>152.56072834679333</v>
      </c>
    </row>
    <row r="160" spans="2:5" x14ac:dyDescent="0.55000000000000004">
      <c r="B160" s="18">
        <v>94</v>
      </c>
      <c r="C160" s="43">
        <v>110.43736635488362</v>
      </c>
      <c r="D160" s="18">
        <f t="shared" si="1"/>
        <v>94</v>
      </c>
      <c r="E160" s="43">
        <v>69.229585722315463</v>
      </c>
    </row>
    <row r="161" spans="2:5" x14ac:dyDescent="0.55000000000000004">
      <c r="B161" s="18">
        <v>95</v>
      </c>
      <c r="C161" s="43">
        <v>94.24943236306278</v>
      </c>
      <c r="D161" s="18">
        <f t="shared" si="1"/>
        <v>95</v>
      </c>
      <c r="E161" s="43">
        <v>64.01735875618968</v>
      </c>
    </row>
    <row r="162" spans="2:5" x14ac:dyDescent="0.55000000000000004">
      <c r="B162" s="18">
        <v>96</v>
      </c>
      <c r="C162" s="43">
        <v>89.154592297060304</v>
      </c>
      <c r="D162" s="18">
        <f t="shared" si="1"/>
        <v>96</v>
      </c>
      <c r="E162" s="43">
        <v>51.69351294430529</v>
      </c>
    </row>
    <row r="163" spans="2:5" x14ac:dyDescent="0.55000000000000004">
      <c r="B163" s="18">
        <v>97</v>
      </c>
      <c r="C163" s="43">
        <v>88.04425142378237</v>
      </c>
      <c r="D163" s="18">
        <f t="shared" si="1"/>
        <v>97</v>
      </c>
      <c r="E163" s="43">
        <v>287.32023763949127</v>
      </c>
    </row>
    <row r="164" spans="2:5" x14ac:dyDescent="0.55000000000000004">
      <c r="B164" s="18">
        <v>98</v>
      </c>
      <c r="C164" s="43">
        <v>113.88938952342998</v>
      </c>
      <c r="D164" s="18">
        <f t="shared" si="1"/>
        <v>98</v>
      </c>
      <c r="E164" s="43">
        <v>-295.76873219091897</v>
      </c>
    </row>
    <row r="165" spans="2:5" x14ac:dyDescent="0.55000000000000004">
      <c r="B165" s="18">
        <v>99</v>
      </c>
      <c r="C165" s="43">
        <v>111.56224169971559</v>
      </c>
      <c r="D165" s="18">
        <f t="shared" si="1"/>
        <v>99</v>
      </c>
      <c r="E165" s="43">
        <v>-44.732436930515775</v>
      </c>
    </row>
    <row r="166" spans="2:5" x14ac:dyDescent="0.55000000000000004">
      <c r="B166" s="18">
        <v>100</v>
      </c>
      <c r="C166" s="43">
        <v>103.5552884136786</v>
      </c>
      <c r="D166" s="18">
        <f t="shared" si="1"/>
        <v>100</v>
      </c>
      <c r="E166" s="43">
        <v>142.35772365974753</v>
      </c>
    </row>
    <row r="167" spans="2:5" x14ac:dyDescent="0.55000000000000004">
      <c r="B167" s="18">
        <v>101</v>
      </c>
      <c r="C167" s="43">
        <v>106.13366261458359</v>
      </c>
      <c r="D167" s="18">
        <f t="shared" si="1"/>
        <v>101</v>
      </c>
      <c r="E167" s="43">
        <v>296.81258493186158</v>
      </c>
    </row>
    <row r="168" spans="2:5" x14ac:dyDescent="0.55000000000000004">
      <c r="B168" s="18">
        <v>102</v>
      </c>
      <c r="C168" s="43">
        <v>13.277229042644709</v>
      </c>
      <c r="D168" s="18">
        <f t="shared" si="1"/>
        <v>102</v>
      </c>
      <c r="E168" s="43">
        <v>217.7061560336812</v>
      </c>
    </row>
    <row r="169" spans="2:5" x14ac:dyDescent="0.55000000000000004">
      <c r="B169" s="18">
        <v>103</v>
      </c>
      <c r="C169" s="43">
        <v>58.862728808935024</v>
      </c>
      <c r="D169" s="18">
        <f t="shared" si="1"/>
        <v>103</v>
      </c>
      <c r="E169" s="43">
        <v>198.67039466384227</v>
      </c>
    </row>
    <row r="170" spans="2:5" x14ac:dyDescent="0.55000000000000004">
      <c r="B170" s="18">
        <v>104</v>
      </c>
      <c r="C170" s="43">
        <v>91.147298287732838</v>
      </c>
      <c r="D170" s="18">
        <f t="shared" si="1"/>
        <v>104</v>
      </c>
      <c r="E170" s="43">
        <v>147.97819064009269</v>
      </c>
    </row>
    <row r="171" spans="2:5" x14ac:dyDescent="0.55000000000000004">
      <c r="B171" s="18">
        <v>105</v>
      </c>
      <c r="C171" s="43">
        <v>147.43935037631735</v>
      </c>
      <c r="D171" s="18">
        <f t="shared" si="1"/>
        <v>105</v>
      </c>
      <c r="E171" s="43">
        <v>180.40488488806773</v>
      </c>
    </row>
    <row r="172" spans="2:5" x14ac:dyDescent="0.55000000000000004">
      <c r="B172" s="18">
        <v>106</v>
      </c>
      <c r="C172" s="43">
        <v>212.12950563402256</v>
      </c>
      <c r="D172" s="18">
        <f t="shared" si="1"/>
        <v>106</v>
      </c>
      <c r="E172" s="43">
        <v>270.32068544985452</v>
      </c>
    </row>
    <row r="173" spans="2:5" x14ac:dyDescent="0.55000000000000004">
      <c r="B173" s="18">
        <v>107</v>
      </c>
      <c r="C173" s="43">
        <v>118.70316263558205</v>
      </c>
      <c r="D173" s="18">
        <f t="shared" si="1"/>
        <v>107</v>
      </c>
      <c r="E173" s="43">
        <v>296.97136009251921</v>
      </c>
    </row>
    <row r="174" spans="2:5" x14ac:dyDescent="0.55000000000000004">
      <c r="B174" s="18">
        <v>108</v>
      </c>
      <c r="C174" s="43">
        <v>-36.848543300452761</v>
      </c>
      <c r="D174" s="18">
        <f t="shared" si="1"/>
        <v>108</v>
      </c>
      <c r="E174" s="43">
        <v>169.45907649060194</v>
      </c>
    </row>
    <row r="175" spans="2:5" x14ac:dyDescent="0.55000000000000004">
      <c r="B175" s="18">
        <v>109</v>
      </c>
      <c r="C175" s="43">
        <v>172.41817210324731</v>
      </c>
      <c r="D175" s="18">
        <f t="shared" si="1"/>
        <v>109</v>
      </c>
      <c r="E175" s="43">
        <v>-9.2084139733950092</v>
      </c>
    </row>
    <row r="176" spans="2:5" x14ac:dyDescent="0.55000000000000004">
      <c r="B176" s="18">
        <v>110</v>
      </c>
      <c r="C176" s="43">
        <v>54.995088105146088</v>
      </c>
      <c r="D176" s="18">
        <f t="shared" si="1"/>
        <v>110</v>
      </c>
      <c r="E176" s="43">
        <v>12.446276255783786</v>
      </c>
    </row>
    <row r="177" spans="2:5" x14ac:dyDescent="0.55000000000000004">
      <c r="B177" s="18">
        <v>111</v>
      </c>
      <c r="C177" s="43">
        <v>142.68321470692871</v>
      </c>
      <c r="D177" s="18">
        <f t="shared" si="1"/>
        <v>111</v>
      </c>
      <c r="E177" s="43">
        <v>68.499836774800059</v>
      </c>
    </row>
    <row r="178" spans="2:5" x14ac:dyDescent="0.55000000000000004">
      <c r="B178" s="18">
        <v>112</v>
      </c>
      <c r="C178" s="43">
        <v>92.01198173579489</v>
      </c>
      <c r="D178" s="18">
        <f t="shared" si="1"/>
        <v>112</v>
      </c>
      <c r="E178" s="43">
        <v>220.2750990053683</v>
      </c>
    </row>
    <row r="179" spans="2:5" x14ac:dyDescent="0.55000000000000004">
      <c r="B179" s="18">
        <v>113</v>
      </c>
      <c r="C179" s="43">
        <v>-185.18284461094913</v>
      </c>
      <c r="D179" s="18">
        <f t="shared" si="1"/>
        <v>113</v>
      </c>
      <c r="E179" s="43">
        <v>15.220665483591969</v>
      </c>
    </row>
    <row r="180" spans="2:5" x14ac:dyDescent="0.55000000000000004">
      <c r="B180" s="18">
        <v>114</v>
      </c>
      <c r="C180" s="43">
        <v>6.7663242639972569</v>
      </c>
      <c r="D180" s="18">
        <f t="shared" si="1"/>
        <v>114</v>
      </c>
      <c r="E180" s="43">
        <v>11.597631142444698</v>
      </c>
    </row>
    <row r="181" spans="2:5" x14ac:dyDescent="0.55000000000000004">
      <c r="B181" s="18">
        <v>115</v>
      </c>
      <c r="C181" s="43">
        <v>127.10941309223593</v>
      </c>
      <c r="D181" s="18">
        <f t="shared" si="1"/>
        <v>115</v>
      </c>
      <c r="E181" s="43">
        <v>586.4056084611799</v>
      </c>
    </row>
    <row r="182" spans="2:5" x14ac:dyDescent="0.55000000000000004">
      <c r="B182" s="18">
        <v>116</v>
      </c>
      <c r="C182" s="43">
        <v>99.502465239357065</v>
      </c>
      <c r="D182" s="18">
        <f t="shared" si="1"/>
        <v>116</v>
      </c>
      <c r="E182" s="43">
        <v>144.29015079978529</v>
      </c>
    </row>
    <row r="183" spans="2:5" x14ac:dyDescent="0.55000000000000004">
      <c r="B183" s="18">
        <v>117</v>
      </c>
      <c r="C183" s="43">
        <v>101.83091469141179</v>
      </c>
      <c r="D183" s="18">
        <f t="shared" si="1"/>
        <v>117</v>
      </c>
      <c r="E183" s="43">
        <v>-88.175226612093297</v>
      </c>
    </row>
    <row r="184" spans="2:5" x14ac:dyDescent="0.55000000000000004">
      <c r="B184" s="18">
        <v>118</v>
      </c>
      <c r="C184" s="43">
        <v>28.916249971987121</v>
      </c>
      <c r="D184" s="18">
        <f t="shared" si="1"/>
        <v>118</v>
      </c>
      <c r="E184" s="43">
        <v>45.021225871256242</v>
      </c>
    </row>
    <row r="185" spans="2:5" x14ac:dyDescent="0.55000000000000004">
      <c r="B185" s="18">
        <v>119</v>
      </c>
      <c r="C185" s="43">
        <v>132.32273576623092</v>
      </c>
      <c r="D185" s="18">
        <f t="shared" si="1"/>
        <v>119</v>
      </c>
      <c r="E185" s="43">
        <v>179.43378290200087</v>
      </c>
    </row>
    <row r="186" spans="2:5" x14ac:dyDescent="0.55000000000000004">
      <c r="B186" s="18">
        <v>120</v>
      </c>
      <c r="C186" s="43">
        <v>34.652350010075011</v>
      </c>
      <c r="D186" s="18">
        <f t="shared" si="1"/>
        <v>120</v>
      </c>
      <c r="E186" s="43">
        <v>-45.957450971119684</v>
      </c>
    </row>
    <row r="187" spans="2:5" x14ac:dyDescent="0.55000000000000004">
      <c r="B187" s="18">
        <v>121</v>
      </c>
      <c r="C187" s="43">
        <v>58.06064230502993</v>
      </c>
      <c r="D187" s="18">
        <f t="shared" si="1"/>
        <v>121</v>
      </c>
      <c r="E187" s="43">
        <v>206.54393156507723</v>
      </c>
    </row>
    <row r="188" spans="2:5" x14ac:dyDescent="0.55000000000000004">
      <c r="B188" s="18">
        <v>122</v>
      </c>
      <c r="C188" s="43">
        <v>116.14166250839102</v>
      </c>
      <c r="D188" s="18">
        <f t="shared" si="1"/>
        <v>122</v>
      </c>
      <c r="E188" s="43">
        <v>281.48692776014218</v>
      </c>
    </row>
    <row r="189" spans="2:5" x14ac:dyDescent="0.55000000000000004">
      <c r="B189" s="18">
        <v>123</v>
      </c>
      <c r="C189" s="43">
        <v>126.8997029283375</v>
      </c>
      <c r="D189" s="18">
        <f t="shared" si="1"/>
        <v>123</v>
      </c>
      <c r="E189" s="43">
        <v>123.85037601521267</v>
      </c>
    </row>
    <row r="190" spans="2:5" x14ac:dyDescent="0.55000000000000004">
      <c r="B190" s="18">
        <v>124</v>
      </c>
      <c r="C190" s="43">
        <v>156.87994341719801</v>
      </c>
      <c r="D190" s="18">
        <f t="shared" si="1"/>
        <v>124</v>
      </c>
      <c r="E190" s="43">
        <v>238.24113312768637</v>
      </c>
    </row>
    <row r="191" spans="2:5" x14ac:dyDescent="0.55000000000000004">
      <c r="B191" s="18">
        <v>125</v>
      </c>
      <c r="C191" s="43">
        <v>118.31705427480151</v>
      </c>
      <c r="D191" s="18">
        <f t="shared" si="1"/>
        <v>125</v>
      </c>
      <c r="E191" s="43">
        <v>253.76437634390194</v>
      </c>
    </row>
    <row r="192" spans="2:5" x14ac:dyDescent="0.55000000000000004">
      <c r="B192" s="18">
        <v>126</v>
      </c>
      <c r="C192" s="43">
        <v>131.96018372246391</v>
      </c>
      <c r="D192" s="18">
        <f t="shared" si="1"/>
        <v>126</v>
      </c>
      <c r="E192" s="43">
        <v>176.41374565843788</v>
      </c>
    </row>
    <row r="193" spans="2:5" x14ac:dyDescent="0.55000000000000004">
      <c r="B193" s="18">
        <v>127</v>
      </c>
      <c r="C193" s="43">
        <v>-3.1941915790041229</v>
      </c>
      <c r="D193" s="18">
        <f t="shared" si="1"/>
        <v>127</v>
      </c>
      <c r="E193" s="43">
        <v>386.50071634640767</v>
      </c>
    </row>
    <row r="194" spans="2:5" x14ac:dyDescent="0.55000000000000004">
      <c r="B194" s="18">
        <v>128</v>
      </c>
      <c r="C194" s="43">
        <v>88.155871114627786</v>
      </c>
      <c r="D194" s="18">
        <f t="shared" si="1"/>
        <v>128</v>
      </c>
      <c r="E194" s="43">
        <v>-117.31330729834899</v>
      </c>
    </row>
    <row r="195" spans="2:5" x14ac:dyDescent="0.55000000000000004">
      <c r="B195" s="18">
        <v>129</v>
      </c>
      <c r="C195" s="43">
        <v>89.078685347939725</v>
      </c>
      <c r="D195" s="18">
        <f t="shared" si="1"/>
        <v>129</v>
      </c>
      <c r="E195" s="43">
        <v>173.37468555261589</v>
      </c>
    </row>
    <row r="196" spans="2:5" x14ac:dyDescent="0.55000000000000004">
      <c r="B196" s="18">
        <v>130</v>
      </c>
      <c r="C196" s="43">
        <v>111.69835874447502</v>
      </c>
      <c r="D196" s="18">
        <f t="shared" si="1"/>
        <v>130</v>
      </c>
      <c r="E196" s="43">
        <v>-129.21582220165732</v>
      </c>
    </row>
    <row r="197" spans="2:5" x14ac:dyDescent="0.55000000000000004">
      <c r="B197" s="18">
        <v>131</v>
      </c>
      <c r="C197" s="43">
        <v>-61.980710893414333</v>
      </c>
      <c r="D197" s="18">
        <f t="shared" ref="D197:D260" si="2">B197</f>
        <v>131</v>
      </c>
      <c r="E197" s="43">
        <v>354.43560070981096</v>
      </c>
    </row>
    <row r="198" spans="2:5" x14ac:dyDescent="0.55000000000000004">
      <c r="B198" s="18">
        <v>132</v>
      </c>
      <c r="C198" s="43">
        <v>7.6546207663244035</v>
      </c>
      <c r="D198" s="18">
        <f t="shared" si="2"/>
        <v>132</v>
      </c>
      <c r="E198" s="43">
        <v>330.21303242412756</v>
      </c>
    </row>
    <row r="199" spans="2:5" x14ac:dyDescent="0.55000000000000004">
      <c r="B199" s="18">
        <v>133</v>
      </c>
      <c r="C199" s="43">
        <v>148.30244071624185</v>
      </c>
      <c r="D199" s="18">
        <f t="shared" si="2"/>
        <v>133</v>
      </c>
      <c r="E199" s="43">
        <v>398.23502943377082</v>
      </c>
    </row>
    <row r="200" spans="2:5" x14ac:dyDescent="0.55000000000000004">
      <c r="B200" s="18">
        <v>134</v>
      </c>
      <c r="C200" s="43">
        <v>103.83132310843079</v>
      </c>
      <c r="D200" s="18">
        <f t="shared" si="2"/>
        <v>134</v>
      </c>
      <c r="E200" s="43">
        <v>92.503662835486935</v>
      </c>
    </row>
    <row r="201" spans="2:5" x14ac:dyDescent="0.55000000000000004">
      <c r="B201" s="18">
        <v>135</v>
      </c>
      <c r="C201" s="43">
        <v>59.26324151656263</v>
      </c>
      <c r="D201" s="18">
        <f t="shared" si="2"/>
        <v>135</v>
      </c>
      <c r="E201" s="43">
        <v>82.401118052539871</v>
      </c>
    </row>
    <row r="202" spans="2:5" x14ac:dyDescent="0.55000000000000004">
      <c r="B202" s="18">
        <v>136</v>
      </c>
      <c r="C202" s="43">
        <v>71.372732096730843</v>
      </c>
      <c r="D202" s="18">
        <f t="shared" si="2"/>
        <v>136</v>
      </c>
      <c r="E202" s="43">
        <v>219.61034269797727</v>
      </c>
    </row>
    <row r="203" spans="2:5" x14ac:dyDescent="0.55000000000000004">
      <c r="B203" s="18">
        <v>137</v>
      </c>
      <c r="C203" s="43">
        <v>213.75066517436508</v>
      </c>
      <c r="D203" s="18">
        <f t="shared" si="2"/>
        <v>137</v>
      </c>
      <c r="E203" s="43">
        <v>314.77996420123463</v>
      </c>
    </row>
    <row r="204" spans="2:5" x14ac:dyDescent="0.55000000000000004">
      <c r="B204" s="18">
        <v>138</v>
      </c>
      <c r="C204" s="43">
        <v>295.68703614238933</v>
      </c>
      <c r="D204" s="18">
        <f t="shared" si="2"/>
        <v>138</v>
      </c>
      <c r="E204" s="43">
        <v>63.005215644784684</v>
      </c>
    </row>
    <row r="205" spans="2:5" x14ac:dyDescent="0.55000000000000004">
      <c r="B205" s="18">
        <v>139</v>
      </c>
      <c r="C205" s="43">
        <v>12.419879721807629</v>
      </c>
      <c r="D205" s="18">
        <f t="shared" si="2"/>
        <v>139</v>
      </c>
      <c r="E205" s="43">
        <v>-91.28017564718732</v>
      </c>
    </row>
    <row r="206" spans="2:5" x14ac:dyDescent="0.55000000000000004">
      <c r="B206" s="18">
        <v>140</v>
      </c>
      <c r="C206" s="43">
        <v>121.75839480956503</v>
      </c>
      <c r="D206" s="18">
        <f t="shared" si="2"/>
        <v>140</v>
      </c>
      <c r="E206" s="43">
        <v>43.710120755323381</v>
      </c>
    </row>
    <row r="207" spans="2:5" x14ac:dyDescent="0.55000000000000004">
      <c r="B207" s="18">
        <v>141</v>
      </c>
      <c r="C207" s="43">
        <v>127.88726570256995</v>
      </c>
      <c r="D207" s="18">
        <f t="shared" si="2"/>
        <v>141</v>
      </c>
      <c r="E207" s="43">
        <v>7.553260286208979</v>
      </c>
    </row>
    <row r="208" spans="2:5" x14ac:dyDescent="0.55000000000000004">
      <c r="B208" s="18">
        <v>142</v>
      </c>
      <c r="C208" s="43">
        <v>67.493058871512403</v>
      </c>
      <c r="D208" s="18">
        <f t="shared" si="2"/>
        <v>142</v>
      </c>
      <c r="E208" s="43">
        <v>273.92853791523817</v>
      </c>
    </row>
    <row r="209" spans="2:5" x14ac:dyDescent="0.55000000000000004">
      <c r="B209" s="18">
        <v>143</v>
      </c>
      <c r="C209" s="43">
        <v>86.954811081093482</v>
      </c>
      <c r="D209" s="18">
        <f t="shared" si="2"/>
        <v>143</v>
      </c>
      <c r="E209" s="43">
        <v>43.494832075036911</v>
      </c>
    </row>
    <row r="210" spans="2:5" x14ac:dyDescent="0.55000000000000004">
      <c r="B210" s="18">
        <v>144</v>
      </c>
      <c r="C210" s="43">
        <v>115.15682208712494</v>
      </c>
      <c r="D210" s="18">
        <f t="shared" si="2"/>
        <v>144</v>
      </c>
      <c r="E210" s="43">
        <v>292.18750668643156</v>
      </c>
    </row>
    <row r="211" spans="2:5" x14ac:dyDescent="0.55000000000000004">
      <c r="B211" s="18">
        <v>145</v>
      </c>
      <c r="C211" s="43">
        <v>-42.664057005279645</v>
      </c>
      <c r="D211" s="18">
        <f t="shared" si="2"/>
        <v>145</v>
      </c>
      <c r="E211" s="43">
        <v>147.97684839475994</v>
      </c>
    </row>
    <row r="212" spans="2:5" x14ac:dyDescent="0.55000000000000004">
      <c r="B212" s="18">
        <v>146</v>
      </c>
      <c r="C212" s="43">
        <v>80.29076287382739</v>
      </c>
      <c r="D212" s="18">
        <f t="shared" si="2"/>
        <v>146</v>
      </c>
      <c r="E212" s="43">
        <v>221.53193824195924</v>
      </c>
    </row>
    <row r="213" spans="2:5" x14ac:dyDescent="0.55000000000000004">
      <c r="B213" s="18">
        <v>147</v>
      </c>
      <c r="C213" s="43">
        <v>108.98497069411899</v>
      </c>
      <c r="D213" s="18">
        <f t="shared" si="2"/>
        <v>147</v>
      </c>
      <c r="E213" s="43">
        <v>140.06430757222893</v>
      </c>
    </row>
    <row r="214" spans="2:5" x14ac:dyDescent="0.55000000000000004">
      <c r="B214" s="18">
        <v>148</v>
      </c>
      <c r="C214" s="43">
        <v>105.52583938232121</v>
      </c>
      <c r="D214" s="18">
        <f t="shared" si="2"/>
        <v>148</v>
      </c>
      <c r="E214" s="43">
        <v>56.698621133453514</v>
      </c>
    </row>
    <row r="215" spans="2:5" x14ac:dyDescent="0.55000000000000004">
      <c r="B215" s="18">
        <v>149</v>
      </c>
      <c r="C215" s="43">
        <v>62.359847604965466</v>
      </c>
      <c r="D215" s="18">
        <f t="shared" si="2"/>
        <v>149</v>
      </c>
      <c r="E215" s="43">
        <v>5.6053472968148528</v>
      </c>
    </row>
    <row r="216" spans="2:5" x14ac:dyDescent="0.55000000000000004">
      <c r="B216" s="18">
        <v>150</v>
      </c>
      <c r="C216" s="43">
        <v>164.09529335044036</v>
      </c>
      <c r="D216" s="18">
        <f t="shared" si="2"/>
        <v>150</v>
      </c>
      <c r="E216" s="43">
        <v>35.879000951950431</v>
      </c>
    </row>
    <row r="217" spans="2:5" x14ac:dyDescent="0.55000000000000004">
      <c r="B217" s="18">
        <v>151</v>
      </c>
      <c r="C217" s="43">
        <v>69.737519091153345</v>
      </c>
      <c r="D217" s="18">
        <f t="shared" si="2"/>
        <v>151</v>
      </c>
      <c r="E217" s="43">
        <v>353.28703478896068</v>
      </c>
    </row>
    <row r="218" spans="2:5" x14ac:dyDescent="0.55000000000000004">
      <c r="B218" s="18">
        <v>152</v>
      </c>
      <c r="C218" s="43">
        <v>108.4276777751259</v>
      </c>
      <c r="D218" s="18">
        <f t="shared" si="2"/>
        <v>152</v>
      </c>
      <c r="E218" s="43">
        <v>319.26137174484529</v>
      </c>
    </row>
    <row r="219" spans="2:5" x14ac:dyDescent="0.55000000000000004">
      <c r="B219" s="18">
        <v>153</v>
      </c>
      <c r="C219" s="43">
        <v>26.239551377063929</v>
      </c>
      <c r="D219" s="18">
        <f t="shared" si="2"/>
        <v>153</v>
      </c>
      <c r="E219" s="43">
        <v>203.86074833059482</v>
      </c>
    </row>
    <row r="220" spans="2:5" x14ac:dyDescent="0.55000000000000004">
      <c r="B220" s="18">
        <v>154</v>
      </c>
      <c r="C220" s="43">
        <v>137.2772145677099</v>
      </c>
      <c r="D220" s="18">
        <f t="shared" si="2"/>
        <v>154</v>
      </c>
      <c r="E220" s="43">
        <v>73.114364221143177</v>
      </c>
    </row>
    <row r="221" spans="2:5" x14ac:dyDescent="0.55000000000000004">
      <c r="B221" s="18">
        <v>155</v>
      </c>
      <c r="C221" s="43">
        <v>163.64501641744656</v>
      </c>
      <c r="D221" s="18">
        <f t="shared" si="2"/>
        <v>155</v>
      </c>
      <c r="E221" s="43">
        <v>149.8576818202074</v>
      </c>
    </row>
    <row r="222" spans="2:5" x14ac:dyDescent="0.55000000000000004">
      <c r="B222" s="18">
        <v>156</v>
      </c>
      <c r="C222" s="43">
        <v>156.22805133247698</v>
      </c>
      <c r="D222" s="18">
        <f t="shared" si="2"/>
        <v>156</v>
      </c>
      <c r="E222" s="43">
        <v>355.36304755725621</v>
      </c>
    </row>
    <row r="223" spans="2:5" x14ac:dyDescent="0.55000000000000004">
      <c r="B223" s="18">
        <v>157</v>
      </c>
      <c r="C223" s="43">
        <v>81.671315540016153</v>
      </c>
      <c r="D223" s="18">
        <f t="shared" si="2"/>
        <v>157</v>
      </c>
      <c r="E223" s="43">
        <v>-3.706502953900138</v>
      </c>
    </row>
    <row r="224" spans="2:5" x14ac:dyDescent="0.55000000000000004">
      <c r="B224" s="18">
        <v>158</v>
      </c>
      <c r="C224" s="43">
        <v>103.6413381170709</v>
      </c>
      <c r="D224" s="18">
        <f t="shared" si="2"/>
        <v>158</v>
      </c>
      <c r="E224" s="43">
        <v>114.56455418670976</v>
      </c>
    </row>
    <row r="225" spans="2:5" x14ac:dyDescent="0.55000000000000004">
      <c r="B225" s="18">
        <v>159</v>
      </c>
      <c r="C225" s="43">
        <v>90.877624651743858</v>
      </c>
      <c r="D225" s="18">
        <f t="shared" si="2"/>
        <v>159</v>
      </c>
      <c r="E225" s="43">
        <v>289.82456213679495</v>
      </c>
    </row>
    <row r="226" spans="2:5" x14ac:dyDescent="0.55000000000000004">
      <c r="B226" s="18">
        <v>160</v>
      </c>
      <c r="C226" s="43">
        <v>72.526875581444642</v>
      </c>
      <c r="D226" s="18">
        <f t="shared" si="2"/>
        <v>160</v>
      </c>
      <c r="E226" s="43">
        <v>85.373985431227453</v>
      </c>
    </row>
    <row r="227" spans="2:5" x14ac:dyDescent="0.55000000000000004">
      <c r="B227" s="18">
        <v>161</v>
      </c>
      <c r="C227" s="43">
        <v>71.965222162371958</v>
      </c>
      <c r="D227" s="18">
        <f t="shared" si="2"/>
        <v>161</v>
      </c>
      <c r="E227" s="43">
        <v>-149.77432735256781</v>
      </c>
    </row>
    <row r="228" spans="2:5" x14ac:dyDescent="0.55000000000000004">
      <c r="B228" s="18">
        <v>162</v>
      </c>
      <c r="C228" s="43">
        <v>126.08697572276955</v>
      </c>
      <c r="D228" s="18">
        <f t="shared" si="2"/>
        <v>162</v>
      </c>
      <c r="E228" s="43">
        <v>314.04001140612854</v>
      </c>
    </row>
    <row r="229" spans="2:5" x14ac:dyDescent="0.55000000000000004">
      <c r="B229" s="18">
        <v>163</v>
      </c>
      <c r="C229" s="43">
        <v>48.367826860039017</v>
      </c>
      <c r="D229" s="18">
        <f t="shared" si="2"/>
        <v>163</v>
      </c>
      <c r="E229" s="43">
        <v>110.21463163215751</v>
      </c>
    </row>
    <row r="230" spans="2:5" x14ac:dyDescent="0.55000000000000004">
      <c r="B230" s="18">
        <v>164</v>
      </c>
      <c r="C230" s="43">
        <v>134.62044572778476</v>
      </c>
      <c r="D230" s="18">
        <f t="shared" si="2"/>
        <v>164</v>
      </c>
      <c r="E230" s="43">
        <v>78.871425425561</v>
      </c>
    </row>
    <row r="231" spans="2:5" x14ac:dyDescent="0.55000000000000004">
      <c r="B231" s="18">
        <v>165</v>
      </c>
      <c r="C231" s="43">
        <v>136.91814798942625</v>
      </c>
      <c r="D231" s="18">
        <f t="shared" si="2"/>
        <v>165</v>
      </c>
      <c r="E231" s="43">
        <v>130.76145770675146</v>
      </c>
    </row>
    <row r="232" spans="2:5" x14ac:dyDescent="0.55000000000000004">
      <c r="B232" s="18">
        <v>166</v>
      </c>
      <c r="C232" s="43">
        <v>124.70683979660339</v>
      </c>
      <c r="D232" s="18">
        <f t="shared" si="2"/>
        <v>166</v>
      </c>
      <c r="E232" s="43">
        <v>102.42932997369476</v>
      </c>
    </row>
    <row r="233" spans="2:5" x14ac:dyDescent="0.55000000000000004">
      <c r="B233" s="18">
        <v>167</v>
      </c>
      <c r="C233" s="43">
        <v>70.876779301913572</v>
      </c>
      <c r="D233" s="18">
        <f t="shared" si="2"/>
        <v>167</v>
      </c>
      <c r="E233" s="43">
        <v>152.9670051767271</v>
      </c>
    </row>
    <row r="234" spans="2:5" x14ac:dyDescent="0.55000000000000004">
      <c r="B234" s="18">
        <v>168</v>
      </c>
      <c r="C234" s="43">
        <v>71.620330763527136</v>
      </c>
      <c r="D234" s="18">
        <f t="shared" si="2"/>
        <v>168</v>
      </c>
      <c r="E234" s="43">
        <v>572.7791174711258</v>
      </c>
    </row>
    <row r="235" spans="2:5" x14ac:dyDescent="0.55000000000000004">
      <c r="B235" s="18">
        <v>169</v>
      </c>
      <c r="C235" s="43">
        <v>127.02564720902701</v>
      </c>
      <c r="D235" s="18">
        <f t="shared" si="2"/>
        <v>169</v>
      </c>
      <c r="E235" s="43">
        <v>30.055441388962532</v>
      </c>
    </row>
    <row r="236" spans="2:5" x14ac:dyDescent="0.55000000000000004">
      <c r="B236" s="18">
        <v>170</v>
      </c>
      <c r="C236" s="43">
        <v>-5.8681339370431322</v>
      </c>
      <c r="D236" s="18">
        <f t="shared" si="2"/>
        <v>170</v>
      </c>
      <c r="E236" s="43">
        <v>54.617108935648652</v>
      </c>
    </row>
    <row r="237" spans="2:5" x14ac:dyDescent="0.55000000000000004">
      <c r="B237" s="18">
        <v>171</v>
      </c>
      <c r="C237" s="43">
        <v>90.244086167317818</v>
      </c>
      <c r="D237" s="18">
        <f t="shared" si="2"/>
        <v>171</v>
      </c>
      <c r="E237" s="43">
        <v>121.20978850147685</v>
      </c>
    </row>
    <row r="238" spans="2:5" x14ac:dyDescent="0.55000000000000004">
      <c r="B238" s="18">
        <v>172</v>
      </c>
      <c r="C238" s="43">
        <v>-94.487071626292561</v>
      </c>
      <c r="D238" s="18">
        <f t="shared" si="2"/>
        <v>172</v>
      </c>
      <c r="E238" s="43">
        <v>226.95504831054708</v>
      </c>
    </row>
    <row r="239" spans="2:5" x14ac:dyDescent="0.55000000000000004">
      <c r="B239" s="18">
        <v>173</v>
      </c>
      <c r="C239" s="43">
        <v>128.42697774366295</v>
      </c>
      <c r="D239" s="18">
        <f t="shared" si="2"/>
        <v>173</v>
      </c>
      <c r="E239" s="43">
        <v>284.88567191729635</v>
      </c>
    </row>
    <row r="240" spans="2:5" x14ac:dyDescent="0.55000000000000004">
      <c r="B240" s="18">
        <v>174</v>
      </c>
      <c r="C240" s="43">
        <v>51.007697047320661</v>
      </c>
      <c r="D240" s="18">
        <f t="shared" si="2"/>
        <v>174</v>
      </c>
      <c r="E240" s="43">
        <v>280.79109896963024</v>
      </c>
    </row>
    <row r="241" spans="2:5" x14ac:dyDescent="0.55000000000000004">
      <c r="B241" s="18">
        <v>175</v>
      </c>
      <c r="C241" s="43">
        <v>102.44191942657017</v>
      </c>
      <c r="D241" s="18">
        <f t="shared" si="2"/>
        <v>175</v>
      </c>
      <c r="E241" s="43">
        <v>-138.42496754368514</v>
      </c>
    </row>
    <row r="242" spans="2:5" x14ac:dyDescent="0.55000000000000004">
      <c r="B242" s="18">
        <v>176</v>
      </c>
      <c r="C242" s="43">
        <v>132.43403061502588</v>
      </c>
      <c r="D242" s="18">
        <f t="shared" si="2"/>
        <v>176</v>
      </c>
      <c r="E242" s="43">
        <v>58.729078406711245</v>
      </c>
    </row>
    <row r="243" spans="2:5" x14ac:dyDescent="0.55000000000000004">
      <c r="B243" s="18">
        <v>177</v>
      </c>
      <c r="C243" s="43">
        <v>137.33754662831308</v>
      </c>
      <c r="D243" s="18">
        <f t="shared" si="2"/>
        <v>177</v>
      </c>
      <c r="E243" s="43">
        <v>21.402808780055814</v>
      </c>
    </row>
    <row r="244" spans="2:5" x14ac:dyDescent="0.55000000000000004">
      <c r="B244" s="18">
        <v>178</v>
      </c>
      <c r="C244" s="43">
        <v>127.4430894657806</v>
      </c>
      <c r="D244" s="18">
        <f t="shared" si="2"/>
        <v>178</v>
      </c>
      <c r="E244" s="43">
        <v>213.71279538198888</v>
      </c>
    </row>
    <row r="245" spans="2:5" x14ac:dyDescent="0.55000000000000004">
      <c r="B245" s="18">
        <v>179</v>
      </c>
      <c r="C245" s="43">
        <v>78.690921914098539</v>
      </c>
      <c r="D245" s="18">
        <f t="shared" si="2"/>
        <v>179</v>
      </c>
      <c r="E245" s="43">
        <v>89.124129036882181</v>
      </c>
    </row>
    <row r="246" spans="2:5" x14ac:dyDescent="0.55000000000000004">
      <c r="B246" s="18">
        <v>180</v>
      </c>
      <c r="C246" s="43">
        <v>176.45581378889165</v>
      </c>
      <c r="D246" s="18">
        <f t="shared" si="2"/>
        <v>180</v>
      </c>
      <c r="E246" s="43">
        <v>339.51118591336808</v>
      </c>
    </row>
    <row r="247" spans="2:5" x14ac:dyDescent="0.55000000000000004">
      <c r="B247" s="18">
        <v>181</v>
      </c>
      <c r="C247" s="43">
        <v>-77.958904413469824</v>
      </c>
      <c r="D247" s="18">
        <f t="shared" si="2"/>
        <v>181</v>
      </c>
      <c r="E247" s="43">
        <v>212.9621651564818</v>
      </c>
    </row>
    <row r="248" spans="2:5" x14ac:dyDescent="0.55000000000000004">
      <c r="B248" s="18">
        <v>182</v>
      </c>
      <c r="C248" s="43">
        <v>27.794409383821055</v>
      </c>
      <c r="D248" s="18">
        <f t="shared" si="2"/>
        <v>182</v>
      </c>
      <c r="E248" s="43">
        <v>130.08382100405743</v>
      </c>
    </row>
    <row r="249" spans="2:5" x14ac:dyDescent="0.55000000000000004">
      <c r="B249" s="18">
        <v>183</v>
      </c>
      <c r="C249" s="43">
        <v>121.54761220515664</v>
      </c>
      <c r="D249" s="18">
        <f t="shared" si="2"/>
        <v>183</v>
      </c>
      <c r="E249" s="43">
        <v>-65.566254812655671</v>
      </c>
    </row>
    <row r="250" spans="2:5" x14ac:dyDescent="0.55000000000000004">
      <c r="B250" s="18">
        <v>184</v>
      </c>
      <c r="C250" s="43">
        <v>97.030861377297526</v>
      </c>
      <c r="D250" s="18">
        <f t="shared" si="2"/>
        <v>184</v>
      </c>
      <c r="E250" s="43">
        <v>6.8161479620524705</v>
      </c>
    </row>
    <row r="251" spans="2:5" x14ac:dyDescent="0.55000000000000004">
      <c r="B251" s="18">
        <v>185</v>
      </c>
      <c r="C251" s="43">
        <v>39.907722570320075</v>
      </c>
      <c r="D251" s="18">
        <f t="shared" si="2"/>
        <v>185</v>
      </c>
      <c r="E251" s="43">
        <v>81.493431556920626</v>
      </c>
    </row>
    <row r="252" spans="2:5" x14ac:dyDescent="0.55000000000000004">
      <c r="B252" s="18">
        <v>186</v>
      </c>
      <c r="C252" s="43">
        <v>124.28278902837437</v>
      </c>
      <c r="D252" s="18">
        <f t="shared" si="2"/>
        <v>186</v>
      </c>
      <c r="E252" s="43">
        <v>367.00913748564028</v>
      </c>
    </row>
    <row r="253" spans="2:5" x14ac:dyDescent="0.55000000000000004">
      <c r="B253" s="18">
        <v>187</v>
      </c>
      <c r="C253" s="43">
        <v>156.44247217152798</v>
      </c>
      <c r="D253" s="18">
        <f t="shared" si="2"/>
        <v>187</v>
      </c>
      <c r="E253" s="43">
        <v>-63.803171294795888</v>
      </c>
    </row>
    <row r="254" spans="2:5" x14ac:dyDescent="0.55000000000000004">
      <c r="B254" s="18">
        <v>188</v>
      </c>
      <c r="C254" s="43">
        <v>127.7923957087518</v>
      </c>
      <c r="D254" s="18">
        <f t="shared" si="2"/>
        <v>188</v>
      </c>
      <c r="E254" s="43">
        <v>205.24693346481664</v>
      </c>
    </row>
    <row r="255" spans="2:5" x14ac:dyDescent="0.55000000000000004">
      <c r="B255" s="18">
        <v>189</v>
      </c>
      <c r="C255" s="43">
        <v>70.45672933503559</v>
      </c>
      <c r="D255" s="18">
        <f t="shared" si="2"/>
        <v>189</v>
      </c>
      <c r="E255" s="43">
        <v>158.1917534082572</v>
      </c>
    </row>
    <row r="256" spans="2:5" x14ac:dyDescent="0.55000000000000004">
      <c r="B256" s="18">
        <v>190</v>
      </c>
      <c r="C256" s="43">
        <v>222.04220990684354</v>
      </c>
      <c r="D256" s="18">
        <f t="shared" si="2"/>
        <v>190</v>
      </c>
      <c r="E256" s="43">
        <v>-46.685779192782185</v>
      </c>
    </row>
    <row r="257" spans="2:5" x14ac:dyDescent="0.55000000000000004">
      <c r="B257" s="18">
        <v>191</v>
      </c>
      <c r="C257" s="43">
        <v>151.25190866576935</v>
      </c>
      <c r="D257" s="18">
        <f t="shared" si="2"/>
        <v>191</v>
      </c>
      <c r="E257" s="43">
        <v>184.21849795813887</v>
      </c>
    </row>
    <row r="258" spans="2:5" x14ac:dyDescent="0.55000000000000004">
      <c r="B258" s="18">
        <v>192</v>
      </c>
      <c r="C258" s="43">
        <v>122.07911173412444</v>
      </c>
      <c r="D258" s="18">
        <f t="shared" si="2"/>
        <v>192</v>
      </c>
      <c r="E258" s="43">
        <v>502.46501497925709</v>
      </c>
    </row>
    <row r="259" spans="2:5" x14ac:dyDescent="0.55000000000000004">
      <c r="B259" s="18">
        <v>193</v>
      </c>
      <c r="C259" s="43">
        <v>12.836420301424374</v>
      </c>
      <c r="D259" s="18">
        <f t="shared" si="2"/>
        <v>193</v>
      </c>
      <c r="E259" s="43">
        <v>319.30723213130761</v>
      </c>
    </row>
    <row r="260" spans="2:5" x14ac:dyDescent="0.55000000000000004">
      <c r="B260" s="18">
        <v>194</v>
      </c>
      <c r="C260" s="43">
        <v>135.91236490756154</v>
      </c>
      <c r="D260" s="18">
        <f t="shared" si="2"/>
        <v>194</v>
      </c>
      <c r="E260" s="43">
        <v>323.3296085606861</v>
      </c>
    </row>
    <row r="261" spans="2:5" x14ac:dyDescent="0.55000000000000004">
      <c r="B261" s="18">
        <v>195</v>
      </c>
      <c r="C261" s="43">
        <v>79.77909165170442</v>
      </c>
      <c r="D261" s="18">
        <f t="shared" ref="D261:D324" si="3">B261</f>
        <v>195</v>
      </c>
      <c r="E261" s="43">
        <v>155.49879863949948</v>
      </c>
    </row>
    <row r="262" spans="2:5" x14ac:dyDescent="0.55000000000000004">
      <c r="B262" s="18">
        <v>196</v>
      </c>
      <c r="C262" s="43">
        <v>125.20766866025073</v>
      </c>
      <c r="D262" s="18">
        <f t="shared" si="3"/>
        <v>196</v>
      </c>
      <c r="E262" s="43">
        <v>339.05257339921229</v>
      </c>
    </row>
    <row r="263" spans="2:5" x14ac:dyDescent="0.55000000000000004">
      <c r="B263" s="18">
        <v>197</v>
      </c>
      <c r="C263" s="43">
        <v>74.179539822172529</v>
      </c>
      <c r="D263" s="18">
        <f t="shared" si="3"/>
        <v>197</v>
      </c>
      <c r="E263" s="43">
        <v>258.36541300338615</v>
      </c>
    </row>
    <row r="264" spans="2:5" x14ac:dyDescent="0.55000000000000004">
      <c r="B264" s="18">
        <v>198</v>
      </c>
      <c r="C264" s="43">
        <v>88.175031874378931</v>
      </c>
      <c r="D264" s="18">
        <f t="shared" si="3"/>
        <v>198</v>
      </c>
      <c r="E264" s="43">
        <v>3.6403776666343681</v>
      </c>
    </row>
    <row r="265" spans="2:5" x14ac:dyDescent="0.55000000000000004">
      <c r="B265" s="18">
        <v>199</v>
      </c>
      <c r="C265" s="43">
        <v>118.88320807568319</v>
      </c>
      <c r="D265" s="18">
        <f t="shared" si="3"/>
        <v>199</v>
      </c>
      <c r="E265" s="43">
        <v>-27.474865896782585</v>
      </c>
    </row>
    <row r="266" spans="2:5" x14ac:dyDescent="0.55000000000000004">
      <c r="B266" s="18">
        <v>200</v>
      </c>
      <c r="C266" s="43">
        <v>159.21504423004666</v>
      </c>
      <c r="D266" s="18">
        <f t="shared" si="3"/>
        <v>200</v>
      </c>
      <c r="E266" s="43">
        <v>1.7783614676985455</v>
      </c>
    </row>
    <row r="267" spans="2:5" x14ac:dyDescent="0.55000000000000004">
      <c r="B267" s="18">
        <v>201</v>
      </c>
      <c r="C267" s="43">
        <v>122.40652183976468</v>
      </c>
      <c r="D267" s="18">
        <f t="shared" si="3"/>
        <v>201</v>
      </c>
      <c r="E267" s="43">
        <v>-1.5684366538450063</v>
      </c>
    </row>
    <row r="268" spans="2:5" x14ac:dyDescent="0.55000000000000004">
      <c r="B268" s="18">
        <v>202</v>
      </c>
      <c r="C268" s="43">
        <v>115.89511960374716</v>
      </c>
      <c r="D268" s="18">
        <f t="shared" si="3"/>
        <v>202</v>
      </c>
      <c r="E268" s="43">
        <v>87.572107392765503</v>
      </c>
    </row>
    <row r="269" spans="2:5" x14ac:dyDescent="0.55000000000000004">
      <c r="B269" s="18">
        <v>203</v>
      </c>
      <c r="C269" s="43">
        <v>99.258543404127806</v>
      </c>
      <c r="D269" s="18">
        <f t="shared" si="3"/>
        <v>203</v>
      </c>
      <c r="E269" s="43">
        <v>152.60609254995839</v>
      </c>
    </row>
    <row r="270" spans="2:5" x14ac:dyDescent="0.55000000000000004">
      <c r="B270" s="18">
        <v>204</v>
      </c>
      <c r="C270" s="43">
        <v>117.52035761107743</v>
      </c>
      <c r="D270" s="18">
        <f t="shared" si="3"/>
        <v>204</v>
      </c>
      <c r="E270" s="43">
        <v>29.341990035390218</v>
      </c>
    </row>
    <row r="271" spans="2:5" x14ac:dyDescent="0.55000000000000004">
      <c r="B271" s="18">
        <v>205</v>
      </c>
      <c r="C271" s="43">
        <v>153.10844893965117</v>
      </c>
      <c r="D271" s="18">
        <f t="shared" si="3"/>
        <v>205</v>
      </c>
      <c r="E271" s="43">
        <v>413.99489967241925</v>
      </c>
    </row>
    <row r="272" spans="2:5" x14ac:dyDescent="0.55000000000000004">
      <c r="B272" s="18">
        <v>206</v>
      </c>
      <c r="C272" s="43">
        <v>157.75967319329072</v>
      </c>
      <c r="D272" s="18">
        <f t="shared" si="3"/>
        <v>206</v>
      </c>
      <c r="E272" s="43">
        <v>189.9173633236646</v>
      </c>
    </row>
    <row r="273" spans="2:5" x14ac:dyDescent="0.55000000000000004">
      <c r="B273" s="18">
        <v>207</v>
      </c>
      <c r="C273" s="43">
        <v>149.45309911532388</v>
      </c>
      <c r="D273" s="18">
        <f t="shared" si="3"/>
        <v>207</v>
      </c>
      <c r="E273" s="43">
        <v>308.06298287384652</v>
      </c>
    </row>
    <row r="274" spans="2:5" x14ac:dyDescent="0.55000000000000004">
      <c r="B274" s="18">
        <v>208</v>
      </c>
      <c r="C274" s="43">
        <v>38.623213090555041</v>
      </c>
      <c r="D274" s="18">
        <f t="shared" si="3"/>
        <v>208</v>
      </c>
      <c r="E274" s="43">
        <v>283.9342735401882</v>
      </c>
    </row>
    <row r="275" spans="2:5" x14ac:dyDescent="0.55000000000000004">
      <c r="B275" s="18">
        <v>209</v>
      </c>
      <c r="C275" s="43">
        <v>168.13351383242565</v>
      </c>
      <c r="D275" s="18">
        <f t="shared" si="3"/>
        <v>209</v>
      </c>
      <c r="E275" s="43">
        <v>182.83197170540626</v>
      </c>
    </row>
    <row r="276" spans="2:5" x14ac:dyDescent="0.55000000000000004">
      <c r="B276" s="18">
        <v>210</v>
      </c>
      <c r="C276" s="43">
        <v>144.26254527427852</v>
      </c>
      <c r="D276" s="18">
        <f t="shared" si="3"/>
        <v>210</v>
      </c>
      <c r="E276" s="43">
        <v>188.67929986988528</v>
      </c>
    </row>
    <row r="277" spans="2:5" x14ac:dyDescent="0.55000000000000004">
      <c r="B277" s="18">
        <v>211</v>
      </c>
      <c r="C277" s="43">
        <v>144.45861541073887</v>
      </c>
      <c r="D277" s="18">
        <f t="shared" si="3"/>
        <v>211</v>
      </c>
      <c r="E277" s="43">
        <v>-190.54537996702237</v>
      </c>
    </row>
    <row r="278" spans="2:5" x14ac:dyDescent="0.55000000000000004">
      <c r="B278" s="18">
        <v>212</v>
      </c>
      <c r="C278" s="43">
        <v>142.8945754476054</v>
      </c>
      <c r="D278" s="18">
        <f t="shared" si="3"/>
        <v>212</v>
      </c>
      <c r="E278" s="43">
        <v>-19.008618993756439</v>
      </c>
    </row>
    <row r="279" spans="2:5" x14ac:dyDescent="0.55000000000000004">
      <c r="B279" s="18">
        <v>213</v>
      </c>
      <c r="C279" s="43">
        <v>142.09626919793806</v>
      </c>
      <c r="D279" s="18">
        <f t="shared" si="3"/>
        <v>213</v>
      </c>
      <c r="E279" s="43">
        <v>39.303620340119267</v>
      </c>
    </row>
    <row r="280" spans="2:5" x14ac:dyDescent="0.55000000000000004">
      <c r="B280" s="18">
        <v>214</v>
      </c>
      <c r="C280" s="43">
        <v>147.76693995961523</v>
      </c>
      <c r="D280" s="18">
        <f t="shared" si="3"/>
        <v>214</v>
      </c>
      <c r="E280" s="43">
        <v>97.131397257701011</v>
      </c>
    </row>
    <row r="281" spans="2:5" x14ac:dyDescent="0.55000000000000004">
      <c r="B281" s="18">
        <v>215</v>
      </c>
      <c r="C281" s="43">
        <v>37.608457343102081</v>
      </c>
      <c r="D281" s="18">
        <f t="shared" si="3"/>
        <v>215</v>
      </c>
      <c r="E281" s="43">
        <v>-191.52860881605903</v>
      </c>
    </row>
    <row r="282" spans="2:5" x14ac:dyDescent="0.55000000000000004">
      <c r="B282" s="18">
        <v>216</v>
      </c>
      <c r="C282" s="43">
        <v>94.847324982833669</v>
      </c>
      <c r="D282" s="18">
        <f t="shared" si="3"/>
        <v>216</v>
      </c>
      <c r="E282" s="43">
        <v>63.062602420411487</v>
      </c>
    </row>
    <row r="283" spans="2:5" x14ac:dyDescent="0.55000000000000004">
      <c r="B283" s="18">
        <v>217</v>
      </c>
      <c r="C283" s="43">
        <v>160.01275964994915</v>
      </c>
      <c r="D283" s="18">
        <f t="shared" si="3"/>
        <v>217</v>
      </c>
      <c r="E283" s="43">
        <v>192.7536303401001</v>
      </c>
    </row>
    <row r="284" spans="2:5" x14ac:dyDescent="0.55000000000000004">
      <c r="B284" s="18">
        <v>218</v>
      </c>
      <c r="C284" s="43">
        <v>139.23312262676561</v>
      </c>
      <c r="D284" s="18">
        <f t="shared" si="3"/>
        <v>218</v>
      </c>
      <c r="E284" s="43">
        <v>217.23119995603261</v>
      </c>
    </row>
    <row r="285" spans="2:5" x14ac:dyDescent="0.55000000000000004">
      <c r="B285" s="18">
        <v>219</v>
      </c>
      <c r="C285" s="43">
        <v>71.807851016146259</v>
      </c>
      <c r="D285" s="18">
        <f t="shared" si="3"/>
        <v>219</v>
      </c>
      <c r="E285" s="43">
        <v>216.9617427719698</v>
      </c>
    </row>
    <row r="286" spans="2:5" x14ac:dyDescent="0.55000000000000004">
      <c r="B286" s="18">
        <v>220</v>
      </c>
      <c r="C286" s="43">
        <v>154.23087005963959</v>
      </c>
      <c r="D286" s="18">
        <f t="shared" si="3"/>
        <v>220</v>
      </c>
      <c r="E286" s="43">
        <v>276.53951778629681</v>
      </c>
    </row>
    <row r="287" spans="2:5" x14ac:dyDescent="0.55000000000000004">
      <c r="B287" s="18">
        <v>221</v>
      </c>
      <c r="C287" s="43">
        <v>124.15753473923535</v>
      </c>
      <c r="D287" s="18">
        <f t="shared" si="3"/>
        <v>221</v>
      </c>
      <c r="E287" s="43">
        <v>249.23307888767621</v>
      </c>
    </row>
    <row r="288" spans="2:5" x14ac:dyDescent="0.55000000000000004">
      <c r="B288" s="18">
        <v>222</v>
      </c>
      <c r="C288" s="43">
        <v>149.06684827996395</v>
      </c>
      <c r="D288" s="18">
        <f t="shared" si="3"/>
        <v>222</v>
      </c>
      <c r="E288" s="43">
        <v>230.31011506961607</v>
      </c>
    </row>
    <row r="289" spans="2:5" x14ac:dyDescent="0.55000000000000004">
      <c r="B289" s="18">
        <v>223</v>
      </c>
      <c r="C289" s="43">
        <v>86.277316264641513</v>
      </c>
      <c r="D289" s="18">
        <f t="shared" si="3"/>
        <v>223</v>
      </c>
      <c r="E289" s="43">
        <v>-195.48540703836559</v>
      </c>
    </row>
    <row r="290" spans="2:5" x14ac:dyDescent="0.55000000000000004">
      <c r="B290" s="18">
        <v>224</v>
      </c>
      <c r="C290" s="43">
        <v>86.286792058976573</v>
      </c>
      <c r="D290" s="18">
        <f t="shared" si="3"/>
        <v>224</v>
      </c>
      <c r="E290" s="43">
        <v>153.09621152060731</v>
      </c>
    </row>
    <row r="291" spans="2:5" x14ac:dyDescent="0.55000000000000004">
      <c r="B291" s="18">
        <v>225</v>
      </c>
      <c r="C291" s="43">
        <v>151.36805050143295</v>
      </c>
      <c r="D291" s="18">
        <f t="shared" si="3"/>
        <v>225</v>
      </c>
      <c r="E291" s="43">
        <v>-131.93886903956565</v>
      </c>
    </row>
    <row r="292" spans="2:5" x14ac:dyDescent="0.55000000000000004">
      <c r="B292" s="18">
        <v>226</v>
      </c>
      <c r="C292" s="43">
        <v>130.65106115296433</v>
      </c>
      <c r="D292" s="18">
        <f t="shared" si="3"/>
        <v>226</v>
      </c>
      <c r="E292" s="43">
        <v>50.996390673963887</v>
      </c>
    </row>
    <row r="293" spans="2:5" x14ac:dyDescent="0.55000000000000004">
      <c r="B293" s="18">
        <v>227</v>
      </c>
      <c r="C293" s="43">
        <v>149.83913474498519</v>
      </c>
      <c r="D293" s="18">
        <f t="shared" si="3"/>
        <v>227</v>
      </c>
      <c r="E293" s="43">
        <v>248.83949646783518</v>
      </c>
    </row>
    <row r="294" spans="2:5" x14ac:dyDescent="0.55000000000000004">
      <c r="B294" s="18">
        <v>228</v>
      </c>
      <c r="C294" s="43">
        <v>139.32996426448355</v>
      </c>
      <c r="D294" s="18">
        <f t="shared" si="3"/>
        <v>228</v>
      </c>
      <c r="E294" s="43">
        <v>62.011380693789349</v>
      </c>
    </row>
    <row r="295" spans="2:5" x14ac:dyDescent="0.55000000000000004">
      <c r="B295" s="18">
        <v>229</v>
      </c>
      <c r="C295" s="43">
        <v>128.15826786143671</v>
      </c>
      <c r="D295" s="18">
        <f t="shared" si="3"/>
        <v>229</v>
      </c>
      <c r="E295" s="43">
        <v>232.77685798052053</v>
      </c>
    </row>
    <row r="296" spans="2:5" x14ac:dyDescent="0.55000000000000004">
      <c r="B296" s="18">
        <v>230</v>
      </c>
      <c r="C296" s="43">
        <v>161.57218712986509</v>
      </c>
      <c r="D296" s="18">
        <f t="shared" si="3"/>
        <v>230</v>
      </c>
      <c r="E296" s="43">
        <v>-79.25567452024886</v>
      </c>
    </row>
    <row r="297" spans="2:5" x14ac:dyDescent="0.55000000000000004">
      <c r="B297" s="18">
        <v>231</v>
      </c>
      <c r="C297" s="43">
        <v>-0.13869622010101687</v>
      </c>
      <c r="D297" s="18">
        <f t="shared" si="3"/>
        <v>231</v>
      </c>
      <c r="E297" s="43">
        <v>-54.36604952736127</v>
      </c>
    </row>
    <row r="298" spans="2:5" x14ac:dyDescent="0.55000000000000004">
      <c r="B298" s="18">
        <v>232</v>
      </c>
      <c r="C298" s="43">
        <v>112.17333832319329</v>
      </c>
      <c r="D298" s="18">
        <f t="shared" si="3"/>
        <v>232</v>
      </c>
      <c r="E298" s="43">
        <v>143.32618306393118</v>
      </c>
    </row>
    <row r="299" spans="2:5" x14ac:dyDescent="0.55000000000000004">
      <c r="B299" s="18">
        <v>233</v>
      </c>
      <c r="C299" s="43">
        <v>105.65688010036027</v>
      </c>
      <c r="D299" s="18">
        <f t="shared" si="3"/>
        <v>233</v>
      </c>
      <c r="E299" s="43">
        <v>72.774365144561443</v>
      </c>
    </row>
    <row r="300" spans="2:5" x14ac:dyDescent="0.55000000000000004">
      <c r="B300" s="18">
        <v>234</v>
      </c>
      <c r="C300" s="43">
        <v>129.38822258656728</v>
      </c>
      <c r="D300" s="18">
        <f t="shared" si="3"/>
        <v>234</v>
      </c>
      <c r="E300" s="43">
        <v>81.066477914651998</v>
      </c>
    </row>
    <row r="301" spans="2:5" x14ac:dyDescent="0.55000000000000004">
      <c r="B301" s="18">
        <v>235</v>
      </c>
      <c r="C301" s="43">
        <v>142.99395905969072</v>
      </c>
      <c r="D301" s="18">
        <f t="shared" si="3"/>
        <v>235</v>
      </c>
      <c r="E301" s="43">
        <v>-6.9545208773763489</v>
      </c>
    </row>
    <row r="302" spans="2:5" x14ac:dyDescent="0.55000000000000004">
      <c r="B302" s="18">
        <v>236</v>
      </c>
      <c r="C302" s="43">
        <v>131.03176313128384</v>
      </c>
      <c r="D302" s="18">
        <f t="shared" si="3"/>
        <v>236</v>
      </c>
      <c r="E302" s="43">
        <v>235.62890384164854</v>
      </c>
    </row>
    <row r="303" spans="2:5" x14ac:dyDescent="0.55000000000000004">
      <c r="B303" s="18">
        <v>237</v>
      </c>
      <c r="C303" s="43">
        <v>113.49358284003681</v>
      </c>
      <c r="D303" s="18">
        <f t="shared" si="3"/>
        <v>237</v>
      </c>
      <c r="E303" s="43">
        <v>207.01198351115349</v>
      </c>
    </row>
    <row r="304" spans="2:5" x14ac:dyDescent="0.55000000000000004">
      <c r="B304" s="18">
        <v>238</v>
      </c>
      <c r="C304" s="43">
        <v>41.140982131265268</v>
      </c>
      <c r="D304" s="18">
        <f t="shared" si="3"/>
        <v>238</v>
      </c>
      <c r="E304" s="43">
        <v>61.940521351235418</v>
      </c>
    </row>
    <row r="305" spans="2:5" x14ac:dyDescent="0.55000000000000004">
      <c r="B305" s="18">
        <v>239</v>
      </c>
      <c r="C305" s="43">
        <v>149.25344699111949</v>
      </c>
      <c r="D305" s="18">
        <f t="shared" si="3"/>
        <v>239</v>
      </c>
      <c r="E305" s="43">
        <v>20.697089036462941</v>
      </c>
    </row>
    <row r="306" spans="2:5" x14ac:dyDescent="0.55000000000000004">
      <c r="B306" s="18">
        <v>240</v>
      </c>
      <c r="C306" s="43">
        <v>131.54580703941502</v>
      </c>
      <c r="D306" s="18">
        <f t="shared" si="3"/>
        <v>240</v>
      </c>
      <c r="E306" s="43">
        <v>90.021800826038685</v>
      </c>
    </row>
    <row r="307" spans="2:5" x14ac:dyDescent="0.55000000000000004">
      <c r="B307" s="18">
        <v>241</v>
      </c>
      <c r="C307" s="43">
        <v>108.41425230946345</v>
      </c>
      <c r="D307" s="18">
        <f t="shared" si="3"/>
        <v>241</v>
      </c>
      <c r="E307" s="43">
        <v>279.12924573041676</v>
      </c>
    </row>
    <row r="308" spans="2:5" x14ac:dyDescent="0.55000000000000004">
      <c r="B308" s="18">
        <v>242</v>
      </c>
      <c r="C308" s="43">
        <v>152.86013196253148</v>
      </c>
      <c r="D308" s="18">
        <f t="shared" si="3"/>
        <v>242</v>
      </c>
      <c r="E308" s="43">
        <v>188.67716260335354</v>
      </c>
    </row>
    <row r="309" spans="2:5" x14ac:dyDescent="0.55000000000000004">
      <c r="B309" s="18">
        <v>243</v>
      </c>
      <c r="C309" s="43">
        <v>131.63891211169704</v>
      </c>
      <c r="D309" s="18">
        <f t="shared" si="3"/>
        <v>243</v>
      </c>
      <c r="E309" s="43">
        <v>235.66969915448925</v>
      </c>
    </row>
    <row r="310" spans="2:5" x14ac:dyDescent="0.55000000000000004">
      <c r="B310" s="18">
        <v>244</v>
      </c>
      <c r="C310" s="43">
        <v>127.23522966643375</v>
      </c>
      <c r="D310" s="18">
        <f t="shared" si="3"/>
        <v>244</v>
      </c>
      <c r="E310" s="43">
        <v>82.875022851007088</v>
      </c>
    </row>
    <row r="311" spans="2:5" x14ac:dyDescent="0.55000000000000004">
      <c r="B311" s="18">
        <v>245</v>
      </c>
      <c r="C311" s="43">
        <v>52.979226594512454</v>
      </c>
      <c r="D311" s="18">
        <f t="shared" si="3"/>
        <v>245</v>
      </c>
      <c r="E311" s="43">
        <v>154.65611184904176</v>
      </c>
    </row>
    <row r="312" spans="2:5" x14ac:dyDescent="0.55000000000000004">
      <c r="B312" s="18">
        <v>246</v>
      </c>
      <c r="C312" s="43">
        <v>101.3848612345553</v>
      </c>
      <c r="D312" s="18">
        <f t="shared" si="3"/>
        <v>246</v>
      </c>
      <c r="E312" s="43">
        <v>66.968488507828312</v>
      </c>
    </row>
    <row r="313" spans="2:5" x14ac:dyDescent="0.55000000000000004">
      <c r="B313" s="18">
        <v>247</v>
      </c>
      <c r="C313" s="43">
        <v>148.28682123457142</v>
      </c>
      <c r="D313" s="18">
        <f t="shared" si="3"/>
        <v>247</v>
      </c>
      <c r="E313" s="43">
        <v>-115.12547065288065</v>
      </c>
    </row>
    <row r="314" spans="2:5" x14ac:dyDescent="0.55000000000000004">
      <c r="B314" s="18">
        <v>248</v>
      </c>
      <c r="C314" s="43">
        <v>135.30970532040143</v>
      </c>
      <c r="D314" s="18">
        <f t="shared" si="3"/>
        <v>248</v>
      </c>
      <c r="E314" s="43">
        <v>242.94972714915488</v>
      </c>
    </row>
    <row r="315" spans="2:5" x14ac:dyDescent="0.55000000000000004">
      <c r="B315" s="18">
        <v>249</v>
      </c>
      <c r="C315" s="43">
        <v>27.026429313966883</v>
      </c>
      <c r="D315" s="18">
        <f t="shared" si="3"/>
        <v>249</v>
      </c>
      <c r="E315" s="43">
        <v>57.342794304879114</v>
      </c>
    </row>
    <row r="316" spans="2:5" x14ac:dyDescent="0.55000000000000004">
      <c r="B316" s="18">
        <v>250</v>
      </c>
      <c r="C316" s="43">
        <v>-7.9591128838823026</v>
      </c>
      <c r="D316" s="18">
        <f t="shared" si="3"/>
        <v>250</v>
      </c>
      <c r="E316" s="43">
        <v>295.28582312029232</v>
      </c>
    </row>
    <row r="317" spans="2:5" x14ac:dyDescent="0.55000000000000004">
      <c r="B317" s="18">
        <v>251</v>
      </c>
      <c r="C317" s="43">
        <v>108.38433141613984</v>
      </c>
      <c r="D317" s="18">
        <f t="shared" si="3"/>
        <v>251</v>
      </c>
      <c r="E317" s="43">
        <v>-13.822990695818049</v>
      </c>
    </row>
    <row r="318" spans="2:5" x14ac:dyDescent="0.55000000000000004">
      <c r="B318" s="18">
        <v>252</v>
      </c>
      <c r="C318" s="43">
        <v>64.623562334075302</v>
      </c>
      <c r="D318" s="18">
        <f t="shared" si="3"/>
        <v>252</v>
      </c>
      <c r="E318" s="43">
        <v>-45.299103592438719</v>
      </c>
    </row>
    <row r="319" spans="2:5" x14ac:dyDescent="0.55000000000000004">
      <c r="B319" s="18">
        <v>253</v>
      </c>
      <c r="C319" s="43">
        <v>140.16638753291571</v>
      </c>
      <c r="D319" s="18">
        <f t="shared" si="3"/>
        <v>253</v>
      </c>
      <c r="E319" s="43">
        <v>207.15453882789512</v>
      </c>
    </row>
    <row r="320" spans="2:5" x14ac:dyDescent="0.55000000000000004">
      <c r="B320" s="18">
        <v>254</v>
      </c>
      <c r="C320" s="43">
        <v>87.518601061736376</v>
      </c>
      <c r="D320" s="18">
        <f t="shared" si="3"/>
        <v>254</v>
      </c>
      <c r="E320" s="43">
        <v>58.485133571195377</v>
      </c>
    </row>
    <row r="321" spans="2:5" x14ac:dyDescent="0.55000000000000004">
      <c r="B321" s="18">
        <v>255</v>
      </c>
      <c r="C321" s="43">
        <v>101.8325817273482</v>
      </c>
      <c r="D321" s="18">
        <f t="shared" si="3"/>
        <v>255</v>
      </c>
      <c r="E321" s="43">
        <v>121.96559428691046</v>
      </c>
    </row>
    <row r="322" spans="2:5" x14ac:dyDescent="0.55000000000000004">
      <c r="B322" s="18">
        <v>256</v>
      </c>
      <c r="C322" s="43">
        <v>142.00820955361027</v>
      </c>
      <c r="D322" s="18">
        <f t="shared" si="3"/>
        <v>256</v>
      </c>
      <c r="E322" s="43">
        <v>218.81807189321944</v>
      </c>
    </row>
    <row r="323" spans="2:5" x14ac:dyDescent="0.55000000000000004">
      <c r="B323" s="18">
        <v>257</v>
      </c>
      <c r="C323" s="43">
        <v>138.0077772982178</v>
      </c>
      <c r="D323" s="18">
        <f t="shared" si="3"/>
        <v>257</v>
      </c>
      <c r="E323" s="43">
        <v>94.919251057737341</v>
      </c>
    </row>
    <row r="324" spans="2:5" x14ac:dyDescent="0.55000000000000004">
      <c r="B324" s="18">
        <v>258</v>
      </c>
      <c r="C324" s="43">
        <v>130.54995146993673</v>
      </c>
      <c r="D324" s="18">
        <f t="shared" si="3"/>
        <v>258</v>
      </c>
      <c r="E324" s="43">
        <v>-47.590667640652278</v>
      </c>
    </row>
    <row r="325" spans="2:5" x14ac:dyDescent="0.55000000000000004">
      <c r="B325" s="18">
        <v>259</v>
      </c>
      <c r="C325" s="43">
        <v>85.396964647988156</v>
      </c>
      <c r="D325" s="18">
        <f t="shared" ref="D325:D388" si="4">B325</f>
        <v>259</v>
      </c>
      <c r="E325" s="43">
        <v>168.59098749181211</v>
      </c>
    </row>
    <row r="326" spans="2:5" x14ac:dyDescent="0.55000000000000004">
      <c r="B326" s="18">
        <v>260</v>
      </c>
      <c r="C326" s="43">
        <v>121.58800134336329</v>
      </c>
      <c r="D326" s="18">
        <f t="shared" si="4"/>
        <v>260</v>
      </c>
      <c r="E326" s="43">
        <v>-120.60603998011523</v>
      </c>
    </row>
    <row r="327" spans="2:5" x14ac:dyDescent="0.55000000000000004">
      <c r="B327" s="18">
        <v>261</v>
      </c>
      <c r="C327" s="43">
        <v>112.25044796120594</v>
      </c>
      <c r="D327" s="18">
        <f t="shared" si="4"/>
        <v>261</v>
      </c>
      <c r="E327" s="43">
        <v>47.227165186883646</v>
      </c>
    </row>
    <row r="328" spans="2:5" x14ac:dyDescent="0.55000000000000004">
      <c r="B328" s="18">
        <v>262</v>
      </c>
      <c r="C328" s="43">
        <v>111.27163395290253</v>
      </c>
      <c r="D328" s="18">
        <f t="shared" si="4"/>
        <v>262</v>
      </c>
      <c r="E328" s="43">
        <v>223.3290491711341</v>
      </c>
    </row>
    <row r="329" spans="2:5" x14ac:dyDescent="0.55000000000000004">
      <c r="B329" s="18">
        <v>263</v>
      </c>
      <c r="C329" s="43">
        <v>164.43766640375225</v>
      </c>
      <c r="D329" s="18">
        <f t="shared" si="4"/>
        <v>263</v>
      </c>
      <c r="E329" s="43">
        <v>-20.015010045486846</v>
      </c>
    </row>
    <row r="330" spans="2:5" x14ac:dyDescent="0.55000000000000004">
      <c r="B330" s="18">
        <v>264</v>
      </c>
      <c r="C330" s="43">
        <v>55.834819580499662</v>
      </c>
      <c r="D330" s="18">
        <f t="shared" si="4"/>
        <v>264</v>
      </c>
      <c r="E330" s="43">
        <v>103.05895429633475</v>
      </c>
    </row>
    <row r="331" spans="2:5" x14ac:dyDescent="0.55000000000000004">
      <c r="B331" s="18">
        <v>265</v>
      </c>
      <c r="C331" s="43">
        <v>107.67247115431425</v>
      </c>
      <c r="D331" s="18">
        <f t="shared" si="4"/>
        <v>265</v>
      </c>
      <c r="E331" s="43">
        <v>317.11862730266114</v>
      </c>
    </row>
    <row r="332" spans="2:5" x14ac:dyDescent="0.55000000000000004">
      <c r="B332" s="18">
        <v>266</v>
      </c>
      <c r="C332" s="43">
        <v>108.23408902541323</v>
      </c>
      <c r="D332" s="18">
        <f t="shared" si="4"/>
        <v>266</v>
      </c>
      <c r="E332" s="43">
        <v>470.02567364285994</v>
      </c>
    </row>
    <row r="333" spans="2:5" x14ac:dyDescent="0.55000000000000004">
      <c r="B333" s="18">
        <v>267</v>
      </c>
      <c r="C333" s="43">
        <v>144.58534023571661</v>
      </c>
      <c r="D333" s="18">
        <f t="shared" si="4"/>
        <v>267</v>
      </c>
      <c r="E333" s="43">
        <v>75.125923914212819</v>
      </c>
    </row>
    <row r="334" spans="2:5" x14ac:dyDescent="0.55000000000000004">
      <c r="B334" s="18">
        <v>268</v>
      </c>
      <c r="C334" s="43">
        <v>120.59296159219846</v>
      </c>
      <c r="D334" s="18">
        <f t="shared" si="4"/>
        <v>268</v>
      </c>
      <c r="E334" s="43">
        <v>21.360123389490376</v>
      </c>
    </row>
    <row r="335" spans="2:5" x14ac:dyDescent="0.55000000000000004">
      <c r="B335" s="18">
        <v>269</v>
      </c>
      <c r="C335" s="43">
        <v>-72.247827502094722</v>
      </c>
      <c r="D335" s="18">
        <f t="shared" si="4"/>
        <v>269</v>
      </c>
      <c r="E335" s="43">
        <v>282.69221597042838</v>
      </c>
    </row>
    <row r="336" spans="2:5" x14ac:dyDescent="0.55000000000000004">
      <c r="B336" s="18">
        <v>270</v>
      </c>
      <c r="C336" s="43">
        <v>128.05189208625453</v>
      </c>
      <c r="D336" s="18">
        <f t="shared" si="4"/>
        <v>270</v>
      </c>
      <c r="E336" s="43">
        <v>178.65179432170609</v>
      </c>
    </row>
    <row r="337" spans="2:5" x14ac:dyDescent="0.55000000000000004">
      <c r="B337" s="18">
        <v>271</v>
      </c>
      <c r="C337" s="43">
        <v>122.04858521096028</v>
      </c>
      <c r="D337" s="18">
        <f t="shared" si="4"/>
        <v>271</v>
      </c>
      <c r="E337" s="43">
        <v>224.10458587783228</v>
      </c>
    </row>
    <row r="338" spans="2:5" x14ac:dyDescent="0.55000000000000004">
      <c r="B338" s="18">
        <v>272</v>
      </c>
      <c r="C338" s="43">
        <v>135.21284396348892</v>
      </c>
      <c r="D338" s="18">
        <f t="shared" si="4"/>
        <v>272</v>
      </c>
      <c r="E338" s="43">
        <v>49.007619550207508</v>
      </c>
    </row>
    <row r="339" spans="2:5" x14ac:dyDescent="0.55000000000000004">
      <c r="B339" s="18">
        <v>273</v>
      </c>
      <c r="C339" s="43">
        <v>126.36327482609993</v>
      </c>
      <c r="D339" s="18">
        <f t="shared" si="4"/>
        <v>273</v>
      </c>
      <c r="E339" s="43">
        <v>156.57167724083098</v>
      </c>
    </row>
    <row r="340" spans="2:5" x14ac:dyDescent="0.55000000000000004">
      <c r="B340" s="18">
        <v>274</v>
      </c>
      <c r="C340" s="43">
        <v>126.08511685712583</v>
      </c>
      <c r="D340" s="18">
        <f t="shared" si="4"/>
        <v>274</v>
      </c>
      <c r="E340" s="43">
        <v>-140.00657059172428</v>
      </c>
    </row>
    <row r="341" spans="2:5" x14ac:dyDescent="0.55000000000000004">
      <c r="B341" s="18">
        <v>275</v>
      </c>
      <c r="C341" s="43">
        <v>160.43229285810668</v>
      </c>
      <c r="D341" s="18">
        <f t="shared" si="4"/>
        <v>275</v>
      </c>
      <c r="E341" s="43">
        <v>100.16533322234312</v>
      </c>
    </row>
    <row r="342" spans="2:5" x14ac:dyDescent="0.55000000000000004">
      <c r="B342" s="18">
        <v>276</v>
      </c>
      <c r="C342" s="43">
        <v>140.96529855227385</v>
      </c>
      <c r="D342" s="18">
        <f t="shared" si="4"/>
        <v>276</v>
      </c>
      <c r="E342" s="43">
        <v>-67.452348923147454</v>
      </c>
    </row>
    <row r="343" spans="2:5" x14ac:dyDescent="0.55000000000000004">
      <c r="B343" s="18">
        <v>277</v>
      </c>
      <c r="C343" s="43">
        <v>63.877901165109812</v>
      </c>
      <c r="D343" s="18">
        <f t="shared" si="4"/>
        <v>277</v>
      </c>
      <c r="E343" s="43">
        <v>-100.93838404997935</v>
      </c>
    </row>
    <row r="344" spans="2:5" x14ac:dyDescent="0.55000000000000004">
      <c r="B344" s="18">
        <v>278</v>
      </c>
      <c r="C344" s="43">
        <v>149.26967967752873</v>
      </c>
      <c r="D344" s="18">
        <f t="shared" si="4"/>
        <v>278</v>
      </c>
      <c r="E344" s="43">
        <v>-115.16372283930635</v>
      </c>
    </row>
    <row r="345" spans="2:5" x14ac:dyDescent="0.55000000000000004">
      <c r="B345" s="18">
        <v>279</v>
      </c>
      <c r="C345" s="43">
        <v>142.91457389129033</v>
      </c>
      <c r="D345" s="18">
        <f t="shared" si="4"/>
        <v>279</v>
      </c>
      <c r="E345" s="43">
        <v>56.49775143103485</v>
      </c>
    </row>
    <row r="346" spans="2:5" x14ac:dyDescent="0.55000000000000004">
      <c r="B346" s="18">
        <v>280</v>
      </c>
      <c r="C346" s="43">
        <v>149.13531285663458</v>
      </c>
      <c r="D346" s="18">
        <f t="shared" si="4"/>
        <v>280</v>
      </c>
      <c r="E346" s="43">
        <v>90.223527420817987</v>
      </c>
    </row>
    <row r="347" spans="2:5" x14ac:dyDescent="0.55000000000000004">
      <c r="B347" s="18">
        <v>281</v>
      </c>
      <c r="C347" s="43">
        <v>148.10807031845542</v>
      </c>
      <c r="D347" s="18">
        <f t="shared" si="4"/>
        <v>281</v>
      </c>
      <c r="E347" s="43">
        <v>87.9798055026681</v>
      </c>
    </row>
    <row r="348" spans="2:5" x14ac:dyDescent="0.55000000000000004">
      <c r="B348" s="18">
        <v>282</v>
      </c>
      <c r="C348" s="43">
        <v>139.21509276177764</v>
      </c>
      <c r="D348" s="18">
        <f t="shared" si="4"/>
        <v>282</v>
      </c>
      <c r="E348" s="43">
        <v>62.696004595093214</v>
      </c>
    </row>
    <row r="349" spans="2:5" x14ac:dyDescent="0.55000000000000004">
      <c r="B349" s="18">
        <v>283</v>
      </c>
      <c r="C349" s="43">
        <v>103.2266597676185</v>
      </c>
      <c r="D349" s="18">
        <f t="shared" si="4"/>
        <v>283</v>
      </c>
      <c r="E349" s="43">
        <v>188.81172063948986</v>
      </c>
    </row>
    <row r="350" spans="2:5" x14ac:dyDescent="0.55000000000000004">
      <c r="B350" s="18">
        <v>284</v>
      </c>
      <c r="C350" s="43">
        <v>162.53054047589202</v>
      </c>
      <c r="D350" s="18">
        <f t="shared" si="4"/>
        <v>284</v>
      </c>
      <c r="E350" s="43">
        <v>135.29935026533659</v>
      </c>
    </row>
    <row r="351" spans="2:5" x14ac:dyDescent="0.55000000000000004">
      <c r="B351" s="18">
        <v>285</v>
      </c>
      <c r="C351" s="43">
        <v>144.78614252148986</v>
      </c>
      <c r="D351" s="18">
        <f t="shared" si="4"/>
        <v>285</v>
      </c>
      <c r="E351" s="43">
        <v>115.99679026591443</v>
      </c>
    </row>
    <row r="352" spans="2:5" x14ac:dyDescent="0.55000000000000004">
      <c r="B352" s="18">
        <v>286</v>
      </c>
      <c r="C352" s="43">
        <v>129.68077106681366</v>
      </c>
      <c r="D352" s="18">
        <f t="shared" si="4"/>
        <v>286</v>
      </c>
      <c r="E352" s="43">
        <v>13.913473478337391</v>
      </c>
    </row>
    <row r="353" spans="2:5" x14ac:dyDescent="0.55000000000000004">
      <c r="B353" s="18">
        <v>287</v>
      </c>
      <c r="C353" s="43">
        <v>112.80365654638221</v>
      </c>
      <c r="D353" s="18">
        <f t="shared" si="4"/>
        <v>287</v>
      </c>
      <c r="E353" s="43">
        <v>68.621762243415276</v>
      </c>
    </row>
    <row r="354" spans="2:5" x14ac:dyDescent="0.55000000000000004">
      <c r="B354" s="18">
        <v>288</v>
      </c>
      <c r="C354" s="43">
        <v>161.97342249254771</v>
      </c>
      <c r="D354" s="18">
        <f t="shared" si="4"/>
        <v>288</v>
      </c>
      <c r="E354" s="43">
        <v>397.01366276751429</v>
      </c>
    </row>
    <row r="355" spans="2:5" x14ac:dyDescent="0.55000000000000004">
      <c r="B355" s="18">
        <v>289</v>
      </c>
      <c r="C355" s="43">
        <v>159.35645709919314</v>
      </c>
      <c r="D355" s="18">
        <f t="shared" si="4"/>
        <v>289</v>
      </c>
      <c r="E355" s="43">
        <v>160.85215569773374</v>
      </c>
    </row>
    <row r="356" spans="2:5" x14ac:dyDescent="0.55000000000000004">
      <c r="B356" s="18">
        <v>290</v>
      </c>
      <c r="C356" s="43">
        <v>155.9859002445391</v>
      </c>
      <c r="D356" s="18">
        <f t="shared" si="4"/>
        <v>290</v>
      </c>
      <c r="E356" s="43">
        <v>414.41093120681933</v>
      </c>
    </row>
    <row r="357" spans="2:5" x14ac:dyDescent="0.55000000000000004">
      <c r="B357" s="18">
        <v>291</v>
      </c>
      <c r="C357" s="43">
        <v>101.10833290618758</v>
      </c>
      <c r="D357" s="18">
        <f t="shared" si="4"/>
        <v>291</v>
      </c>
      <c r="E357" s="43">
        <v>158.82704565541087</v>
      </c>
    </row>
    <row r="358" spans="2:5" x14ac:dyDescent="0.55000000000000004">
      <c r="B358" s="18">
        <v>292</v>
      </c>
      <c r="C358" s="43">
        <v>144.50034013156372</v>
      </c>
      <c r="D358" s="18">
        <f t="shared" si="4"/>
        <v>292</v>
      </c>
      <c r="E358" s="43">
        <v>247.95283574541546</v>
      </c>
    </row>
    <row r="359" spans="2:5" x14ac:dyDescent="0.55000000000000004">
      <c r="B359" s="18">
        <v>293</v>
      </c>
      <c r="C359" s="43">
        <v>53.235053239714226</v>
      </c>
      <c r="D359" s="18">
        <f t="shared" si="4"/>
        <v>293</v>
      </c>
      <c r="E359" s="43">
        <v>329.05182590925949</v>
      </c>
    </row>
    <row r="360" spans="2:5" x14ac:dyDescent="0.55000000000000004">
      <c r="B360" s="18">
        <v>294</v>
      </c>
      <c r="C360" s="43">
        <v>141.3475901267571</v>
      </c>
      <c r="D360" s="18">
        <f t="shared" si="4"/>
        <v>294</v>
      </c>
      <c r="E360" s="43">
        <v>-56.105820388471919</v>
      </c>
    </row>
    <row r="361" spans="2:5" x14ac:dyDescent="0.55000000000000004">
      <c r="B361" s="18">
        <v>295</v>
      </c>
      <c r="C361" s="43">
        <v>178.73375956760373</v>
      </c>
      <c r="D361" s="18">
        <f t="shared" si="4"/>
        <v>295</v>
      </c>
      <c r="E361" s="43">
        <v>232.99516957674496</v>
      </c>
    </row>
    <row r="362" spans="2:5" x14ac:dyDescent="0.55000000000000004">
      <c r="B362" s="18">
        <v>296</v>
      </c>
      <c r="C362" s="43">
        <v>180.21622197843371</v>
      </c>
      <c r="D362" s="18">
        <f t="shared" si="4"/>
        <v>296</v>
      </c>
      <c r="E362" s="43">
        <v>315.26188710445854</v>
      </c>
    </row>
    <row r="363" spans="2:5" x14ac:dyDescent="0.55000000000000004">
      <c r="B363" s="18">
        <v>297</v>
      </c>
      <c r="C363" s="43">
        <v>43.822549232617241</v>
      </c>
      <c r="D363" s="18">
        <f t="shared" si="4"/>
        <v>297</v>
      </c>
      <c r="E363" s="43">
        <v>43.82293786643335</v>
      </c>
    </row>
    <row r="364" spans="2:5" x14ac:dyDescent="0.55000000000000004">
      <c r="B364" s="18">
        <v>298</v>
      </c>
      <c r="C364" s="43">
        <v>124.86635891337673</v>
      </c>
      <c r="D364" s="18">
        <f t="shared" si="4"/>
        <v>298</v>
      </c>
      <c r="E364" s="43">
        <v>234.16597607289691</v>
      </c>
    </row>
    <row r="365" spans="2:5" x14ac:dyDescent="0.55000000000000004">
      <c r="B365" s="18">
        <v>299</v>
      </c>
      <c r="C365" s="43">
        <v>232.28599096621525</v>
      </c>
      <c r="D365" s="18">
        <f t="shared" si="4"/>
        <v>299</v>
      </c>
      <c r="E365" s="43">
        <v>69.970907493778952</v>
      </c>
    </row>
    <row r="366" spans="2:5" x14ac:dyDescent="0.55000000000000004">
      <c r="B366" s="18">
        <v>300</v>
      </c>
      <c r="C366" s="43">
        <v>82.107722344128206</v>
      </c>
      <c r="D366" s="18">
        <f t="shared" si="4"/>
        <v>300</v>
      </c>
      <c r="E366" s="43">
        <v>100.67368471193059</v>
      </c>
    </row>
    <row r="367" spans="2:5" x14ac:dyDescent="0.55000000000000004">
      <c r="B367" s="18">
        <v>301</v>
      </c>
      <c r="C367" s="43">
        <v>132.76868478645204</v>
      </c>
      <c r="D367" s="18">
        <f t="shared" si="4"/>
        <v>301</v>
      </c>
      <c r="E367" s="43">
        <v>205.22578699687818</v>
      </c>
    </row>
    <row r="368" spans="2:5" x14ac:dyDescent="0.55000000000000004">
      <c r="B368" s="18">
        <v>302</v>
      </c>
      <c r="C368" s="43">
        <v>98.401947245234382</v>
      </c>
      <c r="D368" s="18">
        <f t="shared" si="4"/>
        <v>302</v>
      </c>
      <c r="E368" s="43">
        <v>187.59312949442369</v>
      </c>
    </row>
    <row r="369" spans="2:5" x14ac:dyDescent="0.55000000000000004">
      <c r="B369" s="18">
        <v>303</v>
      </c>
      <c r="C369" s="43">
        <v>171.18537182472946</v>
      </c>
      <c r="D369" s="18">
        <f t="shared" si="4"/>
        <v>303</v>
      </c>
      <c r="E369" s="43">
        <v>112.91464415781687</v>
      </c>
    </row>
    <row r="370" spans="2:5" x14ac:dyDescent="0.55000000000000004">
      <c r="B370" s="18">
        <v>304</v>
      </c>
      <c r="C370" s="43">
        <v>134.00881720297073</v>
      </c>
      <c r="D370" s="18">
        <f t="shared" si="4"/>
        <v>304</v>
      </c>
      <c r="E370" s="43">
        <v>104.10201600658442</v>
      </c>
    </row>
    <row r="371" spans="2:5" x14ac:dyDescent="0.55000000000000004">
      <c r="B371" s="18">
        <v>305</v>
      </c>
      <c r="C371" s="43">
        <v>139.14391995717602</v>
      </c>
      <c r="D371" s="18">
        <f t="shared" si="4"/>
        <v>305</v>
      </c>
      <c r="E371" s="43">
        <v>100.9467511776846</v>
      </c>
    </row>
    <row r="372" spans="2:5" x14ac:dyDescent="0.55000000000000004">
      <c r="B372" s="18">
        <v>306</v>
      </c>
      <c r="C372" s="43">
        <v>114.86108074048055</v>
      </c>
      <c r="D372" s="18">
        <f t="shared" si="4"/>
        <v>306</v>
      </c>
      <c r="E372" s="43">
        <v>353.30696908253418</v>
      </c>
    </row>
    <row r="373" spans="2:5" x14ac:dyDescent="0.55000000000000004">
      <c r="B373" s="18">
        <v>307</v>
      </c>
      <c r="C373" s="43">
        <v>82.88767256577043</v>
      </c>
      <c r="D373" s="18">
        <f t="shared" si="4"/>
        <v>307</v>
      </c>
      <c r="E373" s="43">
        <v>209.40266641457114</v>
      </c>
    </row>
    <row r="374" spans="2:5" x14ac:dyDescent="0.55000000000000004">
      <c r="B374" s="18">
        <v>308</v>
      </c>
      <c r="C374" s="43">
        <v>101.55237148824412</v>
      </c>
      <c r="D374" s="18">
        <f t="shared" si="4"/>
        <v>308</v>
      </c>
      <c r="E374" s="43">
        <v>165.82349041149777</v>
      </c>
    </row>
    <row r="375" spans="2:5" x14ac:dyDescent="0.55000000000000004">
      <c r="B375" s="18">
        <v>309</v>
      </c>
      <c r="C375" s="43">
        <v>158.76274524549422</v>
      </c>
      <c r="D375" s="18">
        <f t="shared" si="4"/>
        <v>309</v>
      </c>
      <c r="E375" s="43">
        <v>31.542773765722284</v>
      </c>
    </row>
    <row r="376" spans="2:5" x14ac:dyDescent="0.55000000000000004">
      <c r="B376" s="18">
        <v>310</v>
      </c>
      <c r="C376" s="43">
        <v>144.11869063092692</v>
      </c>
      <c r="D376" s="18">
        <f t="shared" si="4"/>
        <v>310</v>
      </c>
      <c r="E376" s="43">
        <v>-126.30248663598351</v>
      </c>
    </row>
    <row r="377" spans="2:5" x14ac:dyDescent="0.55000000000000004">
      <c r="B377" s="18">
        <v>311</v>
      </c>
      <c r="C377" s="43">
        <v>62.963029392163357</v>
      </c>
      <c r="D377" s="18">
        <f t="shared" si="4"/>
        <v>311</v>
      </c>
      <c r="E377" s="43">
        <v>261.02057739929671</v>
      </c>
    </row>
    <row r="378" spans="2:5" x14ac:dyDescent="0.55000000000000004">
      <c r="B378" s="18">
        <v>312</v>
      </c>
      <c r="C378" s="43">
        <v>107.21370537024204</v>
      </c>
      <c r="D378" s="18">
        <f t="shared" si="4"/>
        <v>312</v>
      </c>
      <c r="E378" s="43">
        <v>120.92949664467713</v>
      </c>
    </row>
    <row r="379" spans="2:5" x14ac:dyDescent="0.55000000000000004">
      <c r="B379" s="18">
        <v>313</v>
      </c>
      <c r="C379" s="43">
        <v>-39.429000463085686</v>
      </c>
      <c r="D379" s="18">
        <f t="shared" si="4"/>
        <v>313</v>
      </c>
      <c r="E379" s="43">
        <v>298.51564864803993</v>
      </c>
    </row>
    <row r="380" spans="2:5" x14ac:dyDescent="0.55000000000000004">
      <c r="B380" s="18">
        <v>314</v>
      </c>
      <c r="C380" s="43">
        <v>141.21006420246999</v>
      </c>
      <c r="D380" s="18">
        <f t="shared" si="4"/>
        <v>314</v>
      </c>
      <c r="E380" s="43">
        <v>-16.020119882521122</v>
      </c>
    </row>
    <row r="381" spans="2:5" x14ac:dyDescent="0.55000000000000004">
      <c r="B381" s="18">
        <v>315</v>
      </c>
      <c r="C381" s="43">
        <v>29.589534644867108</v>
      </c>
      <c r="D381" s="18">
        <f t="shared" si="4"/>
        <v>315</v>
      </c>
      <c r="E381" s="43">
        <v>-50.66602824971617</v>
      </c>
    </row>
    <row r="382" spans="2:5" x14ac:dyDescent="0.55000000000000004">
      <c r="B382" s="18">
        <v>316</v>
      </c>
      <c r="C382" s="43">
        <v>138.38875916548454</v>
      </c>
      <c r="D382" s="18">
        <f t="shared" si="4"/>
        <v>316</v>
      </c>
      <c r="E382" s="43">
        <v>211.63069665365555</v>
      </c>
    </row>
    <row r="383" spans="2:5" x14ac:dyDescent="0.55000000000000004">
      <c r="B383" s="18">
        <v>317</v>
      </c>
      <c r="C383" s="43">
        <v>97.308653940378278</v>
      </c>
      <c r="D383" s="18">
        <f t="shared" si="4"/>
        <v>317</v>
      </c>
      <c r="E383" s="43">
        <v>365.39462899006259</v>
      </c>
    </row>
    <row r="384" spans="2:5" x14ac:dyDescent="0.55000000000000004">
      <c r="B384" s="18">
        <v>318</v>
      </c>
      <c r="C384" s="43">
        <v>179.94877374356219</v>
      </c>
      <c r="D384" s="18">
        <f t="shared" si="4"/>
        <v>318</v>
      </c>
      <c r="E384" s="43">
        <v>345.32872586483347</v>
      </c>
    </row>
    <row r="385" spans="2:5" x14ac:dyDescent="0.55000000000000004">
      <c r="B385" s="18">
        <v>319</v>
      </c>
      <c r="C385" s="43">
        <v>125.26778321206405</v>
      </c>
      <c r="D385" s="18">
        <f t="shared" si="4"/>
        <v>319</v>
      </c>
      <c r="E385" s="43">
        <v>209.27219328055395</v>
      </c>
    </row>
    <row r="386" spans="2:5" x14ac:dyDescent="0.55000000000000004">
      <c r="B386" s="18">
        <v>320</v>
      </c>
      <c r="C386" s="43">
        <v>140.63504919771322</v>
      </c>
      <c r="D386" s="18">
        <f t="shared" si="4"/>
        <v>320</v>
      </c>
      <c r="E386" s="43">
        <v>209.25497162166585</v>
      </c>
    </row>
    <row r="387" spans="2:5" x14ac:dyDescent="0.55000000000000004">
      <c r="B387" s="18">
        <v>321</v>
      </c>
      <c r="C387" s="43">
        <v>140.66412307505828</v>
      </c>
      <c r="D387" s="18">
        <f t="shared" si="4"/>
        <v>321</v>
      </c>
      <c r="E387" s="43">
        <v>-15.697739437124316</v>
      </c>
    </row>
    <row r="388" spans="2:5" x14ac:dyDescent="0.55000000000000004">
      <c r="B388" s="18">
        <v>322</v>
      </c>
      <c r="C388" s="43">
        <v>142.67317688250566</v>
      </c>
      <c r="D388" s="18">
        <f t="shared" si="4"/>
        <v>322</v>
      </c>
      <c r="E388" s="43">
        <v>-12.458704073030873</v>
      </c>
    </row>
    <row r="389" spans="2:5" x14ac:dyDescent="0.55000000000000004">
      <c r="B389" s="18">
        <v>323</v>
      </c>
      <c r="C389" s="43">
        <v>101.77547170130923</v>
      </c>
      <c r="D389" s="18">
        <f t="shared" ref="D389:D452" si="5">B389</f>
        <v>323</v>
      </c>
      <c r="E389" s="43">
        <v>-85.461780091858756</v>
      </c>
    </row>
    <row r="390" spans="2:5" x14ac:dyDescent="0.55000000000000004">
      <c r="B390" s="18">
        <v>324</v>
      </c>
      <c r="C390" s="43">
        <v>130.38779377274983</v>
      </c>
      <c r="D390" s="18">
        <f t="shared" si="5"/>
        <v>324</v>
      </c>
      <c r="E390" s="43">
        <v>99.322631330153527</v>
      </c>
    </row>
    <row r="391" spans="2:5" x14ac:dyDescent="0.55000000000000004">
      <c r="B391" s="18">
        <v>325</v>
      </c>
      <c r="C391" s="43">
        <v>75.790317493360675</v>
      </c>
      <c r="D391" s="18">
        <f t="shared" si="5"/>
        <v>325</v>
      </c>
      <c r="E391" s="43">
        <v>24.477565234390482</v>
      </c>
    </row>
    <row r="392" spans="2:5" x14ac:dyDescent="0.55000000000000004">
      <c r="B392" s="18">
        <v>326</v>
      </c>
      <c r="C392" s="43">
        <v>135.97450902007185</v>
      </c>
      <c r="D392" s="18">
        <f t="shared" si="5"/>
        <v>326</v>
      </c>
      <c r="E392" s="43">
        <v>416.8767735911224</v>
      </c>
    </row>
    <row r="393" spans="2:5" x14ac:dyDescent="0.55000000000000004">
      <c r="B393" s="18">
        <v>327</v>
      </c>
      <c r="C393" s="43">
        <v>83.981225121172514</v>
      </c>
      <c r="D393" s="18">
        <f t="shared" si="5"/>
        <v>327</v>
      </c>
      <c r="E393" s="43">
        <v>6.3892060000164808</v>
      </c>
    </row>
    <row r="394" spans="2:5" x14ac:dyDescent="0.55000000000000004">
      <c r="B394" s="18">
        <v>328</v>
      </c>
      <c r="C394" s="43">
        <v>136.36559237423376</v>
      </c>
      <c r="D394" s="18">
        <f t="shared" si="5"/>
        <v>328</v>
      </c>
      <c r="E394" s="43">
        <v>144.72118282560197</v>
      </c>
    </row>
    <row r="395" spans="2:5" x14ac:dyDescent="0.55000000000000004">
      <c r="B395" s="18">
        <v>329</v>
      </c>
      <c r="C395" s="43">
        <v>133.30680994922966</v>
      </c>
      <c r="D395" s="18">
        <f t="shared" si="5"/>
        <v>329</v>
      </c>
      <c r="E395" s="43">
        <v>-254.8798394936577</v>
      </c>
    </row>
    <row r="396" spans="2:5" x14ac:dyDescent="0.55000000000000004">
      <c r="B396" s="18">
        <v>330</v>
      </c>
      <c r="C396" s="43">
        <v>2.7819330208913708</v>
      </c>
      <c r="D396" s="18">
        <f t="shared" si="5"/>
        <v>330</v>
      </c>
      <c r="E396" s="43">
        <v>166.22937979325945</v>
      </c>
    </row>
    <row r="397" spans="2:5" x14ac:dyDescent="0.55000000000000004">
      <c r="B397" s="18">
        <v>331</v>
      </c>
      <c r="C397" s="43">
        <v>87.235018619852355</v>
      </c>
      <c r="D397" s="18">
        <f t="shared" si="5"/>
        <v>331</v>
      </c>
      <c r="E397" s="43">
        <v>38.366068896827251</v>
      </c>
    </row>
    <row r="398" spans="2:5" x14ac:dyDescent="0.55000000000000004">
      <c r="B398" s="18">
        <v>332</v>
      </c>
      <c r="C398" s="43">
        <v>144.12059191623354</v>
      </c>
      <c r="D398" s="18">
        <f t="shared" si="5"/>
        <v>332</v>
      </c>
      <c r="E398" s="43">
        <v>229.22141681647872</v>
      </c>
    </row>
    <row r="399" spans="2:5" x14ac:dyDescent="0.55000000000000004">
      <c r="B399" s="18">
        <v>333</v>
      </c>
      <c r="C399" s="43">
        <v>141.74301540131958</v>
      </c>
      <c r="D399" s="18">
        <f t="shared" si="5"/>
        <v>333</v>
      </c>
      <c r="E399" s="43">
        <v>14.323232999250109</v>
      </c>
    </row>
    <row r="400" spans="2:5" x14ac:dyDescent="0.55000000000000004">
      <c r="B400" s="18">
        <v>334</v>
      </c>
      <c r="C400" s="43">
        <v>155.85540708934349</v>
      </c>
      <c r="D400" s="18">
        <f t="shared" si="5"/>
        <v>334</v>
      </c>
      <c r="E400" s="43">
        <v>308.75201949538149</v>
      </c>
    </row>
    <row r="401" spans="2:5" x14ac:dyDescent="0.55000000000000004">
      <c r="B401" s="18">
        <v>335</v>
      </c>
      <c r="C401" s="43">
        <v>88.521599652754773</v>
      </c>
      <c r="D401" s="18">
        <f t="shared" si="5"/>
        <v>335</v>
      </c>
      <c r="E401" s="43">
        <v>-136.14981716516351</v>
      </c>
    </row>
    <row r="402" spans="2:5" x14ac:dyDescent="0.55000000000000004">
      <c r="B402" s="18">
        <v>336</v>
      </c>
      <c r="C402" s="43">
        <v>123.38462802469705</v>
      </c>
      <c r="D402" s="18">
        <f t="shared" si="5"/>
        <v>336</v>
      </c>
      <c r="E402" s="43">
        <v>-92.656699619188998</v>
      </c>
    </row>
    <row r="403" spans="2:5" x14ac:dyDescent="0.55000000000000004">
      <c r="B403" s="18">
        <v>337</v>
      </c>
      <c r="C403" s="43">
        <v>106.70063189443117</v>
      </c>
      <c r="D403" s="18">
        <f t="shared" si="5"/>
        <v>337</v>
      </c>
      <c r="E403" s="43">
        <v>147.72740717413717</v>
      </c>
    </row>
    <row r="404" spans="2:5" x14ac:dyDescent="0.55000000000000004">
      <c r="B404" s="18">
        <v>338</v>
      </c>
      <c r="C404" s="43">
        <v>118.10286385247389</v>
      </c>
      <c r="D404" s="18">
        <f t="shared" si="5"/>
        <v>338</v>
      </c>
      <c r="E404" s="43">
        <v>86.360495299275328</v>
      </c>
    </row>
    <row r="405" spans="2:5" x14ac:dyDescent="0.55000000000000004">
      <c r="B405" s="18">
        <v>339</v>
      </c>
      <c r="C405" s="43">
        <v>191.19205769426154</v>
      </c>
      <c r="D405" s="18">
        <f t="shared" si="5"/>
        <v>339</v>
      </c>
      <c r="E405" s="43">
        <v>-31.021312033975761</v>
      </c>
    </row>
    <row r="406" spans="2:5" x14ac:dyDescent="0.55000000000000004">
      <c r="B406" s="18">
        <v>340</v>
      </c>
      <c r="C406" s="43">
        <v>-1.4641687079111445</v>
      </c>
      <c r="D406" s="18">
        <f t="shared" si="5"/>
        <v>340</v>
      </c>
      <c r="E406" s="43">
        <v>331.75757984419891</v>
      </c>
    </row>
    <row r="407" spans="2:5" x14ac:dyDescent="0.55000000000000004">
      <c r="B407" s="18">
        <v>341</v>
      </c>
      <c r="C407" s="43">
        <v>151.64676250918782</v>
      </c>
      <c r="D407" s="18">
        <f t="shared" si="5"/>
        <v>341</v>
      </c>
      <c r="E407" s="43">
        <v>140.88704448188457</v>
      </c>
    </row>
    <row r="408" spans="2:5" x14ac:dyDescent="0.55000000000000004">
      <c r="B408" s="18">
        <v>342</v>
      </c>
      <c r="C408" s="43">
        <v>74.641943653257755</v>
      </c>
      <c r="D408" s="18">
        <f t="shared" si="5"/>
        <v>342</v>
      </c>
      <c r="E408" s="43">
        <v>194.80914209519108</v>
      </c>
    </row>
    <row r="409" spans="2:5" x14ac:dyDescent="0.55000000000000004">
      <c r="B409" s="18">
        <v>343</v>
      </c>
      <c r="C409" s="43">
        <v>126.951708124752</v>
      </c>
      <c r="D409" s="18">
        <f t="shared" si="5"/>
        <v>343</v>
      </c>
      <c r="E409" s="43">
        <v>244.60324543269945</v>
      </c>
    </row>
    <row r="410" spans="2:5" x14ac:dyDescent="0.55000000000000004">
      <c r="B410" s="18">
        <v>344</v>
      </c>
      <c r="C410" s="43">
        <v>119.97624057956197</v>
      </c>
      <c r="D410" s="18">
        <f t="shared" si="5"/>
        <v>344</v>
      </c>
      <c r="E410" s="43">
        <v>-185.415967184186</v>
      </c>
    </row>
    <row r="411" spans="2:5" x14ac:dyDescent="0.55000000000000004">
      <c r="B411" s="18">
        <v>345</v>
      </c>
      <c r="C411" s="43">
        <v>152.80405388364107</v>
      </c>
      <c r="D411" s="18">
        <f t="shared" si="5"/>
        <v>345</v>
      </c>
      <c r="E411" s="43">
        <v>114.36549871393159</v>
      </c>
    </row>
    <row r="412" spans="2:5" x14ac:dyDescent="0.55000000000000004">
      <c r="B412" s="18">
        <v>346</v>
      </c>
      <c r="C412" s="43">
        <v>108.01999489333596</v>
      </c>
      <c r="D412" s="18">
        <f t="shared" si="5"/>
        <v>346</v>
      </c>
      <c r="E412" s="43">
        <v>139.30910526072614</v>
      </c>
    </row>
    <row r="413" spans="2:5" x14ac:dyDescent="0.55000000000000004">
      <c r="B413" s="18">
        <v>347</v>
      </c>
      <c r="C413" s="43">
        <v>154.70019490448976</v>
      </c>
      <c r="D413" s="18">
        <f t="shared" si="5"/>
        <v>347</v>
      </c>
      <c r="E413" s="43">
        <v>-246.80235757549599</v>
      </c>
    </row>
    <row r="414" spans="2:5" x14ac:dyDescent="0.55000000000000004">
      <c r="B414" s="18">
        <v>348</v>
      </c>
      <c r="C414" s="43">
        <v>90.409583936299271</v>
      </c>
      <c r="D414" s="18">
        <f t="shared" si="5"/>
        <v>348</v>
      </c>
      <c r="E414" s="43">
        <v>163.76673246574831</v>
      </c>
    </row>
    <row r="415" spans="2:5" x14ac:dyDescent="0.55000000000000004">
      <c r="B415" s="18">
        <v>349</v>
      </c>
      <c r="C415" s="43">
        <v>154.37111248359298</v>
      </c>
      <c r="D415" s="18">
        <f t="shared" si="5"/>
        <v>349</v>
      </c>
      <c r="E415" s="43">
        <v>336.65941223736917</v>
      </c>
    </row>
    <row r="416" spans="2:5" x14ac:dyDescent="0.55000000000000004">
      <c r="B416" s="18">
        <v>350</v>
      </c>
      <c r="C416" s="43">
        <v>125.49441286823772</v>
      </c>
      <c r="D416" s="18">
        <f t="shared" si="5"/>
        <v>350</v>
      </c>
      <c r="E416" s="43">
        <v>201.25488983290887</v>
      </c>
    </row>
    <row r="417" spans="2:5" x14ac:dyDescent="0.55000000000000004">
      <c r="B417" s="18">
        <v>351</v>
      </c>
      <c r="C417" s="43">
        <v>164.53536129984676</v>
      </c>
      <c r="D417" s="18">
        <f t="shared" si="5"/>
        <v>351</v>
      </c>
      <c r="E417" s="43">
        <v>532.72606163101398</v>
      </c>
    </row>
    <row r="418" spans="2:5" x14ac:dyDescent="0.55000000000000004">
      <c r="B418" s="18">
        <v>352</v>
      </c>
      <c r="C418" s="43">
        <v>86.233146812975903</v>
      </c>
      <c r="D418" s="18">
        <f t="shared" si="5"/>
        <v>352</v>
      </c>
      <c r="E418" s="43">
        <v>145.60669313807756</v>
      </c>
    </row>
    <row r="419" spans="2:5" x14ac:dyDescent="0.55000000000000004">
      <c r="B419" s="18">
        <v>353</v>
      </c>
      <c r="C419" s="43">
        <v>162.26828694265453</v>
      </c>
      <c r="D419" s="18">
        <f t="shared" si="5"/>
        <v>353</v>
      </c>
      <c r="E419" s="43">
        <v>-211.02678097535173</v>
      </c>
    </row>
    <row r="420" spans="2:5" x14ac:dyDescent="0.55000000000000004">
      <c r="B420" s="18">
        <v>354</v>
      </c>
      <c r="C420" s="43">
        <v>110.0123840755908</v>
      </c>
      <c r="D420" s="18">
        <f t="shared" si="5"/>
        <v>354</v>
      </c>
      <c r="E420" s="43">
        <v>319.40336193365169</v>
      </c>
    </row>
    <row r="421" spans="2:5" x14ac:dyDescent="0.55000000000000004">
      <c r="B421" s="18">
        <v>355</v>
      </c>
      <c r="C421" s="43">
        <v>84.482689791192371</v>
      </c>
      <c r="D421" s="18">
        <f t="shared" si="5"/>
        <v>355</v>
      </c>
      <c r="E421" s="43">
        <v>276.4542110414119</v>
      </c>
    </row>
    <row r="422" spans="2:5" x14ac:dyDescent="0.55000000000000004">
      <c r="B422" s="18">
        <v>356</v>
      </c>
      <c r="C422" s="43">
        <v>153.41640265412752</v>
      </c>
      <c r="D422" s="18">
        <f t="shared" si="5"/>
        <v>356</v>
      </c>
      <c r="E422" s="43">
        <v>185.81006805652044</v>
      </c>
    </row>
    <row r="423" spans="2:5" x14ac:dyDescent="0.55000000000000004">
      <c r="B423" s="18">
        <v>357</v>
      </c>
      <c r="C423" s="43">
        <v>55.373203781423925</v>
      </c>
      <c r="D423" s="18">
        <f t="shared" si="5"/>
        <v>357</v>
      </c>
      <c r="E423" s="43">
        <v>258.00148366987895</v>
      </c>
    </row>
    <row r="424" spans="2:5" x14ac:dyDescent="0.55000000000000004">
      <c r="B424" s="18">
        <v>358</v>
      </c>
      <c r="C424" s="43">
        <v>141.19433045958669</v>
      </c>
      <c r="D424" s="18">
        <f t="shared" si="5"/>
        <v>358</v>
      </c>
      <c r="E424" s="43">
        <v>-94.624166381561949</v>
      </c>
    </row>
    <row r="425" spans="2:5" x14ac:dyDescent="0.55000000000000004">
      <c r="B425" s="18">
        <v>359</v>
      </c>
      <c r="C425" s="43">
        <v>119.55547604853788</v>
      </c>
      <c r="D425" s="18">
        <f t="shared" si="5"/>
        <v>359</v>
      </c>
      <c r="E425" s="43">
        <v>102.05394178073034</v>
      </c>
    </row>
    <row r="426" spans="2:5" x14ac:dyDescent="0.55000000000000004">
      <c r="B426" s="18">
        <v>360</v>
      </c>
      <c r="C426" s="43">
        <v>171.87917104293078</v>
      </c>
      <c r="D426" s="18">
        <f t="shared" si="5"/>
        <v>360</v>
      </c>
      <c r="E426" s="43">
        <v>108.61731450718696</v>
      </c>
    </row>
    <row r="427" spans="2:5" x14ac:dyDescent="0.55000000000000004">
      <c r="B427" s="18">
        <v>361</v>
      </c>
      <c r="C427" s="43">
        <v>155.51215362232145</v>
      </c>
      <c r="D427" s="18">
        <f t="shared" si="5"/>
        <v>361</v>
      </c>
      <c r="E427" s="43">
        <v>84.367635692974233</v>
      </c>
    </row>
    <row r="428" spans="2:5" x14ac:dyDescent="0.55000000000000004">
      <c r="B428" s="18">
        <v>362</v>
      </c>
      <c r="C428" s="43">
        <v>121.25577161517533</v>
      </c>
      <c r="D428" s="18">
        <f t="shared" si="5"/>
        <v>362</v>
      </c>
      <c r="E428" s="43">
        <v>251.28469203326881</v>
      </c>
    </row>
    <row r="429" spans="2:5" x14ac:dyDescent="0.55000000000000004">
      <c r="B429" s="18">
        <v>363</v>
      </c>
      <c r="C429" s="43">
        <v>159.90706868372578</v>
      </c>
      <c r="D429" s="18">
        <f t="shared" si="5"/>
        <v>363</v>
      </c>
      <c r="E429" s="43">
        <v>271.28143139498854</v>
      </c>
    </row>
    <row r="430" spans="2:5" x14ac:dyDescent="0.55000000000000004">
      <c r="B430" s="18">
        <v>364</v>
      </c>
      <c r="C430" s="43">
        <v>150.49551091071817</v>
      </c>
      <c r="D430" s="18">
        <f t="shared" si="5"/>
        <v>364</v>
      </c>
      <c r="E430" s="43">
        <v>493.25779896434261</v>
      </c>
    </row>
    <row r="431" spans="2:5" x14ac:dyDescent="0.55000000000000004">
      <c r="B431" s="18">
        <v>365</v>
      </c>
      <c r="C431" s="43">
        <v>191.08862788763548</v>
      </c>
      <c r="D431" s="18">
        <f t="shared" si="5"/>
        <v>365</v>
      </c>
      <c r="E431" s="43">
        <v>295.10395369709943</v>
      </c>
    </row>
    <row r="432" spans="2:5" x14ac:dyDescent="0.55000000000000004">
      <c r="B432" s="18">
        <v>366</v>
      </c>
      <c r="C432" s="43">
        <v>204.42508934986228</v>
      </c>
      <c r="D432" s="18">
        <f t="shared" si="5"/>
        <v>366</v>
      </c>
      <c r="E432" s="43">
        <v>212.3340110521107</v>
      </c>
    </row>
    <row r="433" spans="2:5" x14ac:dyDescent="0.55000000000000004">
      <c r="B433" s="18">
        <v>367</v>
      </c>
      <c r="C433" s="43">
        <v>81.328380952532086</v>
      </c>
      <c r="D433" s="18">
        <f t="shared" si="5"/>
        <v>367</v>
      </c>
      <c r="E433" s="43">
        <v>71.497132644991325</v>
      </c>
    </row>
    <row r="434" spans="2:5" x14ac:dyDescent="0.55000000000000004">
      <c r="B434" s="18">
        <v>368</v>
      </c>
      <c r="C434" s="43">
        <v>97.494260023987835</v>
      </c>
      <c r="D434" s="18">
        <f t="shared" si="5"/>
        <v>368</v>
      </c>
      <c r="E434" s="43">
        <v>503.78373309507663</v>
      </c>
    </row>
    <row r="435" spans="2:5" x14ac:dyDescent="0.55000000000000004">
      <c r="B435" s="18">
        <v>369</v>
      </c>
      <c r="C435" s="43">
        <v>202.12459026789335</v>
      </c>
      <c r="D435" s="18">
        <f t="shared" si="5"/>
        <v>369</v>
      </c>
      <c r="E435" s="43">
        <v>343.1823630059356</v>
      </c>
    </row>
    <row r="436" spans="2:5" x14ac:dyDescent="0.55000000000000004">
      <c r="B436" s="18">
        <v>370</v>
      </c>
      <c r="C436" s="43">
        <v>109.95217107693377</v>
      </c>
      <c r="D436" s="18">
        <f t="shared" si="5"/>
        <v>370</v>
      </c>
      <c r="E436" s="43">
        <v>176.64523168500054</v>
      </c>
    </row>
    <row r="437" spans="2:5" x14ac:dyDescent="0.55000000000000004">
      <c r="B437" s="18">
        <v>371</v>
      </c>
      <c r="C437" s="43">
        <v>146.99555533979407</v>
      </c>
      <c r="D437" s="18">
        <f t="shared" si="5"/>
        <v>371</v>
      </c>
      <c r="E437" s="43">
        <v>-51.771189070051172</v>
      </c>
    </row>
    <row r="438" spans="2:5" x14ac:dyDescent="0.55000000000000004">
      <c r="B438" s="18">
        <v>372</v>
      </c>
      <c r="C438" s="43">
        <v>103.24435228108855</v>
      </c>
      <c r="D438" s="18">
        <f t="shared" si="5"/>
        <v>372</v>
      </c>
      <c r="E438" s="43">
        <v>-17.1107036806997</v>
      </c>
    </row>
    <row r="439" spans="2:5" x14ac:dyDescent="0.55000000000000004">
      <c r="B439" s="18">
        <v>373</v>
      </c>
      <c r="C439" s="43">
        <v>8.4192048347687134</v>
      </c>
      <c r="D439" s="18">
        <f t="shared" si="5"/>
        <v>373</v>
      </c>
      <c r="E439" s="43">
        <v>268.44427278088767</v>
      </c>
    </row>
    <row r="440" spans="2:5" x14ac:dyDescent="0.55000000000000004">
      <c r="B440" s="18">
        <v>374</v>
      </c>
      <c r="C440" s="43">
        <v>147.39292094954325</v>
      </c>
      <c r="D440" s="18">
        <f t="shared" si="5"/>
        <v>374</v>
      </c>
      <c r="E440" s="43">
        <v>177.50064126646015</v>
      </c>
    </row>
    <row r="441" spans="2:5" x14ac:dyDescent="0.55000000000000004">
      <c r="B441" s="18">
        <v>375</v>
      </c>
      <c r="C441" s="43">
        <v>-173.99636264742057</v>
      </c>
      <c r="D441" s="18">
        <f t="shared" si="5"/>
        <v>375</v>
      </c>
      <c r="E441" s="43">
        <v>584.71949797176683</v>
      </c>
    </row>
    <row r="442" spans="2:5" x14ac:dyDescent="0.55000000000000004">
      <c r="B442" s="18">
        <v>376</v>
      </c>
      <c r="C442" s="43">
        <v>35.171166891043619</v>
      </c>
      <c r="D442" s="18">
        <f t="shared" si="5"/>
        <v>376</v>
      </c>
      <c r="E442" s="43">
        <v>-337.04139101309511</v>
      </c>
    </row>
    <row r="443" spans="2:5" x14ac:dyDescent="0.55000000000000004">
      <c r="B443" s="18">
        <v>377</v>
      </c>
      <c r="C443" s="43">
        <v>86.813724781691363</v>
      </c>
      <c r="D443" s="18">
        <f t="shared" si="5"/>
        <v>377</v>
      </c>
      <c r="E443" s="43">
        <v>151.08182959867457</v>
      </c>
    </row>
    <row r="444" spans="2:5" x14ac:dyDescent="0.55000000000000004">
      <c r="B444" s="18">
        <v>378</v>
      </c>
      <c r="C444" s="43">
        <v>11.033700440099109</v>
      </c>
      <c r="D444" s="18">
        <f t="shared" si="5"/>
        <v>378</v>
      </c>
      <c r="E444" s="43">
        <v>129.12251499375023</v>
      </c>
    </row>
    <row r="445" spans="2:5" x14ac:dyDescent="0.55000000000000004">
      <c r="B445" s="18">
        <v>379</v>
      </c>
      <c r="C445" s="43">
        <v>19.605392150822404</v>
      </c>
      <c r="D445" s="18">
        <f t="shared" si="5"/>
        <v>379</v>
      </c>
      <c r="E445" s="43">
        <v>-52.732705509237064</v>
      </c>
    </row>
    <row r="446" spans="2:5" x14ac:dyDescent="0.55000000000000004">
      <c r="B446" s="18">
        <v>380</v>
      </c>
      <c r="C446" s="43">
        <v>161.35646604741444</v>
      </c>
      <c r="D446" s="18">
        <f t="shared" si="5"/>
        <v>380</v>
      </c>
      <c r="E446" s="43">
        <v>-164.47863301838547</v>
      </c>
    </row>
    <row r="447" spans="2:5" x14ac:dyDescent="0.55000000000000004">
      <c r="B447" s="18">
        <v>381</v>
      </c>
      <c r="C447" s="43">
        <v>42.577453295697708</v>
      </c>
      <c r="D447" s="18">
        <f t="shared" si="5"/>
        <v>381</v>
      </c>
      <c r="E447" s="43">
        <v>63.669235355781709</v>
      </c>
    </row>
    <row r="448" spans="2:5" x14ac:dyDescent="0.55000000000000004">
      <c r="B448" s="18">
        <v>382</v>
      </c>
      <c r="C448" s="43">
        <v>139.36946767526121</v>
      </c>
      <c r="D448" s="18">
        <f t="shared" si="5"/>
        <v>382</v>
      </c>
      <c r="E448" s="43">
        <v>111.82380136051896</v>
      </c>
    </row>
    <row r="449" spans="2:5" x14ac:dyDescent="0.55000000000000004">
      <c r="B449" s="18">
        <v>383</v>
      </c>
      <c r="C449" s="43">
        <v>61.174318725686113</v>
      </c>
      <c r="D449" s="18">
        <f t="shared" si="5"/>
        <v>383</v>
      </c>
      <c r="E449" s="43">
        <v>-109.43995782661884</v>
      </c>
    </row>
    <row r="450" spans="2:5" x14ac:dyDescent="0.55000000000000004">
      <c r="B450" s="18">
        <v>384</v>
      </c>
      <c r="C450" s="43">
        <v>118.2234480962497</v>
      </c>
      <c r="D450" s="18">
        <f t="shared" si="5"/>
        <v>384</v>
      </c>
      <c r="E450" s="43">
        <v>40.458234385076665</v>
      </c>
    </row>
    <row r="451" spans="2:5" x14ac:dyDescent="0.55000000000000004">
      <c r="B451" s="18">
        <v>385</v>
      </c>
      <c r="C451" s="43">
        <v>27.281255261011758</v>
      </c>
      <c r="D451" s="18">
        <f t="shared" si="5"/>
        <v>385</v>
      </c>
      <c r="E451" s="43">
        <v>150.03856644433739</v>
      </c>
    </row>
    <row r="452" spans="2:5" x14ac:dyDescent="0.55000000000000004">
      <c r="B452" s="18">
        <v>386</v>
      </c>
      <c r="C452" s="43">
        <v>116.35305758838986</v>
      </c>
      <c r="D452" s="18">
        <f t="shared" si="5"/>
        <v>386</v>
      </c>
      <c r="E452" s="43">
        <v>97.062358502621947</v>
      </c>
    </row>
    <row r="453" spans="2:5" x14ac:dyDescent="0.55000000000000004">
      <c r="B453" s="18">
        <v>387</v>
      </c>
      <c r="C453" s="43">
        <v>-67.319312034454839</v>
      </c>
      <c r="D453" s="18">
        <f t="shared" ref="D453:D516" si="6">B453</f>
        <v>387</v>
      </c>
      <c r="E453" s="43">
        <v>153.73618499512583</v>
      </c>
    </row>
    <row r="454" spans="2:5" x14ac:dyDescent="0.55000000000000004">
      <c r="B454" s="18">
        <v>388</v>
      </c>
      <c r="C454" s="43">
        <v>114.92359406618246</v>
      </c>
      <c r="D454" s="18">
        <f t="shared" si="6"/>
        <v>388</v>
      </c>
      <c r="E454" s="43">
        <v>101.71014464421019</v>
      </c>
    </row>
    <row r="455" spans="2:5" x14ac:dyDescent="0.55000000000000004">
      <c r="B455" s="18">
        <v>389</v>
      </c>
      <c r="C455" s="43">
        <v>124.16360482559932</v>
      </c>
      <c r="D455" s="18">
        <f t="shared" si="6"/>
        <v>389</v>
      </c>
      <c r="E455" s="43">
        <v>213.41805794406386</v>
      </c>
    </row>
    <row r="456" spans="2:5" x14ac:dyDescent="0.55000000000000004">
      <c r="B456" s="18">
        <v>390</v>
      </c>
      <c r="C456" s="43">
        <v>112.94824197060618</v>
      </c>
      <c r="D456" s="18">
        <f t="shared" si="6"/>
        <v>390</v>
      </c>
      <c r="E456" s="43">
        <v>-37.894793953863044</v>
      </c>
    </row>
    <row r="457" spans="2:5" x14ac:dyDescent="0.55000000000000004">
      <c r="B457" s="18">
        <v>391</v>
      </c>
      <c r="C457" s="43">
        <v>148.49188208933879</v>
      </c>
      <c r="D457" s="18">
        <f t="shared" si="6"/>
        <v>391</v>
      </c>
      <c r="E457" s="43">
        <v>303.98281635635357</v>
      </c>
    </row>
    <row r="458" spans="2:5" x14ac:dyDescent="0.55000000000000004">
      <c r="B458" s="18">
        <v>392</v>
      </c>
      <c r="C458" s="43">
        <v>123.94154756705159</v>
      </c>
      <c r="D458" s="18">
        <f t="shared" si="6"/>
        <v>392</v>
      </c>
      <c r="E458" s="43">
        <v>29.042005836385886</v>
      </c>
    </row>
    <row r="459" spans="2:5" x14ac:dyDescent="0.55000000000000004">
      <c r="B459" s="18">
        <v>393</v>
      </c>
      <c r="C459" s="43">
        <v>190.36572011886366</v>
      </c>
      <c r="D459" s="18">
        <f t="shared" si="6"/>
        <v>393</v>
      </c>
      <c r="E459" s="43">
        <v>176.7713480001093</v>
      </c>
    </row>
    <row r="460" spans="2:5" x14ac:dyDescent="0.55000000000000004">
      <c r="B460" s="18">
        <v>394</v>
      </c>
      <c r="C460" s="43">
        <v>85.064397347319243</v>
      </c>
      <c r="D460" s="18">
        <f t="shared" si="6"/>
        <v>394</v>
      </c>
      <c r="E460" s="43">
        <v>225.51611931965022</v>
      </c>
    </row>
    <row r="461" spans="2:5" x14ac:dyDescent="0.55000000000000004">
      <c r="B461" s="18">
        <v>395</v>
      </c>
      <c r="C461" s="43">
        <v>85.960857321820114</v>
      </c>
      <c r="D461" s="18">
        <f t="shared" si="6"/>
        <v>395</v>
      </c>
      <c r="E461" s="43">
        <v>283.3049751938247</v>
      </c>
    </row>
    <row r="462" spans="2:5" x14ac:dyDescent="0.55000000000000004">
      <c r="B462" s="18">
        <v>396</v>
      </c>
      <c r="C462" s="43">
        <v>94.594683971789721</v>
      </c>
      <c r="D462" s="18">
        <f t="shared" si="6"/>
        <v>396</v>
      </c>
      <c r="E462" s="43">
        <v>164.36767711751472</v>
      </c>
    </row>
    <row r="463" spans="2:5" x14ac:dyDescent="0.55000000000000004">
      <c r="B463" s="18">
        <v>397</v>
      </c>
      <c r="C463" s="43">
        <v>66.792026838225837</v>
      </c>
      <c r="D463" s="18">
        <f t="shared" si="6"/>
        <v>397</v>
      </c>
      <c r="E463" s="43">
        <v>175.56843728183367</v>
      </c>
    </row>
    <row r="464" spans="2:5" x14ac:dyDescent="0.55000000000000004">
      <c r="B464" s="18">
        <v>398</v>
      </c>
      <c r="C464" s="43">
        <v>97.150113961602699</v>
      </c>
      <c r="D464" s="18">
        <f t="shared" si="6"/>
        <v>398</v>
      </c>
      <c r="E464" s="43">
        <v>48.358026090321673</v>
      </c>
    </row>
    <row r="465" spans="2:5" x14ac:dyDescent="0.55000000000000004">
      <c r="B465" s="18">
        <v>399</v>
      </c>
      <c r="C465" s="43">
        <v>142.32534435939027</v>
      </c>
      <c r="D465" s="18">
        <f t="shared" si="6"/>
        <v>399</v>
      </c>
      <c r="E465" s="43">
        <v>-162.52236303244817</v>
      </c>
    </row>
    <row r="466" spans="2:5" x14ac:dyDescent="0.55000000000000004">
      <c r="B466" s="18">
        <v>400</v>
      </c>
      <c r="C466" s="43">
        <v>64.787825074653526</v>
      </c>
      <c r="D466" s="18">
        <f t="shared" si="6"/>
        <v>400</v>
      </c>
      <c r="E466" s="43">
        <v>-31.47464472082326</v>
      </c>
    </row>
    <row r="467" spans="2:5" x14ac:dyDescent="0.55000000000000004">
      <c r="B467" s="18">
        <v>401</v>
      </c>
      <c r="C467" s="43">
        <v>118.7218500002363</v>
      </c>
      <c r="D467" s="18">
        <f t="shared" si="6"/>
        <v>401</v>
      </c>
      <c r="E467" s="43">
        <v>19.72764462204843</v>
      </c>
    </row>
    <row r="468" spans="2:5" x14ac:dyDescent="0.55000000000000004">
      <c r="B468" s="18">
        <v>402</v>
      </c>
      <c r="C468" s="43">
        <v>186.35359629468289</v>
      </c>
      <c r="D468" s="18">
        <f t="shared" si="6"/>
        <v>402</v>
      </c>
      <c r="E468" s="43">
        <v>112.60062700944013</v>
      </c>
    </row>
    <row r="469" spans="2:5" x14ac:dyDescent="0.55000000000000004">
      <c r="B469" s="18">
        <v>403</v>
      </c>
      <c r="C469" s="43">
        <v>82.253269679522916</v>
      </c>
      <c r="D469" s="18">
        <f t="shared" si="6"/>
        <v>403</v>
      </c>
      <c r="E469" s="43">
        <v>406.30541026549059</v>
      </c>
    </row>
    <row r="470" spans="2:5" x14ac:dyDescent="0.55000000000000004">
      <c r="B470" s="18">
        <v>404</v>
      </c>
      <c r="C470" s="43">
        <v>150.92699041752115</v>
      </c>
      <c r="D470" s="18">
        <f t="shared" si="6"/>
        <v>404</v>
      </c>
      <c r="E470" s="43">
        <v>196.2148835725817</v>
      </c>
    </row>
    <row r="471" spans="2:5" x14ac:dyDescent="0.55000000000000004">
      <c r="B471" s="18">
        <v>405</v>
      </c>
      <c r="C471" s="43">
        <v>162.59315174578487</v>
      </c>
      <c r="D471" s="18">
        <f t="shared" si="6"/>
        <v>405</v>
      </c>
      <c r="E471" s="43">
        <v>173.98695921612367</v>
      </c>
    </row>
    <row r="472" spans="2:5" x14ac:dyDescent="0.55000000000000004">
      <c r="B472" s="18">
        <v>406</v>
      </c>
      <c r="C472" s="43">
        <v>11.329260666112988</v>
      </c>
      <c r="D472" s="18">
        <f t="shared" si="6"/>
        <v>406</v>
      </c>
      <c r="E472" s="43">
        <v>146.28672815099836</v>
      </c>
    </row>
    <row r="473" spans="2:5" x14ac:dyDescent="0.55000000000000004">
      <c r="B473" s="18">
        <v>407</v>
      </c>
      <c r="C473" s="43">
        <v>76.268287365641683</v>
      </c>
      <c r="D473" s="18">
        <f t="shared" si="6"/>
        <v>407</v>
      </c>
      <c r="E473" s="43">
        <v>417.88239722439522</v>
      </c>
    </row>
    <row r="474" spans="2:5" x14ac:dyDescent="0.55000000000000004">
      <c r="B474" s="18">
        <v>408</v>
      </c>
      <c r="C474" s="43">
        <v>143.03817985589268</v>
      </c>
      <c r="D474" s="18">
        <f t="shared" si="6"/>
        <v>408</v>
      </c>
      <c r="E474" s="43">
        <v>284.85476976589842</v>
      </c>
    </row>
    <row r="475" spans="2:5" x14ac:dyDescent="0.55000000000000004">
      <c r="B475" s="18">
        <v>409</v>
      </c>
      <c r="C475" s="43">
        <v>107.3067586210218</v>
      </c>
      <c r="D475" s="18">
        <f t="shared" si="6"/>
        <v>409</v>
      </c>
      <c r="E475" s="43">
        <v>498.73193982260881</v>
      </c>
    </row>
    <row r="476" spans="2:5" x14ac:dyDescent="0.55000000000000004">
      <c r="B476" s="18">
        <v>410</v>
      </c>
      <c r="C476" s="43">
        <v>151.34733036883981</v>
      </c>
      <c r="D476" s="18">
        <f t="shared" si="6"/>
        <v>410</v>
      </c>
      <c r="E476" s="43">
        <v>320.8905460441427</v>
      </c>
    </row>
    <row r="477" spans="2:5" x14ac:dyDescent="0.55000000000000004">
      <c r="B477" s="18">
        <v>411</v>
      </c>
      <c r="C477" s="43">
        <v>146.97957074277824</v>
      </c>
      <c r="D477" s="18">
        <f t="shared" si="6"/>
        <v>411</v>
      </c>
      <c r="E477" s="43">
        <v>123.99511060288675</v>
      </c>
    </row>
    <row r="478" spans="2:5" x14ac:dyDescent="0.55000000000000004">
      <c r="B478" s="18">
        <v>412</v>
      </c>
      <c r="C478" s="43">
        <v>126.0363799664545</v>
      </c>
      <c r="D478" s="18">
        <f t="shared" si="6"/>
        <v>412</v>
      </c>
      <c r="E478" s="43">
        <v>185.3863298905695</v>
      </c>
    </row>
    <row r="479" spans="2:5" x14ac:dyDescent="0.55000000000000004">
      <c r="B479" s="18">
        <v>413</v>
      </c>
      <c r="C479" s="43">
        <v>-56.539124840133454</v>
      </c>
      <c r="D479" s="18">
        <f t="shared" si="6"/>
        <v>413</v>
      </c>
      <c r="E479" s="43">
        <v>224.72346113708562</v>
      </c>
    </row>
    <row r="480" spans="2:5" x14ac:dyDescent="0.55000000000000004">
      <c r="B480" s="18">
        <v>414</v>
      </c>
      <c r="C480" s="43">
        <v>96.627160783833659</v>
      </c>
      <c r="D480" s="18">
        <f t="shared" si="6"/>
        <v>414</v>
      </c>
      <c r="E480" s="43">
        <v>109.0611739773237</v>
      </c>
    </row>
    <row r="481" spans="2:5" x14ac:dyDescent="0.55000000000000004">
      <c r="B481" s="18">
        <v>415</v>
      </c>
      <c r="C481" s="43">
        <v>118.18790186322909</v>
      </c>
      <c r="D481" s="18">
        <f t="shared" si="6"/>
        <v>415</v>
      </c>
      <c r="E481" s="43">
        <v>306.6159247703248</v>
      </c>
    </row>
    <row r="482" spans="2:5" x14ac:dyDescent="0.55000000000000004">
      <c r="B482" s="18">
        <v>416</v>
      </c>
      <c r="C482" s="43">
        <v>160.54779071795858</v>
      </c>
      <c r="D482" s="18">
        <f t="shared" si="6"/>
        <v>416</v>
      </c>
      <c r="E482" s="43">
        <v>260.44061551334721</v>
      </c>
    </row>
    <row r="483" spans="2:5" x14ac:dyDescent="0.55000000000000004">
      <c r="B483" s="18">
        <v>417</v>
      </c>
      <c r="C483" s="43">
        <v>144.20629142882973</v>
      </c>
      <c r="D483" s="18">
        <f t="shared" si="6"/>
        <v>417</v>
      </c>
      <c r="E483" s="43">
        <v>-59.626007358454068</v>
      </c>
    </row>
    <row r="484" spans="2:5" x14ac:dyDescent="0.55000000000000004">
      <c r="B484" s="18">
        <v>418</v>
      </c>
      <c r="C484" s="43">
        <v>186.14444051996105</v>
      </c>
      <c r="D484" s="18">
        <f t="shared" si="6"/>
        <v>418</v>
      </c>
      <c r="E484" s="43">
        <v>190.69698580835484</v>
      </c>
    </row>
    <row r="485" spans="2:5" x14ac:dyDescent="0.55000000000000004">
      <c r="B485" s="18">
        <v>419</v>
      </c>
      <c r="C485" s="43">
        <v>76.78920262303437</v>
      </c>
      <c r="D485" s="18">
        <f t="shared" si="6"/>
        <v>419</v>
      </c>
      <c r="E485" s="43">
        <v>247.80769885023383</v>
      </c>
    </row>
    <row r="486" spans="2:5" x14ac:dyDescent="0.55000000000000004">
      <c r="B486" s="18">
        <v>420</v>
      </c>
      <c r="C486" s="43">
        <v>117.12915387950423</v>
      </c>
      <c r="D486" s="18">
        <f t="shared" si="6"/>
        <v>420</v>
      </c>
      <c r="E486" s="43">
        <v>410.65069125485871</v>
      </c>
    </row>
    <row r="487" spans="2:5" x14ac:dyDescent="0.55000000000000004">
      <c r="B487" s="18">
        <v>421</v>
      </c>
      <c r="C487" s="43">
        <v>128.44401543315436</v>
      </c>
      <c r="D487" s="18">
        <f t="shared" si="6"/>
        <v>421</v>
      </c>
      <c r="E487" s="43">
        <v>229.49663825426401</v>
      </c>
    </row>
    <row r="488" spans="2:5" x14ac:dyDescent="0.55000000000000004">
      <c r="B488" s="18">
        <v>422</v>
      </c>
      <c r="C488" s="43">
        <v>133.57829197574185</v>
      </c>
      <c r="D488" s="18">
        <f t="shared" si="6"/>
        <v>422</v>
      </c>
      <c r="E488" s="43">
        <v>230.81191853632586</v>
      </c>
    </row>
    <row r="489" spans="2:5" x14ac:dyDescent="0.55000000000000004">
      <c r="B489" s="18">
        <v>423</v>
      </c>
      <c r="C489" s="43">
        <v>129.14377175251309</v>
      </c>
      <c r="D489" s="18">
        <f t="shared" si="6"/>
        <v>423</v>
      </c>
      <c r="E489" s="43">
        <v>217.86972475615471</v>
      </c>
    </row>
    <row r="490" spans="2:5" x14ac:dyDescent="0.55000000000000004">
      <c r="B490" s="18">
        <v>424</v>
      </c>
      <c r="C490" s="43">
        <v>164.09906327893944</v>
      </c>
      <c r="D490" s="18">
        <f t="shared" si="6"/>
        <v>424</v>
      </c>
      <c r="E490" s="43">
        <v>187.62568567039244</v>
      </c>
    </row>
    <row r="491" spans="2:5" x14ac:dyDescent="0.55000000000000004">
      <c r="B491" s="18">
        <v>425</v>
      </c>
      <c r="C491" s="43">
        <v>132.3988866082295</v>
      </c>
      <c r="D491" s="18">
        <f t="shared" si="6"/>
        <v>425</v>
      </c>
      <c r="E491" s="43">
        <v>-100.27811768797336</v>
      </c>
    </row>
    <row r="492" spans="2:5" x14ac:dyDescent="0.55000000000000004">
      <c r="B492" s="18">
        <v>426</v>
      </c>
      <c r="C492" s="43">
        <v>79.67503330504168</v>
      </c>
      <c r="D492" s="18">
        <f t="shared" si="6"/>
        <v>426</v>
      </c>
      <c r="E492" s="43">
        <v>-119.14880798943871</v>
      </c>
    </row>
    <row r="493" spans="2:5" x14ac:dyDescent="0.55000000000000004">
      <c r="B493" s="18">
        <v>427</v>
      </c>
      <c r="C493" s="43">
        <v>85.920860896728428</v>
      </c>
      <c r="D493" s="18">
        <f t="shared" si="6"/>
        <v>427</v>
      </c>
      <c r="E493" s="43">
        <v>-23.158924395653351</v>
      </c>
    </row>
    <row r="494" spans="2:5" x14ac:dyDescent="0.55000000000000004">
      <c r="B494" s="18">
        <v>428</v>
      </c>
      <c r="C494" s="43">
        <v>139.36941203705061</v>
      </c>
      <c r="D494" s="18">
        <f t="shared" si="6"/>
        <v>428</v>
      </c>
      <c r="E494" s="43">
        <v>169.752653065522</v>
      </c>
    </row>
    <row r="495" spans="2:5" x14ac:dyDescent="0.55000000000000004">
      <c r="B495" s="18">
        <v>429</v>
      </c>
      <c r="C495" s="43">
        <v>140.86205930481407</v>
      </c>
      <c r="D495" s="18">
        <f t="shared" si="6"/>
        <v>429</v>
      </c>
      <c r="E495" s="43">
        <v>111.19792149262923</v>
      </c>
    </row>
    <row r="496" spans="2:5" x14ac:dyDescent="0.55000000000000004">
      <c r="B496" s="18">
        <v>430</v>
      </c>
      <c r="C496" s="43">
        <v>112.06231619099484</v>
      </c>
      <c r="D496" s="18">
        <f t="shared" si="6"/>
        <v>430</v>
      </c>
      <c r="E496" s="43">
        <v>80.755839613305568</v>
      </c>
    </row>
    <row r="497" spans="2:5" x14ac:dyDescent="0.55000000000000004">
      <c r="B497" s="18">
        <v>431</v>
      </c>
      <c r="C497" s="43">
        <v>38.816078421420222</v>
      </c>
      <c r="D497" s="18">
        <f t="shared" si="6"/>
        <v>431</v>
      </c>
      <c r="E497" s="43">
        <v>153.38210916137245</v>
      </c>
    </row>
    <row r="498" spans="2:5" x14ac:dyDescent="0.55000000000000004">
      <c r="B498" s="18">
        <v>432</v>
      </c>
      <c r="C498" s="43">
        <v>120.4648356227236</v>
      </c>
      <c r="D498" s="18">
        <f t="shared" si="6"/>
        <v>432</v>
      </c>
      <c r="E498" s="43">
        <v>101.27396427318806</v>
      </c>
    </row>
    <row r="499" spans="2:5" x14ac:dyDescent="0.55000000000000004">
      <c r="B499" s="18">
        <v>433</v>
      </c>
      <c r="C499" s="43">
        <v>121.80374969447885</v>
      </c>
      <c r="D499" s="18">
        <f t="shared" si="6"/>
        <v>433</v>
      </c>
      <c r="E499" s="43">
        <v>67.598637065757629</v>
      </c>
    </row>
    <row r="500" spans="2:5" x14ac:dyDescent="0.55000000000000004">
      <c r="B500" s="18">
        <v>434</v>
      </c>
      <c r="C500" s="43">
        <v>107.11623408478536</v>
      </c>
      <c r="D500" s="18">
        <f t="shared" si="6"/>
        <v>434</v>
      </c>
      <c r="E500" s="43">
        <v>186.59637500624569</v>
      </c>
    </row>
    <row r="501" spans="2:5" x14ac:dyDescent="0.55000000000000004">
      <c r="B501" s="18">
        <v>435</v>
      </c>
      <c r="C501" s="43">
        <v>134.47459451690293</v>
      </c>
      <c r="D501" s="18">
        <f t="shared" si="6"/>
        <v>435</v>
      </c>
      <c r="E501" s="43">
        <v>163.39390358785155</v>
      </c>
    </row>
    <row r="502" spans="2:5" x14ac:dyDescent="0.55000000000000004">
      <c r="B502" s="18">
        <v>436</v>
      </c>
      <c r="C502" s="43">
        <v>103.08679669946578</v>
      </c>
      <c r="D502" s="18">
        <f t="shared" si="6"/>
        <v>436</v>
      </c>
      <c r="E502" s="43">
        <v>185.00277120649505</v>
      </c>
    </row>
    <row r="503" spans="2:5" x14ac:dyDescent="0.55000000000000004">
      <c r="B503" s="18">
        <v>437</v>
      </c>
      <c r="C503" s="43">
        <v>195.34005068369581</v>
      </c>
      <c r="D503" s="18">
        <f t="shared" si="6"/>
        <v>437</v>
      </c>
      <c r="E503" s="43">
        <v>261.08017945233632</v>
      </c>
    </row>
    <row r="504" spans="2:5" x14ac:dyDescent="0.55000000000000004">
      <c r="B504" s="18">
        <v>438</v>
      </c>
      <c r="C504" s="43">
        <v>176.41330572581063</v>
      </c>
      <c r="D504" s="18">
        <f t="shared" si="6"/>
        <v>438</v>
      </c>
      <c r="E504" s="43">
        <v>343.85596785053514</v>
      </c>
    </row>
    <row r="505" spans="2:5" x14ac:dyDescent="0.55000000000000004">
      <c r="B505" s="18">
        <v>439</v>
      </c>
      <c r="C505" s="43">
        <v>114.82430154224255</v>
      </c>
      <c r="D505" s="18">
        <f t="shared" si="6"/>
        <v>439</v>
      </c>
      <c r="E505" s="43">
        <v>186.35687881182562</v>
      </c>
    </row>
    <row r="506" spans="2:5" x14ac:dyDescent="0.55000000000000004">
      <c r="B506" s="18">
        <v>440</v>
      </c>
      <c r="C506" s="43">
        <v>83.892438633842545</v>
      </c>
      <c r="D506" s="18">
        <f t="shared" si="6"/>
        <v>440</v>
      </c>
      <c r="E506" s="43">
        <v>415.93822360087063</v>
      </c>
    </row>
    <row r="507" spans="2:5" x14ac:dyDescent="0.55000000000000004">
      <c r="B507" s="18">
        <v>441</v>
      </c>
      <c r="C507" s="43">
        <v>197.98391381761087</v>
      </c>
      <c r="D507" s="18">
        <f t="shared" si="6"/>
        <v>441</v>
      </c>
      <c r="E507" s="43">
        <v>75.008856109353204</v>
      </c>
    </row>
    <row r="508" spans="2:5" x14ac:dyDescent="0.55000000000000004">
      <c r="B508" s="18">
        <v>442</v>
      </c>
      <c r="C508" s="43">
        <v>143.37147025014428</v>
      </c>
      <c r="D508" s="18">
        <f t="shared" si="6"/>
        <v>442</v>
      </c>
      <c r="E508" s="43">
        <v>290.82558010043817</v>
      </c>
    </row>
    <row r="509" spans="2:5" x14ac:dyDescent="0.55000000000000004">
      <c r="B509" s="18">
        <v>443</v>
      </c>
      <c r="C509" s="43">
        <v>97.66019737509933</v>
      </c>
      <c r="D509" s="18">
        <f t="shared" si="6"/>
        <v>443</v>
      </c>
      <c r="E509" s="43">
        <v>40.879056385484461</v>
      </c>
    </row>
    <row r="510" spans="2:5" x14ac:dyDescent="0.55000000000000004">
      <c r="B510" s="18">
        <v>444</v>
      </c>
      <c r="C510" s="43">
        <v>-20.312127037132583</v>
      </c>
      <c r="D510" s="18">
        <f t="shared" si="6"/>
        <v>444</v>
      </c>
      <c r="E510" s="43">
        <v>193.09941518395732</v>
      </c>
    </row>
    <row r="511" spans="2:5" x14ac:dyDescent="0.55000000000000004">
      <c r="B511" s="18">
        <v>445</v>
      </c>
      <c r="C511" s="43">
        <v>212.08273054993214</v>
      </c>
      <c r="D511" s="18">
        <f t="shared" si="6"/>
        <v>445</v>
      </c>
      <c r="E511" s="43">
        <v>-42.710849609374854</v>
      </c>
    </row>
    <row r="512" spans="2:5" x14ac:dyDescent="0.55000000000000004">
      <c r="B512" s="18">
        <v>446</v>
      </c>
      <c r="C512" s="43">
        <v>138.56842575761686</v>
      </c>
      <c r="D512" s="18">
        <f t="shared" si="6"/>
        <v>446</v>
      </c>
      <c r="E512" s="43">
        <v>350.49029730667439</v>
      </c>
    </row>
    <row r="513" spans="2:5" x14ac:dyDescent="0.55000000000000004">
      <c r="B513" s="18">
        <v>447</v>
      </c>
      <c r="C513" s="43">
        <v>135.3344262395189</v>
      </c>
      <c r="D513" s="18">
        <f t="shared" si="6"/>
        <v>447</v>
      </c>
      <c r="E513" s="43">
        <v>174.47931723015043</v>
      </c>
    </row>
    <row r="514" spans="2:5" x14ac:dyDescent="0.55000000000000004">
      <c r="B514" s="18">
        <v>448</v>
      </c>
      <c r="C514" s="43">
        <v>106.24354746301842</v>
      </c>
      <c r="D514" s="18">
        <f t="shared" si="6"/>
        <v>448</v>
      </c>
      <c r="E514" s="43">
        <v>75.50318454549695</v>
      </c>
    </row>
    <row r="515" spans="2:5" x14ac:dyDescent="0.55000000000000004">
      <c r="B515" s="18">
        <v>449</v>
      </c>
      <c r="C515" s="43">
        <v>169.15417184655752</v>
      </c>
      <c r="D515" s="18">
        <f t="shared" si="6"/>
        <v>449</v>
      </c>
      <c r="E515" s="43">
        <v>-54.73933629221392</v>
      </c>
    </row>
    <row r="516" spans="2:5" x14ac:dyDescent="0.55000000000000004">
      <c r="B516" s="18">
        <v>450</v>
      </c>
      <c r="C516" s="43">
        <v>119.28941380597067</v>
      </c>
      <c r="D516" s="18">
        <f t="shared" si="6"/>
        <v>450</v>
      </c>
      <c r="E516" s="43">
        <v>134.63452325046742</v>
      </c>
    </row>
    <row r="517" spans="2:5" x14ac:dyDescent="0.55000000000000004">
      <c r="B517" s="18">
        <v>451</v>
      </c>
      <c r="C517" s="43">
        <v>124.86408985128067</v>
      </c>
      <c r="D517" s="18">
        <f t="shared" ref="D517:D566" si="7">B517</f>
        <v>451</v>
      </c>
      <c r="E517" s="43">
        <v>32.71960783604878</v>
      </c>
    </row>
    <row r="518" spans="2:5" x14ac:dyDescent="0.55000000000000004">
      <c r="B518" s="18">
        <v>452</v>
      </c>
      <c r="C518" s="43">
        <v>154.20504957222849</v>
      </c>
      <c r="D518" s="18">
        <f t="shared" si="7"/>
        <v>452</v>
      </c>
      <c r="E518" s="43">
        <v>-42.412126419313054</v>
      </c>
    </row>
    <row r="519" spans="2:5" x14ac:dyDescent="0.55000000000000004">
      <c r="B519" s="18">
        <v>453</v>
      </c>
      <c r="C519" s="43">
        <v>-2.213692793874515</v>
      </c>
      <c r="D519" s="18">
        <f t="shared" si="7"/>
        <v>453</v>
      </c>
      <c r="E519" s="43">
        <v>129.08052754043098</v>
      </c>
    </row>
    <row r="520" spans="2:5" x14ac:dyDescent="0.55000000000000004">
      <c r="B520" s="18">
        <v>454</v>
      </c>
      <c r="C520" s="43">
        <v>141.96181548822</v>
      </c>
      <c r="D520" s="18">
        <f t="shared" si="7"/>
        <v>454</v>
      </c>
      <c r="E520" s="43">
        <v>323.7947782851204</v>
      </c>
    </row>
    <row r="521" spans="2:5" x14ac:dyDescent="0.55000000000000004">
      <c r="B521" s="18">
        <v>455</v>
      </c>
      <c r="C521" s="43">
        <v>150.3805426498981</v>
      </c>
      <c r="D521" s="18">
        <f t="shared" si="7"/>
        <v>455</v>
      </c>
      <c r="E521" s="43">
        <v>269.19800168409404</v>
      </c>
    </row>
    <row r="522" spans="2:5" x14ac:dyDescent="0.55000000000000004">
      <c r="B522" s="18">
        <v>456</v>
      </c>
      <c r="C522" s="43">
        <v>59.310115613709343</v>
      </c>
      <c r="D522" s="18">
        <f t="shared" si="7"/>
        <v>456</v>
      </c>
      <c r="E522" s="43">
        <v>266.73862896042181</v>
      </c>
    </row>
    <row r="523" spans="2:5" x14ac:dyDescent="0.55000000000000004">
      <c r="B523" s="18">
        <v>457</v>
      </c>
      <c r="C523" s="43">
        <v>99.487076601923647</v>
      </c>
      <c r="D523" s="18">
        <f t="shared" si="7"/>
        <v>457</v>
      </c>
      <c r="E523" s="43">
        <v>337.94046459280202</v>
      </c>
    </row>
    <row r="524" spans="2:5" x14ac:dyDescent="0.55000000000000004">
      <c r="B524" s="18">
        <v>458</v>
      </c>
      <c r="C524" s="43">
        <v>118.24355520718537</v>
      </c>
      <c r="D524" s="18">
        <f t="shared" si="7"/>
        <v>458</v>
      </c>
      <c r="E524" s="43">
        <v>234.8552168591591</v>
      </c>
    </row>
    <row r="525" spans="2:5" x14ac:dyDescent="0.55000000000000004">
      <c r="B525" s="18">
        <v>459</v>
      </c>
      <c r="C525" s="43">
        <v>103.72050676260983</v>
      </c>
      <c r="D525" s="18">
        <f t="shared" si="7"/>
        <v>459</v>
      </c>
      <c r="E525" s="43">
        <v>-90.394930187521126</v>
      </c>
    </row>
    <row r="526" spans="2:5" x14ac:dyDescent="0.55000000000000004">
      <c r="B526" s="18">
        <v>460</v>
      </c>
      <c r="C526" s="43">
        <v>131.99604122154167</v>
      </c>
      <c r="D526" s="18">
        <f t="shared" si="7"/>
        <v>460</v>
      </c>
      <c r="E526" s="43">
        <v>118.23698996649686</v>
      </c>
    </row>
    <row r="527" spans="2:5" x14ac:dyDescent="0.55000000000000004">
      <c r="B527" s="18">
        <v>461</v>
      </c>
      <c r="C527" s="43">
        <v>61.277479193643629</v>
      </c>
      <c r="D527" s="18">
        <f t="shared" si="7"/>
        <v>461</v>
      </c>
      <c r="E527" s="43">
        <v>240.66177068883741</v>
      </c>
    </row>
    <row r="528" spans="2:5" x14ac:dyDescent="0.55000000000000004">
      <c r="B528" s="18">
        <v>462</v>
      </c>
      <c r="C528" s="43">
        <v>142.5711782351971</v>
      </c>
      <c r="D528" s="18">
        <f t="shared" si="7"/>
        <v>462</v>
      </c>
      <c r="E528" s="43">
        <v>29.743633337068481</v>
      </c>
    </row>
    <row r="529" spans="2:5" x14ac:dyDescent="0.55000000000000004">
      <c r="B529" s="18">
        <v>463</v>
      </c>
      <c r="C529" s="43">
        <v>65.738618230538833</v>
      </c>
      <c r="D529" s="18">
        <f t="shared" si="7"/>
        <v>463</v>
      </c>
      <c r="E529" s="43">
        <v>303.68641258724335</v>
      </c>
    </row>
    <row r="530" spans="2:5" x14ac:dyDescent="0.55000000000000004">
      <c r="B530" s="18">
        <v>464</v>
      </c>
      <c r="C530" s="43">
        <v>126.34251573130003</v>
      </c>
      <c r="D530" s="18">
        <f t="shared" si="7"/>
        <v>464</v>
      </c>
      <c r="E530" s="43">
        <v>-126.6474615550417</v>
      </c>
    </row>
    <row r="531" spans="2:5" x14ac:dyDescent="0.55000000000000004">
      <c r="B531" s="18">
        <v>465</v>
      </c>
      <c r="C531" s="43">
        <v>105.17910333447196</v>
      </c>
      <c r="D531" s="18">
        <f t="shared" si="7"/>
        <v>465</v>
      </c>
      <c r="E531" s="43">
        <v>-183.32365850220361</v>
      </c>
    </row>
    <row r="532" spans="2:5" x14ac:dyDescent="0.55000000000000004">
      <c r="B532" s="18">
        <v>466</v>
      </c>
      <c r="C532" s="43">
        <v>116.35661361785719</v>
      </c>
      <c r="D532" s="18">
        <f t="shared" si="7"/>
        <v>466</v>
      </c>
      <c r="E532" s="43">
        <v>240.10301453483982</v>
      </c>
    </row>
    <row r="533" spans="2:5" x14ac:dyDescent="0.55000000000000004">
      <c r="B533" s="18">
        <v>467</v>
      </c>
      <c r="C533" s="43">
        <v>27.909688264557094</v>
      </c>
      <c r="D533" s="18">
        <f t="shared" si="7"/>
        <v>467</v>
      </c>
      <c r="E533" s="43">
        <v>362.13881699847616</v>
      </c>
    </row>
    <row r="534" spans="2:5" x14ac:dyDescent="0.55000000000000004">
      <c r="B534" s="18">
        <v>468</v>
      </c>
      <c r="C534" s="43">
        <v>131.88635539805765</v>
      </c>
      <c r="D534" s="18">
        <f t="shared" si="7"/>
        <v>468</v>
      </c>
      <c r="E534" s="43">
        <v>129.54900596144802</v>
      </c>
    </row>
    <row r="535" spans="2:5" x14ac:dyDescent="0.55000000000000004">
      <c r="B535" s="18">
        <v>469</v>
      </c>
      <c r="C535" s="43">
        <v>158.24349810736712</v>
      </c>
      <c r="D535" s="18">
        <f t="shared" si="7"/>
        <v>469</v>
      </c>
      <c r="E535" s="43">
        <v>156.46290484314264</v>
      </c>
    </row>
    <row r="536" spans="2:5" x14ac:dyDescent="0.55000000000000004">
      <c r="B536" s="18">
        <v>470</v>
      </c>
      <c r="C536" s="43">
        <v>141.50063710811585</v>
      </c>
      <c r="D536" s="18">
        <f t="shared" si="7"/>
        <v>470</v>
      </c>
      <c r="E536" s="43">
        <v>29.510738190267556</v>
      </c>
    </row>
    <row r="537" spans="2:5" x14ac:dyDescent="0.55000000000000004">
      <c r="B537" s="18">
        <v>471</v>
      </c>
      <c r="C537" s="43">
        <v>112.02492679428924</v>
      </c>
      <c r="D537" s="18">
        <f t="shared" si="7"/>
        <v>471</v>
      </c>
      <c r="E537" s="43">
        <v>-259.32609648829407</v>
      </c>
    </row>
    <row r="538" spans="2:5" x14ac:dyDescent="0.55000000000000004">
      <c r="B538" s="18">
        <v>472</v>
      </c>
      <c r="C538" s="43">
        <v>5.9951069261480647</v>
      </c>
      <c r="D538" s="18">
        <f t="shared" si="7"/>
        <v>472</v>
      </c>
      <c r="E538" s="43">
        <v>39.203469349640031</v>
      </c>
    </row>
    <row r="539" spans="2:5" x14ac:dyDescent="0.55000000000000004">
      <c r="B539" s="18">
        <v>473</v>
      </c>
      <c r="C539" s="43">
        <v>102.28300917964395</v>
      </c>
      <c r="D539" s="18">
        <f t="shared" si="7"/>
        <v>473</v>
      </c>
      <c r="E539" s="43">
        <v>95.292474871647855</v>
      </c>
    </row>
    <row r="540" spans="2:5" x14ac:dyDescent="0.55000000000000004">
      <c r="B540" s="18">
        <v>474</v>
      </c>
      <c r="C540" s="43">
        <v>101.52731104462322</v>
      </c>
      <c r="D540" s="18">
        <f t="shared" si="7"/>
        <v>474</v>
      </c>
      <c r="E540" s="43">
        <v>239.9290532096324</v>
      </c>
    </row>
    <row r="541" spans="2:5" x14ac:dyDescent="0.55000000000000004">
      <c r="B541" s="18">
        <v>475</v>
      </c>
      <c r="C541" s="43">
        <v>-114.0630507104308</v>
      </c>
      <c r="D541" s="18">
        <f t="shared" si="7"/>
        <v>475</v>
      </c>
      <c r="E541" s="43">
        <v>-43.061755918930835</v>
      </c>
    </row>
    <row r="542" spans="2:5" x14ac:dyDescent="0.55000000000000004">
      <c r="B542" s="18">
        <v>476</v>
      </c>
      <c r="C542" s="43">
        <v>70.296226842359005</v>
      </c>
      <c r="D542" s="18">
        <f t="shared" si="7"/>
        <v>476</v>
      </c>
      <c r="E542" s="43">
        <v>200.56215831151792</v>
      </c>
    </row>
    <row r="543" spans="2:5" x14ac:dyDescent="0.55000000000000004">
      <c r="B543" s="18">
        <v>477</v>
      </c>
      <c r="C543" s="43">
        <v>136.59582683380029</v>
      </c>
      <c r="D543" s="18">
        <f t="shared" si="7"/>
        <v>477</v>
      </c>
      <c r="E543" s="43">
        <v>47.339838814657178</v>
      </c>
    </row>
    <row r="544" spans="2:5" x14ac:dyDescent="0.55000000000000004">
      <c r="B544" s="18">
        <v>478</v>
      </c>
      <c r="C544" s="43">
        <v>132.71030024579767</v>
      </c>
      <c r="D544" s="18">
        <f t="shared" si="7"/>
        <v>478</v>
      </c>
      <c r="E544" s="43">
        <v>17.3061941340818</v>
      </c>
    </row>
    <row r="545" spans="2:5" x14ac:dyDescent="0.55000000000000004">
      <c r="B545" s="18">
        <v>479</v>
      </c>
      <c r="C545" s="43">
        <v>168.4152737450483</v>
      </c>
      <c r="D545" s="18">
        <f t="shared" si="7"/>
        <v>479</v>
      </c>
      <c r="E545" s="43">
        <v>119.36857440833953</v>
      </c>
    </row>
    <row r="546" spans="2:5" x14ac:dyDescent="0.55000000000000004">
      <c r="B546" s="18">
        <v>480</v>
      </c>
      <c r="C546" s="43">
        <v>122.96313956814947</v>
      </c>
      <c r="D546" s="18">
        <f t="shared" si="7"/>
        <v>480</v>
      </c>
      <c r="E546" s="43">
        <v>152.758808282286</v>
      </c>
    </row>
    <row r="547" spans="2:5" x14ac:dyDescent="0.55000000000000004">
      <c r="B547" s="18">
        <v>481</v>
      </c>
      <c r="C547" s="43">
        <v>48.373232245569639</v>
      </c>
      <c r="D547" s="18">
        <f t="shared" si="7"/>
        <v>481</v>
      </c>
      <c r="E547" s="43">
        <v>168.51294624681856</v>
      </c>
    </row>
    <row r="548" spans="2:5" x14ac:dyDescent="0.55000000000000004">
      <c r="B548" s="18">
        <v>482</v>
      </c>
      <c r="C548" s="43">
        <v>62.881695378610083</v>
      </c>
      <c r="D548" s="18">
        <f t="shared" si="7"/>
        <v>482</v>
      </c>
      <c r="E548" s="43">
        <v>296.21018719311667</v>
      </c>
    </row>
    <row r="549" spans="2:5" x14ac:dyDescent="0.55000000000000004">
      <c r="B549" s="18">
        <v>483</v>
      </c>
      <c r="C549" s="43">
        <v>87.393980705170421</v>
      </c>
      <c r="D549" s="18">
        <f t="shared" si="7"/>
        <v>483</v>
      </c>
      <c r="E549" s="43">
        <v>506.38810351230723</v>
      </c>
    </row>
    <row r="550" spans="2:5" x14ac:dyDescent="0.55000000000000004">
      <c r="B550" s="18">
        <v>484</v>
      </c>
      <c r="C550" s="43">
        <v>130.53510731037494</v>
      </c>
      <c r="D550" s="18">
        <f t="shared" si="7"/>
        <v>484</v>
      </c>
      <c r="E550" s="43">
        <v>158.09174100071613</v>
      </c>
    </row>
    <row r="551" spans="2:5" x14ac:dyDescent="0.55000000000000004">
      <c r="B551" s="18">
        <v>485</v>
      </c>
      <c r="C551" s="43">
        <v>57.882385116115437</v>
      </c>
      <c r="D551" s="18">
        <f t="shared" si="7"/>
        <v>485</v>
      </c>
      <c r="E551" s="43">
        <v>10.897292647173131</v>
      </c>
    </row>
    <row r="552" spans="2:5" x14ac:dyDescent="0.55000000000000004">
      <c r="B552" s="18">
        <v>486</v>
      </c>
      <c r="C552" s="43">
        <v>135.19945510713606</v>
      </c>
      <c r="D552" s="18">
        <f t="shared" si="7"/>
        <v>486</v>
      </c>
      <c r="E552" s="43">
        <v>206.56808997547517</v>
      </c>
    </row>
    <row r="553" spans="2:5" x14ac:dyDescent="0.55000000000000004">
      <c r="B553" s="18">
        <v>487</v>
      </c>
      <c r="C553" s="43">
        <v>137.92750714535879</v>
      </c>
      <c r="D553" s="18">
        <f t="shared" si="7"/>
        <v>487</v>
      </c>
      <c r="E553" s="43">
        <v>-14.265866866058232</v>
      </c>
    </row>
    <row r="554" spans="2:5" x14ac:dyDescent="0.55000000000000004">
      <c r="B554" s="18">
        <v>488</v>
      </c>
      <c r="C554" s="43">
        <v>161.2937332447886</v>
      </c>
      <c r="D554" s="18">
        <f t="shared" si="7"/>
        <v>488</v>
      </c>
      <c r="E554" s="43">
        <v>364.33468041629828</v>
      </c>
    </row>
    <row r="555" spans="2:5" x14ac:dyDescent="0.55000000000000004">
      <c r="B555" s="18">
        <v>489</v>
      </c>
      <c r="C555" s="43">
        <v>94.481866655060031</v>
      </c>
      <c r="D555" s="18">
        <f t="shared" si="7"/>
        <v>489</v>
      </c>
      <c r="E555" s="43">
        <v>30.430369019623651</v>
      </c>
    </row>
    <row r="556" spans="2:5" x14ac:dyDescent="0.55000000000000004">
      <c r="B556" s="18">
        <v>490</v>
      </c>
      <c r="C556" s="43">
        <v>305.05103194507558</v>
      </c>
      <c r="D556" s="18">
        <f t="shared" si="7"/>
        <v>490</v>
      </c>
      <c r="E556" s="43">
        <v>246.17282670422838</v>
      </c>
    </row>
    <row r="557" spans="2:5" x14ac:dyDescent="0.55000000000000004">
      <c r="B557" s="18">
        <v>491</v>
      </c>
      <c r="C557" s="43">
        <v>81.873703071450763</v>
      </c>
      <c r="D557" s="18">
        <f t="shared" si="7"/>
        <v>491</v>
      </c>
      <c r="E557" s="43">
        <v>82.97163237939823</v>
      </c>
    </row>
    <row r="558" spans="2:5" x14ac:dyDescent="0.55000000000000004">
      <c r="B558" s="18">
        <v>492</v>
      </c>
      <c r="C558" s="43">
        <v>57.156386160926957</v>
      </c>
      <c r="D558" s="18">
        <f t="shared" si="7"/>
        <v>492</v>
      </c>
      <c r="E558" s="43">
        <v>246.31037731727983</v>
      </c>
    </row>
    <row r="559" spans="2:5" x14ac:dyDescent="0.55000000000000004">
      <c r="B559" s="18">
        <v>493</v>
      </c>
      <c r="C559" s="43">
        <v>124.94405368954509</v>
      </c>
      <c r="D559" s="18">
        <f t="shared" si="7"/>
        <v>493</v>
      </c>
      <c r="E559" s="43">
        <v>-122.65864946656465</v>
      </c>
    </row>
    <row r="560" spans="2:5" x14ac:dyDescent="0.55000000000000004">
      <c r="B560" s="18">
        <v>494</v>
      </c>
      <c r="C560" s="43">
        <v>119.07057960977386</v>
      </c>
      <c r="D560" s="18">
        <f t="shared" si="7"/>
        <v>494</v>
      </c>
      <c r="E560" s="43">
        <v>-57.710550018951736</v>
      </c>
    </row>
    <row r="561" spans="2:5" x14ac:dyDescent="0.55000000000000004">
      <c r="B561" s="18">
        <v>495</v>
      </c>
      <c r="C561" s="43">
        <v>173.59514191904964</v>
      </c>
      <c r="D561" s="18">
        <f t="shared" si="7"/>
        <v>495</v>
      </c>
      <c r="E561" s="43">
        <v>150.09399251749448</v>
      </c>
    </row>
    <row r="562" spans="2:5" x14ac:dyDescent="0.55000000000000004">
      <c r="B562" s="18">
        <v>496</v>
      </c>
      <c r="C562" s="43">
        <v>119.33829325164261</v>
      </c>
      <c r="D562" s="18">
        <f t="shared" si="7"/>
        <v>496</v>
      </c>
      <c r="E562" s="43">
        <v>198.9982593459045</v>
      </c>
    </row>
    <row r="563" spans="2:5" x14ac:dyDescent="0.55000000000000004">
      <c r="B563" s="18">
        <v>497</v>
      </c>
      <c r="C563" s="43">
        <v>153.53706849941898</v>
      </c>
      <c r="D563" s="18">
        <f t="shared" si="7"/>
        <v>497</v>
      </c>
      <c r="E563" s="43">
        <v>31.872723834081519</v>
      </c>
    </row>
    <row r="564" spans="2:5" x14ac:dyDescent="0.55000000000000004">
      <c r="B564" s="18">
        <v>498</v>
      </c>
      <c r="C564" s="43">
        <v>154.61998141988582</v>
      </c>
      <c r="D564" s="18">
        <f t="shared" si="7"/>
        <v>498</v>
      </c>
      <c r="E564" s="43">
        <v>393.68457418291115</v>
      </c>
    </row>
    <row r="565" spans="2:5" x14ac:dyDescent="0.55000000000000004">
      <c r="B565" s="18">
        <v>499</v>
      </c>
      <c r="C565" s="43">
        <v>146.92036518301296</v>
      </c>
      <c r="D565" s="18">
        <f t="shared" si="7"/>
        <v>499</v>
      </c>
      <c r="E565" s="43">
        <v>287.10275840894582</v>
      </c>
    </row>
    <row r="566" spans="2:5" x14ac:dyDescent="0.55000000000000004">
      <c r="B566" s="18">
        <v>500</v>
      </c>
      <c r="C566" s="43">
        <v>31.198527319729227</v>
      </c>
      <c r="D566" s="18">
        <f t="shared" si="7"/>
        <v>500</v>
      </c>
      <c r="E566" s="43">
        <v>209.21201701765872</v>
      </c>
    </row>
  </sheetData>
  <mergeCells count="126">
    <mergeCell ref="B1:E1"/>
    <mergeCell ref="D31:E31"/>
    <mergeCell ref="D32:E32"/>
    <mergeCell ref="D33:E33"/>
    <mergeCell ref="B18:E18"/>
    <mergeCell ref="D29:E29"/>
    <mergeCell ref="D30:E30"/>
    <mergeCell ref="D7:E7"/>
    <mergeCell ref="D6:E6"/>
    <mergeCell ref="D5:E5"/>
    <mergeCell ref="D4:E4"/>
    <mergeCell ref="D3:E3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B15:C15"/>
    <mergeCell ref="B16:C16"/>
    <mergeCell ref="B17:C17"/>
    <mergeCell ref="B28:C28"/>
    <mergeCell ref="B27:C27"/>
    <mergeCell ref="B26:C26"/>
    <mergeCell ref="B33:C33"/>
    <mergeCell ref="B32:C32"/>
    <mergeCell ref="B31:C31"/>
    <mergeCell ref="B24:C24"/>
    <mergeCell ref="D23:E23"/>
    <mergeCell ref="D25:E25"/>
    <mergeCell ref="D26:E26"/>
    <mergeCell ref="D27:E27"/>
    <mergeCell ref="D28:E28"/>
    <mergeCell ref="B19:C19"/>
    <mergeCell ref="D19:E19"/>
    <mergeCell ref="D20:E20"/>
    <mergeCell ref="D21:E21"/>
    <mergeCell ref="D22:E22"/>
    <mergeCell ref="B25:C25"/>
    <mergeCell ref="B23:C23"/>
    <mergeCell ref="B22:C22"/>
    <mergeCell ref="B21:C21"/>
    <mergeCell ref="B20:C20"/>
    <mergeCell ref="D24:E24"/>
    <mergeCell ref="B45:C45"/>
    <mergeCell ref="B46:C46"/>
    <mergeCell ref="B39:C39"/>
    <mergeCell ref="B40:C40"/>
    <mergeCell ref="B41:C41"/>
    <mergeCell ref="B42:C42"/>
    <mergeCell ref="B43:C43"/>
    <mergeCell ref="B30:C30"/>
    <mergeCell ref="B29:C29"/>
    <mergeCell ref="A34:E34"/>
    <mergeCell ref="B44:C44"/>
    <mergeCell ref="A35:E35"/>
    <mergeCell ref="B58:C58"/>
    <mergeCell ref="B57:C57"/>
    <mergeCell ref="B56:C56"/>
    <mergeCell ref="B55:C55"/>
    <mergeCell ref="B54:C54"/>
    <mergeCell ref="B53:C53"/>
    <mergeCell ref="B52:C52"/>
    <mergeCell ref="B51:C51"/>
    <mergeCell ref="D36:E36"/>
    <mergeCell ref="D37:E37"/>
    <mergeCell ref="D38:E38"/>
    <mergeCell ref="B36:C36"/>
    <mergeCell ref="B37:C37"/>
    <mergeCell ref="B38:C38"/>
    <mergeCell ref="D57:E57"/>
    <mergeCell ref="D58:E58"/>
    <mergeCell ref="D45:E45"/>
    <mergeCell ref="D46:E46"/>
    <mergeCell ref="D39:E39"/>
    <mergeCell ref="D40:E40"/>
    <mergeCell ref="D41:E41"/>
    <mergeCell ref="D42:E42"/>
    <mergeCell ref="D43:E43"/>
    <mergeCell ref="D44:E44"/>
    <mergeCell ref="D52:E52"/>
    <mergeCell ref="D53:E53"/>
    <mergeCell ref="D54:E54"/>
    <mergeCell ref="D55:E55"/>
    <mergeCell ref="D56:E56"/>
    <mergeCell ref="B48:C48"/>
    <mergeCell ref="B50:C50"/>
    <mergeCell ref="D48:E48"/>
    <mergeCell ref="D50:E50"/>
    <mergeCell ref="D51:E51"/>
    <mergeCell ref="D49:E49"/>
    <mergeCell ref="B49:C49"/>
    <mergeCell ref="D66:E66"/>
    <mergeCell ref="B61:C61"/>
    <mergeCell ref="B60:C60"/>
    <mergeCell ref="B59:C59"/>
    <mergeCell ref="B65:C65"/>
    <mergeCell ref="B62:C62"/>
    <mergeCell ref="D64:E64"/>
    <mergeCell ref="D63:E63"/>
    <mergeCell ref="D62:E62"/>
    <mergeCell ref="D61:E61"/>
    <mergeCell ref="D65:E65"/>
    <mergeCell ref="B66:C66"/>
    <mergeCell ref="B64:C64"/>
    <mergeCell ref="B63:C63"/>
    <mergeCell ref="D60:E60"/>
    <mergeCell ref="D59:E59"/>
    <mergeCell ref="B3:C3"/>
    <mergeCell ref="B2:C2"/>
    <mergeCell ref="D2:E2"/>
    <mergeCell ref="B4:C4"/>
    <mergeCell ref="B10:C10"/>
    <mergeCell ref="B11:C11"/>
    <mergeCell ref="B12:C12"/>
    <mergeCell ref="B13:C13"/>
    <mergeCell ref="B14:C1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Z93"/>
  <sheetViews>
    <sheetView tabSelected="1" topLeftCell="E9" workbookViewId="0">
      <selection activeCell="O23" sqref="O23"/>
    </sheetView>
  </sheetViews>
  <sheetFormatPr defaultRowHeight="14.4" x14ac:dyDescent="0.55000000000000004"/>
  <cols>
    <col min="1" max="1" width="47.1015625" customWidth="1"/>
    <col min="2" max="2" width="33.68359375" customWidth="1"/>
    <col min="3" max="3" width="15.5234375" customWidth="1"/>
    <col min="4" max="4" width="13.89453125" customWidth="1"/>
    <col min="5" max="5" width="11.1015625" customWidth="1"/>
    <col min="6" max="8" width="12.89453125" customWidth="1"/>
    <col min="9" max="9" width="13.68359375" bestFit="1" customWidth="1"/>
    <col min="10" max="10" width="17.5234375" customWidth="1"/>
    <col min="11" max="11" width="12.5234375" bestFit="1" customWidth="1"/>
    <col min="12" max="12" width="12.5234375" customWidth="1"/>
    <col min="13" max="13" width="12.41796875" customWidth="1"/>
    <col min="14" max="14" width="13.68359375" bestFit="1" customWidth="1"/>
    <col min="15" max="18" width="16" customWidth="1"/>
    <col min="19" max="19" width="16.5234375" customWidth="1"/>
    <col min="20" max="20" width="13.3125" customWidth="1"/>
    <col min="21" max="21" width="12.5234375" bestFit="1" customWidth="1"/>
    <col min="22" max="22" width="10.5234375" bestFit="1" customWidth="1"/>
    <col min="23" max="23" width="19" customWidth="1"/>
    <col min="24" max="24" width="12.41796875" customWidth="1"/>
    <col min="25" max="25" width="11.20703125" customWidth="1"/>
  </cols>
  <sheetData>
    <row r="1" spans="1:26" ht="15.6" x14ac:dyDescent="0.6"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78" t="s">
        <v>118</v>
      </c>
      <c r="O1" s="78"/>
      <c r="P1" s="78"/>
      <c r="Q1" s="78"/>
      <c r="R1" s="78"/>
      <c r="S1" s="78"/>
      <c r="T1" s="78"/>
      <c r="U1" s="78"/>
      <c r="V1" s="78" t="s">
        <v>131</v>
      </c>
      <c r="W1" s="78"/>
      <c r="X1" s="12"/>
    </row>
    <row r="2" spans="1:26" ht="15.6" x14ac:dyDescent="0.6">
      <c r="A2" s="11" t="s">
        <v>20</v>
      </c>
      <c r="B2" s="1" t="s">
        <v>22</v>
      </c>
      <c r="C2" t="s">
        <v>103</v>
      </c>
      <c r="D2" t="s">
        <v>111</v>
      </c>
      <c r="E2" t="s">
        <v>31</v>
      </c>
      <c r="F2" t="s">
        <v>112</v>
      </c>
      <c r="G2" t="s">
        <v>122</v>
      </c>
      <c r="H2" t="s">
        <v>37</v>
      </c>
      <c r="I2" t="s">
        <v>38</v>
      </c>
      <c r="J2" s="18" t="s">
        <v>113</v>
      </c>
      <c r="K2" s="8" t="s">
        <v>39</v>
      </c>
      <c r="L2" s="8" t="s">
        <v>35</v>
      </c>
      <c r="M2" t="s">
        <v>46</v>
      </c>
      <c r="N2" t="s">
        <v>114</v>
      </c>
      <c r="O2" t="s">
        <v>115</v>
      </c>
      <c r="P2" t="s">
        <v>116</v>
      </c>
      <c r="Q2" t="s">
        <v>83</v>
      </c>
      <c r="R2" t="s">
        <v>94</v>
      </c>
      <c r="S2" s="1" t="s">
        <v>117</v>
      </c>
      <c r="T2" s="1" t="s">
        <v>119</v>
      </c>
      <c r="U2" t="s">
        <v>47</v>
      </c>
      <c r="V2" t="s">
        <v>120</v>
      </c>
      <c r="W2" t="s">
        <v>132</v>
      </c>
      <c r="X2" t="s">
        <v>132</v>
      </c>
      <c r="Y2" t="s">
        <v>121</v>
      </c>
      <c r="Z2" t="s">
        <v>133</v>
      </c>
    </row>
    <row r="3" spans="1:26" ht="15.6" x14ac:dyDescent="0.6">
      <c r="A3" s="11" t="s">
        <v>80</v>
      </c>
      <c r="B3" t="s">
        <v>98</v>
      </c>
      <c r="C3" s="57">
        <f>D3/SUM(D3:D4)</f>
        <v>0.58348931022115735</v>
      </c>
      <c r="D3" s="29">
        <f>L3/F3</f>
        <v>16373.983893418712</v>
      </c>
      <c r="E3" s="3">
        <f>[1]All!$H$6</f>
        <v>0.504</v>
      </c>
      <c r="F3" s="58">
        <f>[1]All!$G$6</f>
        <v>10.5</v>
      </c>
      <c r="G3" s="52">
        <f>M3/D3</f>
        <v>15.407976155827606</v>
      </c>
      <c r="H3" s="58">
        <f>[1]All!$J$3</f>
        <v>6</v>
      </c>
      <c r="I3" s="57">
        <f>[1]All!$I$3</f>
        <v>0.39</v>
      </c>
      <c r="J3" s="35">
        <f>D3*F3*0</f>
        <v>0</v>
      </c>
      <c r="K3" s="16">
        <v>1</v>
      </c>
      <c r="L3" s="17">
        <f>([2]prod_herd_data!$H$8+[2]prod_herd_data!$I$8)*(1-[2]prod_herd_data!$H$3)*(C26)</f>
        <v>171926.83088089648</v>
      </c>
      <c r="M3" s="39">
        <f>SUM([2]prod_herd_data!$H$10:$I$10)*C26</f>
        <v>252289.9534057008</v>
      </c>
      <c r="N3" s="40">
        <f>Dairy_Income_Baseline!B28</f>
        <v>31.294314476200199</v>
      </c>
      <c r="O3" s="40">
        <f ca="1">Dairy_Income_Baseline!B64</f>
        <v>54.973724751184037</v>
      </c>
      <c r="P3" s="40">
        <f>(G3-F3)*(Dairy_Income_Baseline!B24)</f>
        <v>0.10704900249777245</v>
      </c>
      <c r="Q3" s="47">
        <f>P3*Dairy_Income_Baseline!L36</f>
        <v>26.797576795267378</v>
      </c>
      <c r="R3" s="47">
        <f>IF(P3&gt;0, P3*Dairy_Income_Roadmap!L19/12, 0)</f>
        <v>0.2497810058281357</v>
      </c>
      <c r="S3" s="69">
        <f>G3*I3*N3</f>
        <v>188.05099999228273</v>
      </c>
      <c r="T3" s="69">
        <f ca="1">F3*O3*I3</f>
        <v>225.11740285609864</v>
      </c>
      <c r="U3" s="70">
        <f>N3*(M3*K3)/(D3)</f>
        <v>482.18205126226337</v>
      </c>
      <c r="V3" s="31">
        <f>SQRT(C3*(1-C3)/N23)</f>
        <v>2.9201630276455295E-2</v>
      </c>
      <c r="W3" s="43">
        <f>(S3-Q3)*D3</f>
        <v>2640360.9541865606</v>
      </c>
      <c r="X3" s="43"/>
      <c r="Y3" s="18"/>
    </row>
    <row r="4" spans="1:26" ht="15.6" x14ac:dyDescent="0.6">
      <c r="A4" s="12"/>
      <c r="B4" t="s">
        <v>99</v>
      </c>
      <c r="C4" s="57">
        <f>1-C3</f>
        <v>0.41651068977884265</v>
      </c>
      <c r="D4" s="29">
        <f>L4/F4</f>
        <v>11688.199263308798</v>
      </c>
      <c r="E4" s="3">
        <f>[1]All!$H$7</f>
        <v>0.40899999999999997</v>
      </c>
      <c r="F4" s="58">
        <f>[1]All!$G$7</f>
        <v>2.8148149999999998</v>
      </c>
      <c r="G4" s="52">
        <f>M4/D4</f>
        <v>4.035866776247552</v>
      </c>
      <c r="H4" s="58">
        <f>[1]All!$J$4</f>
        <v>5.7</v>
      </c>
      <c r="I4" s="57">
        <f>[1]All!$I$4</f>
        <v>0.50487289999999996</v>
      </c>
      <c r="J4" s="35">
        <f>D4*F4*0</f>
        <v>0</v>
      </c>
      <c r="K4" s="16">
        <v>1</v>
      </c>
      <c r="L4" s="17">
        <f>([2]prod_herd_data!$H$8+[2]prod_herd_data!$I$8)*([2]prod_herd_data!$H$3)*(1-C24)</f>
        <v>32900.118609350553</v>
      </c>
      <c r="M4" s="39">
        <f>SUM([2]prod_herd_data!$H$9:$I$9)*(1-C25)</f>
        <v>47172.015080949088</v>
      </c>
      <c r="N4" s="40">
        <f>Dairy_Income_Baseline!D28</f>
        <v>359.47281896729658</v>
      </c>
      <c r="O4" s="40">
        <f ca="1">Dairy_Income_Baseline!D64</f>
        <v>155.90966811174806</v>
      </c>
      <c r="P4" s="40">
        <f>(G4-F4)*(Dairy_Income_Baseline!B24)</f>
        <v>2.6632642558833367E-2</v>
      </c>
      <c r="Q4" s="47">
        <f>P4*Dairy_Income_Baseline!L38</f>
        <v>6.9431299150878587</v>
      </c>
      <c r="R4" s="47">
        <f>IF(P4&gt;0, P4*Dairy_Income_Roadmap!L19/12, 0)</f>
        <v>6.2142832637277857E-2</v>
      </c>
      <c r="S4" s="69">
        <f>G4*I4*N4</f>
        <v>732.46173085411829</v>
      </c>
      <c r="T4" s="69">
        <f ca="1">F4*O4*I4</f>
        <v>221.56694187672701</v>
      </c>
      <c r="U4" s="70">
        <f>N4*(M4*K4)/(D4)</f>
        <v>1450.7844070341632</v>
      </c>
      <c r="V4" s="31">
        <f>SQRT(C4*(1-C4)/N23)</f>
        <v>2.9201630276455295E-2</v>
      </c>
      <c r="W4" s="43">
        <f>(S4-Q4)*D4</f>
        <v>8480005.9770124052</v>
      </c>
      <c r="X4" s="43"/>
      <c r="Y4" s="66">
        <f ca="1">MC_Baseline!H18</f>
        <v>114.82392503115705</v>
      </c>
    </row>
    <row r="5" spans="1:26" ht="15.6" x14ac:dyDescent="0.6">
      <c r="A5" s="12"/>
      <c r="C5" s="32"/>
      <c r="D5" s="29"/>
      <c r="E5" s="3"/>
      <c r="F5" s="29"/>
      <c r="G5" s="3"/>
      <c r="H5" s="29"/>
      <c r="I5" s="32"/>
      <c r="J5" s="35"/>
      <c r="K5" s="16"/>
      <c r="L5" s="10"/>
      <c r="M5" s="42"/>
      <c r="N5" s="40"/>
      <c r="O5" s="40"/>
      <c r="P5" s="40"/>
      <c r="Q5" s="47"/>
      <c r="R5" s="47"/>
      <c r="S5" s="69"/>
      <c r="T5" s="69"/>
      <c r="U5" s="71"/>
      <c r="V5" s="31"/>
      <c r="W5" s="43"/>
      <c r="X5" s="43"/>
      <c r="Y5" s="66"/>
    </row>
    <row r="6" spans="1:26" ht="15.6" x14ac:dyDescent="0.6">
      <c r="A6" s="11" t="s">
        <v>100</v>
      </c>
      <c r="B6" t="s">
        <v>97</v>
      </c>
      <c r="C6" s="51">
        <f>D6/SUM(D6:D8)</f>
        <v>0.10211062928870253</v>
      </c>
      <c r="D6" s="52">
        <f>D3*C31</f>
        <v>2865.4471813482746</v>
      </c>
      <c r="E6" s="53">
        <f>E4</f>
        <v>0.40899999999999997</v>
      </c>
      <c r="F6" s="52">
        <f>J6*(1/D6)</f>
        <v>2.611427351365573</v>
      </c>
      <c r="G6" s="54"/>
      <c r="H6" s="52">
        <f>H3</f>
        <v>6</v>
      </c>
      <c r="I6" s="54">
        <f>I3</f>
        <v>0.39</v>
      </c>
      <c r="J6" s="55">
        <f>M6*K6</f>
        <v>7482.9071432662713</v>
      </c>
      <c r="K6" s="56">
        <f>C27</f>
        <v>0.15</v>
      </c>
      <c r="L6" s="9"/>
      <c r="M6" s="42">
        <f>([2]prod_herd_data!H25*[2]prod_herd_data!H31+[2]prod_herd_data!I25*[2]prod_herd_data!I31)*(1-C25)</f>
        <v>49886.047621775142</v>
      </c>
      <c r="N6" s="40">
        <f>Dairy_Income_Roadmap!C27</f>
        <v>880.62230423788765</v>
      </c>
      <c r="O6" s="40">
        <f ca="1">Dairy_Income_Roadmap!C57</f>
        <v>309.96439758334691</v>
      </c>
      <c r="P6" s="40">
        <f>(F6*(Dairy_Income_Roadmap!C22 + Dairy_Income_Baseline!B24)  -   F3*Dairy_Income_Baseline!B24)</f>
        <v>-0.23895058330725516</v>
      </c>
      <c r="Q6" s="47">
        <f>(P6*(Dairy_Income_Roadmap!C19))</f>
        <v>-76.395036865530145</v>
      </c>
      <c r="R6" s="47">
        <f>IF(P6&gt;0, P6*Dairy_Income_Roadmap!L19/12, 0)</f>
        <v>0</v>
      </c>
      <c r="S6" s="69">
        <f>F6*I6*N6</f>
        <v>896.87565688866391</v>
      </c>
      <c r="T6" s="68">
        <f ca="1">F6*O6*I6</f>
        <v>315.68530726149498</v>
      </c>
      <c r="U6" s="71">
        <f>U3</f>
        <v>482.18205126226337</v>
      </c>
      <c r="V6" s="31">
        <f>V3</f>
        <v>2.9201630276455295E-2</v>
      </c>
      <c r="W6" s="43">
        <f>(S6-Q6)*D6</f>
        <v>2788855.7661068351</v>
      </c>
      <c r="X6" s="44"/>
      <c r="Y6" s="66"/>
    </row>
    <row r="7" spans="1:26" ht="15.6" x14ac:dyDescent="0.6">
      <c r="A7" s="11"/>
      <c r="B7" t="s">
        <v>98</v>
      </c>
      <c r="C7" s="51">
        <f>D7/SUM(D6:D8)</f>
        <v>0.48137868093245478</v>
      </c>
      <c r="D7" s="52">
        <f>D3-D6</f>
        <v>13508.536712070438</v>
      </c>
      <c r="E7" s="53">
        <f>E3</f>
        <v>0.504</v>
      </c>
      <c r="F7" s="52">
        <f>J7*(1/D7)</f>
        <v>7.1254395866372429</v>
      </c>
      <c r="G7" s="54"/>
      <c r="H7" s="52">
        <f>H3</f>
        <v>6</v>
      </c>
      <c r="I7" s="54">
        <f>I3</f>
        <v>0.39</v>
      </c>
      <c r="J7" s="55">
        <f>M7*K7</f>
        <v>96254.262245729202</v>
      </c>
      <c r="K7" s="56">
        <v>1</v>
      </c>
      <c r="L7" s="9"/>
      <c r="M7" s="42">
        <f>([2]prod_herd_data!H26*[2]prod_herd_data!H31+[2]prod_herd_data!I26*[2]prod_herd_data!I31)*C26</f>
        <v>96254.262245729202</v>
      </c>
      <c r="N7" s="40">
        <f>Dairy_Income_Roadmap!E27</f>
        <v>181.77307777823148</v>
      </c>
      <c r="O7" s="40">
        <f ca="1">Dairy_Income_Roadmap!E57</f>
        <v>27.323749573666639</v>
      </c>
      <c r="P7" s="40">
        <f>(F7*(Dairy_Income_Roadmap!E22 + Dairy_Income_Baseline!B24)  -   F3*Dairy_Income_Baseline!B24)</f>
        <v>-2.3155619572971893</v>
      </c>
      <c r="Q7" s="47">
        <f>(P7*(Dairy_Income_Roadmap!E19))</f>
        <v>-740.30972698934124</v>
      </c>
      <c r="R7" s="47">
        <f>IF(P7&gt;0, P7*Dairy_Income_Roadmap!L19/12, 0)</f>
        <v>0</v>
      </c>
      <c r="S7" s="69">
        <f>F7*I7*N7</f>
        <v>505.13310283250144</v>
      </c>
      <c r="T7" s="69">
        <f ca="1">F7*O7*I7</f>
        <v>75.930553478351044</v>
      </c>
      <c r="U7" s="71">
        <f t="shared" ref="U7:U8" si="0">U3</f>
        <v>482.18205126226337</v>
      </c>
      <c r="V7" s="31">
        <f>V3</f>
        <v>2.9201630276455295E-2</v>
      </c>
      <c r="W7" s="43">
        <f>(S7-Q7)*D7</f>
        <v>16824110.189433258</v>
      </c>
      <c r="X7" s="43"/>
      <c r="Y7" s="66"/>
    </row>
    <row r="8" spans="1:26" ht="15.6" x14ac:dyDescent="0.6">
      <c r="A8" s="12"/>
      <c r="B8" t="s">
        <v>99</v>
      </c>
      <c r="C8" s="51">
        <f>D8/SUM(D6:D8)</f>
        <v>0.41651068977884276</v>
      </c>
      <c r="D8" s="52">
        <f>D4</f>
        <v>11688.199263308798</v>
      </c>
      <c r="E8" s="53">
        <f>E4</f>
        <v>0.40899999999999997</v>
      </c>
      <c r="F8" s="52">
        <f>J8*(1/D8)</f>
        <v>3.6278591358054086</v>
      </c>
      <c r="G8" s="54"/>
      <c r="H8" s="52">
        <f>H4</f>
        <v>5.7</v>
      </c>
      <c r="I8" s="54">
        <f>I4</f>
        <v>0.50487289999999996</v>
      </c>
      <c r="J8" s="55">
        <f>M8*K8</f>
        <v>42403.140478508867</v>
      </c>
      <c r="K8" s="56">
        <f>K4*(1-C27)</f>
        <v>0.85</v>
      </c>
      <c r="L8" s="9"/>
      <c r="M8" s="42">
        <f>([2]prod_herd_data!H25*[2]prod_herd_data!H31+[2]prod_herd_data!I25*[2]prod_herd_data!I31)*(1-C25)</f>
        <v>49886.047621775142</v>
      </c>
      <c r="N8" s="40">
        <f>Dairy_Income_Roadmap!G27</f>
        <v>985.97574143461293</v>
      </c>
      <c r="O8" s="40">
        <f ca="1">Dairy_Income_Roadmap!G57</f>
        <v>281.06762944767502</v>
      </c>
      <c r="P8" s="40">
        <f>(F8*(Dairy_Income_Roadmap!G22 + Dairy_Income_Baseline!D24)  -   F5*Dairy_Income_Baseline!D24)</f>
        <v>1.3739105653004313</v>
      </c>
      <c r="Q8" s="47">
        <f>(P8*(Dairy_Income_Roadmap!G19))</f>
        <v>457.45001359276665</v>
      </c>
      <c r="R8" s="47">
        <f>IF(P8&gt;0, P8*Dairy_Income_Roadmap!L19/12, 0)</f>
        <v>3.2057913190343399</v>
      </c>
      <c r="S8" s="69">
        <f>F8*I8*N8</f>
        <v>1805.9208218312976</v>
      </c>
      <c r="T8" s="69">
        <f ca="1">F8*O8*I8</f>
        <v>514.80565193599296</v>
      </c>
      <c r="U8" s="71">
        <f t="shared" si="0"/>
        <v>1450.7844070341632</v>
      </c>
      <c r="V8" s="31">
        <f>V4</f>
        <v>2.9201630276455295E-2</v>
      </c>
      <c r="W8" s="43">
        <f>(S8-Q8)*D8</f>
        <v>15761195.507447015</v>
      </c>
      <c r="X8" s="5">
        <f>-1+SUM(W6:W8)/SUM(W3:W4)</f>
        <v>2.1810246623915286</v>
      </c>
      <c r="Y8" s="66">
        <f ca="1">MC_High_ambition!I18</f>
        <v>77.247011024342157</v>
      </c>
    </row>
    <row r="9" spans="1:26" ht="15.6" x14ac:dyDescent="0.6">
      <c r="A9" s="12"/>
      <c r="C9" s="51"/>
      <c r="D9" s="52"/>
      <c r="E9" s="53"/>
      <c r="F9" s="52"/>
      <c r="G9" s="54"/>
      <c r="H9" s="52"/>
      <c r="I9" s="54"/>
      <c r="J9" s="55"/>
      <c r="K9" s="56"/>
      <c r="L9" s="9"/>
      <c r="M9" s="42"/>
      <c r="N9" s="40"/>
      <c r="O9" s="40"/>
      <c r="P9" s="40"/>
      <c r="Q9" s="47"/>
      <c r="R9" s="47"/>
      <c r="S9" s="69"/>
      <c r="T9" s="69"/>
      <c r="U9" s="71"/>
      <c r="V9" s="31"/>
      <c r="W9" s="43"/>
      <c r="X9" s="5"/>
      <c r="Y9" s="66"/>
    </row>
    <row r="10" spans="1:26" ht="15.6" x14ac:dyDescent="0.6">
      <c r="A10" s="11" t="s">
        <v>101</v>
      </c>
      <c r="B10" t="str">
        <f>B6</f>
        <v>New-improved</v>
      </c>
      <c r="C10" s="51">
        <f>D10/SUM(D10:D12)</f>
        <v>5.5431484471009929E-2</v>
      </c>
      <c r="D10" s="52">
        <f>D3*C32</f>
        <v>1555.5284698747773</v>
      </c>
      <c r="E10" s="53">
        <f>E6</f>
        <v>0.40899999999999997</v>
      </c>
      <c r="F10" s="52">
        <f>J10*(1/D10)</f>
        <v>2.2370357687961948</v>
      </c>
      <c r="G10" s="54"/>
      <c r="H10" s="52">
        <f>H6</f>
        <v>6</v>
      </c>
      <c r="I10" s="54">
        <f>I6</f>
        <v>0.39</v>
      </c>
      <c r="J10" s="55">
        <f>M10*K10</f>
        <v>3479.7728264906909</v>
      </c>
      <c r="K10" s="56">
        <f>C28</f>
        <v>8.7499999999999994E-2</v>
      </c>
      <c r="L10" s="9"/>
      <c r="M10" s="42">
        <f>([2]prod_herd_data!H34*[2]prod_herd_data!H40+[2]prod_herd_data!I34*[2]prod_herd_data!I40)*(1-C25)</f>
        <v>39768.832302750758</v>
      </c>
      <c r="N10" s="40">
        <f>Dairy_Income_Roadmap!C27</f>
        <v>880.62230423788765</v>
      </c>
      <c r="O10" s="40">
        <f ca="1">Dairy_Income_Roadmap!C57</f>
        <v>309.96439758334691</v>
      </c>
      <c r="P10" s="40">
        <f>(F10*(Dairy_Income_Roadmap!C22+Dairy_Income_Baseline!B24)-F3*Dairy_Income_Baseline!B24)</f>
        <v>-0.23752657171588415</v>
      </c>
      <c r="Q10" s="47">
        <f>(P10*(Dairy_Income_Roadmap!C19))</f>
        <v>-75.93976525031151</v>
      </c>
      <c r="R10" s="47">
        <f>IF(P10&gt;0, P10*Dairy_Income_Roadmap!L19/12, 0)</f>
        <v>0</v>
      </c>
      <c r="S10" s="69">
        <f>F10*I10*N10</f>
        <v>768.293601418153</v>
      </c>
      <c r="T10" s="69">
        <f ca="1">F10*O10*I10</f>
        <v>270.42656333445166</v>
      </c>
      <c r="U10" s="71">
        <f t="shared" ref="U10:U12" si="1">U6</f>
        <v>482.18205126226337</v>
      </c>
      <c r="V10" s="31">
        <f>V6</f>
        <v>2.9201630276455295E-2</v>
      </c>
      <c r="W10" s="43">
        <f>(S10-Q10)*D10</f>
        <v>1313229.0370710285</v>
      </c>
      <c r="X10" s="5"/>
      <c r="Y10" s="66"/>
    </row>
    <row r="11" spans="1:26" ht="15.6" x14ac:dyDescent="0.6">
      <c r="A11" s="13"/>
      <c r="B11" t="str">
        <f t="shared" ref="B11:B20" si="2">B7</f>
        <v>Local-only</v>
      </c>
      <c r="C11" s="51">
        <f>D11/SUM(D10:D12)</f>
        <v>0.52805782575014737</v>
      </c>
      <c r="D11" s="52">
        <f>D3*(1-C32)</f>
        <v>14818.455423543935</v>
      </c>
      <c r="E11" s="53">
        <f>E7</f>
        <v>0.504</v>
      </c>
      <c r="F11" s="52">
        <f>J11*(1/D11)</f>
        <v>8.291179052885111</v>
      </c>
      <c r="G11" s="54"/>
      <c r="H11" s="52">
        <f t="shared" ref="H11:H20" si="3">H7</f>
        <v>6</v>
      </c>
      <c r="I11" s="54">
        <f>I6</f>
        <v>0.39</v>
      </c>
      <c r="J11" s="55">
        <f>M11*K11</f>
        <v>122862.46720379924</v>
      </c>
      <c r="K11" s="56">
        <v>1</v>
      </c>
      <c r="L11" s="9"/>
      <c r="M11" s="42">
        <f>([2]prod_herd_data!H35*[2]prod_herd_data!H40+[2]prod_herd_data!I35*[2]prod_herd_data!I40)*C26</f>
        <v>122862.46720379924</v>
      </c>
      <c r="N11" s="40">
        <f>Dairy_Income_Roadmap!E27</f>
        <v>181.77307777823148</v>
      </c>
      <c r="O11" s="40">
        <f ca="1">Dairy_Income_Roadmap!E57</f>
        <v>27.323749573666639</v>
      </c>
      <c r="P11" s="40">
        <f>(F11*(Dairy_Income_Roadmap!E22 + Dairy_Income_Baseline!B24)  -   F3*Dairy_Income_Baseline!B24)</f>
        <v>-2.6569256997454649</v>
      </c>
      <c r="Q11" s="47">
        <f>(P11*(Dairy_Income_Roadmap!E19))</f>
        <v>-849.44733748581064</v>
      </c>
      <c r="R11" s="47">
        <f>IF(P11&gt;0, P11*Dairy_Income_Roadmap!L19/12, 0)</f>
        <v>0</v>
      </c>
      <c r="S11" s="69">
        <f>F11*I11*N11</f>
        <v>587.77412259279834</v>
      </c>
      <c r="T11" s="69">
        <f ca="1">F11*O11*I11</f>
        <v>88.352979043470697</v>
      </c>
      <c r="U11" s="71">
        <f t="shared" si="1"/>
        <v>482.18205126226337</v>
      </c>
      <c r="V11" s="31">
        <f>V3</f>
        <v>2.9201630276455295E-2</v>
      </c>
      <c r="W11" s="43">
        <f>(S11-Q11)*D11</f>
        <v>21297402.139935598</v>
      </c>
      <c r="X11" s="5"/>
      <c r="Y11" s="66"/>
    </row>
    <row r="12" spans="1:26" ht="15.6" x14ac:dyDescent="0.6">
      <c r="A12" s="11"/>
      <c r="B12" t="str">
        <f t="shared" si="2"/>
        <v>Extant-improved</v>
      </c>
      <c r="C12" s="51">
        <f>D12/SUM(D10:D12)</f>
        <v>0.4165106897788427</v>
      </c>
      <c r="D12" s="52">
        <f>D8</f>
        <v>11688.199263308798</v>
      </c>
      <c r="E12" s="53">
        <f>E8</f>
        <v>0.40899999999999997</v>
      </c>
      <c r="F12" s="52">
        <f>J12*(1/D12)</f>
        <v>3.104760507478467</v>
      </c>
      <c r="G12" s="54"/>
      <c r="H12" s="52">
        <f t="shared" si="3"/>
        <v>5.7</v>
      </c>
      <c r="I12" s="54">
        <f>I8</f>
        <v>0.50487289999999996</v>
      </c>
      <c r="J12" s="55">
        <f>M12*K12</f>
        <v>36289.059476260067</v>
      </c>
      <c r="K12" s="56">
        <f>K4*(1-C28)</f>
        <v>0.91249999999999998</v>
      </c>
      <c r="L12" s="9"/>
      <c r="M12" s="42">
        <f>M10</f>
        <v>39768.832302750758</v>
      </c>
      <c r="N12" s="40">
        <f>Dairy_Income_Roadmap!G27</f>
        <v>985.97574143461293</v>
      </c>
      <c r="O12" s="40">
        <f ca="1">Dairy_Income_Roadmap!G57</f>
        <v>281.06762944767502</v>
      </c>
      <c r="P12" s="40">
        <f>(F12*(Dairy_Income_Roadmap!G22 + Dairy_Income_Baseline!D24)  -   F4*Dairy_Income_Baseline!D24)</f>
        <v>0.90633901641562942</v>
      </c>
      <c r="Q12" s="47">
        <f>(P12*(Dairy_Income_Roadmap!G19))</f>
        <v>301.76985740576447</v>
      </c>
      <c r="R12" s="47">
        <f>IF(P12&gt;0, P12*Dairy_Income_Roadmap!L19/12, 0)</f>
        <v>2.1147910383031352</v>
      </c>
      <c r="S12" s="69">
        <f>F12*I12*N12</f>
        <v>1545.5262835088249</v>
      </c>
      <c r="T12" s="69">
        <f ca="1">F12*O12*I12</f>
        <v>440.57616277946602</v>
      </c>
      <c r="U12" s="71">
        <f t="shared" si="1"/>
        <v>1450.7844070341632</v>
      </c>
      <c r="V12" s="31">
        <f>V8</f>
        <v>2.9201630276455295E-2</v>
      </c>
      <c r="W12" s="43">
        <f>(S12-Q12)*D12</f>
        <v>14537272.943313373</v>
      </c>
      <c r="X12" s="5">
        <f>-1+SUM(W10:W12)/SUM(W3:W4)</f>
        <v>2.3405286309482256</v>
      </c>
      <c r="Y12" s="66">
        <f ca="1">MC_Middle_road!I18</f>
        <v>62.038809502745053</v>
      </c>
    </row>
    <row r="13" spans="1:26" ht="15.6" x14ac:dyDescent="0.6">
      <c r="A13" s="11"/>
      <c r="C13" s="51"/>
      <c r="D13" s="52"/>
      <c r="E13" s="53"/>
      <c r="F13" s="52"/>
      <c r="G13" s="54"/>
      <c r="H13" s="52">
        <f t="shared" si="3"/>
        <v>0</v>
      </c>
      <c r="I13" s="54"/>
      <c r="J13" s="55"/>
      <c r="K13" s="56"/>
      <c r="L13" s="9"/>
      <c r="M13" s="42"/>
      <c r="N13" s="40"/>
      <c r="O13" s="40"/>
      <c r="P13" s="40"/>
      <c r="Q13" s="47"/>
      <c r="R13" s="47"/>
      <c r="S13" s="69"/>
      <c r="T13" s="69"/>
      <c r="U13" s="71"/>
      <c r="V13" s="31"/>
      <c r="W13" s="43"/>
      <c r="X13" s="5"/>
      <c r="Y13" s="66"/>
    </row>
    <row r="14" spans="1:26" ht="15.6" x14ac:dyDescent="0.6">
      <c r="A14" s="11" t="s">
        <v>128</v>
      </c>
      <c r="B14" t="str">
        <f t="shared" si="2"/>
        <v>New-improved</v>
      </c>
      <c r="C14" s="51">
        <f>D14/SUM(D14:D16)</f>
        <v>8.7523396533173582E-3</v>
      </c>
      <c r="D14" s="52">
        <f>D3*C33</f>
        <v>245.60975840128066</v>
      </c>
      <c r="E14" s="53">
        <f>E10</f>
        <v>0.40899999999999997</v>
      </c>
      <c r="F14" s="52">
        <f>J14*(1/D14)</f>
        <v>2.632170094884748</v>
      </c>
      <c r="G14" s="54"/>
      <c r="H14" s="52">
        <f t="shared" si="3"/>
        <v>6</v>
      </c>
      <c r="I14" s="54">
        <f>I11</f>
        <v>0.39</v>
      </c>
      <c r="J14" s="55">
        <f>M14*K14</f>
        <v>646.48666107571898</v>
      </c>
      <c r="K14" s="56">
        <f>C29</f>
        <v>2.5000000000000001E-2</v>
      </c>
      <c r="L14" s="9"/>
      <c r="M14" s="42">
        <f>([2]prod_herd_data!H43*[2]prod_herd_data!H49+[2]prod_herd_data!I43*[2]prod_herd_data!I49)*(1-C25)</f>
        <v>25859.466443028756</v>
      </c>
      <c r="N14" s="40">
        <f>Dairy_Income_Roadmap!C27</f>
        <v>880.62230423788765</v>
      </c>
      <c r="O14" s="40">
        <f ca="1">Dairy_Income_Roadmap!C57</f>
        <v>309.96439758334691</v>
      </c>
      <c r="P14" s="40">
        <f>(F14*(Dairy_Income_Roadmap!C22+ Dairy_Income_Baseline!B24)  -   F3*Dairy_Income_Baseline!B24)</f>
        <v>-0.23902947906395308</v>
      </c>
      <c r="Q14" s="47">
        <f>(P14*(Dairy_Income_Roadmap!C19))</f>
        <v>-76.420260676068921</v>
      </c>
      <c r="R14" s="47">
        <f>IF(P14&gt;0, P14*Dairy_Income_Roadmap!L19/12, 0)</f>
        <v>0</v>
      </c>
      <c r="S14" s="69">
        <f>F14*I14*N14</f>
        <v>903.99960070035183</v>
      </c>
      <c r="T14" s="69">
        <f ca="1">F14*O14*I14</f>
        <v>318.19281694116228</v>
      </c>
      <c r="U14" s="71">
        <f t="shared" ref="U14:U16" si="4">U10</f>
        <v>482.18205126226337</v>
      </c>
      <c r="V14" s="31">
        <f>V10</f>
        <v>2.9201630276455295E-2</v>
      </c>
      <c r="W14" s="43">
        <f>(S14-Q14)*D14</f>
        <v>240800.68528447975</v>
      </c>
      <c r="X14" s="5"/>
      <c r="Y14" s="66"/>
    </row>
    <row r="15" spans="1:26" ht="15.6" x14ac:dyDescent="0.6">
      <c r="A15" s="11"/>
      <c r="B15" t="str">
        <f t="shared" si="2"/>
        <v>Local-only</v>
      </c>
      <c r="C15" s="51">
        <f>D15/SUM(D14:D16)</f>
        <v>0.5747369705678399</v>
      </c>
      <c r="D15" s="52">
        <f>D3*(1-C33)</f>
        <v>16128.374135017431</v>
      </c>
      <c r="E15" s="53">
        <f>E11</f>
        <v>0.504</v>
      </c>
      <c r="F15" s="52">
        <f>J15*(1/D15)</f>
        <v>9.7220939456870941</v>
      </c>
      <c r="G15" s="54"/>
      <c r="H15" s="52">
        <f t="shared" si="3"/>
        <v>6</v>
      </c>
      <c r="I15" s="54">
        <f>I3</f>
        <v>0.39</v>
      </c>
      <c r="J15" s="55">
        <f>M15*K15</f>
        <v>156801.56853182928</v>
      </c>
      <c r="K15" s="56">
        <v>1</v>
      </c>
      <c r="L15" s="9"/>
      <c r="M15" s="42">
        <f>([2]prod_herd_data!H44*[2]prod_herd_data!H49+[2]prod_herd_data!I44*[2]prod_herd_data!I49)*C26</f>
        <v>156801.56853182928</v>
      </c>
      <c r="N15" s="40">
        <f>Dairy_Income_Roadmap!E27</f>
        <v>181.77307777823148</v>
      </c>
      <c r="O15" s="40">
        <f ca="1">Dairy_Income_Roadmap!E57</f>
        <v>27.323749573666639</v>
      </c>
      <c r="P15" s="40">
        <f>(F15*(Dairy_Income_Roadmap!E22 + Dairy_Income_Baseline!B24)  -   F3*Dairy_Income_Baseline!B24)</f>
        <v>-3.0759408202543872</v>
      </c>
      <c r="Q15" s="47">
        <f>(P15*(Dairy_Income_Roadmap!E19))</f>
        <v>-983.41091746725249</v>
      </c>
      <c r="R15" s="47">
        <f>IF(P15&gt;0, P15*Dairy_Income_Roadmap!L19/12, 0)</f>
        <v>0</v>
      </c>
      <c r="S15" s="69">
        <f>F15*I15*N15</f>
        <v>689.21382619309486</v>
      </c>
      <c r="T15" s="69">
        <f ca="1">F15*O15*I15</f>
        <v>103.60118351840975</v>
      </c>
      <c r="U15" s="71">
        <f t="shared" si="4"/>
        <v>482.18205126226337</v>
      </c>
      <c r="V15" s="31">
        <f>V11</f>
        <v>2.9201630276455295E-2</v>
      </c>
      <c r="W15" s="43">
        <f>(S15-Q15)*D15</f>
        <v>26976717.653241709</v>
      </c>
      <c r="X15" s="5"/>
      <c r="Y15" s="66"/>
    </row>
    <row r="16" spans="1:26" ht="15.6" x14ac:dyDescent="0.6">
      <c r="A16" s="12"/>
      <c r="B16" t="str">
        <f t="shared" si="2"/>
        <v>Extant-improved</v>
      </c>
      <c r="C16" s="51">
        <f>D16/SUM(D14:D16)</f>
        <v>0.41651068977884276</v>
      </c>
      <c r="D16" s="52">
        <f>D12</f>
        <v>11688.199263308798</v>
      </c>
      <c r="E16" s="53">
        <f>E12</f>
        <v>0.40899999999999997</v>
      </c>
      <c r="F16" s="52">
        <f>J16*(1/D16)</f>
        <v>2.157131241003118</v>
      </c>
      <c r="G16" s="54"/>
      <c r="H16" s="52">
        <f t="shared" si="3"/>
        <v>5.7</v>
      </c>
      <c r="I16" s="54">
        <f>I12</f>
        <v>0.50487289999999996</v>
      </c>
      <c r="J16" s="55">
        <f>M16*K16</f>
        <v>25212.979781953036</v>
      </c>
      <c r="K16" s="56">
        <f>K4*(1-C29)</f>
        <v>0.97499999999999998</v>
      </c>
      <c r="L16" s="9"/>
      <c r="M16" s="42">
        <f>M14</f>
        <v>25859.466443028756</v>
      </c>
      <c r="N16" s="40">
        <f>Dairy_Income_Roadmap!G27</f>
        <v>985.97574143461293</v>
      </c>
      <c r="O16" s="40">
        <f ca="1">Dairy_Income_Roadmap!G57</f>
        <v>281.06762944767502</v>
      </c>
      <c r="P16" s="40">
        <f>(F16*(Dairy_Income_Roadmap!G22 + Dairy_Income_Baseline!D24)  -   F4*Dairy_Income_Baseline!D24)</f>
        <v>0.54746128371961167</v>
      </c>
      <c r="Q16" s="47">
        <f>(P16*(Dairy_Income_Roadmap!G19))</f>
        <v>182.27982082974029</v>
      </c>
      <c r="R16" s="47">
        <f>IF(P16&gt;0, P16*Dairy_Income_Roadmap!L19/12, 0)</f>
        <v>1.2774096620124273</v>
      </c>
      <c r="S16" s="69">
        <f>F16*I16*N16</f>
        <v>1073.8036064031101</v>
      </c>
      <c r="T16" s="69">
        <f ca="1">F16*O16*I16</f>
        <v>306.10432027967062</v>
      </c>
      <c r="U16" s="71">
        <f t="shared" si="4"/>
        <v>1450.7844070341632</v>
      </c>
      <c r="V16" s="31">
        <f>V12</f>
        <v>2.9201630276455295E-2</v>
      </c>
      <c r="W16" s="43">
        <f>(S16-Q16)*D16</f>
        <v>10420307.653760931</v>
      </c>
      <c r="X16" s="5">
        <f>-1+SUM(W14:W16)/SUM(W3:W4)</f>
        <v>2.3845848995046715</v>
      </c>
      <c r="Y16" s="66">
        <f ca="1">MC_Meagre!I18</f>
        <v>92.683097809528476</v>
      </c>
    </row>
    <row r="17" spans="1:25" ht="15.6" x14ac:dyDescent="0.6">
      <c r="A17" s="12"/>
      <c r="C17" s="51"/>
      <c r="D17" s="52"/>
      <c r="E17" s="53"/>
      <c r="F17" s="52"/>
      <c r="G17" s="54"/>
      <c r="H17" s="52">
        <f t="shared" si="3"/>
        <v>0</v>
      </c>
      <c r="I17" s="54"/>
      <c r="J17" s="55"/>
      <c r="K17" s="56"/>
      <c r="L17" s="9"/>
      <c r="M17" s="42"/>
      <c r="N17" s="40"/>
      <c r="O17" s="40"/>
      <c r="P17" s="40"/>
      <c r="Q17" s="47"/>
      <c r="R17" s="47"/>
      <c r="S17" s="69"/>
      <c r="T17" s="69"/>
      <c r="U17" s="71"/>
      <c r="V17" s="31"/>
      <c r="W17" s="43"/>
      <c r="X17" s="5"/>
      <c r="Y17" s="66"/>
    </row>
    <row r="18" spans="1:25" ht="15.6" x14ac:dyDescent="0.6">
      <c r="A18" s="11" t="s">
        <v>102</v>
      </c>
      <c r="B18" t="str">
        <f t="shared" si="2"/>
        <v>New-improved</v>
      </c>
      <c r="C18" s="51">
        <f>D18/SUM(D18:D20)</f>
        <v>0.10211062928870253</v>
      </c>
      <c r="D18" s="52">
        <f>D3*C34</f>
        <v>2865.4471813482746</v>
      </c>
      <c r="E18" s="53">
        <f>E14</f>
        <v>0.40899999999999997</v>
      </c>
      <c r="F18" s="52">
        <f>J18*(1/D18)</f>
        <v>3.1883706034114558</v>
      </c>
      <c r="G18" s="54"/>
      <c r="H18" s="52">
        <f t="shared" si="3"/>
        <v>6</v>
      </c>
      <c r="I18" s="54">
        <f>I14</f>
        <v>0.39</v>
      </c>
      <c r="J18" s="55">
        <f>M18*K18</f>
        <v>9136.1075586390525</v>
      </c>
      <c r="K18" s="56">
        <f>C30</f>
        <v>0.15</v>
      </c>
      <c r="L18" s="9"/>
      <c r="M18" s="42">
        <f>([2]prod_herd_data!H58*[2]prod_herd_data!H52+[2]prod_herd_data!I58*[2]prod_herd_data!I52)*(1-C25)</f>
        <v>60907.383724260355</v>
      </c>
      <c r="N18" s="40">
        <f>Dairy_Income_Roadmap!C27</f>
        <v>880.62230423788765</v>
      </c>
      <c r="O18" s="40">
        <f ca="1">Dairy_Income_Roadmap!C57</f>
        <v>309.96439758334691</v>
      </c>
      <c r="P18" s="40">
        <f>(F18*(Dairy_Income_Roadmap!C22 + Dairy_Income_Baseline!B24)  -   F3*Dairy_Income_Baseline!B24)</f>
        <v>-0.24114500731870947</v>
      </c>
      <c r="Q18" s="47">
        <f>(P18*(Dairy_Income_Roadmap!C19))</f>
        <v>-77.096617505900852</v>
      </c>
      <c r="R18" s="47">
        <f>IF(P18&gt;0, P18*Dairy_Income_Roadmap!L19/12, 0)</f>
        <v>0</v>
      </c>
      <c r="S18" s="69">
        <f>F18*I18*N18</f>
        <v>1095.0226043408109</v>
      </c>
      <c r="T18" s="69">
        <f ca="1">F18*O18*I18</f>
        <v>385.42973560996484</v>
      </c>
      <c r="U18" s="71">
        <f t="shared" ref="U18:U20" si="5">U14</f>
        <v>482.18205126226337</v>
      </c>
      <c r="V18" s="31">
        <f>V14</f>
        <v>2.9201630276455295E-2</v>
      </c>
      <c r="W18" s="43">
        <f>(S18-Q18)*D18</f>
        <v>3358645.7204447933</v>
      </c>
      <c r="X18" s="5"/>
      <c r="Y18" s="66"/>
    </row>
    <row r="19" spans="1:25" ht="15.6" x14ac:dyDescent="0.6">
      <c r="A19" s="11"/>
      <c r="B19" t="str">
        <f t="shared" si="2"/>
        <v>Local-only</v>
      </c>
      <c r="C19" s="51">
        <f>D19/SUM(D18:D20)</f>
        <v>0.48137868093245473</v>
      </c>
      <c r="D19" s="52">
        <f>D3*(1-C34)</f>
        <v>13508.536712070436</v>
      </c>
      <c r="E19" s="53">
        <f>E15</f>
        <v>0.504</v>
      </c>
      <c r="F19" s="52">
        <f>J19*(1/D19)</f>
        <v>8.6996646115919845</v>
      </c>
      <c r="G19" s="54"/>
      <c r="H19" s="52">
        <f t="shared" si="3"/>
        <v>6</v>
      </c>
      <c r="I19" s="54">
        <f>I15</f>
        <v>0.39</v>
      </c>
      <c r="J19" s="55">
        <f>M19*K19</f>
        <v>117519.73878839031</v>
      </c>
      <c r="K19" s="56">
        <v>1</v>
      </c>
      <c r="L19" s="9"/>
      <c r="M19" s="42">
        <f>([2]prod_herd_data!H58*[2]prod_herd_data!H53+[2]prod_herd_data!I58*[2]prod_herd_data!I53)*C26</f>
        <v>117519.73878839031</v>
      </c>
      <c r="N19" s="40">
        <f>Dairy_Income_Roadmap!E27</f>
        <v>181.77307777823148</v>
      </c>
      <c r="O19" s="40">
        <f ca="1">Dairy_Income_Roadmap!E57</f>
        <v>27.323749573666639</v>
      </c>
      <c r="P19" s="40">
        <f>(F19*(Dairy_Income_Roadmap!E22 + Dairy_Income_Baseline!B24)  -   F3*Dairy_Income_Baseline!B24)</f>
        <v>-2.7765426150971182</v>
      </c>
      <c r="Q19" s="47">
        <f>(P19*(Dairy_Income_Roadmap!E19))</f>
        <v>-887.69013451753096</v>
      </c>
      <c r="R19" s="47">
        <f>IF(P19&gt;0, P19*Dairy_Income_Roadmap!L19/12, 0)</f>
        <v>0</v>
      </c>
      <c r="S19" s="69">
        <f>F19*I19*N19</f>
        <v>616.73227671410075</v>
      </c>
      <c r="T19" s="69">
        <f ca="1">F19*O19*I19</f>
        <v>92.705908316591405</v>
      </c>
      <c r="U19" s="71">
        <f t="shared" si="5"/>
        <v>482.18205126226337</v>
      </c>
      <c r="V19" s="31">
        <f>V15</f>
        <v>2.9201630276455295E-2</v>
      </c>
      <c r="W19" s="43">
        <f>(S19-Q19)*D19</f>
        <v>20322545.372584023</v>
      </c>
      <c r="X19" s="5"/>
      <c r="Y19" s="66"/>
    </row>
    <row r="20" spans="1:25" ht="15.6" x14ac:dyDescent="0.6">
      <c r="A20" s="13"/>
      <c r="B20" t="str">
        <f t="shared" si="2"/>
        <v>Extant-improved</v>
      </c>
      <c r="C20" s="51">
        <f>D20/SUM(D18:D20)</f>
        <v>0.41651068977884276</v>
      </c>
      <c r="D20" s="52">
        <f>D16</f>
        <v>11688.199263308798</v>
      </c>
      <c r="E20" s="53">
        <f>E16</f>
        <v>0.40899999999999997</v>
      </c>
      <c r="F20" s="52">
        <f>J20*(1/D20)</f>
        <v>4.429362898367069</v>
      </c>
      <c r="G20" s="54"/>
      <c r="H20" s="52">
        <f t="shared" si="3"/>
        <v>5.7</v>
      </c>
      <c r="I20" s="54">
        <f>I16</f>
        <v>0.50487289999999996</v>
      </c>
      <c r="J20" s="55">
        <f>M20*K20</f>
        <v>51771.276165621297</v>
      </c>
      <c r="K20" s="56">
        <f>K4*(1-C30)</f>
        <v>0.85</v>
      </c>
      <c r="L20" s="9"/>
      <c r="M20" s="42">
        <f>M18</f>
        <v>60907.383724260355</v>
      </c>
      <c r="N20" s="40">
        <f>Dairy_Income_Roadmap!G27</f>
        <v>985.97574143461293</v>
      </c>
      <c r="O20" s="40">
        <f ca="1">Dairy_Income_Roadmap!G57</f>
        <v>281.06762944767502</v>
      </c>
      <c r="P20" s="40">
        <f>(F20*(Dairy_Income_Roadmap!G22+ Dairy_Income_Baseline!D24)  -   F4*Dairy_Income_Baseline!D24)</f>
        <v>1.407980660023723</v>
      </c>
      <c r="Q20" s="47">
        <f>(P20*(Dairy_Income_Roadmap!G19))</f>
        <v>468.79381259097039</v>
      </c>
      <c r="R20" s="47">
        <f>IF(P20&gt;0, P20*Dairy_Income_Roadmap!L19/12, 0)</f>
        <v>3.2852882067220204</v>
      </c>
      <c r="S20" s="69">
        <f>F20*I20*N20</f>
        <v>2204.9033289800732</v>
      </c>
      <c r="T20" s="69">
        <f ca="1">F20*O20*I20</f>
        <v>628.5417843404565</v>
      </c>
      <c r="U20" s="71">
        <f t="shared" si="5"/>
        <v>1450.7844070341632</v>
      </c>
      <c r="V20" s="31">
        <f>V16</f>
        <v>2.9201630276455295E-2</v>
      </c>
      <c r="W20" s="43">
        <f>(S20-Q20)*D20</f>
        <v>20291993.970482502</v>
      </c>
      <c r="X20" s="5">
        <f>-1+SUM(W18:W20)/SUM(W3:W4)</f>
        <v>2.9542926358069606</v>
      </c>
      <c r="Y20" s="66">
        <f ca="1">MC_High_ambition_plus!I18</f>
        <v>67.371496310467705</v>
      </c>
    </row>
    <row r="21" spans="1:25" ht="15.6" x14ac:dyDescent="0.6">
      <c r="A21" s="13"/>
      <c r="C21" s="51"/>
      <c r="D21" s="52"/>
      <c r="E21" s="53"/>
      <c r="F21" s="52"/>
      <c r="G21" s="54"/>
      <c r="H21" s="52"/>
      <c r="I21" s="54"/>
      <c r="J21" s="55"/>
      <c r="K21" s="56"/>
      <c r="L21" s="9"/>
      <c r="M21" s="42"/>
      <c r="N21" s="40"/>
      <c r="O21" s="40"/>
      <c r="P21" s="40"/>
      <c r="Q21" s="47"/>
      <c r="R21" s="47"/>
      <c r="S21" s="41"/>
      <c r="T21" s="41"/>
      <c r="U21" s="43"/>
      <c r="V21" s="31"/>
      <c r="W21" s="28"/>
      <c r="X21" s="43"/>
      <c r="Y21" s="66"/>
    </row>
    <row r="22" spans="1:25" x14ac:dyDescent="0.55000000000000004">
      <c r="M22" s="60" t="s">
        <v>85</v>
      </c>
      <c r="N22" s="61">
        <f>([2]prod_herd_data!H8+[2]prod_herd_data!I8)</f>
        <v>975438.72790015268</v>
      </c>
    </row>
    <row r="23" spans="1:25" ht="15.6" x14ac:dyDescent="0.6">
      <c r="A23" s="65" t="s">
        <v>89</v>
      </c>
      <c r="B23" s="50"/>
      <c r="C23" s="49"/>
      <c r="D23" s="49"/>
      <c r="M23" s="48" t="s">
        <v>23</v>
      </c>
      <c r="N23" s="48">
        <f>[1]All!$B$12</f>
        <v>285</v>
      </c>
    </row>
    <row r="24" spans="1:25" x14ac:dyDescent="0.55000000000000004">
      <c r="A24" s="50" t="s">
        <v>123</v>
      </c>
      <c r="B24" s="50"/>
      <c r="C24" s="67">
        <f>532194/(250800+532194)</f>
        <v>0.67969103211518866</v>
      </c>
      <c r="D24" s="49"/>
    </row>
    <row r="25" spans="1:25" x14ac:dyDescent="0.55000000000000004">
      <c r="A25" s="50" t="s">
        <v>124</v>
      </c>
      <c r="B25" s="49"/>
      <c r="C25" s="67">
        <f>9226165/(9226165+3518000)</f>
        <v>0.723952098862499</v>
      </c>
      <c r="D25" s="49"/>
      <c r="M25" s="1" t="s">
        <v>84</v>
      </c>
    </row>
    <row r="26" spans="1:25" x14ac:dyDescent="0.55000000000000004">
      <c r="A26" s="50" t="s">
        <v>36</v>
      </c>
      <c r="B26" s="49"/>
      <c r="C26" s="67">
        <f>1-0.803</f>
        <v>0.19699999999999995</v>
      </c>
      <c r="D26" s="49"/>
      <c r="E26" s="21"/>
      <c r="M26" s="48" t="s">
        <v>21</v>
      </c>
    </row>
    <row r="27" spans="1:25" x14ac:dyDescent="0.55000000000000004">
      <c r="A27" s="50" t="s">
        <v>125</v>
      </c>
      <c r="B27" s="49" t="str">
        <f>A6</f>
        <v>High ambition</v>
      </c>
      <c r="C27" s="49">
        <f>0.15</f>
        <v>0.15</v>
      </c>
      <c r="D27" s="49"/>
      <c r="E27" s="21"/>
      <c r="M27" s="49" t="s">
        <v>25</v>
      </c>
      <c r="P27" s="1"/>
    </row>
    <row r="28" spans="1:25" x14ac:dyDescent="0.55000000000000004">
      <c r="A28" s="50"/>
      <c r="B28" s="49" t="str">
        <f>A10</f>
        <v>Middle road</v>
      </c>
      <c r="C28" s="59">
        <f>0.5*(C27-C29)+C29</f>
        <v>8.7499999999999994E-2</v>
      </c>
      <c r="D28" s="49"/>
      <c r="E28" s="21"/>
      <c r="M28" s="62" t="s">
        <v>14</v>
      </c>
      <c r="P28" s="48"/>
      <c r="Q28" s="14"/>
      <c r="R28" s="14"/>
      <c r="S28" s="7"/>
      <c r="T28" s="7"/>
    </row>
    <row r="29" spans="1:25" x14ac:dyDescent="0.55000000000000004">
      <c r="A29" s="50"/>
      <c r="B29" s="49" t="str">
        <f>A14</f>
        <v>Meagre</v>
      </c>
      <c r="C29" s="59">
        <f>0.025</f>
        <v>2.5000000000000001E-2</v>
      </c>
      <c r="D29" s="49"/>
      <c r="E29" s="23"/>
      <c r="M29" s="14"/>
      <c r="P29" s="49"/>
      <c r="Q29" s="19"/>
      <c r="R29" s="19"/>
    </row>
    <row r="30" spans="1:25" x14ac:dyDescent="0.55000000000000004">
      <c r="A30" s="50"/>
      <c r="B30" s="49" t="str">
        <f>A18</f>
        <v>High ambition ++</v>
      </c>
      <c r="C30" s="59">
        <f>C27</f>
        <v>0.15</v>
      </c>
      <c r="D30" s="49"/>
      <c r="E30" s="23"/>
      <c r="M30" s="14"/>
      <c r="P30" s="62"/>
      <c r="Q30" s="19"/>
      <c r="R30" s="19"/>
    </row>
    <row r="31" spans="1:25" x14ac:dyDescent="0.55000000000000004">
      <c r="A31" s="50" t="s">
        <v>126</v>
      </c>
      <c r="B31" s="49" t="str">
        <f>B27</f>
        <v>High ambition</v>
      </c>
      <c r="C31" s="59">
        <f>0.175</f>
        <v>0.17499999999999999</v>
      </c>
      <c r="D31" s="63"/>
      <c r="E31" s="24"/>
      <c r="F31" s="45"/>
      <c r="M31" s="19"/>
      <c r="O31" s="15"/>
      <c r="P31" s="15"/>
      <c r="Q31" s="15"/>
      <c r="R31" s="15"/>
    </row>
    <row r="32" spans="1:25" x14ac:dyDescent="0.55000000000000004">
      <c r="A32" s="49"/>
      <c r="B32" s="49" t="str">
        <f t="shared" ref="B32:B34" si="6">B28</f>
        <v>Middle road</v>
      </c>
      <c r="C32" s="59">
        <f>C33+(C31-C33)*0.5</f>
        <v>9.4999999999999987E-2</v>
      </c>
      <c r="D32" s="63"/>
      <c r="E32" s="24"/>
      <c r="M32" s="15"/>
      <c r="O32" s="20"/>
      <c r="P32" s="20"/>
      <c r="Q32" s="20"/>
      <c r="R32" s="20"/>
    </row>
    <row r="33" spans="1:18" x14ac:dyDescent="0.55000000000000004">
      <c r="A33" s="49"/>
      <c r="B33" s="49" t="str">
        <f t="shared" si="6"/>
        <v>Meagre</v>
      </c>
      <c r="C33" s="59">
        <f>0.015</f>
        <v>1.4999999999999999E-2</v>
      </c>
      <c r="D33" s="63"/>
      <c r="E33" s="24"/>
      <c r="M33" s="15"/>
      <c r="O33" s="20"/>
      <c r="P33" s="20"/>
      <c r="Q33" s="20"/>
      <c r="R33" s="20"/>
    </row>
    <row r="34" spans="1:18" x14ac:dyDescent="0.55000000000000004">
      <c r="A34" s="49"/>
      <c r="B34" s="49" t="str">
        <f t="shared" si="6"/>
        <v>High ambition ++</v>
      </c>
      <c r="C34" s="59">
        <f>C31</f>
        <v>0.17499999999999999</v>
      </c>
      <c r="D34" s="63"/>
      <c r="E34" s="24"/>
      <c r="M34" s="20"/>
      <c r="O34" s="21"/>
      <c r="P34" s="21"/>
      <c r="Q34" s="21"/>
      <c r="R34" s="21"/>
    </row>
    <row r="35" spans="1:18" x14ac:dyDescent="0.55000000000000004">
      <c r="A35" s="50" t="s">
        <v>127</v>
      </c>
      <c r="B35" s="49" t="str">
        <f>B31</f>
        <v>High ambition</v>
      </c>
      <c r="C35" s="59">
        <f>(C6+C8)/SUM(C6,C7,C8)</f>
        <v>0.51862131906754527</v>
      </c>
      <c r="M35" s="21"/>
      <c r="O35" s="22"/>
      <c r="P35" s="22"/>
      <c r="Q35" s="22"/>
      <c r="R35" s="22"/>
    </row>
    <row r="36" spans="1:18" x14ac:dyDescent="0.55000000000000004">
      <c r="B36" s="49" t="str">
        <f t="shared" ref="B36:B38" si="7">B32</f>
        <v>Middle road</v>
      </c>
      <c r="C36" s="59">
        <f>(C10+C12)/SUM(C10,C11,C12)</f>
        <v>0.47194217424985263</v>
      </c>
      <c r="M36" s="22"/>
      <c r="N36" s="48">
        <f>[1]All!$B$12</f>
        <v>285</v>
      </c>
      <c r="P36" s="48"/>
      <c r="Q36" s="14"/>
      <c r="R36" s="14"/>
    </row>
    <row r="37" spans="1:18" x14ac:dyDescent="0.55000000000000004">
      <c r="B37" s="49" t="str">
        <f t="shared" si="7"/>
        <v>Meagre</v>
      </c>
      <c r="C37" s="59">
        <f>(C14+C16)/SUM(C14,C15,C16)</f>
        <v>0.4252630294321601</v>
      </c>
    </row>
    <row r="38" spans="1:18" ht="15.3" x14ac:dyDescent="0.55000000000000004">
      <c r="B38" s="49" t="str">
        <f t="shared" si="7"/>
        <v>High ambition ++</v>
      </c>
      <c r="C38" s="59">
        <f>(C18+C20)/SUM(C18,C19,C20)</f>
        <v>0.51862131906754527</v>
      </c>
      <c r="E38" s="31"/>
      <c r="F38" s="31"/>
      <c r="G38" s="31"/>
      <c r="H38" s="31"/>
      <c r="I38" s="31"/>
      <c r="N38" s="33"/>
    </row>
    <row r="39" spans="1:18" ht="15.3" x14ac:dyDescent="0.55000000000000004">
      <c r="E39" s="31"/>
      <c r="F39" s="31"/>
      <c r="G39" s="31"/>
      <c r="H39" s="31"/>
      <c r="I39" s="31"/>
      <c r="N39" s="33"/>
    </row>
    <row r="40" spans="1:18" x14ac:dyDescent="0.55000000000000004">
      <c r="E40" s="31"/>
      <c r="F40" s="31"/>
      <c r="G40" s="31"/>
      <c r="H40" s="31"/>
      <c r="I40" s="31"/>
    </row>
    <row r="42" spans="1:18" x14ac:dyDescent="0.55000000000000004">
      <c r="E42" s="28"/>
      <c r="F42" s="28"/>
      <c r="G42" s="28"/>
      <c r="H42" s="28"/>
      <c r="I42" s="28"/>
    </row>
    <row r="43" spans="1:18" x14ac:dyDescent="0.55000000000000004">
      <c r="E43" s="28"/>
      <c r="F43" s="28"/>
      <c r="G43" s="28"/>
      <c r="H43" s="28"/>
      <c r="I43" s="28"/>
    </row>
    <row r="44" spans="1:18" x14ac:dyDescent="0.55000000000000004">
      <c r="E44" s="28"/>
      <c r="F44" s="28"/>
      <c r="G44" s="28"/>
      <c r="H44" s="28"/>
      <c r="I44" s="28"/>
    </row>
    <row r="46" spans="1:18" x14ac:dyDescent="0.55000000000000004">
      <c r="H46" s="31"/>
    </row>
    <row r="50" spans="4:8" x14ac:dyDescent="0.55000000000000004">
      <c r="H50" s="31"/>
    </row>
    <row r="53" spans="4:8" x14ac:dyDescent="0.55000000000000004">
      <c r="D53" s="30"/>
      <c r="E53" s="30"/>
      <c r="F53" s="30"/>
      <c r="G53" s="30"/>
      <c r="H53" s="30"/>
    </row>
    <row r="54" spans="4:8" x14ac:dyDescent="0.55000000000000004">
      <c r="D54" s="30"/>
      <c r="E54" s="30"/>
      <c r="F54" s="30"/>
      <c r="G54" s="30"/>
      <c r="H54" s="30"/>
    </row>
    <row r="55" spans="4:8" x14ac:dyDescent="0.55000000000000004">
      <c r="D55" s="30"/>
      <c r="E55" s="30"/>
      <c r="F55" s="30"/>
      <c r="G55" s="30"/>
      <c r="H55" s="30"/>
    </row>
    <row r="57" spans="4:8" x14ac:dyDescent="0.55000000000000004">
      <c r="F57" s="30"/>
      <c r="G57" s="30"/>
    </row>
    <row r="58" spans="4:8" x14ac:dyDescent="0.55000000000000004">
      <c r="D58" s="29"/>
      <c r="E58" s="29"/>
      <c r="F58" s="29"/>
      <c r="G58" s="29"/>
      <c r="H58" s="29"/>
    </row>
    <row r="59" spans="4:8" x14ac:dyDescent="0.55000000000000004">
      <c r="D59" s="29"/>
      <c r="E59" s="29"/>
      <c r="F59" s="29"/>
      <c r="G59" s="29"/>
      <c r="H59" s="29"/>
    </row>
    <row r="60" spans="4:8" x14ac:dyDescent="0.55000000000000004">
      <c r="D60" s="29"/>
      <c r="E60" s="29"/>
      <c r="F60" s="29"/>
      <c r="G60" s="29"/>
      <c r="H60" s="29"/>
    </row>
    <row r="61" spans="4:8" x14ac:dyDescent="0.55000000000000004">
      <c r="F61" s="30"/>
      <c r="G61" s="30"/>
    </row>
    <row r="65" spans="4:10" x14ac:dyDescent="0.55000000000000004">
      <c r="F65" s="30"/>
      <c r="G65" s="30"/>
      <c r="H65" s="28"/>
      <c r="I65" s="28"/>
      <c r="J65" s="28"/>
    </row>
    <row r="66" spans="4:10" x14ac:dyDescent="0.55000000000000004">
      <c r="H66" s="28"/>
      <c r="I66" s="28"/>
      <c r="J66" s="28"/>
    </row>
    <row r="67" spans="4:10" x14ac:dyDescent="0.55000000000000004">
      <c r="H67" s="28"/>
      <c r="I67" s="28"/>
      <c r="J67" s="28"/>
    </row>
    <row r="73" spans="4:10" x14ac:dyDescent="0.55000000000000004">
      <c r="D73" s="5"/>
      <c r="E73" s="5"/>
      <c r="F73" s="5"/>
      <c r="G73" s="5"/>
      <c r="H73" s="5"/>
    </row>
    <row r="74" spans="4:10" x14ac:dyDescent="0.55000000000000004">
      <c r="D74" s="5"/>
      <c r="E74" s="5"/>
      <c r="F74" s="5"/>
      <c r="G74" s="5"/>
      <c r="H74" s="5"/>
    </row>
    <row r="75" spans="4:10" x14ac:dyDescent="0.55000000000000004">
      <c r="D75" s="5"/>
      <c r="E75" s="5"/>
      <c r="F75" s="5"/>
      <c r="G75" s="5"/>
      <c r="H75" s="5"/>
    </row>
    <row r="76" spans="4:10" x14ac:dyDescent="0.55000000000000004">
      <c r="F76" s="5"/>
      <c r="G76" s="5"/>
    </row>
    <row r="80" spans="4:10" x14ac:dyDescent="0.55000000000000004">
      <c r="F80" s="5"/>
      <c r="G80" s="5"/>
    </row>
    <row r="82" spans="3:9" x14ac:dyDescent="0.55000000000000004">
      <c r="C82" s="10"/>
      <c r="D82" s="10"/>
      <c r="E82" s="2"/>
      <c r="F82" s="2"/>
      <c r="G82" s="2"/>
      <c r="H82" s="2"/>
      <c r="I82" s="2"/>
    </row>
    <row r="83" spans="3:9" x14ac:dyDescent="0.55000000000000004">
      <c r="C83" s="10"/>
      <c r="D83" s="10"/>
      <c r="E83" s="2"/>
      <c r="F83" s="2"/>
      <c r="G83" s="2"/>
      <c r="H83" s="26"/>
      <c r="I83" s="2"/>
    </row>
    <row r="84" spans="3:9" x14ac:dyDescent="0.55000000000000004">
      <c r="C84" s="10"/>
      <c r="D84" s="10"/>
      <c r="E84" s="2"/>
      <c r="F84" s="2"/>
      <c r="G84" s="2"/>
      <c r="H84" s="2"/>
      <c r="I84" s="2"/>
    </row>
    <row r="85" spans="3:9" x14ac:dyDescent="0.55000000000000004">
      <c r="H85" s="2"/>
    </row>
    <row r="86" spans="3:9" x14ac:dyDescent="0.55000000000000004">
      <c r="E86" s="29"/>
      <c r="F86" s="29"/>
      <c r="G86" s="29"/>
      <c r="H86" s="29"/>
      <c r="I86" s="29"/>
    </row>
    <row r="87" spans="3:9" x14ac:dyDescent="0.55000000000000004">
      <c r="E87" s="29"/>
      <c r="F87" s="29"/>
      <c r="G87" s="29"/>
      <c r="H87" s="29"/>
      <c r="I87" s="29"/>
    </row>
    <row r="88" spans="3:9" x14ac:dyDescent="0.55000000000000004">
      <c r="C88" s="28"/>
      <c r="D88" s="28"/>
      <c r="E88" s="29"/>
      <c r="F88" s="29"/>
      <c r="G88" s="29"/>
      <c r="H88" s="29"/>
      <c r="I88" s="29"/>
    </row>
    <row r="89" spans="3:9" x14ac:dyDescent="0.55000000000000004">
      <c r="C89" s="28"/>
      <c r="D89" s="28"/>
    </row>
    <row r="90" spans="3:9" x14ac:dyDescent="0.55000000000000004">
      <c r="C90" s="28"/>
      <c r="D90" s="28"/>
      <c r="E90" s="28"/>
    </row>
    <row r="93" spans="3:9" x14ac:dyDescent="0.55000000000000004">
      <c r="H93" s="2"/>
    </row>
  </sheetData>
  <mergeCells count="3">
    <mergeCell ref="V1:W1"/>
    <mergeCell ref="C1:M1"/>
    <mergeCell ref="N1:U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CCA4-72F4-4E5D-B293-2B6683BA1D93}">
  <dimension ref="A1:H127"/>
  <sheetViews>
    <sheetView workbookViewId="0">
      <selection activeCell="B8" sqref="B8"/>
    </sheetView>
  </sheetViews>
  <sheetFormatPr defaultRowHeight="14.4" x14ac:dyDescent="0.55000000000000004"/>
  <cols>
    <col min="1" max="1" width="41.89453125" customWidth="1"/>
    <col min="2" max="2" width="13.1015625" customWidth="1"/>
    <col min="3" max="3" width="16.3125" customWidth="1"/>
    <col min="5" max="5" width="13.89453125" customWidth="1"/>
    <col min="6" max="7" width="8.89453125"/>
  </cols>
  <sheetData>
    <row r="1" spans="1:7" x14ac:dyDescent="0.55000000000000004">
      <c r="B1" s="36" t="s">
        <v>98</v>
      </c>
      <c r="C1" s="36" t="s">
        <v>99</v>
      </c>
      <c r="D1" s="1"/>
      <c r="E1" s="1" t="str">
        <f>MC_High_ambition!F1</f>
        <v>All dairy households</v>
      </c>
      <c r="F1" s="1"/>
      <c r="G1" s="1"/>
    </row>
    <row r="3" spans="1:7" x14ac:dyDescent="0.55000000000000004">
      <c r="A3" t="s">
        <v>105</v>
      </c>
      <c r="B3" s="28">
        <f>Mappings!N3</f>
        <v>31.294314476200199</v>
      </c>
      <c r="C3" s="28">
        <f>Mappings!N4</f>
        <v>359.47281896729658</v>
      </c>
    </row>
    <row r="4" spans="1:7" x14ac:dyDescent="0.55000000000000004">
      <c r="A4" t="s">
        <v>106</v>
      </c>
      <c r="B4" s="28">
        <f ca="1">_xlfn.NORM.INV(RAND(),Mappings!N3,Mappings!O3)</f>
        <v>128.39265183851387</v>
      </c>
      <c r="C4" s="28">
        <f ca="1">_xlfn.NORM.INV(RAND(),Mappings!N4,Mappings!O4)</f>
        <v>271.9736024112143</v>
      </c>
    </row>
    <row r="5" spans="1:7" x14ac:dyDescent="0.55000000000000004">
      <c r="A5" t="s">
        <v>107</v>
      </c>
      <c r="B5" s="28">
        <f>Mappings!F3*Mappings!I3</f>
        <v>4.0949999999999998</v>
      </c>
      <c r="C5" s="28">
        <f>Mappings!F4*Mappings!I4</f>
        <v>1.4211238120134999</v>
      </c>
    </row>
    <row r="6" spans="1:7" x14ac:dyDescent="0.55000000000000004">
      <c r="A6" t="s">
        <v>42</v>
      </c>
      <c r="B6" s="28">
        <f>B5</f>
        <v>4.0949999999999998</v>
      </c>
      <c r="C6" s="28">
        <f>C5</f>
        <v>1.4211238120134999</v>
      </c>
    </row>
    <row r="7" spans="1:7" x14ac:dyDescent="0.55000000000000004">
      <c r="A7" t="s">
        <v>95</v>
      </c>
      <c r="B7" s="28">
        <f>Mappings!Q6</f>
        <v>-76.395036865530145</v>
      </c>
      <c r="C7" s="28">
        <f>Mappings!Q7</f>
        <v>-740.30972698934124</v>
      </c>
    </row>
    <row r="8" spans="1:7" x14ac:dyDescent="0.55000000000000004">
      <c r="A8" t="s">
        <v>108</v>
      </c>
      <c r="B8" s="28">
        <f ca="1">IF(B7&gt;0,_xlfn.NORM.INV(RAND(),B7,B7*Dairy_Income_Roadmap!L38),_xlfn.NORM.INV(RAND(),ABS(B7),ABS(B7)*Dairy_Income_Roadmap!L38))</f>
        <v>258.86600153453418</v>
      </c>
      <c r="C8" s="28">
        <f ca="1">IF(C7&gt;0,_xlfn.NORM.INV(RAND(),C7,C7*Dairy_Income_Roadmap!L38),_xlfn.NORM.INV(RAND(),ABS(C7),ABS(C7)*Dairy_Income_Roadmap!L38))</f>
        <v>407.8322611724696</v>
      </c>
    </row>
    <row r="9" spans="1:7" x14ac:dyDescent="0.55000000000000004">
      <c r="A9" t="s">
        <v>43</v>
      </c>
      <c r="B9" s="28">
        <f>Mappings!D3</f>
        <v>16373.983893418712</v>
      </c>
      <c r="C9" s="28">
        <f>Mappings!D4</f>
        <v>11688.199263308798</v>
      </c>
    </row>
    <row r="10" spans="1:7" x14ac:dyDescent="0.55000000000000004">
      <c r="A10" t="s">
        <v>109</v>
      </c>
      <c r="B10" s="28">
        <f>Mappings!V3*B9</f>
        <v>478.14702380824724</v>
      </c>
      <c r="C10" s="28">
        <f>Mappings!V4*C9</f>
        <v>341.31447348468066</v>
      </c>
    </row>
    <row r="11" spans="1:7" x14ac:dyDescent="0.55000000000000004">
      <c r="B11" s="28"/>
      <c r="C11" s="28"/>
    </row>
    <row r="12" spans="1:7" x14ac:dyDescent="0.55000000000000004">
      <c r="A12" t="s">
        <v>40</v>
      </c>
      <c r="B12" s="28">
        <f ca="1">B4*B6</f>
        <v>525.76790927871423</v>
      </c>
      <c r="C12" s="28">
        <f ca="1">C4*C6</f>
        <v>386.50816262566889</v>
      </c>
    </row>
    <row r="13" spans="1:7" x14ac:dyDescent="0.55000000000000004">
      <c r="A13" t="s">
        <v>41</v>
      </c>
      <c r="B13" s="28">
        <f ca="1">-IF(B7&gt;0,B8,     -B8)</f>
        <v>258.86600153453418</v>
      </c>
      <c r="C13" s="28">
        <f ca="1">-IF(C7&gt;0,C8,(-1)*C8)</f>
        <v>407.8322611724696</v>
      </c>
    </row>
    <row r="14" spans="1:7" x14ac:dyDescent="0.55000000000000004">
      <c r="A14" t="s">
        <v>43</v>
      </c>
      <c r="B14" s="28">
        <f ca="1">_xlfn.NORM.INV(RAND(),B9,B10)</f>
        <v>15824.100636407089</v>
      </c>
      <c r="C14" s="28">
        <f ca="1">_xlfn.NORM.INV(RAND(),C9,C10)</f>
        <v>11833.231087601105</v>
      </c>
    </row>
    <row r="15" spans="1:7" x14ac:dyDescent="0.55000000000000004">
      <c r="B15" s="28"/>
      <c r="C15" s="28"/>
    </row>
    <row r="16" spans="1:7" x14ac:dyDescent="0.55000000000000004">
      <c r="A16" t="s">
        <v>44</v>
      </c>
      <c r="B16" s="28">
        <f ca="1">(B12+B13)*B14</f>
        <v>12416125.967446506</v>
      </c>
      <c r="C16" s="28">
        <f ca="1">(C12+C13)*C14</f>
        <v>9399613.7970263697</v>
      </c>
      <c r="E16">
        <f ca="1">B16+C16</f>
        <v>21815739.764472876</v>
      </c>
    </row>
    <row r="17" spans="1:8" x14ac:dyDescent="0.55000000000000004">
      <c r="A17" t="s">
        <v>110</v>
      </c>
      <c r="B17" s="28" t="s">
        <v>49</v>
      </c>
      <c r="C17" s="28" t="s">
        <v>49</v>
      </c>
      <c r="E17">
        <f ca="1">STDEVA(E20:E127)</f>
        <v>20361039.460297037</v>
      </c>
      <c r="G17" s="1" t="s">
        <v>52</v>
      </c>
    </row>
    <row r="18" spans="1:8" x14ac:dyDescent="0.55000000000000004">
      <c r="A18" t="s">
        <v>45</v>
      </c>
      <c r="B18" s="28" t="s">
        <v>49</v>
      </c>
      <c r="C18" s="28" t="s">
        <v>49</v>
      </c>
      <c r="E18">
        <f ca="1">AVERAGE(E20:E127)</f>
        <v>17732401.54852061</v>
      </c>
      <c r="H18" s="37">
        <f ca="1">100*E17/E18</f>
        <v>114.82392503115705</v>
      </c>
    </row>
    <row r="20" spans="1:8" x14ac:dyDescent="0.55000000000000004">
      <c r="D20">
        <v>1</v>
      </c>
      <c r="E20">
        <f ca="1">E16</f>
        <v>21815739.764472876</v>
      </c>
    </row>
    <row r="21" spans="1:8" x14ac:dyDescent="0.55000000000000004">
      <c r="D21">
        <v>2</v>
      </c>
      <c r="E21">
        <f t="dataTable" ref="E21:E127" dt2D="0" dtr="0" r1="E19" ca="1"/>
        <v>-10631759.307007428</v>
      </c>
    </row>
    <row r="22" spans="1:8" x14ac:dyDescent="0.55000000000000004">
      <c r="D22">
        <v>3</v>
      </c>
      <c r="E22">
        <v>25297792.908673082</v>
      </c>
    </row>
    <row r="23" spans="1:8" x14ac:dyDescent="0.55000000000000004">
      <c r="D23">
        <v>4</v>
      </c>
      <c r="E23">
        <v>29721341.324252024</v>
      </c>
    </row>
    <row r="24" spans="1:8" x14ac:dyDescent="0.55000000000000004">
      <c r="D24">
        <v>5</v>
      </c>
      <c r="E24">
        <v>34864937.561519496</v>
      </c>
    </row>
    <row r="25" spans="1:8" x14ac:dyDescent="0.55000000000000004">
      <c r="D25">
        <v>6</v>
      </c>
      <c r="E25">
        <v>32945179.786136802</v>
      </c>
    </row>
    <row r="26" spans="1:8" x14ac:dyDescent="0.55000000000000004">
      <c r="D26">
        <v>7</v>
      </c>
      <c r="E26">
        <v>19914841.327582397</v>
      </c>
    </row>
    <row r="27" spans="1:8" x14ac:dyDescent="0.55000000000000004">
      <c r="D27">
        <v>8</v>
      </c>
      <c r="E27">
        <v>4441074.1637319531</v>
      </c>
    </row>
    <row r="28" spans="1:8" x14ac:dyDescent="0.55000000000000004">
      <c r="D28">
        <v>9</v>
      </c>
      <c r="E28">
        <v>-7325915.9149844451</v>
      </c>
    </row>
    <row r="29" spans="1:8" x14ac:dyDescent="0.55000000000000004">
      <c r="D29">
        <v>10</v>
      </c>
      <c r="E29">
        <v>36176065.983907245</v>
      </c>
    </row>
    <row r="30" spans="1:8" x14ac:dyDescent="0.55000000000000004">
      <c r="D30">
        <v>11</v>
      </c>
      <c r="E30">
        <v>196821.28075879341</v>
      </c>
    </row>
    <row r="31" spans="1:8" x14ac:dyDescent="0.55000000000000004">
      <c r="D31">
        <v>12</v>
      </c>
      <c r="E31">
        <v>27939923.32374141</v>
      </c>
    </row>
    <row r="32" spans="1:8" x14ac:dyDescent="0.55000000000000004">
      <c r="D32">
        <v>13</v>
      </c>
      <c r="E32">
        <v>28615697.218133036</v>
      </c>
    </row>
    <row r="33" spans="4:5" x14ac:dyDescent="0.55000000000000004">
      <c r="D33">
        <v>14</v>
      </c>
      <c r="E33">
        <v>-8655973.8268605899</v>
      </c>
    </row>
    <row r="34" spans="4:5" x14ac:dyDescent="0.55000000000000004">
      <c r="D34">
        <v>15</v>
      </c>
      <c r="E34">
        <v>10559819.159477985</v>
      </c>
    </row>
    <row r="35" spans="4:5" x14ac:dyDescent="0.55000000000000004">
      <c r="D35">
        <v>16</v>
      </c>
      <c r="E35">
        <v>36345572.725947388</v>
      </c>
    </row>
    <row r="36" spans="4:5" x14ac:dyDescent="0.55000000000000004">
      <c r="D36">
        <v>17</v>
      </c>
      <c r="E36">
        <v>10876016.459591851</v>
      </c>
    </row>
    <row r="37" spans="4:5" x14ac:dyDescent="0.55000000000000004">
      <c r="D37">
        <v>18</v>
      </c>
      <c r="E37">
        <v>34181477.442172512</v>
      </c>
    </row>
    <row r="38" spans="4:5" x14ac:dyDescent="0.55000000000000004">
      <c r="D38">
        <v>19</v>
      </c>
      <c r="E38">
        <v>26147751.837324839</v>
      </c>
    </row>
    <row r="39" spans="4:5" x14ac:dyDescent="0.55000000000000004">
      <c r="D39">
        <v>20</v>
      </c>
      <c r="E39">
        <v>16724719.955454927</v>
      </c>
    </row>
    <row r="40" spans="4:5" x14ac:dyDescent="0.55000000000000004">
      <c r="D40">
        <v>21</v>
      </c>
      <c r="E40">
        <v>17790328.929307219</v>
      </c>
    </row>
    <row r="41" spans="4:5" x14ac:dyDescent="0.55000000000000004">
      <c r="D41">
        <v>22</v>
      </c>
      <c r="E41">
        <v>29426498.355894953</v>
      </c>
    </row>
    <row r="42" spans="4:5" x14ac:dyDescent="0.55000000000000004">
      <c r="D42">
        <v>23</v>
      </c>
      <c r="E42">
        <v>68549894.035747349</v>
      </c>
    </row>
    <row r="43" spans="4:5" x14ac:dyDescent="0.55000000000000004">
      <c r="D43">
        <v>24</v>
      </c>
      <c r="E43">
        <v>-23437413.957857974</v>
      </c>
    </row>
    <row r="44" spans="4:5" x14ac:dyDescent="0.55000000000000004">
      <c r="D44">
        <v>25</v>
      </c>
      <c r="E44">
        <v>37396611.301707454</v>
      </c>
    </row>
    <row r="45" spans="4:5" x14ac:dyDescent="0.55000000000000004">
      <c r="D45">
        <v>26</v>
      </c>
      <c r="E45">
        <v>29514531.323105659</v>
      </c>
    </row>
    <row r="46" spans="4:5" x14ac:dyDescent="0.55000000000000004">
      <c r="D46">
        <v>27</v>
      </c>
      <c r="E46">
        <v>-6814457.9954002015</v>
      </c>
    </row>
    <row r="47" spans="4:5" x14ac:dyDescent="0.55000000000000004">
      <c r="D47">
        <v>28</v>
      </c>
      <c r="E47">
        <v>-22726092.389982797</v>
      </c>
    </row>
    <row r="48" spans="4:5" x14ac:dyDescent="0.55000000000000004">
      <c r="D48">
        <v>29</v>
      </c>
      <c r="E48">
        <v>9506410.7216089405</v>
      </c>
    </row>
    <row r="49" spans="4:5" x14ac:dyDescent="0.55000000000000004">
      <c r="D49">
        <v>30</v>
      </c>
      <c r="E49">
        <v>17080482.371591114</v>
      </c>
    </row>
    <row r="50" spans="4:5" x14ac:dyDescent="0.55000000000000004">
      <c r="D50">
        <v>31</v>
      </c>
      <c r="E50">
        <v>9444551.7464061938</v>
      </c>
    </row>
    <row r="51" spans="4:5" x14ac:dyDescent="0.55000000000000004">
      <c r="D51">
        <v>32</v>
      </c>
      <c r="E51">
        <v>24634948.788934465</v>
      </c>
    </row>
    <row r="52" spans="4:5" x14ac:dyDescent="0.55000000000000004">
      <c r="D52">
        <v>33</v>
      </c>
      <c r="E52">
        <v>16492759.577713912</v>
      </c>
    </row>
    <row r="53" spans="4:5" x14ac:dyDescent="0.55000000000000004">
      <c r="D53">
        <v>34</v>
      </c>
      <c r="E53">
        <v>4197123.0372838229</v>
      </c>
    </row>
    <row r="54" spans="4:5" x14ac:dyDescent="0.55000000000000004">
      <c r="D54">
        <v>35</v>
      </c>
      <c r="E54">
        <v>7068754.6727669686</v>
      </c>
    </row>
    <row r="55" spans="4:5" x14ac:dyDescent="0.55000000000000004">
      <c r="D55">
        <v>36</v>
      </c>
      <c r="E55">
        <v>11879582.624180997</v>
      </c>
    </row>
    <row r="56" spans="4:5" x14ac:dyDescent="0.55000000000000004">
      <c r="D56">
        <v>37</v>
      </c>
      <c r="E56">
        <v>47805458.56331832</v>
      </c>
    </row>
    <row r="57" spans="4:5" x14ac:dyDescent="0.55000000000000004">
      <c r="D57">
        <v>38</v>
      </c>
      <c r="E57">
        <v>10014723.66006735</v>
      </c>
    </row>
    <row r="58" spans="4:5" x14ac:dyDescent="0.55000000000000004">
      <c r="D58">
        <v>39</v>
      </c>
      <c r="E58">
        <v>15499766.502026774</v>
      </c>
    </row>
    <row r="59" spans="4:5" x14ac:dyDescent="0.55000000000000004">
      <c r="D59">
        <v>40</v>
      </c>
      <c r="E59">
        <v>-2924769.4284458435</v>
      </c>
    </row>
    <row r="60" spans="4:5" x14ac:dyDescent="0.55000000000000004">
      <c r="D60">
        <v>41</v>
      </c>
      <c r="E60">
        <v>-755522.34881017986</v>
      </c>
    </row>
    <row r="61" spans="4:5" x14ac:dyDescent="0.55000000000000004">
      <c r="D61">
        <v>42</v>
      </c>
      <c r="E61">
        <v>-20702948.647349786</v>
      </c>
    </row>
    <row r="62" spans="4:5" x14ac:dyDescent="0.55000000000000004">
      <c r="D62">
        <v>43</v>
      </c>
      <c r="E62">
        <v>38297671.100328453</v>
      </c>
    </row>
    <row r="63" spans="4:5" x14ac:dyDescent="0.55000000000000004">
      <c r="D63">
        <v>44</v>
      </c>
      <c r="E63">
        <v>5248348.5492514148</v>
      </c>
    </row>
    <row r="64" spans="4:5" x14ac:dyDescent="0.55000000000000004">
      <c r="D64">
        <v>45</v>
      </c>
      <c r="E64">
        <v>30784709.28259166</v>
      </c>
    </row>
    <row r="65" spans="4:5" x14ac:dyDescent="0.55000000000000004">
      <c r="D65">
        <v>46</v>
      </c>
      <c r="E65">
        <v>14239451.246704265</v>
      </c>
    </row>
    <row r="66" spans="4:5" x14ac:dyDescent="0.55000000000000004">
      <c r="D66">
        <v>47</v>
      </c>
      <c r="E66">
        <v>5537967.0027028099</v>
      </c>
    </row>
    <row r="67" spans="4:5" x14ac:dyDescent="0.55000000000000004">
      <c r="D67">
        <v>48</v>
      </c>
      <c r="E67">
        <v>27017449.698776763</v>
      </c>
    </row>
    <row r="68" spans="4:5" x14ac:dyDescent="0.55000000000000004">
      <c r="D68">
        <v>49</v>
      </c>
      <c r="E68">
        <v>42999779.139991634</v>
      </c>
    </row>
    <row r="69" spans="4:5" x14ac:dyDescent="0.55000000000000004">
      <c r="D69">
        <v>50</v>
      </c>
      <c r="E69">
        <v>-14866078.57724566</v>
      </c>
    </row>
    <row r="70" spans="4:5" x14ac:dyDescent="0.55000000000000004">
      <c r="D70">
        <v>51</v>
      </c>
      <c r="E70">
        <v>18931014.258537605</v>
      </c>
    </row>
    <row r="71" spans="4:5" x14ac:dyDescent="0.55000000000000004">
      <c r="D71">
        <v>52</v>
      </c>
      <c r="E71">
        <v>21304654.240471475</v>
      </c>
    </row>
    <row r="72" spans="4:5" x14ac:dyDescent="0.55000000000000004">
      <c r="D72">
        <v>53</v>
      </c>
      <c r="E72">
        <v>-23034105.459690195</v>
      </c>
    </row>
    <row r="73" spans="4:5" x14ac:dyDescent="0.55000000000000004">
      <c r="D73">
        <v>54</v>
      </c>
      <c r="E73">
        <v>25678777.802728023</v>
      </c>
    </row>
    <row r="74" spans="4:5" x14ac:dyDescent="0.55000000000000004">
      <c r="D74">
        <v>55</v>
      </c>
      <c r="E74">
        <v>-4178688.2992127882</v>
      </c>
    </row>
    <row r="75" spans="4:5" x14ac:dyDescent="0.55000000000000004">
      <c r="D75">
        <v>56</v>
      </c>
      <c r="E75">
        <v>13476891.271188051</v>
      </c>
    </row>
    <row r="76" spans="4:5" x14ac:dyDescent="0.55000000000000004">
      <c r="D76">
        <v>57</v>
      </c>
      <c r="E76">
        <v>29493993.67614425</v>
      </c>
    </row>
    <row r="77" spans="4:5" x14ac:dyDescent="0.55000000000000004">
      <c r="D77">
        <v>58</v>
      </c>
      <c r="E77">
        <v>13170023.699684806</v>
      </c>
    </row>
    <row r="78" spans="4:5" x14ac:dyDescent="0.55000000000000004">
      <c r="D78">
        <v>59</v>
      </c>
      <c r="E78">
        <v>25882505.145559039</v>
      </c>
    </row>
    <row r="79" spans="4:5" x14ac:dyDescent="0.55000000000000004">
      <c r="D79">
        <v>60</v>
      </c>
      <c r="E79">
        <v>-1101677.8335577361</v>
      </c>
    </row>
    <row r="80" spans="4:5" x14ac:dyDescent="0.55000000000000004">
      <c r="D80">
        <v>61</v>
      </c>
      <c r="E80">
        <v>4141043.6535074646</v>
      </c>
    </row>
    <row r="81" spans="4:5" x14ac:dyDescent="0.55000000000000004">
      <c r="D81">
        <v>62</v>
      </c>
      <c r="E81">
        <v>36992392.931796543</v>
      </c>
    </row>
    <row r="82" spans="4:5" x14ac:dyDescent="0.55000000000000004">
      <c r="D82">
        <v>63</v>
      </c>
      <c r="E82">
        <v>41298811.786648944</v>
      </c>
    </row>
    <row r="83" spans="4:5" x14ac:dyDescent="0.55000000000000004">
      <c r="D83">
        <v>64</v>
      </c>
      <c r="E83">
        <v>14428081.850847522</v>
      </c>
    </row>
    <row r="84" spans="4:5" x14ac:dyDescent="0.55000000000000004">
      <c r="D84">
        <v>65</v>
      </c>
      <c r="E84">
        <v>46767975.921964951</v>
      </c>
    </row>
    <row r="85" spans="4:5" x14ac:dyDescent="0.55000000000000004">
      <c r="D85">
        <v>66</v>
      </c>
      <c r="E85">
        <v>-14884806.668424211</v>
      </c>
    </row>
    <row r="86" spans="4:5" x14ac:dyDescent="0.55000000000000004">
      <c r="D86">
        <v>67</v>
      </c>
      <c r="E86">
        <v>12551357.239325192</v>
      </c>
    </row>
    <row r="87" spans="4:5" x14ac:dyDescent="0.55000000000000004">
      <c r="D87">
        <v>68</v>
      </c>
      <c r="E87">
        <v>-5816656.2705595419</v>
      </c>
    </row>
    <row r="88" spans="4:5" x14ac:dyDescent="0.55000000000000004">
      <c r="D88">
        <v>69</v>
      </c>
      <c r="E88">
        <v>-10692906.789656796</v>
      </c>
    </row>
    <row r="89" spans="4:5" x14ac:dyDescent="0.55000000000000004">
      <c r="D89">
        <v>70</v>
      </c>
      <c r="E89">
        <v>71833169.121627867</v>
      </c>
    </row>
    <row r="90" spans="4:5" x14ac:dyDescent="0.55000000000000004">
      <c r="D90">
        <v>71</v>
      </c>
      <c r="E90">
        <v>110393.98918539938</v>
      </c>
    </row>
    <row r="91" spans="4:5" x14ac:dyDescent="0.55000000000000004">
      <c r="D91">
        <v>72</v>
      </c>
      <c r="E91">
        <v>-9489435.6235237382</v>
      </c>
    </row>
    <row r="92" spans="4:5" x14ac:dyDescent="0.55000000000000004">
      <c r="D92">
        <v>73</v>
      </c>
      <c r="E92">
        <v>-15199345.556308055</v>
      </c>
    </row>
    <row r="93" spans="4:5" x14ac:dyDescent="0.55000000000000004">
      <c r="D93">
        <v>74</v>
      </c>
      <c r="E93">
        <v>35747756.985620394</v>
      </c>
    </row>
    <row r="94" spans="4:5" x14ac:dyDescent="0.55000000000000004">
      <c r="D94">
        <v>75</v>
      </c>
      <c r="E94">
        <v>33874969.206810921</v>
      </c>
    </row>
    <row r="95" spans="4:5" x14ac:dyDescent="0.55000000000000004">
      <c r="D95">
        <v>76</v>
      </c>
      <c r="E95">
        <v>36694882.047551923</v>
      </c>
    </row>
    <row r="96" spans="4:5" x14ac:dyDescent="0.55000000000000004">
      <c r="D96">
        <v>77</v>
      </c>
      <c r="E96">
        <v>22865862.522109829</v>
      </c>
    </row>
    <row r="97" spans="4:5" x14ac:dyDescent="0.55000000000000004">
      <c r="D97">
        <v>78</v>
      </c>
      <c r="E97">
        <v>31590075.643087216</v>
      </c>
    </row>
    <row r="98" spans="4:5" x14ac:dyDescent="0.55000000000000004">
      <c r="D98">
        <v>79</v>
      </c>
      <c r="E98">
        <v>1161976.3306072708</v>
      </c>
    </row>
    <row r="99" spans="4:5" x14ac:dyDescent="0.55000000000000004">
      <c r="D99">
        <v>80</v>
      </c>
      <c r="E99">
        <v>36030644.008035101</v>
      </c>
    </row>
    <row r="100" spans="4:5" x14ac:dyDescent="0.55000000000000004">
      <c r="D100">
        <v>81</v>
      </c>
      <c r="E100">
        <v>53558528.462112747</v>
      </c>
    </row>
    <row r="101" spans="4:5" x14ac:dyDescent="0.55000000000000004">
      <c r="D101">
        <v>82</v>
      </c>
      <c r="E101">
        <v>48735378.848611474</v>
      </c>
    </row>
    <row r="102" spans="4:5" x14ac:dyDescent="0.55000000000000004">
      <c r="D102">
        <v>83</v>
      </c>
      <c r="E102">
        <v>22928059.651446003</v>
      </c>
    </row>
    <row r="103" spans="4:5" x14ac:dyDescent="0.55000000000000004">
      <c r="D103">
        <v>84</v>
      </c>
      <c r="E103">
        <v>-5697213.0928296298</v>
      </c>
    </row>
    <row r="104" spans="4:5" x14ac:dyDescent="0.55000000000000004">
      <c r="D104">
        <v>85</v>
      </c>
      <c r="E104">
        <v>24405168.403997004</v>
      </c>
    </row>
    <row r="105" spans="4:5" x14ac:dyDescent="0.55000000000000004">
      <c r="D105">
        <v>86</v>
      </c>
      <c r="E105">
        <v>-15093837.639583113</v>
      </c>
    </row>
    <row r="106" spans="4:5" x14ac:dyDescent="0.55000000000000004">
      <c r="D106">
        <v>87</v>
      </c>
      <c r="E106">
        <v>11605147.895769019</v>
      </c>
    </row>
    <row r="107" spans="4:5" x14ac:dyDescent="0.55000000000000004">
      <c r="D107">
        <v>88</v>
      </c>
      <c r="E107">
        <v>16942433.818666402</v>
      </c>
    </row>
    <row r="108" spans="4:5" x14ac:dyDescent="0.55000000000000004">
      <c r="D108">
        <v>89</v>
      </c>
      <c r="E108">
        <v>44549936.624354757</v>
      </c>
    </row>
    <row r="109" spans="4:5" x14ac:dyDescent="0.55000000000000004">
      <c r="D109">
        <v>90</v>
      </c>
      <c r="E109">
        <v>52261257.317242131</v>
      </c>
    </row>
    <row r="110" spans="4:5" x14ac:dyDescent="0.55000000000000004">
      <c r="D110">
        <v>91</v>
      </c>
      <c r="E110">
        <v>52924620.381107897</v>
      </c>
    </row>
    <row r="111" spans="4:5" x14ac:dyDescent="0.55000000000000004">
      <c r="D111">
        <v>92</v>
      </c>
      <c r="E111">
        <v>36289448.936346993</v>
      </c>
    </row>
    <row r="112" spans="4:5" x14ac:dyDescent="0.55000000000000004">
      <c r="D112">
        <v>93</v>
      </c>
      <c r="E112">
        <v>31844381.33176418</v>
      </c>
    </row>
    <row r="113" spans="4:5" x14ac:dyDescent="0.55000000000000004">
      <c r="D113">
        <v>94</v>
      </c>
      <c r="E113">
        <v>12485368.211730503</v>
      </c>
    </row>
    <row r="114" spans="4:5" x14ac:dyDescent="0.55000000000000004">
      <c r="D114">
        <v>95</v>
      </c>
      <c r="E114">
        <v>40072773.281541094</v>
      </c>
    </row>
    <row r="115" spans="4:5" x14ac:dyDescent="0.55000000000000004">
      <c r="D115">
        <v>96</v>
      </c>
      <c r="E115">
        <v>544384.50062320381</v>
      </c>
    </row>
    <row r="116" spans="4:5" x14ac:dyDescent="0.55000000000000004">
      <c r="D116">
        <v>97</v>
      </c>
      <c r="E116">
        <v>12113164.309670668</v>
      </c>
    </row>
    <row r="117" spans="4:5" x14ac:dyDescent="0.55000000000000004">
      <c r="D117">
        <v>98</v>
      </c>
      <c r="E117">
        <v>-2135350.9286256973</v>
      </c>
    </row>
    <row r="118" spans="4:5" x14ac:dyDescent="0.55000000000000004">
      <c r="D118">
        <v>99</v>
      </c>
      <c r="E118">
        <v>39747110.516318895</v>
      </c>
    </row>
    <row r="119" spans="4:5" x14ac:dyDescent="0.55000000000000004">
      <c r="D119">
        <v>100</v>
      </c>
      <c r="E119">
        <v>-403214.22408195026</v>
      </c>
    </row>
    <row r="120" spans="4:5" x14ac:dyDescent="0.55000000000000004">
      <c r="D120">
        <v>101</v>
      </c>
      <c r="E120">
        <v>6935108.0609802986</v>
      </c>
    </row>
    <row r="121" spans="4:5" x14ac:dyDescent="0.55000000000000004">
      <c r="D121">
        <v>102</v>
      </c>
      <c r="E121">
        <v>-10640781.787979551</v>
      </c>
    </row>
    <row r="122" spans="4:5" x14ac:dyDescent="0.55000000000000004">
      <c r="D122">
        <v>103</v>
      </c>
      <c r="E122">
        <v>39321479.263030119</v>
      </c>
    </row>
    <row r="123" spans="4:5" x14ac:dyDescent="0.55000000000000004">
      <c r="D123">
        <v>104</v>
      </c>
      <c r="E123">
        <v>17922886.954727981</v>
      </c>
    </row>
    <row r="124" spans="4:5" x14ac:dyDescent="0.55000000000000004">
      <c r="D124">
        <v>105</v>
      </c>
      <c r="E124">
        <v>45314357.355124556</v>
      </c>
    </row>
    <row r="125" spans="4:5" x14ac:dyDescent="0.55000000000000004">
      <c r="D125">
        <v>106</v>
      </c>
      <c r="E125">
        <v>22252059.626519319</v>
      </c>
    </row>
    <row r="126" spans="4:5" x14ac:dyDescent="0.55000000000000004">
      <c r="D126">
        <v>107</v>
      </c>
      <c r="E126">
        <v>18548178.447292566</v>
      </c>
    </row>
    <row r="127" spans="4:5" x14ac:dyDescent="0.55000000000000004">
      <c r="D127">
        <v>108</v>
      </c>
      <c r="E127">
        <v>9787259.821299307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7"/>
  <sheetViews>
    <sheetView topLeftCell="A3" workbookViewId="0">
      <selection activeCell="D8" sqref="D8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6" width="16.1015625" bestFit="1" customWidth="1"/>
    <col min="7" max="7" width="16.1015625" customWidth="1"/>
    <col min="8" max="8" width="27.5234375" customWidth="1"/>
  </cols>
  <sheetData>
    <row r="1" spans="1:8" ht="18" customHeight="1" x14ac:dyDescent="0.55000000000000004">
      <c r="B1" s="27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1" t="s">
        <v>104</v>
      </c>
      <c r="G1" s="1"/>
      <c r="H1" s="1"/>
    </row>
    <row r="3" spans="1:8" x14ac:dyDescent="0.55000000000000004">
      <c r="A3" t="str">
        <f>MC_Baseline!A3</f>
        <v>Income per cow (USD/yr)</v>
      </c>
      <c r="B3" s="28">
        <f>Mappings!N6</f>
        <v>880.62230423788765</v>
      </c>
      <c r="C3" s="28">
        <f>Mappings!N7</f>
        <v>181.77307777823148</v>
      </c>
      <c r="D3" s="28">
        <f>Mappings!N8</f>
        <v>985.97574143461293</v>
      </c>
    </row>
    <row r="4" spans="1:8" x14ac:dyDescent="0.55000000000000004">
      <c r="A4" t="str">
        <f>MC_Baseline!A4</f>
        <v>Random value income per cow (USD/yr)</v>
      </c>
      <c r="B4" s="28">
        <f ca="1">_xlfn.NORM.INV(RAND(),Mappings!N6,Mappings!O6)</f>
        <v>1121.632149446652</v>
      </c>
      <c r="C4" s="28">
        <f ca="1">_xlfn.NORM.INV(RAND(),Mappings!N7,Mappings!O7)</f>
        <v>221.41989293481288</v>
      </c>
      <c r="D4" s="28">
        <f ca="1">_xlfn.NORM.INV(RAND(),Mappings!N8,Mappings!O8)</f>
        <v>1357.2017363055411</v>
      </c>
    </row>
    <row r="5" spans="1:8" x14ac:dyDescent="0.55000000000000004">
      <c r="A5" t="str">
        <f>MC_Baseline!A5</f>
        <v>Cows per household (head)</v>
      </c>
      <c r="B5" s="28">
        <f>Mappings!F6*Mappings!I6</f>
        <v>1.0184566670325734</v>
      </c>
      <c r="C5" s="28">
        <f>Mappings!F7*Mappings!I7</f>
        <v>2.7789214387885246</v>
      </c>
      <c r="D5" s="28">
        <f>Mappings!F8*Mappings!I7</f>
        <v>1.4148650629641095</v>
      </c>
    </row>
    <row r="6" spans="1:8" x14ac:dyDescent="0.55000000000000004">
      <c r="A6" t="str">
        <f>MC_Baseline!A6</f>
        <v>Random value cows per household (head)</v>
      </c>
      <c r="B6" s="28">
        <f ca="1">_xlfn.NORM.INV(RAND(),B5,B5*Mappings!E4)</f>
        <v>0.80389835136362597</v>
      </c>
      <c r="C6" s="28">
        <f ca="1">_xlfn.NORM.INV(RAND(),C5,C5*Mappings!E3)</f>
        <v>4.0219985150293311</v>
      </c>
      <c r="D6" s="28">
        <f ca="1">_xlfn.NORM.INV(RAND(),D5,D5*Mappings!E4)</f>
        <v>1.7778433528497541</v>
      </c>
    </row>
    <row r="7" spans="1:8" x14ac:dyDescent="0.55000000000000004">
      <c r="A7" t="str">
        <f>MC_Baseline!A7</f>
        <v>Reduction in non-dairy income through crop area change</v>
      </c>
      <c r="B7" s="28">
        <f>Mappings!Q6</f>
        <v>-76.395036865530145</v>
      </c>
      <c r="C7" s="28">
        <f>Mappings!Q7</f>
        <v>-740.30972698934124</v>
      </c>
      <c r="D7" s="28">
        <f>Mappings!Q8</f>
        <v>457.45001359276665</v>
      </c>
    </row>
    <row r="8" spans="1:8" x14ac:dyDescent="0.55000000000000004">
      <c r="A8" t="str">
        <f>MC_Baseline!A8</f>
        <v>Random value reduction/increase in non-dairy income (USD/yr)</v>
      </c>
      <c r="B8" s="28">
        <f ca="1">IF(B7&gt;0,_xlfn.NORM.INV(RAND(),B7,B7*Dairy_Income_Roadmap!L36),_xlfn.NORM.INV(RAND(),ABS(B7),ABS(B7)*Dairy_Income_Roadmap!L36))</f>
        <v>-95.94227199919824</v>
      </c>
      <c r="C8" s="28">
        <f ca="1">IF(C7&gt;0,_xlfn.NORM.INV(RAND(),C7,C7*Dairy_Income_Roadmap!L36),_xlfn.NORM.INV(RAND(),ABS(C7),ABS(C7)*Dairy_Income_Roadmap!L36))</f>
        <v>2.426530687860577</v>
      </c>
      <c r="D8" s="28">
        <f ca="1">IF(D7&gt;0,_xlfn.NORM.INV(RAND(),D7,D7*Dairy_Income_Roadmap!L38),_xlfn.NORM.INV(RAND(),ABS(D7),ABS(D7)*Dairy_Income_Roadmap!L38))</f>
        <v>367.01297601974511</v>
      </c>
    </row>
    <row r="9" spans="1:8" x14ac:dyDescent="0.55000000000000004">
      <c r="A9" t="str">
        <f>MC_Baseline!A9</f>
        <v>Quantity households</v>
      </c>
      <c r="B9" s="28">
        <f>Mappings!D6</f>
        <v>2865.4471813482746</v>
      </c>
      <c r="C9" s="28">
        <f>Mappings!D7</f>
        <v>13508.536712070438</v>
      </c>
      <c r="D9" s="28">
        <f>Mappings!D8</f>
        <v>11688.199263308798</v>
      </c>
    </row>
    <row r="10" spans="1:8" x14ac:dyDescent="0.55000000000000004">
      <c r="A10" t="str">
        <f>MC_Baseline!A10</f>
        <v>SE quantity households</v>
      </c>
      <c r="B10" s="28">
        <f>Mappings!V6*Mappings!D6</f>
        <v>83.675729166443261</v>
      </c>
      <c r="C10" s="28">
        <f>Mappings!V7*C9</f>
        <v>394.47129464180398</v>
      </c>
      <c r="D10" s="28">
        <f>Mappings!V8*D9</f>
        <v>341.31447348468066</v>
      </c>
    </row>
    <row r="11" spans="1:8" x14ac:dyDescent="0.55000000000000004">
      <c r="B11" s="28"/>
      <c r="C11" s="28"/>
      <c r="D11" s="28"/>
    </row>
    <row r="12" spans="1:8" x14ac:dyDescent="0.55000000000000004">
      <c r="A12" t="str">
        <f>MC_Baseline!A12</f>
        <v>Dairy Income (USD/household/year)</v>
      </c>
      <c r="B12" s="28">
        <f ca="1">B4*B6</f>
        <v>901.67823577660363</v>
      </c>
      <c r="C12" s="28">
        <f ca="1">C4*C6</f>
        <v>890.5504805817709</v>
      </c>
      <c r="D12" s="28">
        <f ca="1">D4*D6</f>
        <v>2412.8920853669511</v>
      </c>
    </row>
    <row r="13" spans="1:8" x14ac:dyDescent="0.55000000000000004">
      <c r="A13" t="str">
        <f>MC_Baseline!A13</f>
        <v>Non dairy income (USD/household/year)</v>
      </c>
      <c r="B13" s="28">
        <f ca="1">-IF(B7&gt;0,B8,(-1)*B8)</f>
        <v>-95.94227199919824</v>
      </c>
      <c r="C13" s="28">
        <f ca="1">-IF(C7&gt;0,C8,(-1)*C8)</f>
        <v>2.426530687860577</v>
      </c>
      <c r="D13" s="28">
        <f ca="1">-IF(D7&gt;0,D8,(-1)*D8)</f>
        <v>-367.01297601974511</v>
      </c>
    </row>
    <row r="14" spans="1:8" x14ac:dyDescent="0.55000000000000004">
      <c r="A14" t="str">
        <f>MC_Baseline!A14</f>
        <v>Quantity households</v>
      </c>
      <c r="B14" s="28">
        <f ca="1">_xlfn.NORM.INV(RAND(),B9,B10)</f>
        <v>2914.0432466398101</v>
      </c>
      <c r="C14" s="28">
        <f ca="1">_xlfn.NORM.INV(RAND(),C9,C10)</f>
        <v>13160.787920761662</v>
      </c>
      <c r="D14" s="28">
        <f ca="1">_xlfn.NORM.INV(RAND(),D9,D10)</f>
        <v>11873.027756443465</v>
      </c>
    </row>
    <row r="15" spans="1:8" x14ac:dyDescent="0.55000000000000004">
      <c r="B15" s="28"/>
      <c r="C15" s="28"/>
      <c r="D15" s="28"/>
    </row>
    <row r="16" spans="1:8" x14ac:dyDescent="0.55000000000000004">
      <c r="A16" t="str">
        <f>MC_Baseline!A16</f>
        <v>Estimated population income (USD/yr)</v>
      </c>
      <c r="B16" s="34">
        <f ca="1">(B12+B13)*B14</f>
        <v>2347949.4438203666</v>
      </c>
      <c r="C16" s="34">
        <f ca="1">(C12+C13)*C14</f>
        <v>11752281.063435217</v>
      </c>
      <c r="D16" s="34">
        <f ca="1">(D12+D13)*D14</f>
        <v>24290779.451607212</v>
      </c>
      <c r="F16" s="28">
        <f ca="1">B16+C16+D16</f>
        <v>38391009.958862796</v>
      </c>
    </row>
    <row r="17" spans="1:9" x14ac:dyDescent="0.55000000000000004">
      <c r="A17" t="str">
        <f>MC_Baseline!A17</f>
        <v>SE population income (USD/yr)</v>
      </c>
      <c r="B17" t="s">
        <v>49</v>
      </c>
      <c r="C17" t="s">
        <v>49</v>
      </c>
      <c r="D17" t="s">
        <v>49</v>
      </c>
      <c r="F17" s="28">
        <f ca="1">STDEV(F20:F127)</f>
        <v>25587580.310841959</v>
      </c>
      <c r="H17" s="1" t="s">
        <v>52</v>
      </c>
    </row>
    <row r="18" spans="1:9" x14ac:dyDescent="0.55000000000000004">
      <c r="A18" t="str">
        <f>MC_Baseline!A18</f>
        <v>Mean population income (USD/yr)</v>
      </c>
      <c r="B18" s="3" t="s">
        <v>49</v>
      </c>
      <c r="C18" s="3" t="s">
        <v>49</v>
      </c>
      <c r="D18" s="3" t="s">
        <v>49</v>
      </c>
      <c r="E18" s="3"/>
      <c r="F18" s="28">
        <f ca="1">AVERAGE(F20:F127)</f>
        <v>33124362.96438548</v>
      </c>
      <c r="G18" s="3"/>
      <c r="H18" s="3"/>
      <c r="I18" s="38">
        <f ca="1">100*F17/F18</f>
        <v>77.247011024342157</v>
      </c>
    </row>
    <row r="19" spans="1:9" x14ac:dyDescent="0.55000000000000004">
      <c r="F19" s="28"/>
      <c r="G19" s="3"/>
      <c r="H19" s="3"/>
    </row>
    <row r="20" spans="1:9" x14ac:dyDescent="0.55000000000000004">
      <c r="B20" s="3"/>
      <c r="E20">
        <v>1</v>
      </c>
      <c r="F20" s="28">
        <f ca="1">F16</f>
        <v>38391009.958862796</v>
      </c>
      <c r="G20" s="3"/>
      <c r="H20" s="3"/>
    </row>
    <row r="21" spans="1:9" x14ac:dyDescent="0.55000000000000004">
      <c r="E21">
        <v>2</v>
      </c>
      <c r="F21" s="28">
        <f t="dataTable" ref="F21:F127" dt2D="0" dtr="0" r1="F19" ca="1"/>
        <v>88021964.131409988</v>
      </c>
      <c r="G21" s="3"/>
      <c r="H21" s="3"/>
    </row>
    <row r="22" spans="1:9" x14ac:dyDescent="0.55000000000000004">
      <c r="E22">
        <v>3</v>
      </c>
      <c r="F22" s="28">
        <v>22389699.849458888</v>
      </c>
      <c r="G22" s="3"/>
      <c r="H22" s="3"/>
    </row>
    <row r="23" spans="1:9" x14ac:dyDescent="0.55000000000000004">
      <c r="E23">
        <v>4</v>
      </c>
      <c r="F23" s="28">
        <v>49191733.712610662</v>
      </c>
      <c r="G23" s="3"/>
      <c r="H23" s="3"/>
    </row>
    <row r="24" spans="1:9" x14ac:dyDescent="0.55000000000000004">
      <c r="E24">
        <v>5</v>
      </c>
      <c r="F24" s="28">
        <v>-6499785.531374054</v>
      </c>
      <c r="G24" s="3"/>
      <c r="H24" s="3"/>
    </row>
    <row r="25" spans="1:9" x14ac:dyDescent="0.55000000000000004">
      <c r="E25">
        <v>6</v>
      </c>
      <c r="F25" s="28">
        <v>30136762.337658204</v>
      </c>
      <c r="G25" s="3"/>
      <c r="H25" s="3"/>
    </row>
    <row r="26" spans="1:9" x14ac:dyDescent="0.55000000000000004">
      <c r="E26">
        <v>7</v>
      </c>
      <c r="F26" s="28">
        <v>5014595.4784812946</v>
      </c>
      <c r="G26" s="3"/>
      <c r="H26" s="3"/>
    </row>
    <row r="27" spans="1:9" x14ac:dyDescent="0.55000000000000004">
      <c r="E27">
        <v>8</v>
      </c>
      <c r="F27" s="28">
        <v>9489191.5205324516</v>
      </c>
      <c r="G27" s="3"/>
      <c r="H27" s="3"/>
    </row>
    <row r="28" spans="1:9" x14ac:dyDescent="0.55000000000000004">
      <c r="E28">
        <v>9</v>
      </c>
      <c r="F28" s="28">
        <v>24872588.099188</v>
      </c>
      <c r="G28" s="3"/>
      <c r="H28" s="3"/>
    </row>
    <row r="29" spans="1:9" x14ac:dyDescent="0.55000000000000004">
      <c r="E29">
        <v>10</v>
      </c>
      <c r="F29" s="28">
        <v>17842087.717076357</v>
      </c>
      <c r="G29" s="3"/>
      <c r="H29" s="3"/>
    </row>
    <row r="30" spans="1:9" x14ac:dyDescent="0.55000000000000004">
      <c r="E30">
        <v>11</v>
      </c>
      <c r="F30" s="28">
        <v>75478244.766122371</v>
      </c>
      <c r="G30" s="3"/>
      <c r="H30" s="3"/>
    </row>
    <row r="31" spans="1:9" x14ac:dyDescent="0.55000000000000004">
      <c r="E31">
        <v>12</v>
      </c>
      <c r="F31" s="28">
        <v>2942853.5339805232</v>
      </c>
      <c r="G31" s="3"/>
      <c r="H31" s="3"/>
    </row>
    <row r="32" spans="1:9" x14ac:dyDescent="0.55000000000000004">
      <c r="E32">
        <v>13</v>
      </c>
      <c r="F32" s="28">
        <v>22975033.771709722</v>
      </c>
      <c r="G32" s="3"/>
      <c r="H32" s="3"/>
    </row>
    <row r="33" spans="5:8" x14ac:dyDescent="0.55000000000000004">
      <c r="E33">
        <v>14</v>
      </c>
      <c r="F33" s="28">
        <v>17982419.035836123</v>
      </c>
      <c r="G33" s="3"/>
      <c r="H33" s="3"/>
    </row>
    <row r="34" spans="5:8" x14ac:dyDescent="0.55000000000000004">
      <c r="E34">
        <v>15</v>
      </c>
      <c r="F34" s="28">
        <v>35848938.859580107</v>
      </c>
      <c r="G34" s="3"/>
      <c r="H34" s="3"/>
    </row>
    <row r="35" spans="5:8" x14ac:dyDescent="0.55000000000000004">
      <c r="E35">
        <v>16</v>
      </c>
      <c r="F35" s="28">
        <v>68908306.779399842</v>
      </c>
      <c r="G35" s="3"/>
      <c r="H35" s="3"/>
    </row>
    <row r="36" spans="5:8" x14ac:dyDescent="0.55000000000000004">
      <c r="E36">
        <v>17</v>
      </c>
      <c r="F36" s="28">
        <v>29661575.479262479</v>
      </c>
      <c r="G36" s="3"/>
      <c r="H36" s="3"/>
    </row>
    <row r="37" spans="5:8" x14ac:dyDescent="0.55000000000000004">
      <c r="E37">
        <v>18</v>
      </c>
      <c r="F37" s="28">
        <v>52637590.363464572</v>
      </c>
      <c r="G37" s="3"/>
      <c r="H37" s="3"/>
    </row>
    <row r="38" spans="5:8" x14ac:dyDescent="0.55000000000000004">
      <c r="E38">
        <v>19</v>
      </c>
      <c r="F38" s="28">
        <v>53884772.030482985</v>
      </c>
      <c r="G38" s="3"/>
      <c r="H38" s="3"/>
    </row>
    <row r="39" spans="5:8" x14ac:dyDescent="0.55000000000000004">
      <c r="E39">
        <v>20</v>
      </c>
      <c r="F39" s="28">
        <v>16967308.91039126</v>
      </c>
      <c r="G39" s="3"/>
      <c r="H39" s="3"/>
    </row>
    <row r="40" spans="5:8" x14ac:dyDescent="0.55000000000000004">
      <c r="E40">
        <v>21</v>
      </c>
      <c r="F40" s="28">
        <v>38181870.750297852</v>
      </c>
      <c r="G40" s="3"/>
      <c r="H40" s="3"/>
    </row>
    <row r="41" spans="5:8" x14ac:dyDescent="0.55000000000000004">
      <c r="E41">
        <v>22</v>
      </c>
      <c r="F41" s="28">
        <v>9233956.6499606129</v>
      </c>
      <c r="G41" s="3"/>
      <c r="H41" s="3"/>
    </row>
    <row r="42" spans="5:8" x14ac:dyDescent="0.55000000000000004">
      <c r="E42">
        <v>23</v>
      </c>
      <c r="F42" s="28">
        <v>47700948.363094479</v>
      </c>
      <c r="G42" s="3"/>
      <c r="H42" s="3"/>
    </row>
    <row r="43" spans="5:8" x14ac:dyDescent="0.55000000000000004">
      <c r="E43">
        <v>24</v>
      </c>
      <c r="F43" s="28">
        <v>13110383.855570117</v>
      </c>
      <c r="G43" s="3"/>
      <c r="H43" s="3"/>
    </row>
    <row r="44" spans="5:8" x14ac:dyDescent="0.55000000000000004">
      <c r="E44">
        <v>25</v>
      </c>
      <c r="F44" s="28">
        <v>40033547.957738377</v>
      </c>
      <c r="G44" s="3"/>
      <c r="H44" s="3"/>
    </row>
    <row r="45" spans="5:8" x14ac:dyDescent="0.55000000000000004">
      <c r="E45">
        <v>26</v>
      </c>
      <c r="F45" s="28">
        <v>16664992.089842187</v>
      </c>
      <c r="G45" s="3"/>
      <c r="H45" s="3"/>
    </row>
    <row r="46" spans="5:8" x14ac:dyDescent="0.55000000000000004">
      <c r="E46">
        <v>27</v>
      </c>
      <c r="F46" s="28">
        <v>10402571.430074986</v>
      </c>
      <c r="G46" s="3"/>
      <c r="H46" s="3"/>
    </row>
    <row r="47" spans="5:8" x14ac:dyDescent="0.55000000000000004">
      <c r="E47">
        <v>28</v>
      </c>
      <c r="F47" s="28">
        <v>1764200.6701568328</v>
      </c>
      <c r="G47" s="3"/>
      <c r="H47" s="3"/>
    </row>
    <row r="48" spans="5:8" x14ac:dyDescent="0.55000000000000004">
      <c r="E48">
        <v>29</v>
      </c>
      <c r="F48" s="28">
        <v>57720319.423424557</v>
      </c>
      <c r="G48" s="3"/>
      <c r="H48" s="3"/>
    </row>
    <row r="49" spans="5:8" x14ac:dyDescent="0.55000000000000004">
      <c r="E49">
        <v>30</v>
      </c>
      <c r="F49" s="28">
        <v>14028096.20489084</v>
      </c>
      <c r="G49" s="3"/>
      <c r="H49" s="3"/>
    </row>
    <row r="50" spans="5:8" x14ac:dyDescent="0.55000000000000004">
      <c r="E50">
        <v>31</v>
      </c>
      <c r="F50" s="28">
        <v>59342365.705526441</v>
      </c>
      <c r="G50" s="3"/>
      <c r="H50" s="3"/>
    </row>
    <row r="51" spans="5:8" x14ac:dyDescent="0.55000000000000004">
      <c r="E51">
        <v>32</v>
      </c>
      <c r="F51" s="28">
        <v>67270703.675857306</v>
      </c>
      <c r="G51" s="3"/>
      <c r="H51" s="3"/>
    </row>
    <row r="52" spans="5:8" x14ac:dyDescent="0.55000000000000004">
      <c r="E52">
        <v>33</v>
      </c>
      <c r="F52" s="28">
        <v>50503839.220454559</v>
      </c>
      <c r="G52" s="3"/>
      <c r="H52" s="3"/>
    </row>
    <row r="53" spans="5:8" x14ac:dyDescent="0.55000000000000004">
      <c r="E53">
        <v>34</v>
      </c>
      <c r="F53" s="28">
        <v>17380158.404389299</v>
      </c>
      <c r="G53" s="3"/>
      <c r="H53" s="3"/>
    </row>
    <row r="54" spans="5:8" x14ac:dyDescent="0.55000000000000004">
      <c r="E54">
        <v>35</v>
      </c>
      <c r="F54" s="28">
        <v>57978570.296635196</v>
      </c>
      <c r="G54" s="3"/>
      <c r="H54" s="3"/>
    </row>
    <row r="55" spans="5:8" x14ac:dyDescent="0.55000000000000004">
      <c r="E55">
        <v>36</v>
      </c>
      <c r="F55" s="28">
        <v>18583058.035122767</v>
      </c>
      <c r="G55" s="3"/>
      <c r="H55" s="3"/>
    </row>
    <row r="56" spans="5:8" x14ac:dyDescent="0.55000000000000004">
      <c r="E56">
        <v>37</v>
      </c>
      <c r="F56" s="28">
        <v>33633088.465266995</v>
      </c>
      <c r="G56" s="3"/>
      <c r="H56" s="3"/>
    </row>
    <row r="57" spans="5:8" x14ac:dyDescent="0.55000000000000004">
      <c r="E57">
        <v>38</v>
      </c>
      <c r="F57" s="28">
        <v>17150777.272374753</v>
      </c>
      <c r="G57" s="3"/>
      <c r="H57" s="3"/>
    </row>
    <row r="58" spans="5:8" x14ac:dyDescent="0.55000000000000004">
      <c r="E58">
        <v>39</v>
      </c>
      <c r="F58" s="28">
        <v>49597186.962091416</v>
      </c>
      <c r="G58" s="3"/>
      <c r="H58" s="3"/>
    </row>
    <row r="59" spans="5:8" x14ac:dyDescent="0.55000000000000004">
      <c r="E59">
        <v>40</v>
      </c>
      <c r="F59" s="28">
        <v>-2600112.9017032571</v>
      </c>
      <c r="G59" s="3"/>
      <c r="H59" s="3"/>
    </row>
    <row r="60" spans="5:8" x14ac:dyDescent="0.55000000000000004">
      <c r="E60">
        <v>41</v>
      </c>
      <c r="F60" s="28">
        <v>42220192.100021467</v>
      </c>
      <c r="G60" s="3"/>
      <c r="H60" s="3"/>
    </row>
    <row r="61" spans="5:8" x14ac:dyDescent="0.55000000000000004">
      <c r="E61">
        <v>42</v>
      </c>
      <c r="F61" s="28">
        <v>37595139.261337601</v>
      </c>
      <c r="G61" s="3"/>
      <c r="H61" s="3"/>
    </row>
    <row r="62" spans="5:8" x14ac:dyDescent="0.55000000000000004">
      <c r="E62">
        <v>43</v>
      </c>
      <c r="F62" s="28">
        <v>5400770.4654353596</v>
      </c>
      <c r="G62" s="3"/>
      <c r="H62" s="3"/>
    </row>
    <row r="63" spans="5:8" x14ac:dyDescent="0.55000000000000004">
      <c r="E63">
        <v>44</v>
      </c>
      <c r="F63" s="28">
        <v>30154922.685886636</v>
      </c>
      <c r="G63" s="3"/>
      <c r="H63" s="3"/>
    </row>
    <row r="64" spans="5:8" x14ac:dyDescent="0.55000000000000004">
      <c r="E64">
        <v>45</v>
      </c>
      <c r="F64" s="28">
        <v>70763755.627799377</v>
      </c>
      <c r="G64" s="3"/>
      <c r="H64" s="3"/>
    </row>
    <row r="65" spans="5:8" x14ac:dyDescent="0.55000000000000004">
      <c r="E65">
        <v>46</v>
      </c>
      <c r="F65" s="28">
        <v>-20756564.075284164</v>
      </c>
      <c r="G65" s="3"/>
      <c r="H65" s="3"/>
    </row>
    <row r="66" spans="5:8" x14ac:dyDescent="0.55000000000000004">
      <c r="E66">
        <v>47</v>
      </c>
      <c r="F66" s="28">
        <v>69412390.414199591</v>
      </c>
      <c r="G66" s="3"/>
      <c r="H66" s="3"/>
    </row>
    <row r="67" spans="5:8" x14ac:dyDescent="0.55000000000000004">
      <c r="E67">
        <v>48</v>
      </c>
      <c r="F67" s="28">
        <v>62688002.917233393</v>
      </c>
      <c r="G67" s="3"/>
      <c r="H67" s="3"/>
    </row>
    <row r="68" spans="5:8" x14ac:dyDescent="0.55000000000000004">
      <c r="E68">
        <v>49</v>
      </c>
      <c r="F68" s="28">
        <v>41849608.759804368</v>
      </c>
      <c r="G68" s="3"/>
      <c r="H68" s="3"/>
    </row>
    <row r="69" spans="5:8" x14ac:dyDescent="0.55000000000000004">
      <c r="E69">
        <v>50</v>
      </c>
      <c r="F69" s="28">
        <v>17408556.43322596</v>
      </c>
      <c r="G69" s="3"/>
      <c r="H69" s="3"/>
    </row>
    <row r="70" spans="5:8" x14ac:dyDescent="0.55000000000000004">
      <c r="E70">
        <v>51</v>
      </c>
      <c r="F70" s="28">
        <v>40864692.256475762</v>
      </c>
      <c r="G70" s="3"/>
      <c r="H70" s="3"/>
    </row>
    <row r="71" spans="5:8" x14ac:dyDescent="0.55000000000000004">
      <c r="E71">
        <v>52</v>
      </c>
      <c r="F71" s="28">
        <v>17319064.052249961</v>
      </c>
      <c r="G71" s="3"/>
      <c r="H71" s="3"/>
    </row>
    <row r="72" spans="5:8" x14ac:dyDescent="0.55000000000000004">
      <c r="E72">
        <v>53</v>
      </c>
      <c r="F72" s="28">
        <v>61593271.560770288</v>
      </c>
      <c r="G72" s="3"/>
      <c r="H72" s="3"/>
    </row>
    <row r="73" spans="5:8" x14ac:dyDescent="0.55000000000000004">
      <c r="E73">
        <v>54</v>
      </c>
      <c r="F73" s="28">
        <v>71275894.078384757</v>
      </c>
      <c r="G73" s="3"/>
      <c r="H73" s="3"/>
    </row>
    <row r="74" spans="5:8" x14ac:dyDescent="0.55000000000000004">
      <c r="E74">
        <v>55</v>
      </c>
      <c r="F74" s="28">
        <v>45123607.587125205</v>
      </c>
      <c r="G74" s="3"/>
      <c r="H74" s="3"/>
    </row>
    <row r="75" spans="5:8" x14ac:dyDescent="0.55000000000000004">
      <c r="E75">
        <v>56</v>
      </c>
      <c r="F75" s="28">
        <v>-3646622.4151862776</v>
      </c>
      <c r="G75" s="3"/>
      <c r="H75" s="3"/>
    </row>
    <row r="76" spans="5:8" x14ac:dyDescent="0.55000000000000004">
      <c r="E76">
        <v>57</v>
      </c>
      <c r="F76" s="28">
        <v>1897203.7284613233</v>
      </c>
      <c r="G76" s="3"/>
      <c r="H76" s="3"/>
    </row>
    <row r="77" spans="5:8" x14ac:dyDescent="0.55000000000000004">
      <c r="E77">
        <v>58</v>
      </c>
      <c r="F77" s="28">
        <v>79659851.450353295</v>
      </c>
      <c r="G77" s="3"/>
      <c r="H77" s="3"/>
    </row>
    <row r="78" spans="5:8" x14ac:dyDescent="0.55000000000000004">
      <c r="E78">
        <v>59</v>
      </c>
      <c r="F78" s="28">
        <v>18473797.941162024</v>
      </c>
      <c r="G78" s="3"/>
      <c r="H78" s="3"/>
    </row>
    <row r="79" spans="5:8" x14ac:dyDescent="0.55000000000000004">
      <c r="E79">
        <v>60</v>
      </c>
      <c r="F79" s="28">
        <v>73859615.847208738</v>
      </c>
      <c r="G79" s="3"/>
      <c r="H79" s="3"/>
    </row>
    <row r="80" spans="5:8" x14ac:dyDescent="0.55000000000000004">
      <c r="E80">
        <v>61</v>
      </c>
      <c r="F80" s="28">
        <v>62014611.203056253</v>
      </c>
      <c r="G80" s="3"/>
      <c r="H80" s="3"/>
    </row>
    <row r="81" spans="5:8" x14ac:dyDescent="0.55000000000000004">
      <c r="E81">
        <v>62</v>
      </c>
      <c r="F81" s="28">
        <v>4414040.0202783663</v>
      </c>
      <c r="G81" s="3"/>
      <c r="H81" s="3"/>
    </row>
    <row r="82" spans="5:8" x14ac:dyDescent="0.55000000000000004">
      <c r="E82">
        <v>63</v>
      </c>
      <c r="F82" s="28">
        <v>39734698.313635617</v>
      </c>
      <c r="G82" s="3"/>
      <c r="H82" s="3"/>
    </row>
    <row r="83" spans="5:8" x14ac:dyDescent="0.55000000000000004">
      <c r="E83">
        <v>64</v>
      </c>
      <c r="F83" s="28">
        <v>62474659.988970652</v>
      </c>
      <c r="G83" s="3"/>
      <c r="H83" s="3"/>
    </row>
    <row r="84" spans="5:8" x14ac:dyDescent="0.55000000000000004">
      <c r="E84">
        <v>65</v>
      </c>
      <c r="F84" s="28">
        <v>52453977.262519747</v>
      </c>
      <c r="G84" s="3"/>
      <c r="H84" s="3"/>
    </row>
    <row r="85" spans="5:8" x14ac:dyDescent="0.55000000000000004">
      <c r="E85">
        <v>66</v>
      </c>
      <c r="F85" s="28">
        <v>-21284315.119139288</v>
      </c>
      <c r="G85" s="3"/>
      <c r="H85" s="3"/>
    </row>
    <row r="86" spans="5:8" x14ac:dyDescent="0.55000000000000004">
      <c r="E86">
        <v>67</v>
      </c>
      <c r="F86" s="28">
        <v>26159518.909131482</v>
      </c>
      <c r="G86" s="3"/>
      <c r="H86" s="3"/>
    </row>
    <row r="87" spans="5:8" x14ac:dyDescent="0.55000000000000004">
      <c r="E87">
        <v>68</v>
      </c>
      <c r="F87" s="28">
        <v>52260866.857130542</v>
      </c>
      <c r="G87" s="3"/>
      <c r="H87" s="3"/>
    </row>
    <row r="88" spans="5:8" x14ac:dyDescent="0.55000000000000004">
      <c r="E88">
        <v>69</v>
      </c>
      <c r="F88" s="28">
        <v>10262935.221388377</v>
      </c>
      <c r="G88" s="3"/>
      <c r="H88" s="3"/>
    </row>
    <row r="89" spans="5:8" x14ac:dyDescent="0.55000000000000004">
      <c r="E89">
        <v>70</v>
      </c>
      <c r="F89" s="28">
        <v>54412903.802352548</v>
      </c>
      <c r="G89" s="3"/>
      <c r="H89" s="3"/>
    </row>
    <row r="90" spans="5:8" x14ac:dyDescent="0.55000000000000004">
      <c r="E90">
        <v>71</v>
      </c>
      <c r="F90" s="28">
        <v>63603531.990429237</v>
      </c>
      <c r="G90" s="3"/>
      <c r="H90" s="3"/>
    </row>
    <row r="91" spans="5:8" x14ac:dyDescent="0.55000000000000004">
      <c r="E91">
        <v>72</v>
      </c>
      <c r="F91" s="28">
        <v>15881643.588638209</v>
      </c>
      <c r="G91" s="3"/>
      <c r="H91" s="3"/>
    </row>
    <row r="92" spans="5:8" x14ac:dyDescent="0.55000000000000004">
      <c r="E92">
        <v>73</v>
      </c>
      <c r="F92" s="28">
        <v>-18415953.761107713</v>
      </c>
      <c r="G92" s="3"/>
      <c r="H92" s="3"/>
    </row>
    <row r="93" spans="5:8" x14ac:dyDescent="0.55000000000000004">
      <c r="E93">
        <v>74</v>
      </c>
      <c r="F93" s="28">
        <v>17926605.054231875</v>
      </c>
      <c r="G93" s="3"/>
      <c r="H93" s="3"/>
    </row>
    <row r="94" spans="5:8" x14ac:dyDescent="0.55000000000000004">
      <c r="E94">
        <v>75</v>
      </c>
      <c r="F94" s="28">
        <v>54412813.509544574</v>
      </c>
      <c r="G94" s="3"/>
      <c r="H94" s="3"/>
    </row>
    <row r="95" spans="5:8" x14ac:dyDescent="0.55000000000000004">
      <c r="E95">
        <v>76</v>
      </c>
      <c r="F95" s="28">
        <v>37168815.738524757</v>
      </c>
      <c r="G95" s="3"/>
      <c r="H95" s="3"/>
    </row>
    <row r="96" spans="5:8" x14ac:dyDescent="0.55000000000000004">
      <c r="E96">
        <v>77</v>
      </c>
      <c r="F96" s="28">
        <v>31207446.399822444</v>
      </c>
      <c r="G96" s="3"/>
      <c r="H96" s="3"/>
    </row>
    <row r="97" spans="5:8" x14ac:dyDescent="0.55000000000000004">
      <c r="E97">
        <v>78</v>
      </c>
      <c r="F97" s="28">
        <v>29070633.514614146</v>
      </c>
      <c r="G97" s="3"/>
      <c r="H97" s="3"/>
    </row>
    <row r="98" spans="5:8" x14ac:dyDescent="0.55000000000000004">
      <c r="E98">
        <v>79</v>
      </c>
      <c r="F98" s="28">
        <v>25076140.233322889</v>
      </c>
      <c r="G98" s="3"/>
      <c r="H98" s="3"/>
    </row>
    <row r="99" spans="5:8" x14ac:dyDescent="0.55000000000000004">
      <c r="E99">
        <v>80</v>
      </c>
      <c r="F99" s="28">
        <v>11979657.469664775</v>
      </c>
      <c r="G99" s="3"/>
      <c r="H99" s="3"/>
    </row>
    <row r="100" spans="5:8" x14ac:dyDescent="0.55000000000000004">
      <c r="E100">
        <v>81</v>
      </c>
      <c r="F100" s="28">
        <v>20558758.796807211</v>
      </c>
      <c r="G100" s="3"/>
      <c r="H100" s="3"/>
    </row>
    <row r="101" spans="5:8" x14ac:dyDescent="0.55000000000000004">
      <c r="E101">
        <v>82</v>
      </c>
      <c r="F101" s="28">
        <v>44117059.900164127</v>
      </c>
      <c r="G101" s="3"/>
      <c r="H101" s="3"/>
    </row>
    <row r="102" spans="5:8" x14ac:dyDescent="0.55000000000000004">
      <c r="E102">
        <v>83</v>
      </c>
      <c r="F102" s="28">
        <v>56635616.572936669</v>
      </c>
      <c r="G102" s="3"/>
      <c r="H102" s="3"/>
    </row>
    <row r="103" spans="5:8" x14ac:dyDescent="0.55000000000000004">
      <c r="E103">
        <v>84</v>
      </c>
      <c r="F103" s="28">
        <v>17064657.001866397</v>
      </c>
      <c r="G103" s="3"/>
      <c r="H103" s="3"/>
    </row>
    <row r="104" spans="5:8" x14ac:dyDescent="0.55000000000000004">
      <c r="E104">
        <v>85</v>
      </c>
      <c r="F104" s="28">
        <v>26954059.85561144</v>
      </c>
      <c r="G104" s="3"/>
      <c r="H104" s="3"/>
    </row>
    <row r="105" spans="5:8" x14ac:dyDescent="0.55000000000000004">
      <c r="E105">
        <v>86</v>
      </c>
      <c r="F105" s="28">
        <v>45436345.497733429</v>
      </c>
      <c r="G105" s="3"/>
      <c r="H105" s="3"/>
    </row>
    <row r="106" spans="5:8" x14ac:dyDescent="0.55000000000000004">
      <c r="E106">
        <v>87</v>
      </c>
      <c r="F106" s="28">
        <v>15405114.432578407</v>
      </c>
      <c r="G106" s="3"/>
      <c r="H106" s="3"/>
    </row>
    <row r="107" spans="5:8" x14ac:dyDescent="0.55000000000000004">
      <c r="E107">
        <v>88</v>
      </c>
      <c r="F107" s="28">
        <v>46601206.877291247</v>
      </c>
      <c r="G107" s="3"/>
      <c r="H107" s="3"/>
    </row>
    <row r="108" spans="5:8" x14ac:dyDescent="0.55000000000000004">
      <c r="E108">
        <v>89</v>
      </c>
      <c r="F108" s="28">
        <v>87765308.234288514</v>
      </c>
      <c r="G108" s="3"/>
      <c r="H108" s="3"/>
    </row>
    <row r="109" spans="5:8" x14ac:dyDescent="0.55000000000000004">
      <c r="E109">
        <v>90</v>
      </c>
      <c r="F109" s="28">
        <v>-13102197.360131443</v>
      </c>
      <c r="G109" s="3"/>
      <c r="H109" s="3"/>
    </row>
    <row r="110" spans="5:8" x14ac:dyDescent="0.55000000000000004">
      <c r="E110">
        <v>91</v>
      </c>
      <c r="F110" s="28">
        <v>69807769.398200944</v>
      </c>
      <c r="G110" s="3"/>
      <c r="H110" s="3"/>
    </row>
    <row r="111" spans="5:8" x14ac:dyDescent="0.55000000000000004">
      <c r="E111">
        <v>92</v>
      </c>
      <c r="F111" s="28">
        <v>57284710.656482309</v>
      </c>
      <c r="G111" s="3"/>
      <c r="H111" s="3"/>
    </row>
    <row r="112" spans="5:8" x14ac:dyDescent="0.55000000000000004">
      <c r="E112">
        <v>93</v>
      </c>
      <c r="F112" s="28">
        <v>20073092.842979878</v>
      </c>
      <c r="G112" s="3"/>
      <c r="H112" s="3"/>
    </row>
    <row r="113" spans="5:8" x14ac:dyDescent="0.55000000000000004">
      <c r="E113">
        <v>94</v>
      </c>
      <c r="F113" s="28">
        <v>31530698.319805592</v>
      </c>
      <c r="G113" s="3"/>
      <c r="H113" s="3"/>
    </row>
    <row r="114" spans="5:8" x14ac:dyDescent="0.55000000000000004">
      <c r="E114">
        <v>95</v>
      </c>
      <c r="F114" s="28">
        <v>21878111.944488779</v>
      </c>
      <c r="G114" s="3"/>
      <c r="H114" s="3"/>
    </row>
    <row r="115" spans="5:8" x14ac:dyDescent="0.55000000000000004">
      <c r="E115">
        <v>96</v>
      </c>
      <c r="F115" s="28">
        <v>-20202697.017551336</v>
      </c>
      <c r="G115" s="3"/>
      <c r="H115" s="3"/>
    </row>
    <row r="116" spans="5:8" x14ac:dyDescent="0.55000000000000004">
      <c r="E116">
        <v>97</v>
      </c>
      <c r="F116" s="28">
        <v>64165002.396929115</v>
      </c>
      <c r="G116" s="3"/>
      <c r="H116" s="3"/>
    </row>
    <row r="117" spans="5:8" x14ac:dyDescent="0.55000000000000004">
      <c r="E117">
        <v>98</v>
      </c>
      <c r="F117" s="28">
        <v>-17469930.805070847</v>
      </c>
      <c r="G117" s="3"/>
      <c r="H117" s="3"/>
    </row>
    <row r="118" spans="5:8" x14ac:dyDescent="0.55000000000000004">
      <c r="E118">
        <v>99</v>
      </c>
      <c r="F118" s="28">
        <v>8026657.8295017704</v>
      </c>
      <c r="G118" s="3"/>
      <c r="H118" s="3"/>
    </row>
    <row r="119" spans="5:8" x14ac:dyDescent="0.55000000000000004">
      <c r="E119">
        <v>100</v>
      </c>
      <c r="F119" s="28">
        <v>80583895.510903835</v>
      </c>
      <c r="G119" s="3"/>
      <c r="H119" s="3"/>
    </row>
    <row r="120" spans="5:8" x14ac:dyDescent="0.55000000000000004">
      <c r="E120">
        <v>101</v>
      </c>
      <c r="F120" s="28">
        <v>41905452.914168186</v>
      </c>
      <c r="G120" s="3"/>
      <c r="H120" s="3"/>
    </row>
    <row r="121" spans="5:8" x14ac:dyDescent="0.55000000000000004">
      <c r="E121">
        <v>102</v>
      </c>
      <c r="F121" s="28">
        <v>49513830.137952477</v>
      </c>
      <c r="G121" s="3"/>
      <c r="H121" s="3"/>
    </row>
    <row r="122" spans="5:8" x14ac:dyDescent="0.55000000000000004">
      <c r="E122">
        <v>103</v>
      </c>
      <c r="F122" s="28">
        <v>53384001.704182252</v>
      </c>
      <c r="G122" s="3"/>
      <c r="H122" s="3"/>
    </row>
    <row r="123" spans="5:8" x14ac:dyDescent="0.55000000000000004">
      <c r="E123">
        <v>104</v>
      </c>
      <c r="F123" s="28">
        <v>22561677.009466045</v>
      </c>
      <c r="G123" s="3"/>
      <c r="H123" s="3"/>
    </row>
    <row r="124" spans="5:8" x14ac:dyDescent="0.55000000000000004">
      <c r="E124">
        <v>105</v>
      </c>
      <c r="F124" s="28">
        <v>23212967.022332575</v>
      </c>
      <c r="G124" s="3"/>
      <c r="H124" s="3"/>
    </row>
    <row r="125" spans="5:8" x14ac:dyDescent="0.55000000000000004">
      <c r="E125">
        <v>106</v>
      </c>
      <c r="F125" s="28">
        <v>12671524.955887984</v>
      </c>
      <c r="G125" s="3"/>
      <c r="H125" s="3"/>
    </row>
    <row r="126" spans="5:8" x14ac:dyDescent="0.55000000000000004">
      <c r="E126">
        <v>107</v>
      </c>
      <c r="F126" s="28">
        <v>32012573.386369862</v>
      </c>
      <c r="G126" s="3"/>
      <c r="H126" s="3"/>
    </row>
    <row r="127" spans="5:8" x14ac:dyDescent="0.55000000000000004">
      <c r="E127">
        <v>108</v>
      </c>
      <c r="F127" s="28">
        <v>31266137.928581152</v>
      </c>
      <c r="G127" s="3"/>
      <c r="H127" s="3"/>
    </row>
  </sheetData>
  <pageMargins left="0.7" right="0.7" top="0.75" bottom="0.75" header="0.3" footer="0.3"/>
  <pageSetup orientation="portrait" horizont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7"/>
  <sheetViews>
    <sheetView workbookViewId="0">
      <selection activeCell="B13" sqref="B1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6" width="16.1015625" bestFit="1" customWidth="1"/>
    <col min="7" max="8" width="16.1015625" customWidth="1"/>
  </cols>
  <sheetData>
    <row r="1" spans="1:8" ht="18" customHeight="1" x14ac:dyDescent="0.55000000000000004">
      <c r="B1" s="27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55000000000000004">
      <c r="A3" t="str">
        <f>MC_High_ambition!A3</f>
        <v>Income per cow (USD/yr)</v>
      </c>
      <c r="B3" s="28">
        <f>Mappings!N10</f>
        <v>880.62230423788765</v>
      </c>
      <c r="C3" s="28">
        <f>Mappings!N11</f>
        <v>181.77307777823148</v>
      </c>
      <c r="D3" s="28">
        <f>Mappings!N12</f>
        <v>985.97574143461293</v>
      </c>
    </row>
    <row r="4" spans="1:8" x14ac:dyDescent="0.55000000000000004">
      <c r="A4" t="str">
        <f>MC_High_ambition!A4</f>
        <v>Random value income per cow (USD/yr)</v>
      </c>
      <c r="B4" s="28">
        <f ca="1">_xlfn.NORM.INV(RAND(),Mappings!N10,Mappings!O10)</f>
        <v>881.7470986951497</v>
      </c>
      <c r="C4" s="28">
        <f ca="1">_xlfn.NORM.INV(RAND(),Mappings!N11,Mappings!O11)</f>
        <v>233.51768044473201</v>
      </c>
      <c r="D4" s="28">
        <f ca="1">_xlfn.NORM.INV(RAND(),Mappings!N12,Mappings!O12)</f>
        <v>1095.5392954344009</v>
      </c>
    </row>
    <row r="5" spans="1:8" x14ac:dyDescent="0.55000000000000004">
      <c r="A5" t="str">
        <f>MC_High_ambition!A5</f>
        <v>Cows per household (head)</v>
      </c>
      <c r="B5" s="28">
        <f>Mappings!F10*Mappings!I10</f>
        <v>0.87244394983051599</v>
      </c>
      <c r="C5" s="28">
        <f>Mappings!F11*Mappings!I11</f>
        <v>3.2335598306251936</v>
      </c>
      <c r="D5" s="28">
        <f>Mappings!F12*Mappings!I12</f>
        <v>1.5675094412161252</v>
      </c>
    </row>
    <row r="6" spans="1:8" x14ac:dyDescent="0.55000000000000004">
      <c r="A6" t="str">
        <f>MC_High_ambition!A6</f>
        <v>Random value cows per household (head)</v>
      </c>
      <c r="B6" s="28">
        <f ca="1">_xlfn.NORM.INV(RAND(),B5,B5*Mappings!E4)</f>
        <v>0.72557994535442338</v>
      </c>
      <c r="C6" s="28">
        <f ca="1">_xlfn.NORM.INV(RAND(),C5,C5*Mappings!E3)</f>
        <v>7.1817997025294851</v>
      </c>
      <c r="D6" s="28">
        <f ca="1">_xlfn.NORM.INV(RAND(),D5,D5*Mappings!E4)</f>
        <v>2.673797964083044</v>
      </c>
    </row>
    <row r="7" spans="1:8" x14ac:dyDescent="0.55000000000000004">
      <c r="A7" t="str">
        <f>MC_High_ambition!A7</f>
        <v>Reduction in non-dairy income through crop area change</v>
      </c>
      <c r="B7" s="28">
        <f>Mappings!Q10</f>
        <v>-75.93976525031151</v>
      </c>
      <c r="C7" s="28">
        <f>Mappings!Q11</f>
        <v>-849.44733748581064</v>
      </c>
      <c r="D7" s="28">
        <f>Mappings!Q12</f>
        <v>301.76985740576447</v>
      </c>
    </row>
    <row r="8" spans="1:8" x14ac:dyDescent="0.55000000000000004">
      <c r="A8" t="str">
        <f>MC_High_ambition!A8</f>
        <v>Random value reduction/increase in non-dairy income (USD/yr)</v>
      </c>
      <c r="B8" s="28">
        <f ca="1">IF(B7&gt;0,_xlfn.NORM.INV(RAND(),B7,B7*Dairy_Income_Roadmap!L36),_xlfn.NORM.INV(RAND(),ABS(B7),ABS(B7)*Dairy_Income_Roadmap!L36))</f>
        <v>120.34215791278143</v>
      </c>
      <c r="C8" s="28">
        <f ca="1">IF(C7&gt;0,_xlfn.NORM.INV(RAND(),C7,C7*Dairy_Income_Roadmap!L36),_xlfn.NORM.INV(RAND(),ABS(C7),ABS(C7)*Dairy_Income_Roadmap!L36))</f>
        <v>2653.2383901667517</v>
      </c>
      <c r="D8" s="28">
        <f ca="1">IF(D7&gt;0,_xlfn.NORM.INV(RAND(),D7,D7*Dairy_Income_Roadmap!L38),_xlfn.NORM.INV(RAND(),ABS(D7),ABS(D7)*Dairy_Income_Roadmap!L38))</f>
        <v>136.58248980601871</v>
      </c>
    </row>
    <row r="9" spans="1:8" x14ac:dyDescent="0.55000000000000004">
      <c r="A9" t="str">
        <f>MC_High_ambition!A9</f>
        <v>Quantity households</v>
      </c>
      <c r="B9" s="28">
        <f>Mappings!D10</f>
        <v>1555.5284698747773</v>
      </c>
      <c r="C9" s="28">
        <f>Mappings!D11</f>
        <v>14818.455423543935</v>
      </c>
      <c r="D9" s="28">
        <f>Mappings!D12</f>
        <v>11688.199263308798</v>
      </c>
    </row>
    <row r="10" spans="1:8" x14ac:dyDescent="0.55000000000000004">
      <c r="A10" t="str">
        <f>MC_High_ambition!A10</f>
        <v>SE quantity households</v>
      </c>
      <c r="B10" s="28">
        <f>Mappings!V10*B9</f>
        <v>45.423967261783474</v>
      </c>
      <c r="C10" s="28">
        <f>Mappings!V11*C9</f>
        <v>432.72305654646374</v>
      </c>
      <c r="D10" s="28">
        <f>Mappings!V12*D9</f>
        <v>341.31447348468066</v>
      </c>
    </row>
    <row r="11" spans="1:8" x14ac:dyDescent="0.55000000000000004">
      <c r="B11" s="28"/>
      <c r="C11" s="28"/>
      <c r="D11" s="28"/>
    </row>
    <row r="12" spans="1:8" x14ac:dyDescent="0.55000000000000004">
      <c r="A12" t="str">
        <f>MC_High_ambition!A12</f>
        <v>Dairy Income (USD/household/year)</v>
      </c>
      <c r="B12" s="28">
        <f ca="1">B4*B6</f>
        <v>639.77801168764813</v>
      </c>
      <c r="C12" s="28">
        <f ca="1">C4*C6</f>
        <v>1677.0772079533517</v>
      </c>
      <c r="D12" s="28">
        <f ca="1">D4*D6</f>
        <v>2929.2507377054735</v>
      </c>
    </row>
    <row r="13" spans="1:8" x14ac:dyDescent="0.55000000000000004">
      <c r="A13" t="str">
        <f>MC_High_ambition!A13</f>
        <v>Non dairy income (USD/household/year)</v>
      </c>
      <c r="B13" s="28">
        <f ca="1">-IF(B7&gt;0,B8,(-1)*B8)</f>
        <v>120.34215791278143</v>
      </c>
      <c r="C13" s="28">
        <f ca="1">-IF(C7&gt;0,C8,(-1)*C8)</f>
        <v>2653.2383901667517</v>
      </c>
      <c r="D13" s="28">
        <f ca="1">-IF(D7&gt;0,D8,(-1)*D8)</f>
        <v>-136.58248980601871</v>
      </c>
    </row>
    <row r="14" spans="1:8" x14ac:dyDescent="0.55000000000000004">
      <c r="A14" t="str">
        <f>MC_High_ambition!A14</f>
        <v>Quantity households</v>
      </c>
      <c r="B14" s="28">
        <f ca="1">_xlfn.NORM.INV(RAND(),B9,B10)</f>
        <v>1571.0683501011072</v>
      </c>
      <c r="C14" s="28">
        <f ca="1">_xlfn.NORM.INV(RAND(),C9,C10)</f>
        <v>14942.913759907873</v>
      </c>
      <c r="D14" s="28">
        <f ca="1">_xlfn.NORM.INV(RAND(),D9,D10)</f>
        <v>11586.739288095381</v>
      </c>
    </row>
    <row r="15" spans="1:8" x14ac:dyDescent="0.55000000000000004">
      <c r="B15" s="28"/>
      <c r="C15" s="28"/>
      <c r="D15" s="28"/>
    </row>
    <row r="16" spans="1:8" x14ac:dyDescent="0.55000000000000004">
      <c r="A16" t="str">
        <f>MC_High_ambition!A16</f>
        <v>Estimated population income (USD/yr)</v>
      </c>
      <c r="B16" s="34">
        <f ca="1">(B12+B13)*B14</f>
        <v>1194200.7407327206</v>
      </c>
      <c r="C16" s="34">
        <f ca="1">(C12+C13)*C14</f>
        <v>64707532.535892583</v>
      </c>
      <c r="D16" s="34">
        <f ca="1">(D12+D13)*D14</f>
        <v>32357918.906553105</v>
      </c>
      <c r="F16" s="28">
        <f ca="1">B16+C16+D16</f>
        <v>98259652.18317841</v>
      </c>
    </row>
    <row r="17" spans="1:9" x14ac:dyDescent="0.55000000000000004">
      <c r="A17" t="str">
        <f>MC_High_ambition!A17</f>
        <v>SE population income (USD/yr)</v>
      </c>
      <c r="B17" s="28" t="s">
        <v>49</v>
      </c>
      <c r="C17" s="28" t="s">
        <v>49</v>
      </c>
      <c r="D17" s="28" t="s">
        <v>49</v>
      </c>
      <c r="F17" s="28">
        <f ca="1">STDEV(F20:F127)</f>
        <v>24461518.546715122</v>
      </c>
      <c r="H17" s="1" t="s">
        <v>52</v>
      </c>
    </row>
    <row r="18" spans="1:9" x14ac:dyDescent="0.55000000000000004">
      <c r="A18" t="str">
        <f>MC_High_ambition!A18</f>
        <v>Mean population income (USD/yr)</v>
      </c>
      <c r="B18" s="28" t="s">
        <v>49</v>
      </c>
      <c r="C18" s="28" t="s">
        <v>49</v>
      </c>
      <c r="D18" s="28" t="s">
        <v>49</v>
      </c>
      <c r="E18" s="3"/>
      <c r="F18" s="28">
        <f ca="1">AVERAGE(F20:F127)</f>
        <v>39429380.967783988</v>
      </c>
      <c r="G18" s="3"/>
      <c r="H18" s="3"/>
      <c r="I18" s="38">
        <f ca="1">100*F17/F18</f>
        <v>62.038809502745053</v>
      </c>
    </row>
    <row r="19" spans="1:9" x14ac:dyDescent="0.55000000000000004">
      <c r="F19" s="28"/>
      <c r="G19" s="3"/>
      <c r="H19" s="3"/>
    </row>
    <row r="20" spans="1:9" x14ac:dyDescent="0.55000000000000004">
      <c r="B20" s="3"/>
      <c r="E20">
        <v>1</v>
      </c>
      <c r="F20" s="28">
        <f ca="1">F16</f>
        <v>98259652.18317841</v>
      </c>
      <c r="G20" s="3"/>
      <c r="H20" s="3"/>
    </row>
    <row r="21" spans="1:9" x14ac:dyDescent="0.55000000000000004">
      <c r="E21">
        <v>2</v>
      </c>
      <c r="F21" s="28">
        <f t="dataTable" ref="F21:F127" dt2D="0" dtr="0" r1="F19" ca="1"/>
        <v>17267680.498825241</v>
      </c>
      <c r="G21" s="3"/>
      <c r="H21" s="3"/>
    </row>
    <row r="22" spans="1:9" x14ac:dyDescent="0.55000000000000004">
      <c r="E22">
        <v>3</v>
      </c>
      <c r="F22" s="28">
        <v>64165838.776894644</v>
      </c>
      <c r="G22" s="3"/>
      <c r="H22" s="3"/>
    </row>
    <row r="23" spans="1:9" x14ac:dyDescent="0.55000000000000004">
      <c r="E23">
        <v>4</v>
      </c>
      <c r="F23" s="28">
        <v>57755400.35090372</v>
      </c>
      <c r="G23" s="3"/>
      <c r="H23" s="3"/>
    </row>
    <row r="24" spans="1:9" x14ac:dyDescent="0.55000000000000004">
      <c r="E24">
        <v>5</v>
      </c>
      <c r="F24" s="28">
        <v>22729080.473643467</v>
      </c>
      <c r="G24" s="3"/>
      <c r="H24" s="3"/>
    </row>
    <row r="25" spans="1:9" x14ac:dyDescent="0.55000000000000004">
      <c r="E25">
        <v>6</v>
      </c>
      <c r="F25" s="28">
        <v>59877786.78014639</v>
      </c>
      <c r="G25" s="3"/>
      <c r="H25" s="3"/>
    </row>
    <row r="26" spans="1:9" x14ac:dyDescent="0.55000000000000004">
      <c r="E26">
        <v>7</v>
      </c>
      <c r="F26" s="28">
        <v>10744374.855013631</v>
      </c>
      <c r="G26" s="3"/>
      <c r="H26" s="3"/>
    </row>
    <row r="27" spans="1:9" x14ac:dyDescent="0.55000000000000004">
      <c r="E27">
        <v>8</v>
      </c>
      <c r="F27" s="28">
        <v>22155393.114391707</v>
      </c>
      <c r="G27" s="3"/>
      <c r="H27" s="3"/>
    </row>
    <row r="28" spans="1:9" x14ac:dyDescent="0.55000000000000004">
      <c r="E28">
        <v>9</v>
      </c>
      <c r="F28" s="28">
        <v>61409365.468282714</v>
      </c>
      <c r="G28" s="3"/>
      <c r="H28" s="3"/>
    </row>
    <row r="29" spans="1:9" x14ac:dyDescent="0.55000000000000004">
      <c r="E29">
        <v>10</v>
      </c>
      <c r="F29" s="28">
        <v>30136855.642307043</v>
      </c>
      <c r="G29" s="3"/>
      <c r="H29" s="3"/>
    </row>
    <row r="30" spans="1:9" x14ac:dyDescent="0.55000000000000004">
      <c r="E30">
        <v>11</v>
      </c>
      <c r="F30" s="28">
        <v>21564627.733124726</v>
      </c>
      <c r="G30" s="3"/>
      <c r="H30" s="3"/>
    </row>
    <row r="31" spans="1:9" x14ac:dyDescent="0.55000000000000004">
      <c r="E31">
        <v>12</v>
      </c>
      <c r="F31" s="28">
        <v>5531916.3335589776</v>
      </c>
      <c r="G31" s="3"/>
      <c r="H31" s="3"/>
    </row>
    <row r="32" spans="1:9" x14ac:dyDescent="0.55000000000000004">
      <c r="E32">
        <v>13</v>
      </c>
      <c r="F32" s="28">
        <v>-8760782.011282403</v>
      </c>
      <c r="G32" s="3"/>
      <c r="H32" s="3"/>
    </row>
    <row r="33" spans="5:8" x14ac:dyDescent="0.55000000000000004">
      <c r="E33">
        <v>14</v>
      </c>
      <c r="F33" s="28">
        <v>52870528.662323773</v>
      </c>
      <c r="G33" s="3"/>
      <c r="H33" s="3"/>
    </row>
    <row r="34" spans="5:8" x14ac:dyDescent="0.55000000000000004">
      <c r="E34">
        <v>15</v>
      </c>
      <c r="F34" s="28">
        <v>-14906598.788154744</v>
      </c>
      <c r="G34" s="3"/>
      <c r="H34" s="3"/>
    </row>
    <row r="35" spans="5:8" x14ac:dyDescent="0.55000000000000004">
      <c r="E35">
        <v>16</v>
      </c>
      <c r="F35" s="28">
        <v>39665868.648897097</v>
      </c>
      <c r="G35" s="3"/>
      <c r="H35" s="3"/>
    </row>
    <row r="36" spans="5:8" x14ac:dyDescent="0.55000000000000004">
      <c r="E36">
        <v>17</v>
      </c>
      <c r="F36" s="28">
        <v>-12870435.685646027</v>
      </c>
      <c r="G36" s="3"/>
      <c r="H36" s="3"/>
    </row>
    <row r="37" spans="5:8" x14ac:dyDescent="0.55000000000000004">
      <c r="E37">
        <v>18</v>
      </c>
      <c r="F37" s="28">
        <v>54419451.625180058</v>
      </c>
      <c r="G37" s="3"/>
      <c r="H37" s="3"/>
    </row>
    <row r="38" spans="5:8" x14ac:dyDescent="0.55000000000000004">
      <c r="E38">
        <v>19</v>
      </c>
      <c r="F38" s="28">
        <v>54770212.667685106</v>
      </c>
      <c r="G38" s="3"/>
      <c r="H38" s="3"/>
    </row>
    <row r="39" spans="5:8" x14ac:dyDescent="0.55000000000000004">
      <c r="E39">
        <v>20</v>
      </c>
      <c r="F39" s="28">
        <v>14184908.325793307</v>
      </c>
      <c r="G39" s="3"/>
      <c r="H39" s="3"/>
    </row>
    <row r="40" spans="5:8" x14ac:dyDescent="0.55000000000000004">
      <c r="E40">
        <v>21</v>
      </c>
      <c r="F40" s="28">
        <v>9237151.6036660876</v>
      </c>
      <c r="G40" s="3"/>
      <c r="H40" s="3"/>
    </row>
    <row r="41" spans="5:8" x14ac:dyDescent="0.55000000000000004">
      <c r="E41">
        <v>22</v>
      </c>
      <c r="F41" s="28">
        <v>87293616.854183957</v>
      </c>
      <c r="G41" s="3"/>
      <c r="H41" s="3"/>
    </row>
    <row r="42" spans="5:8" x14ac:dyDescent="0.55000000000000004">
      <c r="E42">
        <v>23</v>
      </c>
      <c r="F42" s="28">
        <v>-3197081.8610983659</v>
      </c>
      <c r="G42" s="3"/>
      <c r="H42" s="3"/>
    </row>
    <row r="43" spans="5:8" x14ac:dyDescent="0.55000000000000004">
      <c r="E43">
        <v>24</v>
      </c>
      <c r="F43" s="28">
        <v>52270208.044790804</v>
      </c>
      <c r="G43" s="3"/>
      <c r="H43" s="3"/>
    </row>
    <row r="44" spans="5:8" x14ac:dyDescent="0.55000000000000004">
      <c r="E44">
        <v>25</v>
      </c>
      <c r="F44" s="28">
        <v>32173112.108712308</v>
      </c>
      <c r="G44" s="3"/>
      <c r="H44" s="3"/>
    </row>
    <row r="45" spans="5:8" x14ac:dyDescent="0.55000000000000004">
      <c r="E45">
        <v>26</v>
      </c>
      <c r="F45" s="28">
        <v>56967643.91531802</v>
      </c>
      <c r="G45" s="3"/>
      <c r="H45" s="3"/>
    </row>
    <row r="46" spans="5:8" x14ac:dyDescent="0.55000000000000004">
      <c r="E46">
        <v>27</v>
      </c>
      <c r="F46" s="28">
        <v>21911450.273393907</v>
      </c>
      <c r="G46" s="3"/>
      <c r="H46" s="3"/>
    </row>
    <row r="47" spans="5:8" x14ac:dyDescent="0.55000000000000004">
      <c r="E47">
        <v>28</v>
      </c>
      <c r="F47" s="28">
        <v>14521292.3154574</v>
      </c>
      <c r="G47" s="3"/>
      <c r="H47" s="3"/>
    </row>
    <row r="48" spans="5:8" x14ac:dyDescent="0.55000000000000004">
      <c r="E48">
        <v>29</v>
      </c>
      <c r="F48" s="28">
        <v>31977174.021721568</v>
      </c>
      <c r="G48" s="3"/>
      <c r="H48" s="3"/>
    </row>
    <row r="49" spans="5:8" x14ac:dyDescent="0.55000000000000004">
      <c r="E49">
        <v>30</v>
      </c>
      <c r="F49" s="28">
        <v>21553104.911768414</v>
      </c>
      <c r="G49" s="3"/>
      <c r="H49" s="3"/>
    </row>
    <row r="50" spans="5:8" x14ac:dyDescent="0.55000000000000004">
      <c r="E50">
        <v>31</v>
      </c>
      <c r="F50" s="28">
        <v>53016910.779443413</v>
      </c>
      <c r="G50" s="3"/>
      <c r="H50" s="3"/>
    </row>
    <row r="51" spans="5:8" x14ac:dyDescent="0.55000000000000004">
      <c r="E51">
        <v>32</v>
      </c>
      <c r="F51" s="28">
        <v>55404178.721722864</v>
      </c>
      <c r="G51" s="3"/>
      <c r="H51" s="3"/>
    </row>
    <row r="52" spans="5:8" x14ac:dyDescent="0.55000000000000004">
      <c r="E52">
        <v>33</v>
      </c>
      <c r="F52" s="28">
        <v>73556895.861747861</v>
      </c>
      <c r="G52" s="3"/>
      <c r="H52" s="3"/>
    </row>
    <row r="53" spans="5:8" x14ac:dyDescent="0.55000000000000004">
      <c r="E53">
        <v>34</v>
      </c>
      <c r="F53" s="28">
        <v>60988238.608090781</v>
      </c>
      <c r="G53" s="3"/>
      <c r="H53" s="3"/>
    </row>
    <row r="54" spans="5:8" x14ac:dyDescent="0.55000000000000004">
      <c r="E54">
        <v>35</v>
      </c>
      <c r="F54" s="28">
        <v>35250027.51428505</v>
      </c>
      <c r="G54" s="3"/>
      <c r="H54" s="3"/>
    </row>
    <row r="55" spans="5:8" x14ac:dyDescent="0.55000000000000004">
      <c r="E55">
        <v>36</v>
      </c>
      <c r="F55" s="28">
        <v>61235480.856809065</v>
      </c>
      <c r="G55" s="3"/>
      <c r="H55" s="3"/>
    </row>
    <row r="56" spans="5:8" x14ac:dyDescent="0.55000000000000004">
      <c r="E56">
        <v>37</v>
      </c>
      <c r="F56" s="28">
        <v>23947355.320047036</v>
      </c>
      <c r="G56" s="3"/>
      <c r="H56" s="3"/>
    </row>
    <row r="57" spans="5:8" x14ac:dyDescent="0.55000000000000004">
      <c r="E57">
        <v>38</v>
      </c>
      <c r="F57" s="28">
        <v>83044599.857792169</v>
      </c>
      <c r="G57" s="3"/>
      <c r="H57" s="3"/>
    </row>
    <row r="58" spans="5:8" x14ac:dyDescent="0.55000000000000004">
      <c r="E58">
        <v>39</v>
      </c>
      <c r="F58" s="28">
        <v>47817408.757254921</v>
      </c>
      <c r="G58" s="3"/>
      <c r="H58" s="3"/>
    </row>
    <row r="59" spans="5:8" x14ac:dyDescent="0.55000000000000004">
      <c r="E59">
        <v>40</v>
      </c>
      <c r="F59" s="28">
        <v>29150528.225603592</v>
      </c>
      <c r="G59" s="3"/>
      <c r="H59" s="3"/>
    </row>
    <row r="60" spans="5:8" x14ac:dyDescent="0.55000000000000004">
      <c r="E60">
        <v>41</v>
      </c>
      <c r="F60" s="28">
        <v>29424775.471259445</v>
      </c>
      <c r="G60" s="3"/>
      <c r="H60" s="3"/>
    </row>
    <row r="61" spans="5:8" x14ac:dyDescent="0.55000000000000004">
      <c r="E61">
        <v>42</v>
      </c>
      <c r="F61" s="28">
        <v>76572782.518938333</v>
      </c>
      <c r="G61" s="3"/>
      <c r="H61" s="3"/>
    </row>
    <row r="62" spans="5:8" x14ac:dyDescent="0.55000000000000004">
      <c r="E62">
        <v>43</v>
      </c>
      <c r="F62" s="28">
        <v>62563049.546886466</v>
      </c>
      <c r="G62" s="3"/>
      <c r="H62" s="3"/>
    </row>
    <row r="63" spans="5:8" x14ac:dyDescent="0.55000000000000004">
      <c r="E63">
        <v>44</v>
      </c>
      <c r="F63" s="28">
        <v>35083891.361070819</v>
      </c>
      <c r="G63" s="3"/>
      <c r="H63" s="3"/>
    </row>
    <row r="64" spans="5:8" x14ac:dyDescent="0.55000000000000004">
      <c r="E64">
        <v>45</v>
      </c>
      <c r="F64" s="28">
        <v>-5327561.295394931</v>
      </c>
      <c r="G64" s="3"/>
      <c r="H64" s="3"/>
    </row>
    <row r="65" spans="5:8" x14ac:dyDescent="0.55000000000000004">
      <c r="E65">
        <v>46</v>
      </c>
      <c r="F65" s="28">
        <v>20697411.005454239</v>
      </c>
      <c r="G65" s="3"/>
      <c r="H65" s="3"/>
    </row>
    <row r="66" spans="5:8" x14ac:dyDescent="0.55000000000000004">
      <c r="E66">
        <v>47</v>
      </c>
      <c r="F66" s="28">
        <v>51197884.21002201</v>
      </c>
      <c r="G66" s="3"/>
      <c r="H66" s="3"/>
    </row>
    <row r="67" spans="5:8" x14ac:dyDescent="0.55000000000000004">
      <c r="E67">
        <v>48</v>
      </c>
      <c r="F67" s="28">
        <v>26734092.725631155</v>
      </c>
      <c r="G67" s="3"/>
      <c r="H67" s="3"/>
    </row>
    <row r="68" spans="5:8" x14ac:dyDescent="0.55000000000000004">
      <c r="E68">
        <v>49</v>
      </c>
      <c r="F68" s="28">
        <v>28601440.948483489</v>
      </c>
      <c r="G68" s="3"/>
      <c r="H68" s="3"/>
    </row>
    <row r="69" spans="5:8" x14ac:dyDescent="0.55000000000000004">
      <c r="E69">
        <v>50</v>
      </c>
      <c r="F69" s="28">
        <v>36355312.321865439</v>
      </c>
      <c r="G69" s="3"/>
      <c r="H69" s="3"/>
    </row>
    <row r="70" spans="5:8" x14ac:dyDescent="0.55000000000000004">
      <c r="E70">
        <v>51</v>
      </c>
      <c r="F70" s="28">
        <v>39114079.697270587</v>
      </c>
      <c r="G70" s="3"/>
      <c r="H70" s="3"/>
    </row>
    <row r="71" spans="5:8" x14ac:dyDescent="0.55000000000000004">
      <c r="E71">
        <v>52</v>
      </c>
      <c r="F71" s="28">
        <v>40929968.479565062</v>
      </c>
      <c r="G71" s="3"/>
      <c r="H71" s="3"/>
    </row>
    <row r="72" spans="5:8" x14ac:dyDescent="0.55000000000000004">
      <c r="E72">
        <v>53</v>
      </c>
      <c r="F72" s="28">
        <v>14861816.027202593</v>
      </c>
      <c r="G72" s="3"/>
      <c r="H72" s="3"/>
    </row>
    <row r="73" spans="5:8" x14ac:dyDescent="0.55000000000000004">
      <c r="E73">
        <v>54</v>
      </c>
      <c r="F73" s="28">
        <v>40195612.582529306</v>
      </c>
      <c r="G73" s="3"/>
      <c r="H73" s="3"/>
    </row>
    <row r="74" spans="5:8" x14ac:dyDescent="0.55000000000000004">
      <c r="E74">
        <v>55</v>
      </c>
      <c r="F74" s="28">
        <v>20537429.471954398</v>
      </c>
      <c r="G74" s="3"/>
      <c r="H74" s="3"/>
    </row>
    <row r="75" spans="5:8" x14ac:dyDescent="0.55000000000000004">
      <c r="E75">
        <v>56</v>
      </c>
      <c r="F75" s="28">
        <v>22099433.68160066</v>
      </c>
      <c r="G75" s="3"/>
      <c r="H75" s="3"/>
    </row>
    <row r="76" spans="5:8" x14ac:dyDescent="0.55000000000000004">
      <c r="E76">
        <v>57</v>
      </c>
      <c r="F76" s="28">
        <v>79765902.032134384</v>
      </c>
      <c r="G76" s="3"/>
      <c r="H76" s="3"/>
    </row>
    <row r="77" spans="5:8" x14ac:dyDescent="0.55000000000000004">
      <c r="E77">
        <v>58</v>
      </c>
      <c r="F77" s="28">
        <v>58180621.413064361</v>
      </c>
      <c r="G77" s="3"/>
      <c r="H77" s="3"/>
    </row>
    <row r="78" spans="5:8" x14ac:dyDescent="0.55000000000000004">
      <c r="E78">
        <v>59</v>
      </c>
      <c r="F78" s="28">
        <v>23898079.252307195</v>
      </c>
      <c r="G78" s="3"/>
      <c r="H78" s="3"/>
    </row>
    <row r="79" spans="5:8" x14ac:dyDescent="0.55000000000000004">
      <c r="E79">
        <v>60</v>
      </c>
      <c r="F79" s="28">
        <v>56829654.206501633</v>
      </c>
      <c r="G79" s="3"/>
      <c r="H79" s="3"/>
    </row>
    <row r="80" spans="5:8" x14ac:dyDescent="0.55000000000000004">
      <c r="E80">
        <v>61</v>
      </c>
      <c r="F80" s="28">
        <v>71145745.249853253</v>
      </c>
      <c r="G80" s="3"/>
      <c r="H80" s="3"/>
    </row>
    <row r="81" spans="5:8" x14ac:dyDescent="0.55000000000000004">
      <c r="E81">
        <v>62</v>
      </c>
      <c r="F81" s="28">
        <v>49646193.526927724</v>
      </c>
      <c r="G81" s="3"/>
      <c r="H81" s="3"/>
    </row>
    <row r="82" spans="5:8" x14ac:dyDescent="0.55000000000000004">
      <c r="E82">
        <v>63</v>
      </c>
      <c r="F82" s="28">
        <v>106555542.8083294</v>
      </c>
      <c r="G82" s="3"/>
      <c r="H82" s="3"/>
    </row>
    <row r="83" spans="5:8" x14ac:dyDescent="0.55000000000000004">
      <c r="E83">
        <v>64</v>
      </c>
      <c r="F83" s="28">
        <v>40735544.953350335</v>
      </c>
      <c r="G83" s="3"/>
      <c r="H83" s="3"/>
    </row>
    <row r="84" spans="5:8" x14ac:dyDescent="0.55000000000000004">
      <c r="E84">
        <v>65</v>
      </c>
      <c r="F84" s="28">
        <v>30491542.945987601</v>
      </c>
      <c r="G84" s="3"/>
      <c r="H84" s="3"/>
    </row>
    <row r="85" spans="5:8" x14ac:dyDescent="0.55000000000000004">
      <c r="E85">
        <v>66</v>
      </c>
      <c r="F85" s="28">
        <v>40182351.801403306</v>
      </c>
      <c r="G85" s="3"/>
      <c r="H85" s="3"/>
    </row>
    <row r="86" spans="5:8" x14ac:dyDescent="0.55000000000000004">
      <c r="E86">
        <v>67</v>
      </c>
      <c r="F86" s="28">
        <v>51008790.118576765</v>
      </c>
      <c r="G86" s="3"/>
      <c r="H86" s="3"/>
    </row>
    <row r="87" spans="5:8" x14ac:dyDescent="0.55000000000000004">
      <c r="E87">
        <v>68</v>
      </c>
      <c r="F87" s="28">
        <v>9832706.6042185556</v>
      </c>
      <c r="G87" s="3"/>
      <c r="H87" s="3"/>
    </row>
    <row r="88" spans="5:8" x14ac:dyDescent="0.55000000000000004">
      <c r="E88">
        <v>69</v>
      </c>
      <c r="F88" s="28">
        <v>-10340833.335362788</v>
      </c>
      <c r="G88" s="3"/>
      <c r="H88" s="3"/>
    </row>
    <row r="89" spans="5:8" x14ac:dyDescent="0.55000000000000004">
      <c r="E89">
        <v>70</v>
      </c>
      <c r="F89" s="28">
        <v>38196809.959677093</v>
      </c>
      <c r="G89" s="3"/>
      <c r="H89" s="3"/>
    </row>
    <row r="90" spans="5:8" x14ac:dyDescent="0.55000000000000004">
      <c r="E90">
        <v>71</v>
      </c>
      <c r="F90" s="28">
        <v>55156268.231406704</v>
      </c>
      <c r="G90" s="3"/>
      <c r="H90" s="3"/>
    </row>
    <row r="91" spans="5:8" x14ac:dyDescent="0.55000000000000004">
      <c r="E91">
        <v>72</v>
      </c>
      <c r="F91" s="28">
        <v>33599702.407215022</v>
      </c>
      <c r="G91" s="3"/>
      <c r="H91" s="3"/>
    </row>
    <row r="92" spans="5:8" x14ac:dyDescent="0.55000000000000004">
      <c r="E92">
        <v>73</v>
      </c>
      <c r="F92" s="28">
        <v>716537.71571680903</v>
      </c>
      <c r="G92" s="3"/>
      <c r="H92" s="3"/>
    </row>
    <row r="93" spans="5:8" x14ac:dyDescent="0.55000000000000004">
      <c r="E93">
        <v>74</v>
      </c>
      <c r="F93" s="28">
        <v>49661247.304204568</v>
      </c>
      <c r="G93" s="3"/>
      <c r="H93" s="3"/>
    </row>
    <row r="94" spans="5:8" x14ac:dyDescent="0.55000000000000004">
      <c r="E94">
        <v>75</v>
      </c>
      <c r="F94" s="28">
        <v>53060105.488246582</v>
      </c>
      <c r="G94" s="3"/>
      <c r="H94" s="3"/>
    </row>
    <row r="95" spans="5:8" x14ac:dyDescent="0.55000000000000004">
      <c r="E95">
        <v>76</v>
      </c>
      <c r="F95" s="28">
        <v>58643980.101890907</v>
      </c>
      <c r="G95" s="3"/>
      <c r="H95" s="3"/>
    </row>
    <row r="96" spans="5:8" x14ac:dyDescent="0.55000000000000004">
      <c r="E96">
        <v>77</v>
      </c>
      <c r="F96" s="28">
        <v>12923436.998192575</v>
      </c>
      <c r="G96" s="3"/>
      <c r="H96" s="3"/>
    </row>
    <row r="97" spans="5:8" x14ac:dyDescent="0.55000000000000004">
      <c r="E97">
        <v>78</v>
      </c>
      <c r="F97" s="28">
        <v>1246411.2998572662</v>
      </c>
      <c r="G97" s="3"/>
      <c r="H97" s="3"/>
    </row>
    <row r="98" spans="5:8" x14ac:dyDescent="0.55000000000000004">
      <c r="E98">
        <v>79</v>
      </c>
      <c r="F98" s="28">
        <v>69540637.326939493</v>
      </c>
      <c r="G98" s="3"/>
      <c r="H98" s="3"/>
    </row>
    <row r="99" spans="5:8" x14ac:dyDescent="0.55000000000000004">
      <c r="E99">
        <v>80</v>
      </c>
      <c r="F99" s="28">
        <v>52304769.274689145</v>
      </c>
      <c r="G99" s="3"/>
      <c r="H99" s="3"/>
    </row>
    <row r="100" spans="5:8" x14ac:dyDescent="0.55000000000000004">
      <c r="E100">
        <v>81</v>
      </c>
      <c r="F100" s="28">
        <v>-2264551.2372824331</v>
      </c>
      <c r="G100" s="3"/>
      <c r="H100" s="3"/>
    </row>
    <row r="101" spans="5:8" x14ac:dyDescent="0.55000000000000004">
      <c r="E101">
        <v>82</v>
      </c>
      <c r="F101" s="28">
        <v>70558089.095895499</v>
      </c>
      <c r="G101" s="3"/>
      <c r="H101" s="3"/>
    </row>
    <row r="102" spans="5:8" x14ac:dyDescent="0.55000000000000004">
      <c r="E102">
        <v>83</v>
      </c>
      <c r="F102" s="28">
        <v>35456947.519181274</v>
      </c>
      <c r="G102" s="3"/>
      <c r="H102" s="3"/>
    </row>
    <row r="103" spans="5:8" x14ac:dyDescent="0.55000000000000004">
      <c r="E103">
        <v>84</v>
      </c>
      <c r="F103" s="28">
        <v>31444456.749236219</v>
      </c>
      <c r="G103" s="3"/>
      <c r="H103" s="3"/>
    </row>
    <row r="104" spans="5:8" x14ac:dyDescent="0.55000000000000004">
      <c r="E104">
        <v>85</v>
      </c>
      <c r="F104" s="28">
        <v>24313349.527111687</v>
      </c>
      <c r="G104" s="3"/>
      <c r="H104" s="3"/>
    </row>
    <row r="105" spans="5:8" x14ac:dyDescent="0.55000000000000004">
      <c r="E105">
        <v>86</v>
      </c>
      <c r="F105" s="28">
        <v>63732907.945963494</v>
      </c>
      <c r="G105" s="3"/>
      <c r="H105" s="3"/>
    </row>
    <row r="106" spans="5:8" x14ac:dyDescent="0.55000000000000004">
      <c r="E106">
        <v>87</v>
      </c>
      <c r="F106" s="28">
        <v>45908206.027824879</v>
      </c>
      <c r="G106" s="3"/>
      <c r="H106" s="3"/>
    </row>
    <row r="107" spans="5:8" x14ac:dyDescent="0.55000000000000004">
      <c r="E107">
        <v>88</v>
      </c>
      <c r="F107" s="28">
        <v>27592540.274831556</v>
      </c>
      <c r="G107" s="3"/>
      <c r="H107" s="3"/>
    </row>
    <row r="108" spans="5:8" x14ac:dyDescent="0.55000000000000004">
      <c r="E108">
        <v>89</v>
      </c>
      <c r="F108" s="28">
        <v>58119133.525484189</v>
      </c>
      <c r="G108" s="3"/>
      <c r="H108" s="3"/>
    </row>
    <row r="109" spans="5:8" x14ac:dyDescent="0.55000000000000004">
      <c r="E109">
        <v>90</v>
      </c>
      <c r="F109" s="28">
        <v>51233487.158398375</v>
      </c>
      <c r="G109" s="3"/>
      <c r="H109" s="3"/>
    </row>
    <row r="110" spans="5:8" x14ac:dyDescent="0.55000000000000004">
      <c r="E110">
        <v>91</v>
      </c>
      <c r="F110" s="28">
        <v>49100393.918756589</v>
      </c>
      <c r="G110" s="3"/>
      <c r="H110" s="3"/>
    </row>
    <row r="111" spans="5:8" x14ac:dyDescent="0.55000000000000004">
      <c r="E111">
        <v>92</v>
      </c>
      <c r="F111" s="28">
        <v>67995430.496292084</v>
      </c>
      <c r="G111" s="3"/>
      <c r="H111" s="3"/>
    </row>
    <row r="112" spans="5:8" x14ac:dyDescent="0.55000000000000004">
      <c r="E112">
        <v>93</v>
      </c>
      <c r="F112" s="28">
        <v>40873639.985478625</v>
      </c>
      <c r="G112" s="3"/>
      <c r="H112" s="3"/>
    </row>
    <row r="113" spans="5:8" x14ac:dyDescent="0.55000000000000004">
      <c r="E113">
        <v>94</v>
      </c>
      <c r="F113" s="28">
        <v>33032781.181153446</v>
      </c>
      <c r="G113" s="3"/>
      <c r="H113" s="3"/>
    </row>
    <row r="114" spans="5:8" x14ac:dyDescent="0.55000000000000004">
      <c r="E114">
        <v>95</v>
      </c>
      <c r="F114" s="28">
        <v>18523483.720656067</v>
      </c>
      <c r="G114" s="3"/>
      <c r="H114" s="3"/>
    </row>
    <row r="115" spans="5:8" x14ac:dyDescent="0.55000000000000004">
      <c r="E115">
        <v>96</v>
      </c>
      <c r="F115" s="28">
        <v>36545799.200953849</v>
      </c>
      <c r="G115" s="3"/>
      <c r="H115" s="3"/>
    </row>
    <row r="116" spans="5:8" x14ac:dyDescent="0.55000000000000004">
      <c r="E116">
        <v>97</v>
      </c>
      <c r="F116" s="28">
        <v>74892211.553625286</v>
      </c>
      <c r="G116" s="3"/>
      <c r="H116" s="3"/>
    </row>
    <row r="117" spans="5:8" x14ac:dyDescent="0.55000000000000004">
      <c r="E117">
        <v>98</v>
      </c>
      <c r="F117" s="28">
        <v>14818871.42842716</v>
      </c>
      <c r="G117" s="3"/>
      <c r="H117" s="3"/>
    </row>
    <row r="118" spans="5:8" x14ac:dyDescent="0.55000000000000004">
      <c r="E118">
        <v>99</v>
      </c>
      <c r="F118" s="28">
        <v>27873227.365438707</v>
      </c>
      <c r="G118" s="3"/>
      <c r="H118" s="3"/>
    </row>
    <row r="119" spans="5:8" x14ac:dyDescent="0.55000000000000004">
      <c r="E119">
        <v>100</v>
      </c>
      <c r="F119" s="28">
        <v>46856141.86671184</v>
      </c>
      <c r="G119" s="3"/>
      <c r="H119" s="3"/>
    </row>
    <row r="120" spans="5:8" x14ac:dyDescent="0.55000000000000004">
      <c r="E120">
        <v>101</v>
      </c>
      <c r="F120" s="28">
        <v>54049386.541492105</v>
      </c>
      <c r="G120" s="3"/>
      <c r="H120" s="3"/>
    </row>
    <row r="121" spans="5:8" x14ac:dyDescent="0.55000000000000004">
      <c r="E121">
        <v>102</v>
      </c>
      <c r="F121" s="28">
        <v>54559355.342186518</v>
      </c>
      <c r="G121" s="3"/>
      <c r="H121" s="3"/>
    </row>
    <row r="122" spans="5:8" x14ac:dyDescent="0.55000000000000004">
      <c r="E122">
        <v>103</v>
      </c>
      <c r="F122" s="28">
        <v>15249730.47446307</v>
      </c>
      <c r="G122" s="3"/>
      <c r="H122" s="3"/>
    </row>
    <row r="123" spans="5:8" x14ac:dyDescent="0.55000000000000004">
      <c r="E123">
        <v>104</v>
      </c>
      <c r="F123" s="28">
        <v>78773893.643943012</v>
      </c>
      <c r="G123" s="3"/>
      <c r="H123" s="3"/>
    </row>
    <row r="124" spans="5:8" x14ac:dyDescent="0.55000000000000004">
      <c r="E124">
        <v>105</v>
      </c>
      <c r="F124" s="28">
        <v>31104352.351293206</v>
      </c>
      <c r="G124" s="3"/>
      <c r="H124" s="3"/>
    </row>
    <row r="125" spans="5:8" x14ac:dyDescent="0.55000000000000004">
      <c r="E125">
        <v>106</v>
      </c>
      <c r="F125" s="28">
        <v>58099411.072115444</v>
      </c>
      <c r="G125" s="3"/>
      <c r="H125" s="3"/>
    </row>
    <row r="126" spans="5:8" x14ac:dyDescent="0.55000000000000004">
      <c r="E126">
        <v>107</v>
      </c>
      <c r="F126" s="28">
        <v>33040917.114293762</v>
      </c>
      <c r="G126" s="3"/>
      <c r="H126" s="3"/>
    </row>
    <row r="127" spans="5:8" x14ac:dyDescent="0.55000000000000004">
      <c r="E127">
        <v>108</v>
      </c>
      <c r="F127" s="28">
        <v>45175961.891301446</v>
      </c>
      <c r="G127" s="3"/>
      <c r="H127" s="3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30"/>
  <sheetViews>
    <sheetView workbookViewId="0">
      <selection activeCell="D13" sqref="D1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0.3125" customWidth="1"/>
    <col min="6" max="8" width="18.68359375" customWidth="1"/>
  </cols>
  <sheetData>
    <row r="1" spans="1:8" ht="18" customHeight="1" x14ac:dyDescent="0.55000000000000004">
      <c r="B1" s="27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1" t="str">
        <f>MC_High_ambition!F1</f>
        <v>All dairy households</v>
      </c>
      <c r="G1" s="1"/>
      <c r="H1" s="1"/>
    </row>
    <row r="3" spans="1:8" x14ac:dyDescent="0.55000000000000004">
      <c r="A3" t="str">
        <f>MC_High_ambition!A3</f>
        <v>Income per cow (USD/yr)</v>
      </c>
      <c r="B3" s="28">
        <f>Mappings!N14</f>
        <v>880.62230423788765</v>
      </c>
      <c r="C3" s="28">
        <f>Mappings!N15</f>
        <v>181.77307777823148</v>
      </c>
      <c r="D3" s="28">
        <f>Mappings!N15</f>
        <v>181.77307777823148</v>
      </c>
    </row>
    <row r="4" spans="1:8" x14ac:dyDescent="0.55000000000000004">
      <c r="A4" t="str">
        <f>MC_High_ambition!A4</f>
        <v>Random value income per cow (USD/yr)</v>
      </c>
      <c r="B4" s="28">
        <f ca="1">_xlfn.NORM.INV(RAND(),Mappings!N14,Mappings!O14)</f>
        <v>560.70697390455712</v>
      </c>
      <c r="C4" s="28">
        <f ca="1">_xlfn.NORM.INV(RAND(),Mappings!N15,Mappings!O15)</f>
        <v>145.00571012243302</v>
      </c>
      <c r="D4" s="28">
        <f ca="1">_xlfn.NORM.INV(RAND(),Mappings!N16,Mappings!O16)</f>
        <v>293.57482121639703</v>
      </c>
    </row>
    <row r="5" spans="1:8" x14ac:dyDescent="0.55000000000000004">
      <c r="A5" t="str">
        <f>MC_High_ambition!A5</f>
        <v>Cows per household (head)</v>
      </c>
      <c r="B5" s="28">
        <f>Mappings!F14*Mappings!I14</f>
        <v>1.0265463370050518</v>
      </c>
      <c r="C5" s="28">
        <f>Mappings!F15*Mappings!I15</f>
        <v>3.7916166388179668</v>
      </c>
      <c r="D5" s="28">
        <f>Mappings!F16*Mappings!I16</f>
        <v>1.089077105325843</v>
      </c>
    </row>
    <row r="6" spans="1:8" x14ac:dyDescent="0.55000000000000004">
      <c r="A6" t="str">
        <f>MC_High_ambition!A6</f>
        <v>Random value cows per household (head)</v>
      </c>
      <c r="B6" s="28">
        <f ca="1">_xlfn.NORM.INV(RAND(),B5,B5*Mappings!E4)</f>
        <v>1.5799858903539756</v>
      </c>
      <c r="C6" s="28">
        <f ca="1">_xlfn.NORM.INV(RAND(),C5,C5*Mappings!E3)</f>
        <v>3.1141667082404991</v>
      </c>
      <c r="D6" s="28">
        <f ca="1">_xlfn.NORM.INV(RAND(),D5,D5*Mappings!E4)</f>
        <v>1.6704762146451613</v>
      </c>
    </row>
    <row r="7" spans="1:8" x14ac:dyDescent="0.55000000000000004">
      <c r="A7" t="str">
        <f>MC_Middle_road!A7</f>
        <v>Reduction in non-dairy income through crop area change</v>
      </c>
      <c r="B7" s="28">
        <f>Mappings!Q14</f>
        <v>-76.420260676068921</v>
      </c>
      <c r="C7" s="28">
        <f>Mappings!Q15</f>
        <v>-983.41091746725249</v>
      </c>
      <c r="D7" s="28">
        <f>Mappings!Q16</f>
        <v>182.27982082974029</v>
      </c>
    </row>
    <row r="8" spans="1:8" x14ac:dyDescent="0.55000000000000004">
      <c r="A8" t="str">
        <f>MC_Middle_road!A8</f>
        <v>Random value reduction/increase in non-dairy income (USD/yr)</v>
      </c>
      <c r="B8" s="28">
        <f ca="1">IF(B7&gt;0,_xlfn.NORM.INV(RAND(),B7,B7*Dairy_Income_Roadmap!L36),_xlfn.NORM.INV(RAND(),ABS(B7),ABS(B7)*Dairy_Income_Roadmap!L36))</f>
        <v>26.734758471675185</v>
      </c>
      <c r="C8" s="28">
        <f ca="1">IF(C7&gt;0,_xlfn.NORM.INV(RAND(),C7,C7*Dairy_Income_Roadmap!L36),_xlfn.NORM.INV(RAND(),ABS(C7),ABS(C7)*Dairy_Income_Roadmap!L36))</f>
        <v>933.74105229991198</v>
      </c>
      <c r="D8" s="28">
        <f ca="1">IF(D7&gt;0,_xlfn.NORM.INV(RAND(),D7,D7*Dairy_Income_Roadmap!L38),_xlfn.NORM.INV(RAND(),ABS(D7),ABS(D7)*Dairy_Income_Roadmap!L38))</f>
        <v>-6.883257333721815</v>
      </c>
    </row>
    <row r="9" spans="1:8" x14ac:dyDescent="0.55000000000000004">
      <c r="A9" t="str">
        <f>MC_High_ambition!A9</f>
        <v>Quantity households</v>
      </c>
      <c r="B9" s="28">
        <f>Mappings!D14</f>
        <v>245.60975840128066</v>
      </c>
      <c r="C9" s="28">
        <f>Mappings!D15</f>
        <v>16128.374135017431</v>
      </c>
      <c r="D9" s="28">
        <f>Mappings!D16</f>
        <v>11688.199263308798</v>
      </c>
    </row>
    <row r="10" spans="1:8" x14ac:dyDescent="0.55000000000000004">
      <c r="A10" t="str">
        <f>MC_High_ambition!A10</f>
        <v>SE quantity households</v>
      </c>
      <c r="B10" s="28">
        <f>Mappings!V14*Mappings!D14</f>
        <v>7.1722053571237074</v>
      </c>
      <c r="C10" s="28">
        <f>Mappings!V15*Mappings!D15</f>
        <v>470.9748184511235</v>
      </c>
      <c r="D10" s="28">
        <f>Mappings!V16*Mappings!D16</f>
        <v>341.31447348468066</v>
      </c>
    </row>
    <row r="11" spans="1:8" x14ac:dyDescent="0.55000000000000004">
      <c r="B11" s="28"/>
      <c r="C11" s="28"/>
      <c r="D11" s="28"/>
    </row>
    <row r="12" spans="1:8" x14ac:dyDescent="0.55000000000000004">
      <c r="A12" t="str">
        <f>MC_High_ambition!A12</f>
        <v>Dairy Income (USD/household/year)</v>
      </c>
      <c r="B12" s="28">
        <f ca="1">B4*B6</f>
        <v>885.90910739227502</v>
      </c>
      <c r="C12" s="28">
        <f ca="1">C4*C6</f>
        <v>451.57195496805326</v>
      </c>
      <c r="D12" s="28">
        <f ca="1">D4*D6</f>
        <v>490.40975606069691</v>
      </c>
    </row>
    <row r="13" spans="1:8" x14ac:dyDescent="0.55000000000000004">
      <c r="A13" t="str">
        <f>MC_High_ambition!A13</f>
        <v>Non dairy income (USD/household/year)</v>
      </c>
      <c r="B13" s="16">
        <f ca="1">-IF(B7&gt;0,B8,(-1)*B8)</f>
        <v>26.734758471675185</v>
      </c>
      <c r="C13" s="16">
        <f ca="1">-IF(C7&gt;0,C8,(-1)*C8)</f>
        <v>933.74105229991198</v>
      </c>
      <c r="D13" s="16">
        <f ca="1">-IF(D7&gt;0,D8,(-1)*D8)</f>
        <v>6.883257333721815</v>
      </c>
    </row>
    <row r="14" spans="1:8" x14ac:dyDescent="0.55000000000000004">
      <c r="A14" t="str">
        <f>MC_High_ambition!A14</f>
        <v>Quantity households</v>
      </c>
      <c r="B14" s="28">
        <f ca="1">_xlfn.NORM.INV(RAND(),B9,B10)</f>
        <v>243.05451428174914</v>
      </c>
      <c r="C14" s="28">
        <f ca="1">_xlfn.NORM.INV(RAND(),C9,C10)</f>
        <v>16255.685246500032</v>
      </c>
      <c r="D14" s="28">
        <f ca="1">_xlfn.NORM.INV(RAND(),D9,D10)</f>
        <v>11791.450843437104</v>
      </c>
    </row>
    <row r="15" spans="1:8" x14ac:dyDescent="0.55000000000000004">
      <c r="B15" s="28"/>
      <c r="C15" s="28"/>
      <c r="D15" s="28"/>
    </row>
    <row r="16" spans="1:8" x14ac:dyDescent="0.55000000000000004">
      <c r="A16" t="str">
        <f>MC_High_ambition!A16</f>
        <v>Estimated population income (USD/yr)</v>
      </c>
      <c r="B16" s="34">
        <f ca="1">(B12+B13)*B14</f>
        <v>221822.21152978021</v>
      </c>
      <c r="C16" s="34">
        <f ca="1">(C12+C13)*C14</f>
        <v>22519212.214030456</v>
      </c>
      <c r="D16" s="34">
        <f ca="1">(D12+D13)*D14</f>
        <v>5863806.1222249977</v>
      </c>
      <c r="F16" s="28">
        <f ca="1">B16+C16+D16</f>
        <v>28604840.547785234</v>
      </c>
    </row>
    <row r="17" spans="1:9" x14ac:dyDescent="0.55000000000000004">
      <c r="A17" t="str">
        <f>MC_High_ambition!A17</f>
        <v>SE population income (USD/yr)</v>
      </c>
      <c r="B17" t="s">
        <v>49</v>
      </c>
      <c r="C17" t="s">
        <v>49</v>
      </c>
      <c r="D17" t="s">
        <v>49</v>
      </c>
      <c r="F17" s="28">
        <f ca="1">STDEV(F20:F127)</f>
        <v>33396107.816584207</v>
      </c>
      <c r="H17" s="1" t="s">
        <v>52</v>
      </c>
    </row>
    <row r="18" spans="1:9" x14ac:dyDescent="0.55000000000000004">
      <c r="A18" t="str">
        <f>MC_High_ambition!A18</f>
        <v>Mean population income (USD/yr)</v>
      </c>
      <c r="B18" s="3" t="s">
        <v>49</v>
      </c>
      <c r="C18" s="3" t="s">
        <v>49</v>
      </c>
      <c r="D18" s="3" t="s">
        <v>49</v>
      </c>
      <c r="E18" s="3"/>
      <c r="F18" s="28">
        <f ca="1">AVERAGE(F20:F127)</f>
        <v>36032576.171780534</v>
      </c>
      <c r="G18" s="3"/>
      <c r="H18" s="3"/>
      <c r="I18" s="38">
        <f ca="1">100*F17/F18</f>
        <v>92.683097809528476</v>
      </c>
    </row>
    <row r="19" spans="1:9" x14ac:dyDescent="0.55000000000000004">
      <c r="F19" s="28"/>
      <c r="G19" s="3"/>
      <c r="H19" s="3"/>
    </row>
    <row r="20" spans="1:9" x14ac:dyDescent="0.55000000000000004">
      <c r="B20" s="3"/>
      <c r="E20">
        <v>1</v>
      </c>
      <c r="F20" s="28">
        <f ca="1">F16</f>
        <v>28604840.547785234</v>
      </c>
      <c r="G20" s="3"/>
      <c r="H20" s="3"/>
    </row>
    <row r="21" spans="1:9" x14ac:dyDescent="0.55000000000000004">
      <c r="E21">
        <v>2</v>
      </c>
      <c r="F21" s="28">
        <f t="dataTable" ref="F21:F127" dt2D="0" dtr="0" r1="F19" ca="1"/>
        <v>17801490.006985892</v>
      </c>
      <c r="G21" s="3"/>
      <c r="H21" s="3"/>
    </row>
    <row r="22" spans="1:9" x14ac:dyDescent="0.55000000000000004">
      <c r="E22">
        <v>3</v>
      </c>
      <c r="F22" s="28">
        <v>7432120.0525894882</v>
      </c>
      <c r="G22" s="3"/>
      <c r="H22" s="3"/>
    </row>
    <row r="23" spans="1:9" x14ac:dyDescent="0.55000000000000004">
      <c r="E23">
        <v>4</v>
      </c>
      <c r="F23" s="28">
        <v>68908882.271731541</v>
      </c>
      <c r="G23" s="3"/>
      <c r="H23" s="3"/>
    </row>
    <row r="24" spans="1:9" x14ac:dyDescent="0.55000000000000004">
      <c r="E24">
        <v>5</v>
      </c>
      <c r="F24" s="28">
        <v>45760442.506202951</v>
      </c>
      <c r="G24" s="3"/>
      <c r="H24" s="3"/>
    </row>
    <row r="25" spans="1:9" x14ac:dyDescent="0.55000000000000004">
      <c r="E25">
        <v>6</v>
      </c>
      <c r="F25" s="28">
        <v>35278768.225149773</v>
      </c>
      <c r="G25" s="3"/>
      <c r="H25" s="3"/>
    </row>
    <row r="26" spans="1:9" x14ac:dyDescent="0.55000000000000004">
      <c r="E26">
        <v>7</v>
      </c>
      <c r="F26" s="28">
        <v>17513678.123189639</v>
      </c>
      <c r="G26" s="3"/>
      <c r="H26" s="3"/>
    </row>
    <row r="27" spans="1:9" x14ac:dyDescent="0.55000000000000004">
      <c r="E27">
        <v>8</v>
      </c>
      <c r="F27" s="28">
        <v>44440090.421047039</v>
      </c>
      <c r="G27" s="3"/>
      <c r="H27" s="3"/>
    </row>
    <row r="28" spans="1:9" x14ac:dyDescent="0.55000000000000004">
      <c r="E28">
        <v>9</v>
      </c>
      <c r="F28" s="28">
        <v>-15086077.045313524</v>
      </c>
      <c r="G28" s="3"/>
      <c r="H28" s="3"/>
    </row>
    <row r="29" spans="1:9" x14ac:dyDescent="0.55000000000000004">
      <c r="E29">
        <v>10</v>
      </c>
      <c r="F29" s="28">
        <v>51657403.995348029</v>
      </c>
      <c r="G29" s="3"/>
      <c r="H29" s="3"/>
    </row>
    <row r="30" spans="1:9" x14ac:dyDescent="0.55000000000000004">
      <c r="E30">
        <v>11</v>
      </c>
      <c r="F30" s="28">
        <v>101303068.28557231</v>
      </c>
      <c r="G30" s="3"/>
      <c r="H30" s="3"/>
    </row>
    <row r="31" spans="1:9" x14ac:dyDescent="0.55000000000000004">
      <c r="E31">
        <v>12</v>
      </c>
      <c r="F31" s="28">
        <v>77692265.740326896</v>
      </c>
      <c r="G31" s="3"/>
      <c r="H31" s="3"/>
    </row>
    <row r="32" spans="1:9" x14ac:dyDescent="0.55000000000000004">
      <c r="E32">
        <v>13</v>
      </c>
      <c r="F32" s="28">
        <v>13331908.717410523</v>
      </c>
      <c r="G32" s="3"/>
      <c r="H32" s="3"/>
    </row>
    <row r="33" spans="5:8" x14ac:dyDescent="0.55000000000000004">
      <c r="E33">
        <v>14</v>
      </c>
      <c r="F33" s="28">
        <v>43204793.70799759</v>
      </c>
      <c r="G33" s="3"/>
      <c r="H33" s="3"/>
    </row>
    <row r="34" spans="5:8" x14ac:dyDescent="0.55000000000000004">
      <c r="E34">
        <v>15</v>
      </c>
      <c r="F34" s="28">
        <v>74956123.613846287</v>
      </c>
      <c r="G34" s="3"/>
      <c r="H34" s="3"/>
    </row>
    <row r="35" spans="5:8" x14ac:dyDescent="0.55000000000000004">
      <c r="E35">
        <v>16</v>
      </c>
      <c r="F35" s="28">
        <v>108241762.303036</v>
      </c>
      <c r="G35" s="3"/>
      <c r="H35" s="3"/>
    </row>
    <row r="36" spans="5:8" x14ac:dyDescent="0.55000000000000004">
      <c r="E36">
        <v>17</v>
      </c>
      <c r="F36" s="28">
        <v>98084911.770297065</v>
      </c>
      <c r="G36" s="3"/>
      <c r="H36" s="3"/>
    </row>
    <row r="37" spans="5:8" x14ac:dyDescent="0.55000000000000004">
      <c r="E37">
        <v>18</v>
      </c>
      <c r="F37" s="28">
        <v>53345432.848878503</v>
      </c>
      <c r="G37" s="3"/>
      <c r="H37" s="3"/>
    </row>
    <row r="38" spans="5:8" x14ac:dyDescent="0.55000000000000004">
      <c r="E38">
        <v>19</v>
      </c>
      <c r="F38" s="28">
        <v>-3090209.1243295781</v>
      </c>
      <c r="G38" s="3"/>
      <c r="H38" s="3"/>
    </row>
    <row r="39" spans="5:8" x14ac:dyDescent="0.55000000000000004">
      <c r="E39">
        <v>20</v>
      </c>
      <c r="F39" s="28">
        <v>100045844.46310866</v>
      </c>
      <c r="G39" s="3"/>
      <c r="H39" s="3"/>
    </row>
    <row r="40" spans="5:8" x14ac:dyDescent="0.55000000000000004">
      <c r="E40">
        <v>21</v>
      </c>
      <c r="F40" s="28">
        <v>86315469.075473174</v>
      </c>
      <c r="G40" s="3"/>
      <c r="H40" s="3"/>
    </row>
    <row r="41" spans="5:8" x14ac:dyDescent="0.55000000000000004">
      <c r="E41">
        <v>22</v>
      </c>
      <c r="F41" s="28">
        <v>19358486.030758873</v>
      </c>
      <c r="G41" s="3"/>
      <c r="H41" s="3"/>
    </row>
    <row r="42" spans="5:8" x14ac:dyDescent="0.55000000000000004">
      <c r="E42">
        <v>23</v>
      </c>
      <c r="F42" s="28">
        <v>19691839.516644865</v>
      </c>
      <c r="G42" s="3"/>
      <c r="H42" s="3"/>
    </row>
    <row r="43" spans="5:8" x14ac:dyDescent="0.55000000000000004">
      <c r="E43">
        <v>24</v>
      </c>
      <c r="F43" s="28">
        <v>22905527.982067242</v>
      </c>
      <c r="G43" s="3"/>
      <c r="H43" s="3"/>
    </row>
    <row r="44" spans="5:8" x14ac:dyDescent="0.55000000000000004">
      <c r="E44">
        <v>25</v>
      </c>
      <c r="F44" s="28">
        <v>-1051750.7598336423</v>
      </c>
      <c r="G44" s="3"/>
      <c r="H44" s="3"/>
    </row>
    <row r="45" spans="5:8" x14ac:dyDescent="0.55000000000000004">
      <c r="E45">
        <v>26</v>
      </c>
      <c r="F45" s="28">
        <v>12569569.886690365</v>
      </c>
      <c r="G45" s="3"/>
      <c r="H45" s="3"/>
    </row>
    <row r="46" spans="5:8" x14ac:dyDescent="0.55000000000000004">
      <c r="E46">
        <v>27</v>
      </c>
      <c r="F46" s="28">
        <v>71275298.762643948</v>
      </c>
      <c r="G46" s="3"/>
      <c r="H46" s="3"/>
    </row>
    <row r="47" spans="5:8" x14ac:dyDescent="0.55000000000000004">
      <c r="E47">
        <v>28</v>
      </c>
      <c r="F47" s="28">
        <v>99449965.952376172</v>
      </c>
      <c r="G47" s="3"/>
      <c r="H47" s="3"/>
    </row>
    <row r="48" spans="5:8" x14ac:dyDescent="0.55000000000000004">
      <c r="E48">
        <v>29</v>
      </c>
      <c r="F48" s="28">
        <v>38934158.515030205</v>
      </c>
      <c r="G48" s="3"/>
      <c r="H48" s="3"/>
    </row>
    <row r="49" spans="5:8" x14ac:dyDescent="0.55000000000000004">
      <c r="E49">
        <v>30</v>
      </c>
      <c r="F49" s="28">
        <v>-10662063.154104244</v>
      </c>
      <c r="G49" s="3"/>
      <c r="H49" s="3"/>
    </row>
    <row r="50" spans="5:8" x14ac:dyDescent="0.55000000000000004">
      <c r="E50">
        <v>31</v>
      </c>
      <c r="F50" s="28">
        <v>60540990.69678586</v>
      </c>
      <c r="G50" s="3"/>
      <c r="H50" s="3"/>
    </row>
    <row r="51" spans="5:8" x14ac:dyDescent="0.55000000000000004">
      <c r="E51">
        <v>32</v>
      </c>
      <c r="F51" s="28">
        <v>19026066.39667464</v>
      </c>
      <c r="G51" s="3"/>
      <c r="H51" s="3"/>
    </row>
    <row r="52" spans="5:8" x14ac:dyDescent="0.55000000000000004">
      <c r="E52">
        <v>33</v>
      </c>
      <c r="F52" s="28">
        <v>-34195.994485253934</v>
      </c>
      <c r="G52" s="3"/>
      <c r="H52" s="3"/>
    </row>
    <row r="53" spans="5:8" x14ac:dyDescent="0.55000000000000004">
      <c r="E53">
        <v>34</v>
      </c>
      <c r="F53" s="28">
        <v>42675003.882041901</v>
      </c>
      <c r="G53" s="3"/>
      <c r="H53" s="3"/>
    </row>
    <row r="54" spans="5:8" x14ac:dyDescent="0.55000000000000004">
      <c r="E54">
        <v>35</v>
      </c>
      <c r="F54" s="28">
        <v>83161076.808848396</v>
      </c>
      <c r="G54" s="3"/>
      <c r="H54" s="3"/>
    </row>
    <row r="55" spans="5:8" x14ac:dyDescent="0.55000000000000004">
      <c r="E55">
        <v>36</v>
      </c>
      <c r="F55" s="28">
        <v>24468477.18001426</v>
      </c>
      <c r="G55" s="3"/>
      <c r="H55" s="3"/>
    </row>
    <row r="56" spans="5:8" x14ac:dyDescent="0.55000000000000004">
      <c r="E56">
        <v>37</v>
      </c>
      <c r="F56" s="28">
        <v>-38203728.313829094</v>
      </c>
      <c r="G56" s="3"/>
      <c r="H56" s="3"/>
    </row>
    <row r="57" spans="5:8" x14ac:dyDescent="0.55000000000000004">
      <c r="E57">
        <v>38</v>
      </c>
      <c r="F57" s="28">
        <v>65995740.15920759</v>
      </c>
      <c r="G57" s="3"/>
      <c r="H57" s="3"/>
    </row>
    <row r="58" spans="5:8" x14ac:dyDescent="0.55000000000000004">
      <c r="E58">
        <v>39</v>
      </c>
      <c r="F58" s="28">
        <v>51968177.283287689</v>
      </c>
      <c r="G58" s="3"/>
      <c r="H58" s="3"/>
    </row>
    <row r="59" spans="5:8" x14ac:dyDescent="0.55000000000000004">
      <c r="E59">
        <v>40</v>
      </c>
      <c r="F59" s="28">
        <v>79211529.588212579</v>
      </c>
      <c r="G59" s="3"/>
      <c r="H59" s="3"/>
    </row>
    <row r="60" spans="5:8" x14ac:dyDescent="0.55000000000000004">
      <c r="E60">
        <v>41</v>
      </c>
      <c r="F60" s="28">
        <v>46819868.823724598</v>
      </c>
      <c r="G60" s="3"/>
      <c r="H60" s="3"/>
    </row>
    <row r="61" spans="5:8" x14ac:dyDescent="0.55000000000000004">
      <c r="E61">
        <v>42</v>
      </c>
      <c r="F61" s="28">
        <v>50788141.310689703</v>
      </c>
      <c r="G61" s="3"/>
      <c r="H61" s="3"/>
    </row>
    <row r="62" spans="5:8" x14ac:dyDescent="0.55000000000000004">
      <c r="E62">
        <v>43</v>
      </c>
      <c r="F62" s="28">
        <v>29362777.214085832</v>
      </c>
      <c r="G62" s="3"/>
      <c r="H62" s="3"/>
    </row>
    <row r="63" spans="5:8" x14ac:dyDescent="0.55000000000000004">
      <c r="E63">
        <v>44</v>
      </c>
      <c r="F63" s="28">
        <v>54973540.41961211</v>
      </c>
      <c r="G63" s="3"/>
      <c r="H63" s="3"/>
    </row>
    <row r="64" spans="5:8" x14ac:dyDescent="0.55000000000000004">
      <c r="E64">
        <v>45</v>
      </c>
      <c r="F64" s="28">
        <v>21072360.656849153</v>
      </c>
      <c r="G64" s="3"/>
      <c r="H64" s="3"/>
    </row>
    <row r="65" spans="5:8" x14ac:dyDescent="0.55000000000000004">
      <c r="E65">
        <v>46</v>
      </c>
      <c r="F65" s="28">
        <v>97602618.943811789</v>
      </c>
      <c r="G65" s="3"/>
      <c r="H65" s="3"/>
    </row>
    <row r="66" spans="5:8" x14ac:dyDescent="0.55000000000000004">
      <c r="E66">
        <v>47</v>
      </c>
      <c r="F66" s="28">
        <v>3099190.0829114462</v>
      </c>
      <c r="G66" s="3"/>
      <c r="H66" s="3"/>
    </row>
    <row r="67" spans="5:8" x14ac:dyDescent="0.55000000000000004">
      <c r="E67">
        <v>48</v>
      </c>
      <c r="F67" s="28">
        <v>63314068.824368462</v>
      </c>
      <c r="G67" s="3"/>
      <c r="H67" s="3"/>
    </row>
    <row r="68" spans="5:8" x14ac:dyDescent="0.55000000000000004">
      <c r="E68">
        <v>49</v>
      </c>
      <c r="F68" s="28">
        <v>55296712.444332749</v>
      </c>
      <c r="G68" s="3"/>
      <c r="H68" s="3"/>
    </row>
    <row r="69" spans="5:8" x14ac:dyDescent="0.55000000000000004">
      <c r="E69">
        <v>50</v>
      </c>
      <c r="F69" s="28">
        <v>47565552.558549434</v>
      </c>
      <c r="G69" s="3"/>
      <c r="H69" s="3"/>
    </row>
    <row r="70" spans="5:8" x14ac:dyDescent="0.55000000000000004">
      <c r="E70">
        <v>51</v>
      </c>
      <c r="F70" s="28">
        <v>35997758.391687691</v>
      </c>
      <c r="G70" s="3"/>
      <c r="H70" s="3"/>
    </row>
    <row r="71" spans="5:8" x14ac:dyDescent="0.55000000000000004">
      <c r="E71">
        <v>52</v>
      </c>
      <c r="F71" s="28">
        <v>-34293123.929978378</v>
      </c>
      <c r="G71" s="3"/>
      <c r="H71" s="3"/>
    </row>
    <row r="72" spans="5:8" x14ac:dyDescent="0.55000000000000004">
      <c r="E72">
        <v>53</v>
      </c>
      <c r="F72" s="28">
        <v>23516561.099652179</v>
      </c>
      <c r="G72" s="3"/>
      <c r="H72" s="3"/>
    </row>
    <row r="73" spans="5:8" x14ac:dyDescent="0.55000000000000004">
      <c r="E73">
        <v>54</v>
      </c>
      <c r="F73" s="28">
        <v>26811433.459390495</v>
      </c>
      <c r="G73" s="3"/>
      <c r="H73" s="3"/>
    </row>
    <row r="74" spans="5:8" x14ac:dyDescent="0.55000000000000004">
      <c r="E74">
        <v>55</v>
      </c>
      <c r="F74" s="28">
        <v>37023752.086902007</v>
      </c>
      <c r="G74" s="3"/>
      <c r="H74" s="3"/>
    </row>
    <row r="75" spans="5:8" x14ac:dyDescent="0.55000000000000004">
      <c r="E75">
        <v>56</v>
      </c>
      <c r="F75" s="28">
        <v>43681170.435409158</v>
      </c>
      <c r="G75" s="3"/>
      <c r="H75" s="3"/>
    </row>
    <row r="76" spans="5:8" x14ac:dyDescent="0.55000000000000004">
      <c r="E76">
        <v>57</v>
      </c>
      <c r="F76" s="28">
        <v>29841709.858731207</v>
      </c>
      <c r="G76" s="3"/>
      <c r="H76" s="3"/>
    </row>
    <row r="77" spans="5:8" x14ac:dyDescent="0.55000000000000004">
      <c r="E77">
        <v>58</v>
      </c>
      <c r="F77" s="28">
        <v>48873843.775253594</v>
      </c>
      <c r="G77" s="3"/>
      <c r="H77" s="3"/>
    </row>
    <row r="78" spans="5:8" x14ac:dyDescent="0.55000000000000004">
      <c r="E78">
        <v>59</v>
      </c>
      <c r="F78" s="28">
        <v>7402847.7110752165</v>
      </c>
      <c r="G78" s="3"/>
      <c r="H78" s="3"/>
    </row>
    <row r="79" spans="5:8" x14ac:dyDescent="0.55000000000000004">
      <c r="E79">
        <v>60</v>
      </c>
      <c r="F79" s="28">
        <v>-15189051.430485956</v>
      </c>
      <c r="G79" s="3"/>
      <c r="H79" s="3"/>
    </row>
    <row r="80" spans="5:8" x14ac:dyDescent="0.55000000000000004">
      <c r="E80">
        <v>61</v>
      </c>
      <c r="F80" s="28">
        <v>27918995.727232203</v>
      </c>
      <c r="G80" s="3"/>
      <c r="H80" s="3"/>
    </row>
    <row r="81" spans="5:8" x14ac:dyDescent="0.55000000000000004">
      <c r="E81">
        <v>62</v>
      </c>
      <c r="F81" s="28">
        <v>-481158.45106721669</v>
      </c>
      <c r="G81" s="3"/>
      <c r="H81" s="3"/>
    </row>
    <row r="82" spans="5:8" x14ac:dyDescent="0.55000000000000004">
      <c r="E82">
        <v>63</v>
      </c>
      <c r="F82" s="28">
        <v>16328045.142705673</v>
      </c>
      <c r="G82" s="3"/>
      <c r="H82" s="3"/>
    </row>
    <row r="83" spans="5:8" x14ac:dyDescent="0.55000000000000004">
      <c r="E83">
        <v>64</v>
      </c>
      <c r="F83" s="28">
        <v>35362104.91669286</v>
      </c>
      <c r="G83" s="3"/>
      <c r="H83" s="3"/>
    </row>
    <row r="84" spans="5:8" x14ac:dyDescent="0.55000000000000004">
      <c r="E84">
        <v>65</v>
      </c>
      <c r="F84" s="28">
        <v>96760194.301764131</v>
      </c>
      <c r="G84" s="3"/>
      <c r="H84" s="3"/>
    </row>
    <row r="85" spans="5:8" x14ac:dyDescent="0.55000000000000004">
      <c r="E85">
        <v>66</v>
      </c>
      <c r="F85" s="28">
        <v>70479739.28842324</v>
      </c>
      <c r="G85" s="3"/>
      <c r="H85" s="3"/>
    </row>
    <row r="86" spans="5:8" x14ac:dyDescent="0.55000000000000004">
      <c r="E86">
        <v>67</v>
      </c>
      <c r="F86" s="28">
        <v>32299427.099078618</v>
      </c>
      <c r="G86" s="3"/>
      <c r="H86" s="3"/>
    </row>
    <row r="87" spans="5:8" x14ac:dyDescent="0.55000000000000004">
      <c r="E87">
        <v>68</v>
      </c>
      <c r="F87" s="28">
        <v>66077417.094279185</v>
      </c>
      <c r="G87" s="3"/>
      <c r="H87" s="3"/>
    </row>
    <row r="88" spans="5:8" x14ac:dyDescent="0.55000000000000004">
      <c r="E88">
        <v>69</v>
      </c>
      <c r="F88" s="28">
        <v>70415726.62385352</v>
      </c>
      <c r="G88" s="3"/>
      <c r="H88" s="3"/>
    </row>
    <row r="89" spans="5:8" x14ac:dyDescent="0.55000000000000004">
      <c r="E89">
        <v>70</v>
      </c>
      <c r="F89" s="28">
        <v>10626632.63635798</v>
      </c>
      <c r="G89" s="3"/>
      <c r="H89" s="3"/>
    </row>
    <row r="90" spans="5:8" x14ac:dyDescent="0.55000000000000004">
      <c r="E90">
        <v>71</v>
      </c>
      <c r="F90" s="28">
        <v>-30342546.63896928</v>
      </c>
      <c r="G90" s="3"/>
      <c r="H90" s="3"/>
    </row>
    <row r="91" spans="5:8" x14ac:dyDescent="0.55000000000000004">
      <c r="E91">
        <v>72</v>
      </c>
      <c r="F91" s="28">
        <v>545592.96674761735</v>
      </c>
      <c r="G91" s="3"/>
      <c r="H91" s="3"/>
    </row>
    <row r="92" spans="5:8" x14ac:dyDescent="0.55000000000000004">
      <c r="E92">
        <v>73</v>
      </c>
      <c r="F92" s="28">
        <v>129003519.19811371</v>
      </c>
      <c r="G92" s="3"/>
      <c r="H92" s="3"/>
    </row>
    <row r="93" spans="5:8" x14ac:dyDescent="0.55000000000000004">
      <c r="E93">
        <v>74</v>
      </c>
      <c r="F93" s="28">
        <v>20926154.306389511</v>
      </c>
      <c r="G93" s="3"/>
      <c r="H93" s="3"/>
    </row>
    <row r="94" spans="5:8" x14ac:dyDescent="0.55000000000000004">
      <c r="E94">
        <v>75</v>
      </c>
      <c r="F94" s="28">
        <v>40969608.561018646</v>
      </c>
      <c r="G94" s="3"/>
      <c r="H94" s="3"/>
    </row>
    <row r="95" spans="5:8" x14ac:dyDescent="0.55000000000000004">
      <c r="E95">
        <v>76</v>
      </c>
      <c r="F95" s="28">
        <v>65107708.322523311</v>
      </c>
      <c r="G95" s="3"/>
      <c r="H95" s="3"/>
    </row>
    <row r="96" spans="5:8" x14ac:dyDescent="0.55000000000000004">
      <c r="E96">
        <v>77</v>
      </c>
      <c r="F96" s="28">
        <v>-12173558.578359967</v>
      </c>
      <c r="G96" s="3"/>
      <c r="H96" s="3"/>
    </row>
    <row r="97" spans="5:8" x14ac:dyDescent="0.55000000000000004">
      <c r="E97">
        <v>78</v>
      </c>
      <c r="F97" s="28">
        <v>21447764.433832478</v>
      </c>
      <c r="G97" s="3"/>
      <c r="H97" s="3"/>
    </row>
    <row r="98" spans="5:8" x14ac:dyDescent="0.55000000000000004">
      <c r="E98">
        <v>79</v>
      </c>
      <c r="F98" s="28">
        <v>22912702.446477767</v>
      </c>
      <c r="G98" s="3"/>
      <c r="H98" s="3"/>
    </row>
    <row r="99" spans="5:8" x14ac:dyDescent="0.55000000000000004">
      <c r="E99">
        <v>80</v>
      </c>
      <c r="F99" s="28">
        <v>-19655468.984727811</v>
      </c>
      <c r="G99" s="3"/>
      <c r="H99" s="3"/>
    </row>
    <row r="100" spans="5:8" x14ac:dyDescent="0.55000000000000004">
      <c r="E100">
        <v>81</v>
      </c>
      <c r="F100" s="28">
        <v>37348740.414220281</v>
      </c>
      <c r="G100" s="3"/>
      <c r="H100" s="3"/>
    </row>
    <row r="101" spans="5:8" x14ac:dyDescent="0.55000000000000004">
      <c r="E101">
        <v>82</v>
      </c>
      <c r="F101" s="28">
        <v>54330148.463292502</v>
      </c>
      <c r="G101" s="3"/>
      <c r="H101" s="3"/>
    </row>
    <row r="102" spans="5:8" x14ac:dyDescent="0.55000000000000004">
      <c r="E102">
        <v>83</v>
      </c>
      <c r="F102" s="28">
        <v>52272736.885629989</v>
      </c>
      <c r="G102" s="3"/>
      <c r="H102" s="3"/>
    </row>
    <row r="103" spans="5:8" x14ac:dyDescent="0.55000000000000004">
      <c r="E103">
        <v>84</v>
      </c>
      <c r="F103" s="28">
        <v>54095026.4961209</v>
      </c>
      <c r="G103" s="3"/>
      <c r="H103" s="3"/>
    </row>
    <row r="104" spans="5:8" x14ac:dyDescent="0.55000000000000004">
      <c r="E104">
        <v>85</v>
      </c>
      <c r="F104" s="28">
        <v>33323918.819877904</v>
      </c>
      <c r="G104" s="3"/>
      <c r="H104" s="3"/>
    </row>
    <row r="105" spans="5:8" x14ac:dyDescent="0.55000000000000004">
      <c r="E105">
        <v>86</v>
      </c>
      <c r="F105" s="28">
        <v>41937585.089545183</v>
      </c>
      <c r="G105" s="3"/>
      <c r="H105" s="3"/>
    </row>
    <row r="106" spans="5:8" x14ac:dyDescent="0.55000000000000004">
      <c r="E106">
        <v>87</v>
      </c>
      <c r="F106" s="28">
        <v>30075945.403368846</v>
      </c>
      <c r="G106" s="3"/>
      <c r="H106" s="3"/>
    </row>
    <row r="107" spans="5:8" x14ac:dyDescent="0.55000000000000004">
      <c r="E107">
        <v>88</v>
      </c>
      <c r="F107" s="28">
        <v>25217945.906255949</v>
      </c>
      <c r="G107" s="3"/>
      <c r="H107" s="3"/>
    </row>
    <row r="108" spans="5:8" x14ac:dyDescent="0.55000000000000004">
      <c r="E108">
        <v>89</v>
      </c>
      <c r="F108" s="28">
        <v>73454969.912311092</v>
      </c>
      <c r="G108" s="3"/>
      <c r="H108" s="3"/>
    </row>
    <row r="109" spans="5:8" x14ac:dyDescent="0.55000000000000004">
      <c r="E109">
        <v>90</v>
      </c>
      <c r="F109" s="28">
        <v>-2382738.9427570999</v>
      </c>
      <c r="G109" s="3"/>
      <c r="H109" s="3"/>
    </row>
    <row r="110" spans="5:8" x14ac:dyDescent="0.55000000000000004">
      <c r="E110">
        <v>91</v>
      </c>
      <c r="F110" s="28">
        <v>64485790.615025274</v>
      </c>
      <c r="G110" s="3"/>
      <c r="H110" s="3"/>
    </row>
    <row r="111" spans="5:8" x14ac:dyDescent="0.55000000000000004">
      <c r="E111">
        <v>92</v>
      </c>
      <c r="F111" s="28">
        <v>23559607.92087248</v>
      </c>
      <c r="G111" s="3"/>
      <c r="H111" s="3"/>
    </row>
    <row r="112" spans="5:8" x14ac:dyDescent="0.55000000000000004">
      <c r="E112">
        <v>93</v>
      </c>
      <c r="F112" s="28">
        <v>57213605.071388453</v>
      </c>
      <c r="G112" s="3"/>
      <c r="H112" s="3"/>
    </row>
    <row r="113" spans="5:8" x14ac:dyDescent="0.55000000000000004">
      <c r="E113">
        <v>94</v>
      </c>
      <c r="F113" s="28">
        <v>37307474.315702729</v>
      </c>
      <c r="G113" s="3"/>
      <c r="H113" s="3"/>
    </row>
    <row r="114" spans="5:8" x14ac:dyDescent="0.55000000000000004">
      <c r="E114">
        <v>95</v>
      </c>
      <c r="F114" s="28">
        <v>24495184.792357724</v>
      </c>
      <c r="G114" s="3"/>
      <c r="H114" s="3"/>
    </row>
    <row r="115" spans="5:8" x14ac:dyDescent="0.55000000000000004">
      <c r="E115">
        <v>96</v>
      </c>
      <c r="F115" s="28">
        <v>58045589.540509224</v>
      </c>
      <c r="G115" s="3"/>
      <c r="H115" s="3"/>
    </row>
    <row r="116" spans="5:8" x14ac:dyDescent="0.55000000000000004">
      <c r="E116">
        <v>97</v>
      </c>
      <c r="F116" s="28">
        <v>-696639.60169169214</v>
      </c>
      <c r="G116" s="3"/>
      <c r="H116" s="3"/>
    </row>
    <row r="117" spans="5:8" x14ac:dyDescent="0.55000000000000004">
      <c r="E117">
        <v>98</v>
      </c>
      <c r="F117" s="28">
        <v>13133853.681511998</v>
      </c>
      <c r="G117" s="3"/>
      <c r="H117" s="3"/>
    </row>
    <row r="118" spans="5:8" x14ac:dyDescent="0.55000000000000004">
      <c r="E118">
        <v>99</v>
      </c>
      <c r="F118" s="28">
        <v>26424070.685294963</v>
      </c>
      <c r="G118" s="3"/>
      <c r="H118" s="3"/>
    </row>
    <row r="119" spans="5:8" x14ac:dyDescent="0.55000000000000004">
      <c r="E119">
        <v>100</v>
      </c>
      <c r="F119" s="28">
        <v>8752267.1181941926</v>
      </c>
      <c r="G119" s="3"/>
      <c r="H119" s="3"/>
    </row>
    <row r="120" spans="5:8" x14ac:dyDescent="0.55000000000000004">
      <c r="E120">
        <v>101</v>
      </c>
      <c r="F120" s="28">
        <v>26794020.211171571</v>
      </c>
      <c r="G120" s="3"/>
      <c r="H120" s="3"/>
    </row>
    <row r="121" spans="5:8" x14ac:dyDescent="0.55000000000000004">
      <c r="E121">
        <v>102</v>
      </c>
      <c r="F121" s="28">
        <v>27981577.937272698</v>
      </c>
      <c r="G121" s="3"/>
      <c r="H121" s="3"/>
    </row>
    <row r="122" spans="5:8" x14ac:dyDescent="0.55000000000000004">
      <c r="E122">
        <v>103</v>
      </c>
      <c r="F122" s="28">
        <v>67273677.057525977</v>
      </c>
      <c r="G122" s="3"/>
      <c r="H122" s="3"/>
    </row>
    <row r="123" spans="5:8" x14ac:dyDescent="0.55000000000000004">
      <c r="E123">
        <v>104</v>
      </c>
      <c r="F123" s="28">
        <v>33650330.05984237</v>
      </c>
      <c r="G123" s="3"/>
      <c r="H123" s="3"/>
    </row>
    <row r="124" spans="5:8" x14ac:dyDescent="0.55000000000000004">
      <c r="E124">
        <v>105</v>
      </c>
      <c r="F124" s="28">
        <v>4652861.1765899351</v>
      </c>
      <c r="G124" s="3"/>
      <c r="H124" s="3"/>
    </row>
    <row r="125" spans="5:8" x14ac:dyDescent="0.55000000000000004">
      <c r="E125">
        <v>106</v>
      </c>
      <c r="F125" s="28">
        <v>3789102.5573226493</v>
      </c>
      <c r="G125" s="3"/>
      <c r="H125" s="3"/>
    </row>
    <row r="126" spans="5:8" x14ac:dyDescent="0.55000000000000004">
      <c r="E126">
        <v>107</v>
      </c>
      <c r="F126" s="28">
        <v>-26447673.840698939</v>
      </c>
      <c r="G126" s="3"/>
      <c r="H126" s="3"/>
    </row>
    <row r="127" spans="5:8" x14ac:dyDescent="0.55000000000000004">
      <c r="E127">
        <v>108</v>
      </c>
      <c r="F127" s="28">
        <v>-13684265.268065194</v>
      </c>
      <c r="G127" s="3"/>
      <c r="H127" s="3"/>
    </row>
    <row r="128" spans="5:8" x14ac:dyDescent="0.55000000000000004">
      <c r="F128" s="3"/>
      <c r="G128" s="3"/>
      <c r="H128" s="3"/>
    </row>
    <row r="129" spans="6:8" x14ac:dyDescent="0.55000000000000004">
      <c r="F129" s="3"/>
      <c r="G129" s="3"/>
      <c r="H129" s="3"/>
    </row>
    <row r="130" spans="6:8" x14ac:dyDescent="0.55000000000000004">
      <c r="F130" s="3"/>
      <c r="G130" s="3"/>
      <c r="H130" s="3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7"/>
  <sheetViews>
    <sheetView workbookViewId="0">
      <selection activeCell="B7" sqref="B7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0.3125" customWidth="1"/>
    <col min="6" max="8" width="18.68359375" customWidth="1"/>
  </cols>
  <sheetData>
    <row r="1" spans="1:9" ht="18" customHeight="1" x14ac:dyDescent="0.55000000000000004">
      <c r="B1" s="27" t="str">
        <f>Mappings!B6</f>
        <v>New-improved</v>
      </c>
      <c r="C1" s="36" t="str">
        <f>Mappings!B7</f>
        <v>Local-only</v>
      </c>
      <c r="D1" s="36" t="str">
        <f>Mappings!B8</f>
        <v>Extant-improved</v>
      </c>
      <c r="F1" s="1" t="str">
        <f>MC_High_ambition!F1</f>
        <v>All dairy households</v>
      </c>
      <c r="G1" s="1"/>
      <c r="H1" s="1"/>
    </row>
    <row r="3" spans="1:9" x14ac:dyDescent="0.55000000000000004">
      <c r="A3" t="str">
        <f>MC_High_ambition!A3</f>
        <v>Income per cow (USD/yr)</v>
      </c>
      <c r="B3" s="28">
        <f>Mappings!N18</f>
        <v>880.62230423788765</v>
      </c>
      <c r="C3" s="28">
        <f>Mappings!N19</f>
        <v>181.77307777823148</v>
      </c>
      <c r="D3" s="28">
        <f>Mappings!N20</f>
        <v>985.97574143461293</v>
      </c>
      <c r="E3" s="28"/>
      <c r="F3" s="28"/>
      <c r="G3" s="28"/>
      <c r="H3" s="28"/>
      <c r="I3" s="28"/>
    </row>
    <row r="4" spans="1:9" x14ac:dyDescent="0.55000000000000004">
      <c r="A4" t="str">
        <f>MC_High_ambition!A4</f>
        <v>Random value income per cow (USD/yr)</v>
      </c>
      <c r="B4" s="28">
        <f ca="1">_xlfn.NORM.INV(RAND(),Mappings!N18,Mappings!O18)</f>
        <v>981.08038490948798</v>
      </c>
      <c r="C4" s="28">
        <f ca="1">_xlfn.NORM.INV(RAND(),Mappings!N19,Mappings!O19)</f>
        <v>163.55422872568167</v>
      </c>
      <c r="D4" s="28">
        <f ca="1">_xlfn.NORM.INV(RAND(),Mappings!N20,Mappings!O20)</f>
        <v>1260.2202836439506</v>
      </c>
      <c r="E4" s="28"/>
      <c r="F4" s="28"/>
      <c r="G4" s="28"/>
      <c r="H4" s="28"/>
      <c r="I4" s="28"/>
    </row>
    <row r="5" spans="1:9" x14ac:dyDescent="0.55000000000000004">
      <c r="A5" t="str">
        <f>MC_High_ambition!A5</f>
        <v>Cows per household (head)</v>
      </c>
      <c r="B5" s="28">
        <f>Mappings!F18*Mappings!I18</f>
        <v>1.2434645353304679</v>
      </c>
      <c r="C5" s="28">
        <f>Mappings!F19*Mappings!I19</f>
        <v>3.3928691985208741</v>
      </c>
      <c r="D5" s="28">
        <f>Mappings!F20*Mappings!I20</f>
        <v>2.2362652916509873</v>
      </c>
      <c r="E5" s="28"/>
      <c r="F5" s="28"/>
      <c r="G5" s="28"/>
      <c r="H5" s="28"/>
      <c r="I5" s="28"/>
    </row>
    <row r="6" spans="1:9" x14ac:dyDescent="0.55000000000000004">
      <c r="A6" t="str">
        <f>MC_High_ambition!A6</f>
        <v>Random value cows per household (head)</v>
      </c>
      <c r="B6" s="28">
        <f ca="1">_xlfn.NORM.INV(RAND(),B5,B5*Mappings!E4)</f>
        <v>1.3613318130430561</v>
      </c>
      <c r="C6" s="28">
        <f ca="1">_xlfn.NORM.INV(RAND(),C5,C5*Mappings!E3)</f>
        <v>0.7987453204684587</v>
      </c>
      <c r="D6" s="28">
        <f ca="1">_xlfn.NORM.INV(RAND(),D5,D5*Mappings!E4)</f>
        <v>1.9184910025527531</v>
      </c>
      <c r="E6" s="28"/>
      <c r="F6" s="28"/>
      <c r="G6" s="28"/>
      <c r="H6" s="28"/>
      <c r="I6" s="28"/>
    </row>
    <row r="7" spans="1:9" x14ac:dyDescent="0.55000000000000004">
      <c r="A7" t="str">
        <f>MC_Meagre!A7</f>
        <v>Reduction in non-dairy income through crop area change</v>
      </c>
      <c r="B7" s="16">
        <f>Mappings!Q18</f>
        <v>-77.096617505900852</v>
      </c>
      <c r="C7" s="16">
        <f>Mappings!Q19</f>
        <v>-887.69013451753096</v>
      </c>
      <c r="D7" s="16">
        <f>Mappings!Q20</f>
        <v>468.79381259097039</v>
      </c>
      <c r="E7" s="28"/>
      <c r="F7" s="28"/>
      <c r="G7" s="28"/>
      <c r="H7" s="28"/>
      <c r="I7" s="28"/>
    </row>
    <row r="8" spans="1:9" x14ac:dyDescent="0.55000000000000004">
      <c r="A8" t="str">
        <f>MC_Meagre!A8</f>
        <v>Random value reduction/increase in non-dairy income (USD/yr)</v>
      </c>
      <c r="B8" s="16">
        <f ca="1">IF(B7&gt;0,_xlfn.NORM.INV(RAND(),B7,B7*Dairy_Income_Roadmap!L36),_xlfn.NORM.INV(RAND(),ABS(B7),ABS(B7)*Dairy_Income_Roadmap!L36))</f>
        <v>52.368958154099559</v>
      </c>
      <c r="C8" s="16">
        <f ca="1">IF(C7&gt;0,_xlfn.NORM.INV(RAND(),C7,C7*Dairy_Income_Roadmap!L36),_xlfn.NORM.INV(RAND(),ABS(C7),ABS(C7)*Dairy_Income_Roadmap!L36))</f>
        <v>1.4949106740144771</v>
      </c>
      <c r="D8" s="16">
        <f ca="1">IF(D7&gt;0,_xlfn.NORM.INV(RAND(),D7,D7*Dairy_Income_Roadmap!L38),_xlfn.NORM.INV(RAND(),ABS(D7),ABS(D7)*Dairy_Income_Roadmap!L38))</f>
        <v>-455.70995082888777</v>
      </c>
      <c r="E8" s="28"/>
      <c r="F8" s="28"/>
      <c r="G8" s="28"/>
      <c r="H8" s="28"/>
      <c r="I8" s="28"/>
    </row>
    <row r="9" spans="1:9" x14ac:dyDescent="0.55000000000000004">
      <c r="A9" t="str">
        <f>MC_High_ambition!A9</f>
        <v>Quantity households</v>
      </c>
      <c r="B9" s="28">
        <f>Mappings!D18</f>
        <v>2865.4471813482746</v>
      </c>
      <c r="C9" s="28">
        <f>Mappings!D19</f>
        <v>13508.536712070436</v>
      </c>
      <c r="D9" s="28">
        <f>Mappings!D20</f>
        <v>11688.199263308798</v>
      </c>
      <c r="E9" s="28"/>
      <c r="F9" s="28"/>
      <c r="G9" s="28"/>
      <c r="H9" s="28"/>
      <c r="I9" s="28"/>
    </row>
    <row r="10" spans="1:9" x14ac:dyDescent="0.55000000000000004">
      <c r="A10" t="str">
        <f>MC_High_ambition!A10</f>
        <v>SE quantity households</v>
      </c>
      <c r="B10" s="28">
        <f>Mappings!V18*Mappings!D18</f>
        <v>83.675729166443261</v>
      </c>
      <c r="C10" s="28">
        <f>Mappings!V19*Mappings!D19</f>
        <v>394.47129464180392</v>
      </c>
      <c r="D10" s="28">
        <f>Mappings!V20*Mappings!D20</f>
        <v>341.31447348468066</v>
      </c>
      <c r="E10" s="28"/>
      <c r="F10" s="28"/>
      <c r="G10" s="28"/>
      <c r="H10" s="28"/>
      <c r="I10" s="28"/>
    </row>
    <row r="11" spans="1:9" x14ac:dyDescent="0.55000000000000004">
      <c r="B11" s="28"/>
      <c r="C11" s="28"/>
      <c r="D11" s="28"/>
      <c r="E11" s="28"/>
      <c r="F11" s="28"/>
      <c r="G11" s="28"/>
      <c r="H11" s="28"/>
      <c r="I11" s="28"/>
    </row>
    <row r="12" spans="1:9" x14ac:dyDescent="0.55000000000000004">
      <c r="A12" t="str">
        <f>MC_High_ambition!A12</f>
        <v>Dairy Income (USD/household/year)</v>
      </c>
      <c r="B12" s="28">
        <f ca="1">B4*B6</f>
        <v>1335.5759391298125</v>
      </c>
      <c r="C12" s="28">
        <f ca="1">C4*C6</f>
        <v>130.63817483746621</v>
      </c>
      <c r="D12" s="28">
        <f ca="1">D4*D6</f>
        <v>2417.7212754053976</v>
      </c>
      <c r="E12" s="28"/>
      <c r="F12" s="28"/>
      <c r="G12" s="28"/>
      <c r="H12" s="28"/>
      <c r="I12" s="28"/>
    </row>
    <row r="13" spans="1:9" x14ac:dyDescent="0.55000000000000004">
      <c r="A13" t="str">
        <f>MC_High_ambition!A13</f>
        <v>Non dairy income (USD/household/year)</v>
      </c>
      <c r="B13" s="28">
        <f ca="1">-IF(B7&gt;0,B8,(-1)*B8)</f>
        <v>52.368958154099559</v>
      </c>
      <c r="C13" s="28">
        <f ca="1">-IF(C7&gt;0,C8,(-1)*C8)</f>
        <v>1.4949106740144771</v>
      </c>
      <c r="D13" s="28">
        <f ca="1">-IF(D7&gt;0,D8,(-1)*D8)</f>
        <v>455.70995082888777</v>
      </c>
      <c r="E13" s="28"/>
      <c r="F13" s="28"/>
      <c r="G13" s="28"/>
      <c r="H13" s="28"/>
      <c r="I13" s="28"/>
    </row>
    <row r="14" spans="1:9" x14ac:dyDescent="0.55000000000000004">
      <c r="A14" t="str">
        <f>MC_High_ambition!A14</f>
        <v>Quantity households</v>
      </c>
      <c r="B14" s="28">
        <f ca="1">_xlfn.NORM.INV(RAND(),B9,B10)</f>
        <v>2929.8898923954303</v>
      </c>
      <c r="C14" s="28">
        <f ca="1">_xlfn.NORM.INV(RAND(),C9,C10)</f>
        <v>13798.992363640296</v>
      </c>
      <c r="D14" s="28">
        <f ca="1">_xlfn.NORM.INV(RAND(),D9,D10)</f>
        <v>11727.547035592683</v>
      </c>
      <c r="E14" s="28"/>
      <c r="F14" s="28"/>
      <c r="G14" s="28"/>
      <c r="H14" s="28"/>
      <c r="I14" s="28"/>
    </row>
    <row r="15" spans="1:9" x14ac:dyDescent="0.55000000000000004">
      <c r="B15" s="28"/>
      <c r="C15" s="28"/>
      <c r="D15" s="28"/>
      <c r="E15" s="28"/>
      <c r="F15" s="28"/>
      <c r="G15" s="28"/>
      <c r="H15" s="28"/>
      <c r="I15" s="28"/>
    </row>
    <row r="16" spans="1:9" x14ac:dyDescent="0.55000000000000004">
      <c r="A16" t="str">
        <f>MC_High_ambition!A16</f>
        <v>Estimated population income (USD/yr)</v>
      </c>
      <c r="B16" s="34">
        <f ca="1">(B12+B13)*B14</f>
        <v>4066525.7257539476</v>
      </c>
      <c r="C16" s="34">
        <f ca="1">(C12+C13)*C14</f>
        <v>1823303.4379571523</v>
      </c>
      <c r="D16" s="34">
        <f ca="1">(D12+D13)*D14</f>
        <v>33698299.859203346</v>
      </c>
      <c r="E16" s="28"/>
      <c r="F16" s="28">
        <f ca="1">B16+C16+D16</f>
        <v>39588129.022914447</v>
      </c>
      <c r="G16" s="28"/>
      <c r="H16" s="28"/>
      <c r="I16" s="28"/>
    </row>
    <row r="17" spans="1:9" x14ac:dyDescent="0.55000000000000004">
      <c r="A17" t="str">
        <f>MC_High_ambition!A17</f>
        <v>SE population income (USD/yr)</v>
      </c>
      <c r="B17" s="28" t="s">
        <v>49</v>
      </c>
      <c r="C17" s="28" t="s">
        <v>49</v>
      </c>
      <c r="D17" s="28" t="s">
        <v>49</v>
      </c>
      <c r="E17" s="28"/>
      <c r="F17" s="28">
        <f ca="1">STDEV(F20:F127)</f>
        <v>29826550.962855801</v>
      </c>
      <c r="G17" s="28"/>
      <c r="H17" s="1" t="s">
        <v>52</v>
      </c>
      <c r="I17" s="28"/>
    </row>
    <row r="18" spans="1:9" x14ac:dyDescent="0.55000000000000004">
      <c r="A18" t="str">
        <f>MC_High_ambition!A18</f>
        <v>Mean population income (USD/yr)</v>
      </c>
      <c r="B18" s="28" t="s">
        <v>49</v>
      </c>
      <c r="C18" s="28" t="s">
        <v>49</v>
      </c>
      <c r="D18" s="28" t="s">
        <v>49</v>
      </c>
      <c r="E18" s="28"/>
      <c r="F18" s="28">
        <f ca="1">AVERAGE(F20:F127)</f>
        <v>44271765.652058944</v>
      </c>
      <c r="G18" s="28"/>
      <c r="H18" s="28"/>
      <c r="I18" s="37">
        <f ca="1">100*F17/F18</f>
        <v>67.371496310467705</v>
      </c>
    </row>
    <row r="19" spans="1:9" x14ac:dyDescent="0.55000000000000004">
      <c r="F19" s="3"/>
      <c r="G19" s="3"/>
      <c r="H19" s="3"/>
    </row>
    <row r="20" spans="1:9" x14ac:dyDescent="0.55000000000000004">
      <c r="B20" s="3"/>
      <c r="E20">
        <v>1</v>
      </c>
      <c r="F20" s="29">
        <f ca="1">F16</f>
        <v>39588129.022914447</v>
      </c>
      <c r="G20" s="3"/>
      <c r="H20" s="3"/>
    </row>
    <row r="21" spans="1:9" x14ac:dyDescent="0.55000000000000004">
      <c r="E21">
        <v>2</v>
      </c>
      <c r="F21" s="29">
        <f t="dataTable" ref="F21:F127" dt2D="0" dtr="0" r1="F19" ca="1"/>
        <v>99399868.424297363</v>
      </c>
      <c r="G21" s="3"/>
      <c r="H21" s="3"/>
    </row>
    <row r="22" spans="1:9" x14ac:dyDescent="0.55000000000000004">
      <c r="E22">
        <v>3</v>
      </c>
      <c r="F22" s="29">
        <v>83420545.671064585</v>
      </c>
      <c r="G22" s="3"/>
      <c r="H22" s="3"/>
    </row>
    <row r="23" spans="1:9" x14ac:dyDescent="0.55000000000000004">
      <c r="E23">
        <v>4</v>
      </c>
      <c r="F23" s="29">
        <v>-31778172.520173684</v>
      </c>
      <c r="G23" s="3"/>
      <c r="H23" s="3"/>
    </row>
    <row r="24" spans="1:9" x14ac:dyDescent="0.55000000000000004">
      <c r="E24">
        <v>5</v>
      </c>
      <c r="F24" s="29">
        <v>28867065.118128024</v>
      </c>
      <c r="G24" s="3"/>
      <c r="H24" s="3"/>
    </row>
    <row r="25" spans="1:9" x14ac:dyDescent="0.55000000000000004">
      <c r="E25">
        <v>6</v>
      </c>
      <c r="F25" s="29">
        <v>73736322.25826399</v>
      </c>
      <c r="G25" s="3"/>
      <c r="H25" s="3"/>
    </row>
    <row r="26" spans="1:9" x14ac:dyDescent="0.55000000000000004">
      <c r="E26">
        <v>7</v>
      </c>
      <c r="F26" s="29">
        <v>45656725.331497714</v>
      </c>
      <c r="G26" s="3"/>
      <c r="H26" s="3"/>
    </row>
    <row r="27" spans="1:9" x14ac:dyDescent="0.55000000000000004">
      <c r="E27">
        <v>8</v>
      </c>
      <c r="F27" s="29">
        <v>28143956.830098022</v>
      </c>
      <c r="G27" s="3"/>
      <c r="H27" s="3"/>
    </row>
    <row r="28" spans="1:9" x14ac:dyDescent="0.55000000000000004">
      <c r="E28">
        <v>9</v>
      </c>
      <c r="F28" s="29">
        <v>100416662.90229394</v>
      </c>
      <c r="G28" s="3"/>
      <c r="H28" s="3"/>
    </row>
    <row r="29" spans="1:9" x14ac:dyDescent="0.55000000000000004">
      <c r="E29">
        <v>10</v>
      </c>
      <c r="F29" s="29">
        <v>25876762.835804038</v>
      </c>
      <c r="G29" s="3"/>
      <c r="H29" s="3"/>
    </row>
    <row r="30" spans="1:9" x14ac:dyDescent="0.55000000000000004">
      <c r="E30">
        <v>11</v>
      </c>
      <c r="F30" s="29">
        <v>65110213.316400319</v>
      </c>
      <c r="G30" s="3"/>
      <c r="H30" s="3"/>
    </row>
    <row r="31" spans="1:9" x14ac:dyDescent="0.55000000000000004">
      <c r="E31">
        <v>12</v>
      </c>
      <c r="F31" s="29">
        <v>30406963.67141749</v>
      </c>
      <c r="G31" s="3"/>
      <c r="H31" s="3"/>
    </row>
    <row r="32" spans="1:9" x14ac:dyDescent="0.55000000000000004">
      <c r="E32">
        <v>13</v>
      </c>
      <c r="F32" s="29">
        <v>10774319.343780661</v>
      </c>
      <c r="G32" s="3"/>
      <c r="H32" s="3"/>
    </row>
    <row r="33" spans="5:8" x14ac:dyDescent="0.55000000000000004">
      <c r="E33">
        <v>14</v>
      </c>
      <c r="F33" s="29">
        <v>19564366.861138061</v>
      </c>
      <c r="G33" s="3"/>
      <c r="H33" s="3"/>
    </row>
    <row r="34" spans="5:8" x14ac:dyDescent="0.55000000000000004">
      <c r="E34">
        <v>15</v>
      </c>
      <c r="F34" s="29">
        <v>20954261.348908849</v>
      </c>
      <c r="G34" s="3"/>
      <c r="H34" s="3"/>
    </row>
    <row r="35" spans="5:8" x14ac:dyDescent="0.55000000000000004">
      <c r="E35">
        <v>16</v>
      </c>
      <c r="F35" s="29">
        <v>-438828.86842580233</v>
      </c>
      <c r="G35" s="3"/>
      <c r="H35" s="3"/>
    </row>
    <row r="36" spans="5:8" x14ac:dyDescent="0.55000000000000004">
      <c r="E36">
        <v>17</v>
      </c>
      <c r="F36" s="29">
        <v>5054668.51411644</v>
      </c>
      <c r="G36" s="3"/>
      <c r="H36" s="3"/>
    </row>
    <row r="37" spans="5:8" x14ac:dyDescent="0.55000000000000004">
      <c r="E37">
        <v>18</v>
      </c>
      <c r="F37" s="29">
        <v>74456426.698551595</v>
      </c>
      <c r="G37" s="3"/>
      <c r="H37" s="3"/>
    </row>
    <row r="38" spans="5:8" x14ac:dyDescent="0.55000000000000004">
      <c r="E38">
        <v>19</v>
      </c>
      <c r="F38" s="29">
        <v>69672472.523745224</v>
      </c>
      <c r="G38" s="3"/>
      <c r="H38" s="3"/>
    </row>
    <row r="39" spans="5:8" x14ac:dyDescent="0.55000000000000004">
      <c r="E39">
        <v>20</v>
      </c>
      <c r="F39" s="29">
        <v>75434667.956377462</v>
      </c>
      <c r="G39" s="3"/>
      <c r="H39" s="3"/>
    </row>
    <row r="40" spans="5:8" x14ac:dyDescent="0.55000000000000004">
      <c r="E40">
        <v>21</v>
      </c>
      <c r="F40" s="29">
        <v>21857861.389915545</v>
      </c>
      <c r="G40" s="3"/>
      <c r="H40" s="3"/>
    </row>
    <row r="41" spans="5:8" x14ac:dyDescent="0.55000000000000004">
      <c r="E41">
        <v>22</v>
      </c>
      <c r="F41" s="29">
        <v>56426305.810998216</v>
      </c>
      <c r="G41" s="3"/>
      <c r="H41" s="3"/>
    </row>
    <row r="42" spans="5:8" x14ac:dyDescent="0.55000000000000004">
      <c r="E42">
        <v>23</v>
      </c>
      <c r="F42" s="29">
        <v>57672126.195428766</v>
      </c>
      <c r="G42" s="3"/>
      <c r="H42" s="3"/>
    </row>
    <row r="43" spans="5:8" x14ac:dyDescent="0.55000000000000004">
      <c r="E43">
        <v>24</v>
      </c>
      <c r="F43" s="29">
        <v>20042929.562559314</v>
      </c>
      <c r="G43" s="3"/>
      <c r="H43" s="3"/>
    </row>
    <row r="44" spans="5:8" x14ac:dyDescent="0.55000000000000004">
      <c r="E44">
        <v>25</v>
      </c>
      <c r="F44" s="29">
        <v>56682198.415864497</v>
      </c>
      <c r="G44" s="3"/>
      <c r="H44" s="3"/>
    </row>
    <row r="45" spans="5:8" x14ac:dyDescent="0.55000000000000004">
      <c r="E45">
        <v>26</v>
      </c>
      <c r="F45" s="29">
        <v>64105178.058813646</v>
      </c>
      <c r="G45" s="3"/>
      <c r="H45" s="3"/>
    </row>
    <row r="46" spans="5:8" x14ac:dyDescent="0.55000000000000004">
      <c r="E46">
        <v>27</v>
      </c>
      <c r="F46" s="29">
        <v>75287687.385604426</v>
      </c>
      <c r="G46" s="3"/>
      <c r="H46" s="3"/>
    </row>
    <row r="47" spans="5:8" x14ac:dyDescent="0.55000000000000004">
      <c r="E47">
        <v>28</v>
      </c>
      <c r="F47" s="29">
        <v>24747628.460821815</v>
      </c>
      <c r="G47" s="3"/>
      <c r="H47" s="3"/>
    </row>
    <row r="48" spans="5:8" x14ac:dyDescent="0.55000000000000004">
      <c r="E48">
        <v>29</v>
      </c>
      <c r="F48" s="29">
        <v>745601.65136204241</v>
      </c>
      <c r="G48" s="3"/>
      <c r="H48" s="3"/>
    </row>
    <row r="49" spans="5:8" x14ac:dyDescent="0.55000000000000004">
      <c r="E49">
        <v>30</v>
      </c>
      <c r="F49" s="29">
        <v>44799946.323026039</v>
      </c>
      <c r="G49" s="3"/>
      <c r="H49" s="3"/>
    </row>
    <row r="50" spans="5:8" x14ac:dyDescent="0.55000000000000004">
      <c r="E50">
        <v>31</v>
      </c>
      <c r="F50" s="29">
        <v>8403614.9361307714</v>
      </c>
      <c r="G50" s="3"/>
      <c r="H50" s="3"/>
    </row>
    <row r="51" spans="5:8" x14ac:dyDescent="0.55000000000000004">
      <c r="E51">
        <v>32</v>
      </c>
      <c r="F51" s="29">
        <v>95621709.731396675</v>
      </c>
      <c r="G51" s="3"/>
      <c r="H51" s="3"/>
    </row>
    <row r="52" spans="5:8" x14ac:dyDescent="0.55000000000000004">
      <c r="E52">
        <v>33</v>
      </c>
      <c r="F52" s="29">
        <v>47016486.061536118</v>
      </c>
      <c r="G52" s="3"/>
      <c r="H52" s="3"/>
    </row>
    <row r="53" spans="5:8" x14ac:dyDescent="0.55000000000000004">
      <c r="E53">
        <v>34</v>
      </c>
      <c r="F53" s="29">
        <v>72228010.56211938</v>
      </c>
      <c r="G53" s="3"/>
      <c r="H53" s="3"/>
    </row>
    <row r="54" spans="5:8" x14ac:dyDescent="0.55000000000000004">
      <c r="E54">
        <v>35</v>
      </c>
      <c r="F54" s="29">
        <v>15964297.973381825</v>
      </c>
      <c r="G54" s="3"/>
      <c r="H54" s="3"/>
    </row>
    <row r="55" spans="5:8" x14ac:dyDescent="0.55000000000000004">
      <c r="E55">
        <v>36</v>
      </c>
      <c r="F55" s="29">
        <v>16021881.63670622</v>
      </c>
      <c r="G55" s="3"/>
      <c r="H55" s="3"/>
    </row>
    <row r="56" spans="5:8" x14ac:dyDescent="0.55000000000000004">
      <c r="E56">
        <v>37</v>
      </c>
      <c r="F56" s="29">
        <v>55407409.192525215</v>
      </c>
      <c r="G56" s="3"/>
      <c r="H56" s="3"/>
    </row>
    <row r="57" spans="5:8" x14ac:dyDescent="0.55000000000000004">
      <c r="E57">
        <v>38</v>
      </c>
      <c r="F57" s="29">
        <v>43559115.492080346</v>
      </c>
      <c r="G57" s="3"/>
      <c r="H57" s="3"/>
    </row>
    <row r="58" spans="5:8" x14ac:dyDescent="0.55000000000000004">
      <c r="E58">
        <v>39</v>
      </c>
      <c r="F58" s="29">
        <v>23951494.279102523</v>
      </c>
      <c r="G58" s="3"/>
      <c r="H58" s="3"/>
    </row>
    <row r="59" spans="5:8" x14ac:dyDescent="0.55000000000000004">
      <c r="E59">
        <v>40</v>
      </c>
      <c r="F59" s="29">
        <v>88896880.99478671</v>
      </c>
      <c r="G59" s="3"/>
      <c r="H59" s="3"/>
    </row>
    <row r="60" spans="5:8" x14ac:dyDescent="0.55000000000000004">
      <c r="E60">
        <v>41</v>
      </c>
      <c r="F60" s="29">
        <v>62045753.784991011</v>
      </c>
      <c r="G60" s="3"/>
      <c r="H60" s="3"/>
    </row>
    <row r="61" spans="5:8" x14ac:dyDescent="0.55000000000000004">
      <c r="E61">
        <v>42</v>
      </c>
      <c r="F61" s="29">
        <v>32787175.324672587</v>
      </c>
      <c r="G61" s="3"/>
      <c r="H61" s="3"/>
    </row>
    <row r="62" spans="5:8" x14ac:dyDescent="0.55000000000000004">
      <c r="E62">
        <v>43</v>
      </c>
      <c r="F62" s="29">
        <v>79836833.714706719</v>
      </c>
      <c r="G62" s="3"/>
      <c r="H62" s="3"/>
    </row>
    <row r="63" spans="5:8" x14ac:dyDescent="0.55000000000000004">
      <c r="E63">
        <v>44</v>
      </c>
      <c r="F63" s="29">
        <v>49102507.564285651</v>
      </c>
      <c r="G63" s="3"/>
      <c r="H63" s="3"/>
    </row>
    <row r="64" spans="5:8" x14ac:dyDescent="0.55000000000000004">
      <c r="E64">
        <v>45</v>
      </c>
      <c r="F64" s="29">
        <v>33242133.189984899</v>
      </c>
      <c r="G64" s="3"/>
      <c r="H64" s="3"/>
    </row>
    <row r="65" spans="5:8" x14ac:dyDescent="0.55000000000000004">
      <c r="E65">
        <v>46</v>
      </c>
      <c r="F65" s="29">
        <v>45552395.982153177</v>
      </c>
      <c r="G65" s="3"/>
      <c r="H65" s="3"/>
    </row>
    <row r="66" spans="5:8" x14ac:dyDescent="0.55000000000000004">
      <c r="E66">
        <v>47</v>
      </c>
      <c r="F66" s="29">
        <v>87289655.582364753</v>
      </c>
      <c r="G66" s="3"/>
      <c r="H66" s="3"/>
    </row>
    <row r="67" spans="5:8" x14ac:dyDescent="0.55000000000000004">
      <c r="E67">
        <v>48</v>
      </c>
      <c r="F67" s="29">
        <v>74670599.406294033</v>
      </c>
      <c r="G67" s="3"/>
      <c r="H67" s="3"/>
    </row>
    <row r="68" spans="5:8" x14ac:dyDescent="0.55000000000000004">
      <c r="E68">
        <v>49</v>
      </c>
      <c r="F68" s="29">
        <v>85239815.675543606</v>
      </c>
      <c r="G68" s="3"/>
      <c r="H68" s="3"/>
    </row>
    <row r="69" spans="5:8" x14ac:dyDescent="0.55000000000000004">
      <c r="E69">
        <v>50</v>
      </c>
      <c r="F69" s="29">
        <v>33092127.327194177</v>
      </c>
      <c r="G69" s="3"/>
      <c r="H69" s="3"/>
    </row>
    <row r="70" spans="5:8" x14ac:dyDescent="0.55000000000000004">
      <c r="E70">
        <v>51</v>
      </c>
      <c r="F70" s="29">
        <v>46935772.417374671</v>
      </c>
      <c r="G70" s="3"/>
      <c r="H70" s="3"/>
    </row>
    <row r="71" spans="5:8" x14ac:dyDescent="0.55000000000000004">
      <c r="E71">
        <v>52</v>
      </c>
      <c r="F71" s="29">
        <v>80756572.493565351</v>
      </c>
      <c r="G71" s="3"/>
      <c r="H71" s="3"/>
    </row>
    <row r="72" spans="5:8" x14ac:dyDescent="0.55000000000000004">
      <c r="E72">
        <v>53</v>
      </c>
      <c r="F72" s="29">
        <v>21140773.546763346</v>
      </c>
      <c r="G72" s="3"/>
      <c r="H72" s="3"/>
    </row>
    <row r="73" spans="5:8" x14ac:dyDescent="0.55000000000000004">
      <c r="E73">
        <v>54</v>
      </c>
      <c r="F73" s="29">
        <v>54310272.773787394</v>
      </c>
      <c r="G73" s="3"/>
      <c r="H73" s="3"/>
    </row>
    <row r="74" spans="5:8" x14ac:dyDescent="0.55000000000000004">
      <c r="E74">
        <v>55</v>
      </c>
      <c r="F74" s="29">
        <v>15847244.81751873</v>
      </c>
      <c r="G74" s="3"/>
      <c r="H74" s="3"/>
    </row>
    <row r="75" spans="5:8" x14ac:dyDescent="0.55000000000000004">
      <c r="E75">
        <v>56</v>
      </c>
      <c r="F75" s="29">
        <v>34795419.313690603</v>
      </c>
      <c r="G75" s="3"/>
      <c r="H75" s="3"/>
    </row>
    <row r="76" spans="5:8" x14ac:dyDescent="0.55000000000000004">
      <c r="E76">
        <v>57</v>
      </c>
      <c r="F76" s="29">
        <v>34570406.772559769</v>
      </c>
      <c r="G76" s="3"/>
      <c r="H76" s="3"/>
    </row>
    <row r="77" spans="5:8" x14ac:dyDescent="0.55000000000000004">
      <c r="E77">
        <v>58</v>
      </c>
      <c r="F77" s="29">
        <v>39929914.887431376</v>
      </c>
      <c r="G77" s="3"/>
      <c r="H77" s="3"/>
    </row>
    <row r="78" spans="5:8" x14ac:dyDescent="0.55000000000000004">
      <c r="E78">
        <v>59</v>
      </c>
      <c r="F78" s="29">
        <v>60345192.783118978</v>
      </c>
      <c r="G78" s="3"/>
      <c r="H78" s="3"/>
    </row>
    <row r="79" spans="5:8" x14ac:dyDescent="0.55000000000000004">
      <c r="E79">
        <v>60</v>
      </c>
      <c r="F79" s="29">
        <v>69163568.204476282</v>
      </c>
      <c r="G79" s="3"/>
      <c r="H79" s="3"/>
    </row>
    <row r="80" spans="5:8" x14ac:dyDescent="0.55000000000000004">
      <c r="E80">
        <v>61</v>
      </c>
      <c r="F80" s="29">
        <v>9214382.2507273071</v>
      </c>
      <c r="G80" s="3"/>
      <c r="H80" s="3"/>
    </row>
    <row r="81" spans="5:8" x14ac:dyDescent="0.55000000000000004">
      <c r="E81">
        <v>62</v>
      </c>
      <c r="F81" s="29">
        <v>39154395.142494127</v>
      </c>
      <c r="G81" s="3"/>
      <c r="H81" s="3"/>
    </row>
    <row r="82" spans="5:8" x14ac:dyDescent="0.55000000000000004">
      <c r="E82">
        <v>63</v>
      </c>
      <c r="F82" s="29">
        <v>12600938.052408425</v>
      </c>
      <c r="G82" s="3"/>
      <c r="H82" s="3"/>
    </row>
    <row r="83" spans="5:8" x14ac:dyDescent="0.55000000000000004">
      <c r="E83">
        <v>64</v>
      </c>
      <c r="F83" s="29">
        <v>31862369.92215139</v>
      </c>
      <c r="G83" s="3"/>
      <c r="H83" s="3"/>
    </row>
    <row r="84" spans="5:8" x14ac:dyDescent="0.55000000000000004">
      <c r="E84">
        <v>65</v>
      </c>
      <c r="F84" s="29">
        <v>90025877.664296538</v>
      </c>
      <c r="G84" s="3"/>
      <c r="H84" s="3"/>
    </row>
    <row r="85" spans="5:8" x14ac:dyDescent="0.55000000000000004">
      <c r="E85">
        <v>66</v>
      </c>
      <c r="F85" s="29">
        <v>58755871.804624677</v>
      </c>
      <c r="G85" s="3"/>
      <c r="H85" s="3"/>
    </row>
    <row r="86" spans="5:8" x14ac:dyDescent="0.55000000000000004">
      <c r="E86">
        <v>67</v>
      </c>
      <c r="F86" s="29">
        <v>13694244.794959661</v>
      </c>
      <c r="G86" s="3"/>
      <c r="H86" s="3"/>
    </row>
    <row r="87" spans="5:8" x14ac:dyDescent="0.55000000000000004">
      <c r="E87">
        <v>68</v>
      </c>
      <c r="F87" s="29">
        <v>37815271.002508894</v>
      </c>
      <c r="G87" s="3"/>
      <c r="H87" s="3"/>
    </row>
    <row r="88" spans="5:8" x14ac:dyDescent="0.55000000000000004">
      <c r="E88">
        <v>69</v>
      </c>
      <c r="F88" s="29">
        <v>86953884.569878861</v>
      </c>
      <c r="G88" s="3"/>
      <c r="H88" s="3"/>
    </row>
    <row r="89" spans="5:8" x14ac:dyDescent="0.55000000000000004">
      <c r="E89">
        <v>70</v>
      </c>
      <c r="F89" s="29">
        <v>18867421.284651347</v>
      </c>
      <c r="G89" s="3"/>
      <c r="H89" s="3"/>
    </row>
    <row r="90" spans="5:8" x14ac:dyDescent="0.55000000000000004">
      <c r="E90">
        <v>71</v>
      </c>
      <c r="F90" s="29">
        <v>34605003.258165091</v>
      </c>
      <c r="G90" s="3"/>
      <c r="H90" s="3"/>
    </row>
    <row r="91" spans="5:8" x14ac:dyDescent="0.55000000000000004">
      <c r="E91">
        <v>72</v>
      </c>
      <c r="F91" s="29">
        <v>34867102.895747706</v>
      </c>
      <c r="G91" s="3"/>
      <c r="H91" s="3"/>
    </row>
    <row r="92" spans="5:8" x14ac:dyDescent="0.55000000000000004">
      <c r="E92">
        <v>73</v>
      </c>
      <c r="F92" s="29">
        <v>18063728.54922957</v>
      </c>
      <c r="G92" s="3"/>
      <c r="H92" s="3"/>
    </row>
    <row r="93" spans="5:8" x14ac:dyDescent="0.55000000000000004">
      <c r="E93">
        <v>74</v>
      </c>
      <c r="F93" s="29">
        <v>65259768.542778358</v>
      </c>
      <c r="G93" s="3"/>
      <c r="H93" s="3"/>
    </row>
    <row r="94" spans="5:8" x14ac:dyDescent="0.55000000000000004">
      <c r="E94">
        <v>75</v>
      </c>
      <c r="F94" s="29">
        <v>-24866659.407313339</v>
      </c>
      <c r="G94" s="3"/>
      <c r="H94" s="3"/>
    </row>
    <row r="95" spans="5:8" x14ac:dyDescent="0.55000000000000004">
      <c r="E95">
        <v>76</v>
      </c>
      <c r="F95" s="29">
        <v>7603069.0511870645</v>
      </c>
      <c r="G95" s="3"/>
      <c r="H95" s="3"/>
    </row>
    <row r="96" spans="5:8" x14ac:dyDescent="0.55000000000000004">
      <c r="E96">
        <v>77</v>
      </c>
      <c r="F96" s="29">
        <v>6283458.1771457279</v>
      </c>
      <c r="G96" s="3"/>
      <c r="H96" s="3"/>
    </row>
    <row r="97" spans="5:8" x14ac:dyDescent="0.55000000000000004">
      <c r="E97">
        <v>78</v>
      </c>
      <c r="F97" s="29">
        <v>-25076825.006955892</v>
      </c>
      <c r="G97" s="3"/>
      <c r="H97" s="3"/>
    </row>
    <row r="98" spans="5:8" x14ac:dyDescent="0.55000000000000004">
      <c r="E98">
        <v>79</v>
      </c>
      <c r="F98" s="29">
        <v>38554144.465973996</v>
      </c>
      <c r="G98" s="3"/>
      <c r="H98" s="3"/>
    </row>
    <row r="99" spans="5:8" x14ac:dyDescent="0.55000000000000004">
      <c r="E99">
        <v>80</v>
      </c>
      <c r="F99" s="29">
        <v>94338430.013341457</v>
      </c>
      <c r="G99" s="3"/>
      <c r="H99" s="3"/>
    </row>
    <row r="100" spans="5:8" x14ac:dyDescent="0.55000000000000004">
      <c r="E100">
        <v>81</v>
      </c>
      <c r="F100" s="29">
        <v>66417852.280556843</v>
      </c>
      <c r="G100" s="3"/>
      <c r="H100" s="3"/>
    </row>
    <row r="101" spans="5:8" x14ac:dyDescent="0.55000000000000004">
      <c r="E101">
        <v>82</v>
      </c>
      <c r="F101" s="29">
        <v>65847352.297767475</v>
      </c>
      <c r="G101" s="3"/>
      <c r="H101" s="3"/>
    </row>
    <row r="102" spans="5:8" x14ac:dyDescent="0.55000000000000004">
      <c r="E102">
        <v>83</v>
      </c>
      <c r="F102" s="29">
        <v>-8182561.9599469677</v>
      </c>
      <c r="G102" s="3"/>
      <c r="H102" s="3"/>
    </row>
    <row r="103" spans="5:8" x14ac:dyDescent="0.55000000000000004">
      <c r="E103">
        <v>84</v>
      </c>
      <c r="F103" s="29">
        <v>44521165.579936557</v>
      </c>
      <c r="G103" s="3"/>
      <c r="H103" s="3"/>
    </row>
    <row r="104" spans="5:8" x14ac:dyDescent="0.55000000000000004">
      <c r="E104">
        <v>85</v>
      </c>
      <c r="F104" s="29">
        <v>80381860.249267459</v>
      </c>
      <c r="G104" s="3"/>
      <c r="H104" s="3"/>
    </row>
    <row r="105" spans="5:8" x14ac:dyDescent="0.55000000000000004">
      <c r="E105">
        <v>86</v>
      </c>
      <c r="F105" s="29">
        <v>58104505.690433234</v>
      </c>
      <c r="G105" s="3"/>
      <c r="H105" s="3"/>
    </row>
    <row r="106" spans="5:8" x14ac:dyDescent="0.55000000000000004">
      <c r="E106">
        <v>87</v>
      </c>
      <c r="F106" s="29">
        <v>70563158.905910671</v>
      </c>
      <c r="G106" s="3"/>
      <c r="H106" s="3"/>
    </row>
    <row r="107" spans="5:8" x14ac:dyDescent="0.55000000000000004">
      <c r="E107">
        <v>88</v>
      </c>
      <c r="F107" s="29">
        <v>63539879.98723343</v>
      </c>
      <c r="G107" s="3"/>
      <c r="H107" s="3"/>
    </row>
    <row r="108" spans="5:8" x14ac:dyDescent="0.55000000000000004">
      <c r="E108">
        <v>89</v>
      </c>
      <c r="F108" s="29">
        <v>14148808.462537635</v>
      </c>
      <c r="G108" s="3"/>
      <c r="H108" s="3"/>
    </row>
    <row r="109" spans="5:8" x14ac:dyDescent="0.55000000000000004">
      <c r="E109">
        <v>90</v>
      </c>
      <c r="F109" s="29">
        <v>53945321.345215932</v>
      </c>
      <c r="G109" s="3"/>
      <c r="H109" s="3"/>
    </row>
    <row r="110" spans="5:8" x14ac:dyDescent="0.55000000000000004">
      <c r="E110">
        <v>91</v>
      </c>
      <c r="F110" s="29">
        <v>52813332.393846557</v>
      </c>
      <c r="G110" s="3"/>
      <c r="H110" s="3"/>
    </row>
    <row r="111" spans="5:8" x14ac:dyDescent="0.55000000000000004">
      <c r="E111">
        <v>92</v>
      </c>
      <c r="F111" s="29">
        <v>25625663.593884293</v>
      </c>
      <c r="G111" s="3"/>
      <c r="H111" s="3"/>
    </row>
    <row r="112" spans="5:8" x14ac:dyDescent="0.55000000000000004">
      <c r="E112">
        <v>93</v>
      </c>
      <c r="F112" s="29">
        <v>-5653525.9054589327</v>
      </c>
      <c r="G112" s="3"/>
      <c r="H112" s="3"/>
    </row>
    <row r="113" spans="5:8" x14ac:dyDescent="0.55000000000000004">
      <c r="E113">
        <v>94</v>
      </c>
      <c r="F113" s="29">
        <v>44627263.253001839</v>
      </c>
      <c r="G113" s="3"/>
      <c r="H113" s="3"/>
    </row>
    <row r="114" spans="5:8" x14ac:dyDescent="0.55000000000000004">
      <c r="E114">
        <v>95</v>
      </c>
      <c r="F114" s="29">
        <v>10851902.787439615</v>
      </c>
      <c r="G114" s="3"/>
      <c r="H114" s="3"/>
    </row>
    <row r="115" spans="5:8" x14ac:dyDescent="0.55000000000000004">
      <c r="E115">
        <v>96</v>
      </c>
      <c r="F115" s="29">
        <v>34713826.225408703</v>
      </c>
      <c r="G115" s="3"/>
      <c r="H115" s="3"/>
    </row>
    <row r="116" spans="5:8" x14ac:dyDescent="0.55000000000000004">
      <c r="E116">
        <v>97</v>
      </c>
      <c r="F116" s="29">
        <v>116315842.86233741</v>
      </c>
      <c r="G116" s="3"/>
      <c r="H116" s="3"/>
    </row>
    <row r="117" spans="5:8" x14ac:dyDescent="0.55000000000000004">
      <c r="E117">
        <v>98</v>
      </c>
      <c r="F117" s="29">
        <v>85075291.771669805</v>
      </c>
      <c r="G117" s="3"/>
      <c r="H117" s="3"/>
    </row>
    <row r="118" spans="5:8" x14ac:dyDescent="0.55000000000000004">
      <c r="E118">
        <v>99</v>
      </c>
      <c r="F118" s="29">
        <v>27409903.890428588</v>
      </c>
      <c r="G118" s="3"/>
      <c r="H118" s="3"/>
    </row>
    <row r="119" spans="5:8" x14ac:dyDescent="0.55000000000000004">
      <c r="E119">
        <v>100</v>
      </c>
      <c r="F119" s="29">
        <v>39900250.335901543</v>
      </c>
      <c r="G119" s="3"/>
      <c r="H119" s="3"/>
    </row>
    <row r="120" spans="5:8" x14ac:dyDescent="0.55000000000000004">
      <c r="E120">
        <v>101</v>
      </c>
      <c r="F120" s="29">
        <v>88116197.168510094</v>
      </c>
      <c r="G120" s="3"/>
      <c r="H120" s="3"/>
    </row>
    <row r="121" spans="5:8" x14ac:dyDescent="0.55000000000000004">
      <c r="E121">
        <v>102</v>
      </c>
      <c r="F121" s="29">
        <v>61956360.960723959</v>
      </c>
      <c r="G121" s="3"/>
      <c r="H121" s="3"/>
    </row>
    <row r="122" spans="5:8" x14ac:dyDescent="0.55000000000000004">
      <c r="E122">
        <v>103</v>
      </c>
      <c r="F122" s="29">
        <v>22179584.887547888</v>
      </c>
      <c r="G122" s="3"/>
      <c r="H122" s="3"/>
    </row>
    <row r="123" spans="5:8" x14ac:dyDescent="0.55000000000000004">
      <c r="E123">
        <v>104</v>
      </c>
      <c r="F123" s="29">
        <v>18005764.062645596</v>
      </c>
      <c r="G123" s="3"/>
      <c r="H123" s="3"/>
    </row>
    <row r="124" spans="5:8" x14ac:dyDescent="0.55000000000000004">
      <c r="E124">
        <v>105</v>
      </c>
      <c r="F124" s="29">
        <v>45548277.318896607</v>
      </c>
      <c r="G124" s="3"/>
      <c r="H124" s="3"/>
    </row>
    <row r="125" spans="5:8" x14ac:dyDescent="0.55000000000000004">
      <c r="E125">
        <v>106</v>
      </c>
      <c r="F125" s="29">
        <v>53099322.153989792</v>
      </c>
      <c r="G125" s="3"/>
      <c r="H125" s="3"/>
    </row>
    <row r="126" spans="5:8" x14ac:dyDescent="0.55000000000000004">
      <c r="E126">
        <v>107</v>
      </c>
      <c r="F126" s="29">
        <v>57515450.449362993</v>
      </c>
      <c r="G126" s="3"/>
      <c r="H126" s="3"/>
    </row>
    <row r="127" spans="5:8" x14ac:dyDescent="0.55000000000000004">
      <c r="E127">
        <v>108</v>
      </c>
      <c r="F127" s="29">
        <v>50976865.42848134</v>
      </c>
      <c r="G127" s="3"/>
      <c r="H12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MC_Meagre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2022-09-25T14:39:20Z</dcterms:modified>
</cp:coreProperties>
</file>