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Tanzania-Dairy-Mitigation-Assessment\"/>
    </mc:Choice>
  </mc:AlternateContent>
  <xr:revisionPtr revIDLastSave="0" documentId="13_ncr:1_{A7C63C92-B230-4EA2-B6A2-E59AE573FE7E}" xr6:coauthVersionLast="47" xr6:coauthVersionMax="47" xr10:uidLastSave="{00000000-0000-0000-0000-000000000000}"/>
  <bookViews>
    <workbookView xWindow="-96" yWindow="-96" windowWidth="20928" windowHeight="12432" firstSheet="2" activeTab="2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Meagre" sheetId="19" r:id="rId5"/>
    <sheet name="MC_Middle_road" sheetId="18" r:id="rId6"/>
    <sheet name="MC_High_ambition" sheetId="25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2" i="4" l="1"/>
  <c r="C42" i="4"/>
  <c r="E47" i="10"/>
  <c r="B47" i="10"/>
  <c r="D21" i="10"/>
  <c r="B21" i="10"/>
  <c r="B35" i="1" l="1"/>
  <c r="N23" i="1"/>
  <c r="C31" i="1"/>
  <c r="C34" i="1" s="1"/>
  <c r="C33" i="1"/>
  <c r="C32" i="1" s="1"/>
  <c r="A4" i="25"/>
  <c r="A4" i="19" s="1"/>
  <c r="A5" i="25"/>
  <c r="A5" i="21" s="1"/>
  <c r="A6" i="25"/>
  <c r="A6" i="21" s="1"/>
  <c r="A7" i="25"/>
  <c r="A7" i="21" s="1"/>
  <c r="A8" i="25"/>
  <c r="A8" i="21" s="1"/>
  <c r="A9" i="25"/>
  <c r="A9" i="21" s="1"/>
  <c r="A10" i="25"/>
  <c r="A10" i="19" s="1"/>
  <c r="A12" i="25"/>
  <c r="A12" i="19" s="1"/>
  <c r="A13" i="25"/>
  <c r="A13" i="19" s="1"/>
  <c r="A14" i="25"/>
  <c r="A14" i="19" s="1"/>
  <c r="A16" i="25"/>
  <c r="A16" i="19" s="1"/>
  <c r="A17" i="25"/>
  <c r="A17" i="19" s="1"/>
  <c r="A18" i="25"/>
  <c r="A18" i="19" s="1"/>
  <c r="A3" i="25"/>
  <c r="A3" i="19" s="1"/>
  <c r="F1" i="21"/>
  <c r="F1" i="19"/>
  <c r="F1" i="18"/>
  <c r="A4" i="21" l="1"/>
  <c r="A18" i="21"/>
  <c r="A18" i="18"/>
  <c r="A8" i="19"/>
  <c r="A6" i="19"/>
  <c r="A5" i="19"/>
  <c r="A9" i="19"/>
  <c r="A7" i="19"/>
  <c r="A17" i="18"/>
  <c r="A17" i="21"/>
  <c r="A16" i="21"/>
  <c r="A14" i="21"/>
  <c r="A13" i="21"/>
  <c r="A12" i="21"/>
  <c r="A16" i="18"/>
  <c r="A10" i="21"/>
  <c r="D1" i="2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25" i="1" l="1"/>
  <c r="C24" i="1"/>
  <c r="B11" i="1" l="1"/>
  <c r="B15" i="1" s="1"/>
  <c r="B19" i="1" s="1"/>
  <c r="B12" i="1"/>
  <c r="B16" i="1" s="1"/>
  <c r="B20" i="1" s="1"/>
  <c r="B10" i="1"/>
  <c r="B14" i="1" s="1"/>
  <c r="B18" i="1" s="1"/>
  <c r="C29" i="1" l="1"/>
  <c r="C27" i="1"/>
  <c r="C30" i="1" s="1"/>
  <c r="C26" i="1"/>
  <c r="A8" i="18" l="1"/>
  <c r="A7" i="18"/>
  <c r="F3" i="1" l="1"/>
  <c r="F4" i="1" l="1"/>
  <c r="C28" i="1" l="1"/>
  <c r="I4" i="1" l="1"/>
  <c r="I3" i="1"/>
  <c r="L16" i="4" l="1"/>
  <c r="L29" i="4" l="1"/>
  <c r="L30" i="4"/>
  <c r="G8" i="4" l="1"/>
  <c r="E8" i="4"/>
  <c r="C8" i="4"/>
  <c r="L27" i="4"/>
  <c r="L26" i="4" l="1"/>
  <c r="K25" i="10" l="1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L35" i="4"/>
  <c r="L37" i="4"/>
  <c r="G19" i="4" s="1"/>
  <c r="B42" i="10"/>
  <c r="E42" i="10"/>
  <c r="H3" i="1"/>
  <c r="H4" i="1"/>
  <c r="E49" i="10" l="1"/>
  <c r="E19" i="4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E6" i="1" l="1"/>
  <c r="E10" i="1" l="1"/>
  <c r="A3" i="21"/>
  <c r="A4" i="18"/>
  <c r="A5" i="18"/>
  <c r="A6" i="18"/>
  <c r="A9" i="18"/>
  <c r="A10" i="18"/>
  <c r="A12" i="18"/>
  <c r="A13" i="18"/>
  <c r="A14" i="18"/>
  <c r="A3" i="18"/>
  <c r="B4" i="26"/>
  <c r="C4" i="26" l="1"/>
  <c r="C5" i="26" s="1"/>
  <c r="L23" i="4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30" i="1" l="1"/>
  <c r="B34" i="1" s="1"/>
  <c r="B38" i="1" s="1"/>
  <c r="B29" i="1"/>
  <c r="B33" i="1" s="1"/>
  <c r="B37" i="1" s="1"/>
  <c r="B28" i="1"/>
  <c r="B32" i="1" s="1"/>
  <c r="B36" i="1" s="1"/>
  <c r="I8" i="1"/>
  <c r="B27" i="1" l="1"/>
  <c r="B31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E42" i="4" l="1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G54" i="4"/>
  <c r="E54" i="4"/>
  <c r="E55" i="4"/>
  <c r="C55" i="4"/>
  <c r="O10" i="1" l="1"/>
  <c r="O11" i="1"/>
  <c r="O8" i="1"/>
  <c r="O15" i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B20" i="10"/>
  <c r="B24" i="10" l="1"/>
  <c r="B25" i="10"/>
  <c r="B26" i="10" s="1"/>
  <c r="D25" i="10"/>
  <c r="D26" i="10" s="1"/>
  <c r="D24" i="10"/>
  <c r="L4" i="1" l="1"/>
  <c r="D4" i="1" s="1"/>
  <c r="L3" i="1"/>
  <c r="D3" i="1" s="1"/>
  <c r="N22" i="1"/>
  <c r="M4" i="1" l="1"/>
  <c r="C3" i="1"/>
  <c r="V3" i="1" s="1"/>
  <c r="J3" i="1"/>
  <c r="D11" i="1"/>
  <c r="D18" i="1"/>
  <c r="D19" i="1"/>
  <c r="D14" i="1"/>
  <c r="D15" i="1"/>
  <c r="D6" i="1"/>
  <c r="D10" i="1"/>
  <c r="B8" i="26"/>
  <c r="M3" i="1"/>
  <c r="D8" i="1"/>
  <c r="J4" i="1"/>
  <c r="C8" i="26"/>
  <c r="C9" i="18" l="1"/>
  <c r="B9" i="18"/>
  <c r="B9" i="25"/>
  <c r="C9" i="19"/>
  <c r="C9" i="21"/>
  <c r="D12" i="1"/>
  <c r="D9" i="25"/>
  <c r="G3" i="1"/>
  <c r="B9" i="19"/>
  <c r="B9" i="21"/>
  <c r="C4" i="1"/>
  <c r="B9" i="26"/>
  <c r="B13" i="26" s="1"/>
  <c r="D7" i="1"/>
  <c r="G4" i="1"/>
  <c r="V4" i="1" l="1"/>
  <c r="V8" i="1" s="1"/>
  <c r="V12" i="1" s="1"/>
  <c r="V16" i="1" s="1"/>
  <c r="V20" i="1" s="1"/>
  <c r="C6" i="1"/>
  <c r="V7" i="1"/>
  <c r="V6" i="1"/>
  <c r="V10" i="1" s="1"/>
  <c r="V14" i="1" s="1"/>
  <c r="V11" i="1"/>
  <c r="V15" i="1" s="1"/>
  <c r="D9" i="18"/>
  <c r="D16" i="1"/>
  <c r="C12" i="1"/>
  <c r="C10" i="1"/>
  <c r="P4" i="1"/>
  <c r="C11" i="1"/>
  <c r="C9" i="25"/>
  <c r="C7" i="1"/>
  <c r="C8" i="1"/>
  <c r="P3" i="1"/>
  <c r="C36" i="1" l="1"/>
  <c r="C35" i="1"/>
  <c r="C9" i="26"/>
  <c r="C13" i="26" s="1"/>
  <c r="D10" i="25"/>
  <c r="D14" i="25" s="1"/>
  <c r="D10" i="18"/>
  <c r="D14" i="18" s="1"/>
  <c r="D10" i="19"/>
  <c r="C10" i="25"/>
  <c r="C14" i="25" s="1"/>
  <c r="B10" i="25"/>
  <c r="B14" i="25" s="1"/>
  <c r="C10" i="18"/>
  <c r="C14" i="18" s="1"/>
  <c r="V19" i="1"/>
  <c r="C10" i="21" s="1"/>
  <c r="C14" i="21" s="1"/>
  <c r="C10" i="19"/>
  <c r="C14" i="19" s="1"/>
  <c r="B10" i="19"/>
  <c r="B14" i="19" s="1"/>
  <c r="V18" i="1"/>
  <c r="B10" i="21" s="1"/>
  <c r="B14" i="21" s="1"/>
  <c r="Q3" i="1"/>
  <c r="B6" i="26" s="1"/>
  <c r="R3" i="1"/>
  <c r="R4" i="1"/>
  <c r="Q4" i="1"/>
  <c r="C6" i="26" s="1"/>
  <c r="B10" i="18"/>
  <c r="B14" i="18" s="1"/>
  <c r="D20" i="1"/>
  <c r="C16" i="1"/>
  <c r="D9" i="19"/>
  <c r="C14" i="1"/>
  <c r="C15" i="1"/>
  <c r="C37" i="1" l="1"/>
  <c r="D14" i="19"/>
  <c r="D10" i="21"/>
  <c r="C7" i="26"/>
  <c r="C12" i="26" s="1"/>
  <c r="D9" i="21"/>
  <c r="C20" i="1"/>
  <c r="C19" i="1"/>
  <c r="C18" i="1"/>
  <c r="B7" i="26"/>
  <c r="B12" i="26" s="1"/>
  <c r="C38" i="1" l="1"/>
  <c r="D14" i="2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57" i="10"/>
  <c r="E63" i="10" s="1"/>
  <c r="B57" i="10"/>
  <c r="C63" i="10" s="1"/>
  <c r="B5" i="10"/>
  <c r="B28" i="10" s="1"/>
  <c r="N3" i="1" l="1"/>
  <c r="C28" i="4"/>
  <c r="B60" i="10"/>
  <c r="B59" i="10"/>
  <c r="M19" i="1"/>
  <c r="J19" i="1" s="1"/>
  <c r="M18" i="1"/>
  <c r="E59" i="10"/>
  <c r="E60" i="10"/>
  <c r="N4" i="1"/>
  <c r="G28" i="4"/>
  <c r="E28" i="4"/>
  <c r="M8" i="1"/>
  <c r="J8" i="1" s="1"/>
  <c r="O4" i="1" l="1"/>
  <c r="T4" i="1" s="1"/>
  <c r="O3" i="1"/>
  <c r="T3" i="1" s="1"/>
  <c r="F8" i="1"/>
  <c r="F19" i="1"/>
  <c r="M7" i="1"/>
  <c r="J7" i="1" s="1"/>
  <c r="M6" i="1"/>
  <c r="J6" i="1" s="1"/>
  <c r="M20" i="1"/>
  <c r="J20" i="1" s="1"/>
  <c r="J18" i="1"/>
  <c r="P19" i="1"/>
  <c r="C5" i="21"/>
  <c r="C6" i="21" s="1"/>
  <c r="C12" i="21" s="1"/>
  <c r="M15" i="1"/>
  <c r="J15" i="1" s="1"/>
  <c r="M14" i="1"/>
  <c r="M10" i="1"/>
  <c r="M11" i="1"/>
  <c r="J11" i="1" s="1"/>
  <c r="U4" i="1"/>
  <c r="C2" i="26"/>
  <c r="S4" i="1"/>
  <c r="W4" i="1" s="1"/>
  <c r="S3" i="1"/>
  <c r="W3" i="1" s="1"/>
  <c r="U3" i="1"/>
  <c r="U7" i="1" s="1"/>
  <c r="B2" i="26"/>
  <c r="B3" i="26" l="1"/>
  <c r="B11" i="26" s="1"/>
  <c r="B15" i="26" s="1"/>
  <c r="C3" i="26"/>
  <c r="C11" i="26" s="1"/>
  <c r="C15" i="26" s="1"/>
  <c r="T19" i="1"/>
  <c r="S19" i="1"/>
  <c r="T8" i="1"/>
  <c r="D5" i="25"/>
  <c r="D6" i="25" s="1"/>
  <c r="D12" i="25" s="1"/>
  <c r="S8" i="1"/>
  <c r="P8" i="1"/>
  <c r="F18" i="1"/>
  <c r="F7" i="1"/>
  <c r="F20" i="1"/>
  <c r="F11" i="1"/>
  <c r="F15" i="1"/>
  <c r="F6" i="1"/>
  <c r="J10" i="1"/>
  <c r="M12" i="1"/>
  <c r="J12" i="1" s="1"/>
  <c r="M16" i="1"/>
  <c r="J16" i="1" s="1"/>
  <c r="J14" i="1"/>
  <c r="Q19" i="1"/>
  <c r="R19" i="1"/>
  <c r="U8" i="1"/>
  <c r="U6" i="1"/>
  <c r="W19" i="1" l="1"/>
  <c r="R8" i="1"/>
  <c r="Q8" i="1"/>
  <c r="W8" i="1" s="1"/>
  <c r="U10" i="1"/>
  <c r="E15" i="26"/>
  <c r="E19" i="26" s="1"/>
  <c r="E16" i="26" s="1"/>
  <c r="B5" i="21"/>
  <c r="B6" i="21" s="1"/>
  <c r="B12" i="21" s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2" i="18" s="1"/>
  <c r="T6" i="1"/>
  <c r="S6" i="1"/>
  <c r="F14" i="1"/>
  <c r="F16" i="1"/>
  <c r="F12" i="1"/>
  <c r="F10" i="1"/>
  <c r="B5" i="18" s="1"/>
  <c r="B6" i="18" s="1"/>
  <c r="B12" i="18" s="1"/>
  <c r="P20" i="1"/>
  <c r="Q20" i="1" s="1"/>
  <c r="T20" i="1"/>
  <c r="S7" i="1"/>
  <c r="P7" i="1"/>
  <c r="C5" i="25"/>
  <c r="C6" i="25" s="1"/>
  <c r="C12" i="25" s="1"/>
  <c r="T7" i="1"/>
  <c r="T15" i="1"/>
  <c r="S20" i="1"/>
  <c r="W20" i="1" s="1"/>
  <c r="C5" i="19"/>
  <c r="C6" i="19" s="1"/>
  <c r="C12" i="19" s="1"/>
  <c r="D5" i="21"/>
  <c r="D6" i="21" s="1"/>
  <c r="D12" i="21" s="1"/>
  <c r="S15" i="1"/>
  <c r="W15" i="1" s="1"/>
  <c r="B5" i="25"/>
  <c r="B6" i="25" s="1"/>
  <c r="B12" i="25" s="1"/>
  <c r="P6" i="1"/>
  <c r="Q6" i="1" s="1"/>
  <c r="U14" i="1"/>
  <c r="U12" i="1"/>
  <c r="D7" i="25"/>
  <c r="D8" i="25" s="1"/>
  <c r="D13" i="25" s="1"/>
  <c r="C7" i="21"/>
  <c r="U11" i="1"/>
  <c r="U15" i="1" s="1"/>
  <c r="W6" i="1" l="1"/>
  <c r="E17" i="26"/>
  <c r="H17" i="26" s="1"/>
  <c r="R15" i="1"/>
  <c r="Q18" i="1"/>
  <c r="B7" i="21" s="1"/>
  <c r="Q11" i="1"/>
  <c r="C7" i="18" s="1"/>
  <c r="C8" i="18" s="1"/>
  <c r="C13" i="18" s="1"/>
  <c r="S10" i="1"/>
  <c r="W10" i="1" s="1"/>
  <c r="P16" i="1"/>
  <c r="Q16" i="1" s="1"/>
  <c r="R20" i="1"/>
  <c r="S16" i="1"/>
  <c r="W16" i="1" s="1"/>
  <c r="T14" i="1"/>
  <c r="P14" i="1"/>
  <c r="Q14" i="1" s="1"/>
  <c r="S14" i="1"/>
  <c r="D5" i="18"/>
  <c r="D6" i="18" s="1"/>
  <c r="D12" i="18" s="1"/>
  <c r="B5" i="19"/>
  <c r="B6" i="19" s="1"/>
  <c r="B12" i="19" s="1"/>
  <c r="P12" i="1"/>
  <c r="Q12" i="1" s="1"/>
  <c r="R6" i="1"/>
  <c r="S12" i="1"/>
  <c r="D5" i="19"/>
  <c r="D6" i="19" s="1"/>
  <c r="D12" i="19" s="1"/>
  <c r="T10" i="1"/>
  <c r="R7" i="1"/>
  <c r="Q7" i="1"/>
  <c r="W7" i="1" s="1"/>
  <c r="X8" i="1" s="1"/>
  <c r="T16" i="1"/>
  <c r="P10" i="1"/>
  <c r="Q10" i="1" s="1"/>
  <c r="T12" i="1"/>
  <c r="D16" i="25"/>
  <c r="C7" i="19"/>
  <c r="C8" i="19" s="1"/>
  <c r="C13" i="19" s="1"/>
  <c r="U16" i="1"/>
  <c r="B7" i="25"/>
  <c r="B8" i="25" s="1"/>
  <c r="B13" i="25" s="1"/>
  <c r="D7" i="21"/>
  <c r="U19" i="1"/>
  <c r="U18" i="1"/>
  <c r="W14" i="1" l="1"/>
  <c r="W11" i="1"/>
  <c r="W18" i="1"/>
  <c r="W12" i="1"/>
  <c r="X20" i="1"/>
  <c r="Y4" i="1"/>
  <c r="R16" i="1"/>
  <c r="X16" i="1"/>
  <c r="X12" i="1"/>
  <c r="R14" i="1"/>
  <c r="R12" i="1"/>
  <c r="C7" i="25"/>
  <c r="C8" i="25" s="1"/>
  <c r="C13" i="25" s="1"/>
  <c r="R10" i="1"/>
  <c r="U20" i="1"/>
  <c r="B7" i="18"/>
  <c r="B8" i="18" s="1"/>
  <c r="B13" i="18" s="1"/>
  <c r="D7" i="18"/>
  <c r="D8" i="18" s="1"/>
  <c r="D13" i="18" s="1"/>
  <c r="B7" i="19"/>
  <c r="B8" i="19" s="1"/>
  <c r="B13" i="19" s="1"/>
  <c r="B16" i="25"/>
  <c r="D7" i="19"/>
  <c r="D8" i="19" s="1"/>
  <c r="D13" i="19" s="1"/>
  <c r="C16" i="18" l="1"/>
  <c r="C16" i="19"/>
  <c r="C16" i="25"/>
  <c r="F16" i="25" s="1"/>
  <c r="F20" i="25" s="1"/>
  <c r="F17" i="25" s="1"/>
  <c r="B16" i="19" l="1"/>
  <c r="D16" i="18"/>
  <c r="D16" i="19"/>
  <c r="B16" i="18"/>
  <c r="F18" i="25"/>
  <c r="I18" i="25" s="1"/>
  <c r="Y8" i="1" l="1"/>
  <c r="F16" i="18"/>
  <c r="F20" i="18" s="1"/>
  <c r="F17" i="18" s="1"/>
  <c r="F16" i="19"/>
  <c r="F20" i="19" s="1"/>
  <c r="F18" i="19" s="1"/>
  <c r="F18" i="18" l="1"/>
  <c r="I18" i="18" s="1"/>
  <c r="F17" i="19"/>
  <c r="I18" i="19" s="1"/>
  <c r="Y16" i="1" l="1"/>
  <c r="Y12" i="1"/>
  <c r="D8" i="21" l="1"/>
  <c r="D13" i="21" s="1"/>
  <c r="D16" i="21" l="1"/>
  <c r="C8" i="21"/>
  <c r="C13" i="21" s="1"/>
  <c r="B8" i="21"/>
  <c r="B13" i="21" s="1"/>
  <c r="C16" i="21" l="1"/>
  <c r="B16" i="21"/>
  <c r="F16" i="21" l="1"/>
  <c r="F20" i="21" s="1"/>
  <c r="F18" i="21" s="1"/>
  <c r="F17" i="21" l="1"/>
  <c r="I18" i="21" s="1"/>
  <c r="Y20" i="1" s="1"/>
</calcChain>
</file>

<file path=xl/sharedStrings.xml><?xml version="1.0" encoding="utf-8"?>
<sst xmlns="http://schemas.openxmlformats.org/spreadsheetml/2006/main" count="207" uniqueCount="132">
  <si>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</si>
  <si>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</si>
  <si>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</si>
  <si>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</si>
  <si>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</si>
  <si>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</si>
  <si>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</si>
  <si>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</si>
  <si>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</si>
  <si>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</si>
  <si>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</si>
  <si>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</si>
  <si>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</si>
  <si>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</si>
  <si>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</si>
  <si>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</si>
  <si>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</si>
  <si>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</si>
  <si>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</si>
  <si>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</si>
  <si>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</si>
  <si>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</si>
  <si>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</si>
  <si>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</si>
  <si>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</si>
  <si>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</si>
  <si>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</si>
  <si>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</si>
  <si>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</si>
  <si>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</si>
  <si>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</si>
  <si>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</si>
  <si>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</si>
  <si>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</si>
  <si>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</si>
  <si>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</si>
  <si>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</si>
  <si>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</si>
  <si>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Aggregated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</si>
  <si>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</si>
  <si>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</si>
  <si>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</si>
  <si>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</si>
  <si>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</si>
  <si>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</si>
  <si>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</si>
  <si>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</si>
  <si>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</si>
  <si>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</si>
  <si>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</si>
  <si>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</si>
  <si>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</si>
  <si>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</si>
  <si>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</si>
  <si>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</si>
  <si>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</si>
  <si>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</si>
  <si>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</si>
  <si>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</si>
  <si>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</si>
  <si>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</si>
  <si>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</si>
  <si>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</si>
  <si>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</si>
  <si>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</si>
  <si>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</si>
  <si>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</si>
  <si>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</si>
  <si>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</si>
  <si>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</si>
  <si>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</si>
  <si>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</si>
  <si>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</si>
  <si>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</si>
  <si>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</si>
  <si>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</si>
  <si>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</si>
  <si>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</si>
  <si>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</si>
  <si>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</si>
  <si>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</si>
  <si>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</si>
  <si>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</si>
  <si>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</si>
  <si>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</si>
  <si>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</si>
  <si>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</si>
  <si>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 xml:space="preserve"> Dairy income by household</t>
  </si>
  <si>
    <t>Change in income from cropping (USD)</t>
  </si>
  <si>
    <t>Basic income parameters</t>
  </si>
  <si>
    <t>Change in forage land area (ha)</t>
  </si>
  <si>
    <t>Forage seeding cost (USD)</t>
  </si>
  <si>
    <t>Total variable expenses (USD/cow/year)</t>
  </si>
  <si>
    <t>Price deflator</t>
  </si>
  <si>
    <t>Reduction in non-dairy income through crop area change</t>
  </si>
  <si>
    <t>Milk yield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</si>
  <si>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</si>
  <si>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</si>
  <si>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</si>
  <si>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</si>
  <si>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</si>
  <si>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</si>
  <si>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High ambition ++</t>
  </si>
  <si>
    <t>All dairy households</t>
  </si>
  <si>
    <t>Income per cow (USD/yr)</t>
  </si>
  <si>
    <t>Random value income per cow (USD/yr)</t>
  </si>
  <si>
    <t>Cows per household (head)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</si>
  <si>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</si>
  <si>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</si>
  <si>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</si>
  <si>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</si>
  <si>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</si>
  <si>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</si>
  <si>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</si>
  <si>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</si>
  <si>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</si>
  <si>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Uncertainty in population percentage (used for quantifying uncertainty)</t>
  </si>
  <si>
    <t xml:space="preserve">Dairy Income </t>
  </si>
  <si>
    <t>Average herd size (head) in base year (2018)</t>
  </si>
  <si>
    <t>Ratio improved cattle for which new adopters adopt</t>
  </si>
  <si>
    <t>Adoption parameters (as defined in text) (based on TLSA, URT 2017)</t>
  </si>
  <si>
    <t>Fraction Improved owned by other farms  final year</t>
  </si>
  <si>
    <t>Fraction Improved owned by other base year</t>
  </si>
  <si>
    <t xml:space="preserve">Adoption rate (% of all dairy hholds) </t>
  </si>
  <si>
    <t xml:space="preserve">Adoption rate (% of newly local cattle rearing hholds) </t>
  </si>
  <si>
    <t>Milk yield standard error, local (fraction)</t>
  </si>
  <si>
    <t>Milk yield standard error, improved (fraction)</t>
  </si>
  <si>
    <t>Meagre</t>
  </si>
  <si>
    <t>District total</t>
  </si>
  <si>
    <t>Total dairy income net of crop income change (USD/yr)</t>
  </si>
  <si>
    <t>Error of imputed income (% SEM)</t>
  </si>
  <si>
    <t>Net relative gain over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</si>
</sst>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* #,##0.00_);_(* \(#,##0.00\);_(* &quot;-&quot;??_);_(@_)"/>
    <numFmt numFmtId="166" formatCode="0.0000"/>
    <numFmt numFmtId="167" formatCode="0.0"/>
    <numFmt numFmtId="168" formatCode="_(* #,##0.000_);_(* \(#,##0.000\);_(* &quot;-&quot;??_);_(@_)"/>
    <numFmt numFmtId="169" formatCode="_(* #,##0.0_);_(* \(#,##0.0\);_(* &quot;-&quot;??_);_(@_)"/>
    <numFmt numFmtId="170" formatCode="0.000"/>
    <numFmt numFmtId="171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5" fontId="0" fillId="0" borderId="0" xfId="1" applyFon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5" fontId="0" fillId="0" borderId="0" xfId="1" applyFont="1"/>
    <xf numFmtId="166" fontId="4" fillId="0" borderId="0" xfId="0" applyNumberFormat="1" applyFont="1"/>
    <xf numFmtId="166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0" fontId="17" fillId="0" borderId="0" xfId="0" applyFont="1"/>
    <xf numFmtId="164" fontId="0" fillId="0" borderId="0" xfId="0" applyNumberFormat="1"/>
    <xf numFmtId="167" fontId="0" fillId="0" borderId="0" xfId="1" applyNumberFormat="1" applyFont="1"/>
    <xf numFmtId="165" fontId="18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9" fontId="0" fillId="0" borderId="0" xfId="1" applyNumberFormat="1" applyFont="1" applyAlignment="1">
      <alignment horizontal="center"/>
    </xf>
    <xf numFmtId="169" fontId="12" fillId="0" borderId="0" xfId="1" applyNumberFormat="1" applyFont="1"/>
    <xf numFmtId="169" fontId="0" fillId="0" borderId="0" xfId="1" applyNumberFormat="1" applyFont="1"/>
    <xf numFmtId="2" fontId="2" fillId="0" borderId="0" xfId="0" applyNumberFormat="1" applyFont="1"/>
    <xf numFmtId="0" fontId="18" fillId="0" borderId="0" xfId="0" applyFont="1"/>
    <xf numFmtId="170" fontId="18" fillId="0" borderId="0" xfId="0" applyNumberFormat="1" applyFont="1"/>
    <xf numFmtId="168" fontId="6" fillId="0" borderId="0" xfId="0" applyNumberFormat="1" applyFont="1"/>
    <xf numFmtId="169" fontId="12" fillId="0" borderId="0" xfId="0" applyNumberFormat="1" applyFont="1"/>
    <xf numFmtId="165" fontId="12" fillId="0" borderId="0" xfId="0" applyNumberFormat="1" applyFont="1"/>
    <xf numFmtId="168" fontId="12" fillId="0" borderId="0" xfId="0" applyNumberFormat="1" applyFont="1"/>
    <xf numFmtId="169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7" fontId="19" fillId="0" borderId="0" xfId="0" applyNumberFormat="1" applyFont="1" applyAlignment="1">
      <alignment horizontal="center"/>
    </xf>
    <xf numFmtId="165" fontId="19" fillId="0" borderId="0" xfId="0" applyNumberFormat="1" applyFont="1"/>
    <xf numFmtId="168" fontId="19" fillId="0" borderId="0" xfId="0" applyNumberFormat="1" applyFont="1"/>
    <xf numFmtId="169" fontId="19" fillId="0" borderId="0" xfId="0" applyNumberFormat="1" applyFont="1"/>
    <xf numFmtId="0" fontId="20" fillId="0" borderId="0" xfId="0" applyFont="1"/>
    <xf numFmtId="0" fontId="21" fillId="0" borderId="0" xfId="0" applyFont="1"/>
    <xf numFmtId="165" fontId="20" fillId="0" borderId="0" xfId="0" applyNumberFormat="1" applyFont="1"/>
    <xf numFmtId="171" fontId="0" fillId="0" borderId="0" xfId="0" applyNumberFormat="1" applyAlignment="1">
      <alignment horizontal="center"/>
    </xf>
    <xf numFmtId="0" fontId="4" fillId="0" borderId="0" xfId="0" applyFont="1"/>
    <xf numFmtId="165" fontId="3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5" fontId="12" fillId="0" borderId="0" xfId="1" applyFont="1"/>
    <xf numFmtId="170" fontId="19" fillId="0" borderId="0" xfId="0" applyNumberFormat="1" applyFont="1"/>
    <xf numFmtId="170" fontId="0" fillId="0" borderId="0" xfId="0" applyNumberFormat="1"/>
    <xf numFmtId="170" fontId="12" fillId="0" borderId="0" xfId="0" applyNumberFormat="1" applyFont="1"/>
    <xf numFmtId="167" fontId="18" fillId="0" borderId="0" xfId="0" applyNumberFormat="1" applyFont="1"/>
    <xf numFmtId="165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7" fontId="12" fillId="0" borderId="0" xfId="0" applyNumberFormat="1" applyFont="1" applyAlignment="1">
      <alignment horizontal="center"/>
    </xf>
    <xf numFmtId="0" fontId="0" fillId="0" borderId="0" xfId="0"/>
    <xf numFmtId="170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8A6D93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7">
          <cell r="L7">
            <v>0.4365</v>
          </cell>
        </row>
        <row r="12">
          <cell r="B12">
            <v>285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topLeftCell="A27" zoomScaleNormal="100" workbookViewId="0">
      <selection activeCell="E38" sqref="E38:F38"/>
    </sheetView>
  </sheetViews>
  <sheetFormatPr defaultRowHeight="14.4" x14ac:dyDescent="0.55000000000000004"/>
  <cols>
    <col min="1" max="1" width="43.3125" customWidth="1"/>
    <col min="2" max="2" width="5" customWidth="1"/>
    <col min="3" max="3" width="8" customWidth="1"/>
    <col min="4" max="4" width="5.89453125" customWidth="1"/>
    <col min="5" max="5" width="9.41796875" customWidth="1"/>
    <col min="6" max="6" width="6.68359375" customWidth="1"/>
    <col min="7" max="7" width="13.7890625" customWidth="1"/>
    <col min="11" max="11" width="35.89453125" customWidth="1"/>
  </cols>
  <sheetData>
    <row r="1" spans="1:12" ht="15.6" x14ac:dyDescent="0.6">
      <c r="C1" s="75" t="s">
        <v>87</v>
      </c>
      <c r="D1" s="76"/>
      <c r="E1" s="76"/>
      <c r="F1" s="76"/>
      <c r="G1" s="76"/>
    </row>
    <row r="2" spans="1:12" x14ac:dyDescent="0.55000000000000004">
      <c r="A2" s="2" t="s">
        <v>63</v>
      </c>
      <c r="B2" s="5"/>
      <c r="C2" s="78" t="s">
        <v>97</v>
      </c>
      <c r="D2" s="78"/>
      <c r="E2" s="78" t="s">
        <v>98</v>
      </c>
      <c r="F2" s="78"/>
      <c r="G2" s="1" t="s">
        <v>99</v>
      </c>
    </row>
    <row r="3" spans="1:12" x14ac:dyDescent="0.55000000000000004">
      <c r="A3" t="s">
        <v>56</v>
      </c>
      <c r="B3" s="1"/>
      <c r="C3" s="77">
        <f>G3</f>
        <v>0.55747885382429763</v>
      </c>
      <c r="D3" s="77"/>
      <c r="E3" s="77">
        <f>Dairy_Income_Baseline!B3</f>
        <v>0.48314833998105799</v>
      </c>
      <c r="F3" s="77"/>
      <c r="G3" s="6">
        <f>[1]All!$L$7*L16</f>
        <v>0.55747885382429763</v>
      </c>
    </row>
    <row r="4" spans="1:12" x14ac:dyDescent="0.55000000000000004">
      <c r="A4" t="s">
        <v>57</v>
      </c>
      <c r="B4" s="1"/>
      <c r="C4" s="80">
        <f>G4</f>
        <v>3007.9506358527424</v>
      </c>
      <c r="D4" s="80"/>
      <c r="E4" s="80">
        <f>[2]prod_herd_data!$J$38</f>
        <v>757.75586056583484</v>
      </c>
      <c r="F4" s="80"/>
      <c r="G4" s="39">
        <f>[2]prod_herd_data!$J$39</f>
        <v>3007.9506358527424</v>
      </c>
    </row>
    <row r="5" spans="1:12" x14ac:dyDescent="0.55000000000000004">
      <c r="A5" t="s">
        <v>58</v>
      </c>
      <c r="B5" s="1"/>
      <c r="C5" s="80">
        <f>C4*C3*(12*L11-9)/(12*L11)</f>
        <v>1572.0645682830507</v>
      </c>
      <c r="D5" s="80"/>
      <c r="E5" s="80">
        <f>E4*E3</f>
        <v>366.10848614330115</v>
      </c>
      <c r="F5" s="80"/>
      <c r="G5" s="39">
        <f>G4*G3</f>
        <v>1676.868872835254</v>
      </c>
    </row>
    <row r="6" spans="1:12" x14ac:dyDescent="0.55000000000000004">
      <c r="B6" s="1"/>
      <c r="C6" s="80"/>
      <c r="D6" s="80"/>
      <c r="E6" s="80"/>
      <c r="F6" s="80"/>
      <c r="G6" s="39"/>
    </row>
    <row r="7" spans="1:12" x14ac:dyDescent="0.55000000000000004">
      <c r="A7" s="2" t="s">
        <v>59</v>
      </c>
      <c r="B7" s="1"/>
      <c r="C7" s="80"/>
      <c r="D7" s="80"/>
      <c r="E7" s="80"/>
      <c r="F7" s="80"/>
      <c r="G7" s="39"/>
    </row>
    <row r="8" spans="1:12" x14ac:dyDescent="0.55000000000000004">
      <c r="A8" t="s">
        <v>71</v>
      </c>
      <c r="B8" s="1"/>
      <c r="C8" s="80">
        <f>(([2]concentrate_feeding!$J$23*L29)+([2]concentrate_feeding!$J$24*L30))</f>
        <v>355.53052232957771</v>
      </c>
      <c r="D8" s="80"/>
      <c r="E8" s="80">
        <f>(([2]concentrate_feeding!$J$17*L29)+([2]concentrate_feeding!$J$18*L30))</f>
        <v>86.361328970444461</v>
      </c>
      <c r="F8" s="80"/>
      <c r="G8" s="39">
        <f>(([2]concentrate_feeding!$J$20*L29)+([2]concentrate_feeding!$J$21*L30))</f>
        <v>355.53052232957771</v>
      </c>
    </row>
    <row r="9" spans="1:12" x14ac:dyDescent="0.55000000000000004">
      <c r="A9" t="s">
        <v>1</v>
      </c>
      <c r="B9" s="1"/>
      <c r="C9" s="80">
        <f>Dairy_Income_Baseline!D9</f>
        <v>9.9618214429084109</v>
      </c>
      <c r="D9" s="80"/>
      <c r="E9" s="80">
        <f>Dairy_Income_Baseline!B9</f>
        <v>3.7037541262095375</v>
      </c>
      <c r="F9" s="80"/>
      <c r="G9" s="39">
        <f>Dairy_Income_Baseline!D9</f>
        <v>9.9618214429084109</v>
      </c>
    </row>
    <row r="10" spans="1:12" x14ac:dyDescent="0.55000000000000004">
      <c r="A10" t="s">
        <v>60</v>
      </c>
      <c r="B10" s="1"/>
      <c r="C10" s="80">
        <f>Dairy_Income_Baseline!D10</f>
        <v>8.9400961667126779</v>
      </c>
      <c r="D10" s="80"/>
      <c r="E10" s="80">
        <f>Dairy_Income_Baseline!B10</f>
        <v>9.4509588048105453</v>
      </c>
      <c r="F10" s="80"/>
      <c r="G10" s="39">
        <f>Dairy_Income_Baseline!D10</f>
        <v>8.9400961667126779</v>
      </c>
      <c r="K10" s="2" t="s">
        <v>89</v>
      </c>
    </row>
    <row r="11" spans="1:12" x14ac:dyDescent="0.55000000000000004">
      <c r="A11" t="s">
        <v>61</v>
      </c>
      <c r="B11" s="1"/>
      <c r="C11" s="80">
        <f>Dairy_Income_Baseline!D11</f>
        <v>1.0217252761957345</v>
      </c>
      <c r="D11" s="80"/>
      <c r="E11" s="80">
        <f>Dairy_Income_Baseline!B11</f>
        <v>0.12771565952446681</v>
      </c>
      <c r="F11" s="80"/>
      <c r="G11" s="39">
        <f>Dairy_Income_Baseline!D11</f>
        <v>1.0217252761957345</v>
      </c>
      <c r="K11" t="s">
        <v>86</v>
      </c>
      <c r="L11">
        <v>12</v>
      </c>
    </row>
    <row r="12" spans="1:12" x14ac:dyDescent="0.55000000000000004">
      <c r="B12" s="1"/>
      <c r="C12" s="80"/>
      <c r="D12" s="80"/>
      <c r="E12" s="80"/>
      <c r="F12" s="80"/>
      <c r="G12" s="39"/>
    </row>
    <row r="13" spans="1:12" x14ac:dyDescent="0.55000000000000004">
      <c r="A13" s="2" t="s">
        <v>84</v>
      </c>
      <c r="B13" s="1"/>
      <c r="C13" s="80">
        <f>SUM(C8:C11)</f>
        <v>375.45416521539454</v>
      </c>
      <c r="D13" s="80"/>
      <c r="E13" s="80">
        <f>SUM(E8:E11)</f>
        <v>99.643757560989002</v>
      </c>
      <c r="F13" s="80"/>
      <c r="G13" s="39">
        <f>SUM(G8:G11)</f>
        <v>375.45416521539454</v>
      </c>
      <c r="K13" t="s">
        <v>68</v>
      </c>
      <c r="L13">
        <f>[1]All!$M$12</f>
        <v>397.7</v>
      </c>
    </row>
    <row r="14" spans="1:12" x14ac:dyDescent="0.55000000000000004">
      <c r="B14" s="1"/>
      <c r="C14" s="78"/>
      <c r="D14" s="78"/>
      <c r="E14" s="78"/>
      <c r="F14" s="78"/>
      <c r="G14" s="1"/>
    </row>
    <row r="15" spans="1:12" x14ac:dyDescent="0.55000000000000004">
      <c r="A15" s="2" t="s">
        <v>85</v>
      </c>
      <c r="B15" s="1"/>
      <c r="C15" s="80">
        <f>L13/L11</f>
        <v>33.141666666666666</v>
      </c>
      <c r="D15" s="80"/>
      <c r="E15" s="80">
        <v>0</v>
      </c>
      <c r="F15" s="80"/>
      <c r="G15" s="39">
        <v>0</v>
      </c>
    </row>
    <row r="16" spans="1:12" x14ac:dyDescent="0.55000000000000004">
      <c r="B16" s="1"/>
      <c r="C16" s="80"/>
      <c r="D16" s="80"/>
      <c r="E16" s="80"/>
      <c r="F16" s="80"/>
      <c r="G16" s="39"/>
      <c r="K16" t="s">
        <v>93</v>
      </c>
      <c r="L16" s="18">
        <f>[3]Sheet1!$B$6</f>
        <v>1.2771565952446682</v>
      </c>
    </row>
    <row r="17" spans="1:17" x14ac:dyDescent="0.55000000000000004">
      <c r="B17" s="1"/>
      <c r="C17" s="80"/>
      <c r="D17" s="80"/>
      <c r="E17" s="81"/>
      <c r="F17" s="81"/>
      <c r="G17" s="39"/>
    </row>
    <row r="18" spans="1:17" x14ac:dyDescent="0.55000000000000004">
      <c r="B18" s="1"/>
      <c r="C18" s="79" t="s">
        <v>74</v>
      </c>
      <c r="D18" s="79"/>
      <c r="E18" s="79"/>
      <c r="F18" s="79"/>
      <c r="G18" s="79"/>
      <c r="K18" s="2"/>
    </row>
    <row r="19" spans="1:17" x14ac:dyDescent="0.55000000000000004">
      <c r="A19" t="s">
        <v>7</v>
      </c>
      <c r="B19" s="1"/>
      <c r="C19" s="80">
        <f>L35*L16</f>
        <v>473.19051384219415</v>
      </c>
      <c r="D19" s="80"/>
      <c r="E19" s="80">
        <f>L35*L16</f>
        <v>473.19051384219415</v>
      </c>
      <c r="F19" s="80"/>
      <c r="G19" s="39">
        <f>L37*L16</f>
        <v>626.19041111347224</v>
      </c>
      <c r="K19" t="s">
        <v>72</v>
      </c>
      <c r="L19">
        <f>[4]Sheet1!$B$5</f>
        <v>28</v>
      </c>
    </row>
    <row r="20" spans="1:17" x14ac:dyDescent="0.55000000000000004">
      <c r="A20" t="s">
        <v>49</v>
      </c>
      <c r="B20" s="1"/>
      <c r="C20" s="80">
        <f>(((1/1000)*(1/L23)*[2]feeding_change_data!$J$25/L32))</f>
        <v>9.0559842862320855E-2</v>
      </c>
      <c r="D20" s="80"/>
      <c r="E20" s="80">
        <f>(((1/1000)*(1/L23)*[2]feeding_change_data!$J$19/L32))</f>
        <v>4.034835691513472E-2</v>
      </c>
      <c r="F20" s="80"/>
      <c r="G20" s="39">
        <f>(((1/1000)*(1/L23)*[2]feeding_change_data!$J$22/L32))</f>
        <v>6.3518016421959617E-2</v>
      </c>
    </row>
    <row r="21" spans="1:17" x14ac:dyDescent="0.55000000000000004">
      <c r="A21" t="s">
        <v>64</v>
      </c>
      <c r="B21" s="1"/>
      <c r="C21" s="80">
        <f>(((1/1000)*(1/L24)*[2]feeding_change_data_pasture!$J$25/L33))</f>
        <v>0.19419972310224459</v>
      </c>
      <c r="D21" s="80"/>
      <c r="E21" s="80">
        <f>(((1/1000)*(1/L24)*[2]feeding_change_data_pasture!$J$19/L33))</f>
        <v>0.15731868251776152</v>
      </c>
      <c r="F21" s="80"/>
      <c r="G21" s="39">
        <f>(((1/1000)*(1/L24)*[2]feeding_change_data_pasture!$J$22/L33))</f>
        <v>0.10499097189490476</v>
      </c>
      <c r="K21" t="s">
        <v>125</v>
      </c>
      <c r="L21">
        <v>0.18</v>
      </c>
    </row>
    <row r="22" spans="1:17" x14ac:dyDescent="0.55000000000000004">
      <c r="A22" t="s">
        <v>81</v>
      </c>
      <c r="B22" s="39"/>
      <c r="C22" s="80">
        <f>C20+C21</f>
        <v>0.28475956596456542</v>
      </c>
      <c r="D22" s="80"/>
      <c r="E22" s="80">
        <f>E20+E21</f>
        <v>0.19766703943289624</v>
      </c>
      <c r="F22" s="80"/>
      <c r="G22" s="39">
        <f>G21+G20</f>
        <v>0.16850898831686439</v>
      </c>
      <c r="K22" t="s">
        <v>126</v>
      </c>
      <c r="L22">
        <v>0.19</v>
      </c>
    </row>
    <row r="23" spans="1:17" x14ac:dyDescent="0.55000000000000004">
      <c r="A23" t="s">
        <v>65</v>
      </c>
      <c r="B23" s="1"/>
      <c r="C23" s="80">
        <f>L19*(C20+C21)</f>
        <v>7.9732678470078318</v>
      </c>
      <c r="D23" s="80"/>
      <c r="E23" s="80">
        <f>L19*(E20+E21)</f>
        <v>5.5346771041210943</v>
      </c>
      <c r="F23" s="80"/>
      <c r="G23" s="39">
        <f>L19*(G20+G21)</f>
        <v>4.7182516728722028</v>
      </c>
      <c r="K23" t="s">
        <v>66</v>
      </c>
      <c r="L23">
        <f>[4]Sheet1!$B$6</f>
        <v>0.75</v>
      </c>
    </row>
    <row r="24" spans="1:17" x14ac:dyDescent="0.55000000000000004">
      <c r="A24" t="s">
        <v>8</v>
      </c>
      <c r="B24" s="1"/>
      <c r="C24" s="80">
        <f>(C20+C21)*C19+C23</f>
        <v>142.71879318726073</v>
      </c>
      <c r="D24" s="80"/>
      <c r="E24" s="80">
        <f>(E20+E21)*E19+E23</f>
        <v>99.068845063038509</v>
      </c>
      <c r="F24" s="80"/>
      <c r="G24" s="39">
        <f>(G20+G21)*G19+G23</f>
        <v>110.2369643433248</v>
      </c>
      <c r="K24" t="s">
        <v>67</v>
      </c>
      <c r="L24">
        <v>0.5</v>
      </c>
    </row>
    <row r="25" spans="1:17" x14ac:dyDescent="0.55000000000000004">
      <c r="B25" s="1"/>
      <c r="C25" s="80"/>
      <c r="D25" s="80"/>
      <c r="E25" s="80"/>
      <c r="F25" s="80"/>
      <c r="G25" s="39"/>
    </row>
    <row r="26" spans="1:17" x14ac:dyDescent="0.55000000000000004">
      <c r="B26" s="1"/>
      <c r="C26" s="80"/>
      <c r="D26" s="80"/>
      <c r="E26" s="80"/>
      <c r="F26" s="80"/>
      <c r="G26" s="39"/>
      <c r="K26" s="24" t="s">
        <v>25</v>
      </c>
      <c r="L26">
        <f>7.5</f>
        <v>7.5</v>
      </c>
    </row>
    <row r="27" spans="1:17" x14ac:dyDescent="0.55000000000000004">
      <c r="A27" t="s">
        <v>47</v>
      </c>
      <c r="B27" s="7"/>
      <c r="C27" s="80">
        <f>L16*(C5-C13)-C15</f>
        <v>1495.1172015495711</v>
      </c>
      <c r="D27" s="80"/>
      <c r="E27" s="80">
        <f>L16*(E5-E13)</f>
        <v>340.3171855089804</v>
      </c>
      <c r="F27" s="80"/>
      <c r="G27" s="39">
        <f>L16*(G5-G13)</f>
        <v>1662.110376985115</v>
      </c>
      <c r="H27" s="39"/>
      <c r="K27" s="24" t="s">
        <v>25</v>
      </c>
      <c r="L27">
        <f>20</f>
        <v>20</v>
      </c>
    </row>
    <row r="28" spans="1:17" x14ac:dyDescent="0.55000000000000004">
      <c r="A28" t="s">
        <v>6</v>
      </c>
      <c r="B28" s="7"/>
      <c r="C28" s="80">
        <f>C27-Dairy_Income_Baseline!B28</f>
        <v>1410.3801118605588</v>
      </c>
      <c r="D28" s="80"/>
      <c r="E28" s="80">
        <f>E27-Dairy_Income_Baseline!D28</f>
        <v>-245.41979690192807</v>
      </c>
      <c r="F28" s="80"/>
      <c r="G28" s="39">
        <f>G27-Dairy_Income_Baseline!D28</f>
        <v>1076.3733945742065</v>
      </c>
    </row>
    <row r="29" spans="1:17" x14ac:dyDescent="0.55000000000000004">
      <c r="C29" s="78"/>
      <c r="D29" s="78"/>
      <c r="E29" s="78"/>
      <c r="F29" s="78"/>
      <c r="K29" t="s">
        <v>27</v>
      </c>
      <c r="L29" s="18">
        <f>0.25*L16*'[1]Sensitiity analysis'!$C$4</f>
        <v>0.31928914881116705</v>
      </c>
    </row>
    <row r="30" spans="1:17" ht="15.6" x14ac:dyDescent="0.6">
      <c r="A30" s="75" t="s">
        <v>55</v>
      </c>
      <c r="B30" s="75"/>
      <c r="C30" s="75"/>
      <c r="D30" s="75"/>
      <c r="E30" s="75"/>
      <c r="F30" s="75"/>
      <c r="G30" s="75"/>
      <c r="K30" t="s">
        <v>26</v>
      </c>
      <c r="L30" s="18">
        <f>0.21*L16*'[1]Sensitiity analysis'!$C$5</f>
        <v>0.26820288500138029</v>
      </c>
    </row>
    <row r="31" spans="1:17" x14ac:dyDescent="0.55000000000000004">
      <c r="A31" s="78" t="s">
        <v>53</v>
      </c>
      <c r="B31" s="78"/>
      <c r="C31" s="78"/>
      <c r="D31" s="78"/>
      <c r="E31" s="78"/>
      <c r="F31" s="78"/>
      <c r="G31" s="78"/>
    </row>
    <row r="32" spans="1:17" x14ac:dyDescent="0.55000000000000004">
      <c r="A32" t="s">
        <v>17</v>
      </c>
      <c r="B32" s="1"/>
      <c r="C32" s="77">
        <f>Dairy_Income_Baseline!E36</f>
        <v>8.9400961667126785E-2</v>
      </c>
      <c r="D32" s="77"/>
      <c r="E32" s="77">
        <f>Dairy_Income_Baseline!B36</f>
        <v>0.11494409357202014</v>
      </c>
      <c r="F32" s="77"/>
      <c r="G32" s="6">
        <f>Dairy_Income_Baseline!E36</f>
        <v>8.9400961667126785E-2</v>
      </c>
      <c r="K32" t="s">
        <v>28</v>
      </c>
      <c r="L32">
        <v>13</v>
      </c>
      <c r="M32" s="78"/>
      <c r="N32" s="78"/>
      <c r="O32" s="78"/>
      <c r="P32" s="78"/>
      <c r="Q32" s="1"/>
    </row>
    <row r="33" spans="1:12" x14ac:dyDescent="0.55000000000000004">
      <c r="B33" s="1"/>
      <c r="C33" s="78"/>
      <c r="D33" s="78"/>
      <c r="E33" s="78"/>
      <c r="F33" s="78"/>
      <c r="G33" s="1"/>
      <c r="K33" t="s">
        <v>50</v>
      </c>
      <c r="L33">
        <v>5</v>
      </c>
    </row>
    <row r="34" spans="1:12" x14ac:dyDescent="0.55000000000000004">
      <c r="A34" t="s">
        <v>0</v>
      </c>
      <c r="B34" s="1"/>
      <c r="C34" s="77">
        <f>C8*Dairy_Income_Baseline!E38/Dairy_Income_Baseline!B8</f>
        <v>482.38923622672843</v>
      </c>
      <c r="D34" s="77"/>
      <c r="E34" s="77">
        <f>E8*Dairy_Income_Baseline!E38/Dairy_Income_Baseline!D8</f>
        <v>38.601136012683426</v>
      </c>
      <c r="F34" s="77"/>
      <c r="G34" s="6">
        <f>G8*Dairy_Income_Baseline!E38/Dairy_Income_Baseline!D8</f>
        <v>158.9123536276422</v>
      </c>
    </row>
    <row r="35" spans="1:12" x14ac:dyDescent="0.55000000000000004">
      <c r="A35" t="s">
        <v>1</v>
      </c>
      <c r="B35" s="1"/>
      <c r="C35" s="77">
        <f>Dairy_Income_Baseline!E39</f>
        <v>64.36869240033127</v>
      </c>
      <c r="D35" s="77"/>
      <c r="E35" s="77">
        <f>Dairy_Income_Baseline!B39</f>
        <v>22.09480909773276</v>
      </c>
      <c r="F35" s="77"/>
      <c r="G35" s="6">
        <f>Dairy_Income_Baseline!E39</f>
        <v>64.36869240033127</v>
      </c>
      <c r="K35" t="s">
        <v>31</v>
      </c>
      <c r="L35" s="27">
        <f>Dairy_Income_Baseline!L36</f>
        <v>370.50312828047828</v>
      </c>
    </row>
    <row r="36" spans="1:12" x14ac:dyDescent="0.55000000000000004">
      <c r="A36" t="s">
        <v>2</v>
      </c>
      <c r="B36" s="1"/>
      <c r="C36" s="77">
        <f>Dairy_Income_Baseline!E40</f>
        <v>10.472684081006278</v>
      </c>
      <c r="D36" s="77"/>
      <c r="E36" s="77">
        <f>Dairy_Income_Baseline!B40</f>
        <v>11.62212501672648</v>
      </c>
      <c r="F36" s="77"/>
      <c r="G36" s="6">
        <f>Dairy_Income_Baseline!E40</f>
        <v>10.472684081006278</v>
      </c>
      <c r="K36" t="s">
        <v>23</v>
      </c>
      <c r="L36" s="18">
        <f>Dairy_Income_Baseline!L37</f>
        <v>0.53119613926232334</v>
      </c>
    </row>
    <row r="37" spans="1:12" x14ac:dyDescent="0.55000000000000004">
      <c r="A37" t="s">
        <v>5</v>
      </c>
      <c r="B37" s="1"/>
      <c r="C37" s="77">
        <f>Dairy_Income_Baseline!E41</f>
        <v>4.2146167643074044</v>
      </c>
      <c r="D37" s="77"/>
      <c r="E37" s="77">
        <f>Dairy_Income_Baseline!B41</f>
        <v>0.89400961667126766</v>
      </c>
      <c r="F37" s="77"/>
      <c r="G37" s="6">
        <f>Dairy_Income_Baseline!E41</f>
        <v>4.2146167643074044</v>
      </c>
      <c r="K37" t="s">
        <v>32</v>
      </c>
      <c r="L37" s="27">
        <f>Dairy_Income_Baseline!L38</f>
        <v>490.30041691442807</v>
      </c>
    </row>
    <row r="38" spans="1:12" x14ac:dyDescent="0.55000000000000004">
      <c r="A38" t="s">
        <v>3</v>
      </c>
      <c r="B38" s="1"/>
      <c r="C38" s="77">
        <f>Dairy_Income_Baseline!E42</f>
        <v>0</v>
      </c>
      <c r="D38" s="77"/>
      <c r="E38" s="77">
        <f>Dairy_Income_Baseline!B42</f>
        <v>0</v>
      </c>
      <c r="F38" s="77"/>
      <c r="G38" s="6">
        <f>Dairy_Income_Baseline!E42</f>
        <v>0</v>
      </c>
      <c r="K38" t="s">
        <v>23</v>
      </c>
      <c r="L38" s="18">
        <f>Dairy_Income_Baseline!L39</f>
        <v>0.4540244855431102</v>
      </c>
    </row>
    <row r="39" spans="1:12" x14ac:dyDescent="0.55000000000000004">
      <c r="C39" s="82"/>
      <c r="D39" s="82"/>
      <c r="E39" s="82"/>
      <c r="F39" s="82"/>
    </row>
    <row r="40" spans="1:12" x14ac:dyDescent="0.55000000000000004">
      <c r="B40" s="79" t="s">
        <v>54</v>
      </c>
      <c r="C40" s="79"/>
      <c r="D40" s="79"/>
      <c r="E40" s="79"/>
      <c r="F40" s="79"/>
      <c r="G40" s="79"/>
    </row>
    <row r="41" spans="1:12" x14ac:dyDescent="0.55000000000000004">
      <c r="A41" t="s">
        <v>9</v>
      </c>
      <c r="C41" s="83">
        <f ca="1">_xlfn.NORM.INV(RAND(),C3,C32)</f>
        <v>0.55625908245332734</v>
      </c>
      <c r="D41" s="83"/>
      <c r="E41" s="83">
        <f ca="1">_xlfn.NORM.INV(RAND(),E3,E32)</f>
        <v>0.50052676031910603</v>
      </c>
      <c r="F41" s="83"/>
      <c r="G41" s="66">
        <f ca="1">_xlfn.NORM.INV(RAND(),G3,G32)</f>
        <v>0.48213629471473657</v>
      </c>
    </row>
    <row r="42" spans="1:12" x14ac:dyDescent="0.55000000000000004">
      <c r="A42" t="s">
        <v>95</v>
      </c>
      <c r="C42" s="80">
        <f>C4*L22</f>
        <v>571.5106208120211</v>
      </c>
      <c r="D42" s="80"/>
      <c r="E42" s="80">
        <f>E4*L21</f>
        <v>136.39605490185028</v>
      </c>
      <c r="F42" s="80"/>
      <c r="G42" s="39">
        <f>G4*L22</f>
        <v>571.5106208120211</v>
      </c>
    </row>
    <row r="43" spans="1:12" x14ac:dyDescent="0.55000000000000004">
      <c r="C43" s="78"/>
      <c r="D43" s="78"/>
      <c r="E43" s="78"/>
      <c r="F43" s="78"/>
      <c r="G43" s="1"/>
    </row>
    <row r="44" spans="1:12" x14ac:dyDescent="0.55000000000000004">
      <c r="A44" t="s">
        <v>10</v>
      </c>
      <c r="C44" s="80">
        <f ca="1">_xlfn.NORM.INV(RAND(),C8,C34)</f>
        <v>481.26831565856071</v>
      </c>
      <c r="D44" s="80"/>
      <c r="E44" s="80">
        <f ca="1">_xlfn.NORM.INV(RAND(),E8,E34)</f>
        <v>38.668524362741643</v>
      </c>
      <c r="F44" s="80"/>
      <c r="G44" s="39">
        <f ca="1">_xlfn.NORM.INV(RAND(),G8,G34)</f>
        <v>343.40735239763819</v>
      </c>
    </row>
    <row r="45" spans="1:12" x14ac:dyDescent="0.55000000000000004">
      <c r="A45" t="s">
        <v>1</v>
      </c>
      <c r="C45" s="80">
        <f ca="1">_xlfn.NORM.INV(RAND(),C9,C35)</f>
        <v>66.398714467101257</v>
      </c>
      <c r="D45" s="80"/>
      <c r="E45" s="80">
        <f ca="1">_xlfn.NORM.INV(RAND(),E9,E35)</f>
        <v>-27.415887265540142</v>
      </c>
      <c r="F45" s="80"/>
      <c r="G45" s="39">
        <f ca="1">_xlfn.NORM.INV(RAND(),G9,G35)</f>
        <v>-31.745668620901775</v>
      </c>
    </row>
    <row r="46" spans="1:12" x14ac:dyDescent="0.55000000000000004">
      <c r="A46" t="s">
        <v>2</v>
      </c>
      <c r="C46" s="80">
        <f ca="1">_xlfn.NORM.INV(RAND(),C10,C36)</f>
        <v>27.03982155168336</v>
      </c>
      <c r="D46" s="80"/>
      <c r="E46" s="80">
        <f ca="1">_xlfn.NORM.INV(RAND(),E10,E36)</f>
        <v>5.7592479234303404</v>
      </c>
      <c r="F46" s="80"/>
      <c r="G46" s="39">
        <f ca="1">_xlfn.NORM.INV(RAND(),G10,G36)</f>
        <v>23.546631901840197</v>
      </c>
    </row>
    <row r="47" spans="1:12" x14ac:dyDescent="0.55000000000000004">
      <c r="A47" t="s">
        <v>12</v>
      </c>
      <c r="C47" s="80">
        <f ca="1">_xlfn.NORM.INV(RAND(),C11,C37)</f>
        <v>2.9777207223224229</v>
      </c>
      <c r="D47" s="80"/>
      <c r="E47" s="80">
        <f ca="1">_xlfn.NORM.INV(RAND(),E11,E37)</f>
        <v>5.9768691596200615E-2</v>
      </c>
      <c r="F47" s="80"/>
      <c r="G47" s="39">
        <f ca="1">_xlfn.NORM.INV(RAND(),G11,G37)</f>
        <v>-5.3018201281958213</v>
      </c>
    </row>
    <row r="48" spans="1:12" x14ac:dyDescent="0.55000000000000004">
      <c r="A48" t="s">
        <v>3</v>
      </c>
      <c r="C48" s="80">
        <v>1E-4</v>
      </c>
      <c r="D48" s="80"/>
      <c r="E48" s="80">
        <v>1E-4</v>
      </c>
      <c r="F48" s="80"/>
      <c r="G48" s="39">
        <v>1E-4</v>
      </c>
    </row>
    <row r="49" spans="1:7" x14ac:dyDescent="0.55000000000000004">
      <c r="C49" s="80"/>
      <c r="D49" s="80"/>
      <c r="E49" s="80"/>
      <c r="F49" s="80"/>
      <c r="G49" s="39"/>
    </row>
    <row r="50" spans="1:7" x14ac:dyDescent="0.55000000000000004">
      <c r="A50" s="2" t="s">
        <v>18</v>
      </c>
      <c r="C50" s="80">
        <f ca="1">SUM(C45:C48)</f>
        <v>96.416356741107037</v>
      </c>
      <c r="D50" s="80"/>
      <c r="E50" s="80">
        <f ca="1">SUM(E45:E48)</f>
        <v>-21.596770650513601</v>
      </c>
      <c r="F50" s="80"/>
      <c r="G50" s="39">
        <f ca="1">SUM(G45:G48)</f>
        <v>-13.500756847257399</v>
      </c>
    </row>
    <row r="51" spans="1:7" x14ac:dyDescent="0.55000000000000004">
      <c r="A51" s="2"/>
      <c r="C51" s="80"/>
      <c r="D51" s="80"/>
      <c r="E51" s="80"/>
      <c r="F51" s="80"/>
      <c r="G51" s="39"/>
    </row>
    <row r="52" spans="1:7" x14ac:dyDescent="0.55000000000000004">
      <c r="A52" s="2" t="s">
        <v>47</v>
      </c>
      <c r="C52" s="80">
        <f ca="1">C41*C42-C50</f>
        <v>221.4916168041193</v>
      </c>
      <c r="D52" s="80"/>
      <c r="E52" s="80">
        <f ca="1">E41*E42-E50</f>
        <v>89.866646130843648</v>
      </c>
      <c r="F52" s="80"/>
      <c r="G52" s="39">
        <f ca="1">G41*G42-G50</f>
        <v>289.04676995568406</v>
      </c>
    </row>
    <row r="53" spans="1:7" x14ac:dyDescent="0.55000000000000004">
      <c r="A53" s="2"/>
      <c r="C53" s="80"/>
      <c r="D53" s="80"/>
      <c r="E53" s="80"/>
      <c r="F53" s="80"/>
      <c r="G53" s="39"/>
    </row>
    <row r="54" spans="1:7" x14ac:dyDescent="0.55000000000000004">
      <c r="A54" s="2" t="s">
        <v>13</v>
      </c>
      <c r="C54" s="80">
        <f ca="1">AVERAGE(C58:C557)</f>
        <v>292.46073879730352</v>
      </c>
      <c r="D54" s="80"/>
      <c r="E54" s="80">
        <f ca="1">AVERAGE(E58:E557)</f>
        <v>51.482454453202628</v>
      </c>
      <c r="F54" s="80"/>
      <c r="G54" s="39">
        <f ca="1">AVERAGE(G58:G557)</f>
        <v>301.5365698766887</v>
      </c>
    </row>
    <row r="55" spans="1:7" x14ac:dyDescent="0.55000000000000004">
      <c r="A55" s="2" t="s">
        <v>11</v>
      </c>
      <c r="C55" s="80">
        <f ca="1">STDEVA(C58:C557)</f>
        <v>81.388033811893607</v>
      </c>
      <c r="D55" s="80"/>
      <c r="E55" s="80">
        <f t="shared" ref="E55:G55" ca="1" si="0">STDEVA(E58:E557)</f>
        <v>30.775819769492379</v>
      </c>
      <c r="F55" s="80"/>
      <c r="G55" s="39">
        <f t="shared" ca="1" si="0"/>
        <v>82.826543138729107</v>
      </c>
    </row>
    <row r="56" spans="1:7" x14ac:dyDescent="0.55000000000000004">
      <c r="C56" s="78"/>
      <c r="D56" s="78"/>
      <c r="E56" s="78"/>
      <c r="F56" s="78"/>
      <c r="G56" s="1"/>
    </row>
    <row r="57" spans="1:7" x14ac:dyDescent="0.55000000000000004">
      <c r="A57" s="2" t="s">
        <v>69</v>
      </c>
      <c r="C57" s="78"/>
      <c r="D57" s="78"/>
      <c r="E57" s="78"/>
      <c r="F57" s="78"/>
      <c r="G57" s="1"/>
    </row>
    <row r="58" spans="1:7" x14ac:dyDescent="0.55000000000000004">
      <c r="B58">
        <v>1</v>
      </c>
      <c r="C58" s="27">
        <f ca="1">C52</f>
        <v>221.4916168041193</v>
      </c>
      <c r="D58">
        <v>1</v>
      </c>
      <c r="E58" s="27">
        <f ca="1">E52</f>
        <v>89.866646130843648</v>
      </c>
      <c r="F58">
        <v>1</v>
      </c>
      <c r="G58" s="39">
        <f ca="1">G52</f>
        <v>289.04676995568406</v>
      </c>
    </row>
    <row r="59" spans="1:7" x14ac:dyDescent="0.55000000000000004">
      <c r="B59">
        <v>2</v>
      </c>
      <c r="C59" s="27">
        <f t="dataTable" ref="C59:C557" dt2D="0" dtr="0" r1="C57" ca="1"/>
        <v>297.63229074388511</v>
      </c>
      <c r="D59">
        <v>2</v>
      </c>
      <c r="E59" s="27">
        <f t="dataTable" ref="E59:E557" dt2D="0" dtr="0" r1="E57" ca="1"/>
        <v>46.824305676232669</v>
      </c>
      <c r="F59">
        <v>2</v>
      </c>
      <c r="G59" s="39">
        <f t="dataTable" ref="G59:G557" dt2D="0" dtr="0" r1="G57" ca="1"/>
        <v>468.6318514860539</v>
      </c>
    </row>
    <row r="60" spans="1:7" x14ac:dyDescent="0.55000000000000004">
      <c r="B60">
        <v>3</v>
      </c>
      <c r="C60" s="27">
        <v>379.16030318698796</v>
      </c>
      <c r="D60">
        <v>3</v>
      </c>
      <c r="E60" s="27">
        <v>22.999840863037512</v>
      </c>
      <c r="F60">
        <v>3</v>
      </c>
      <c r="G60" s="39">
        <v>274.44545861819944</v>
      </c>
    </row>
    <row r="61" spans="1:7" x14ac:dyDescent="0.55000000000000004">
      <c r="B61">
        <v>4</v>
      </c>
      <c r="C61" s="27">
        <v>298.3685957501682</v>
      </c>
      <c r="D61">
        <v>4</v>
      </c>
      <c r="E61" s="27">
        <v>42.9321065068834</v>
      </c>
      <c r="F61">
        <v>4</v>
      </c>
      <c r="G61" s="39">
        <v>360.33682159047362</v>
      </c>
    </row>
    <row r="62" spans="1:7" x14ac:dyDescent="0.55000000000000004">
      <c r="B62">
        <v>5</v>
      </c>
      <c r="C62" s="27">
        <v>253.02625104159853</v>
      </c>
      <c r="D62">
        <v>5</v>
      </c>
      <c r="E62" s="27">
        <v>86.588551202101485</v>
      </c>
      <c r="F62">
        <v>5</v>
      </c>
      <c r="G62" s="39">
        <v>193.67636713912538</v>
      </c>
    </row>
    <row r="63" spans="1:7" x14ac:dyDescent="0.55000000000000004">
      <c r="B63">
        <v>6</v>
      </c>
      <c r="C63" s="27">
        <v>387.39813466274563</v>
      </c>
      <c r="D63">
        <v>6</v>
      </c>
      <c r="E63" s="27">
        <v>66.945568380004786</v>
      </c>
      <c r="F63">
        <v>6</v>
      </c>
      <c r="G63" s="39">
        <v>118.4536866990114</v>
      </c>
    </row>
    <row r="64" spans="1:7" x14ac:dyDescent="0.55000000000000004">
      <c r="B64">
        <v>7</v>
      </c>
      <c r="C64" s="27">
        <v>223.97116660955498</v>
      </c>
      <c r="D64">
        <v>7</v>
      </c>
      <c r="E64" s="27">
        <v>16.024843396620284</v>
      </c>
      <c r="F64">
        <v>7</v>
      </c>
      <c r="G64" s="39">
        <v>238.47550442320875</v>
      </c>
    </row>
    <row r="65" spans="2:7" x14ac:dyDescent="0.55000000000000004">
      <c r="B65">
        <v>8</v>
      </c>
      <c r="C65" s="27">
        <v>340.05377159088238</v>
      </c>
      <c r="D65">
        <v>8</v>
      </c>
      <c r="E65" s="27">
        <v>48.686771524040012</v>
      </c>
      <c r="F65">
        <v>8</v>
      </c>
      <c r="G65" s="39">
        <v>319.06919032610807</v>
      </c>
    </row>
    <row r="66" spans="2:7" x14ac:dyDescent="0.55000000000000004">
      <c r="B66">
        <v>9</v>
      </c>
      <c r="C66" s="27">
        <v>317.80699037032923</v>
      </c>
      <c r="D66">
        <v>9</v>
      </c>
      <c r="E66" s="27">
        <v>63.362690914217616</v>
      </c>
      <c r="F66">
        <v>9</v>
      </c>
      <c r="G66" s="39">
        <v>297.30427391161322</v>
      </c>
    </row>
    <row r="67" spans="2:7" x14ac:dyDescent="0.55000000000000004">
      <c r="B67">
        <v>10</v>
      </c>
      <c r="C67" s="27">
        <v>284.50999749814736</v>
      </c>
      <c r="D67">
        <v>10</v>
      </c>
      <c r="E67" s="27">
        <v>19.361963307521304</v>
      </c>
      <c r="F67">
        <v>10</v>
      </c>
      <c r="G67" s="39">
        <v>163.48136094142339</v>
      </c>
    </row>
    <row r="68" spans="2:7" x14ac:dyDescent="0.55000000000000004">
      <c r="B68">
        <v>11</v>
      </c>
      <c r="C68" s="27">
        <v>268.5218271946398</v>
      </c>
      <c r="D68">
        <v>11</v>
      </c>
      <c r="E68" s="27">
        <v>26.280081415279295</v>
      </c>
      <c r="F68">
        <v>11</v>
      </c>
      <c r="G68" s="39">
        <v>341.72617891812479</v>
      </c>
    </row>
    <row r="69" spans="2:7" x14ac:dyDescent="0.55000000000000004">
      <c r="B69">
        <v>12</v>
      </c>
      <c r="C69" s="27">
        <v>302.92654771659744</v>
      </c>
      <c r="D69">
        <v>12</v>
      </c>
      <c r="E69" s="27">
        <v>58.757853767569969</v>
      </c>
      <c r="F69">
        <v>12</v>
      </c>
      <c r="G69" s="39">
        <v>356.23434469982601</v>
      </c>
    </row>
    <row r="70" spans="2:7" x14ac:dyDescent="0.55000000000000004">
      <c r="B70">
        <v>13</v>
      </c>
      <c r="C70" s="27">
        <v>229.8174670691165</v>
      </c>
      <c r="D70">
        <v>13</v>
      </c>
      <c r="E70" s="27">
        <v>23.866737574443874</v>
      </c>
      <c r="F70">
        <v>13</v>
      </c>
      <c r="G70" s="39">
        <v>394.48135618686189</v>
      </c>
    </row>
    <row r="71" spans="2:7" x14ac:dyDescent="0.55000000000000004">
      <c r="B71">
        <v>14</v>
      </c>
      <c r="C71" s="27">
        <v>86.887592817980206</v>
      </c>
      <c r="D71">
        <v>14</v>
      </c>
      <c r="E71" s="27">
        <v>19.182038405658197</v>
      </c>
      <c r="F71">
        <v>14</v>
      </c>
      <c r="G71" s="39">
        <v>365.03310436986391</v>
      </c>
    </row>
    <row r="72" spans="2:7" x14ac:dyDescent="0.55000000000000004">
      <c r="B72">
        <v>15</v>
      </c>
      <c r="C72" s="27">
        <v>367.63575094172307</v>
      </c>
      <c r="D72">
        <v>15</v>
      </c>
      <c r="E72" s="27">
        <v>62.8600651036854</v>
      </c>
      <c r="F72">
        <v>15</v>
      </c>
      <c r="G72" s="39">
        <v>172.55368111868356</v>
      </c>
    </row>
    <row r="73" spans="2:7" x14ac:dyDescent="0.55000000000000004">
      <c r="B73">
        <v>16</v>
      </c>
      <c r="C73" s="27">
        <v>325.70283768987406</v>
      </c>
      <c r="D73">
        <v>16</v>
      </c>
      <c r="E73" s="27">
        <v>26.975400159369492</v>
      </c>
      <c r="F73">
        <v>16</v>
      </c>
      <c r="G73" s="39">
        <v>358.33874187062531</v>
      </c>
    </row>
    <row r="74" spans="2:7" x14ac:dyDescent="0.55000000000000004">
      <c r="B74">
        <v>17</v>
      </c>
      <c r="C74" s="27">
        <v>369.5778583947324</v>
      </c>
      <c r="D74">
        <v>17</v>
      </c>
      <c r="E74" s="27">
        <v>71.824347978262807</v>
      </c>
      <c r="F74">
        <v>17</v>
      </c>
      <c r="G74" s="39">
        <v>248.55274955610241</v>
      </c>
    </row>
    <row r="75" spans="2:7" x14ac:dyDescent="0.55000000000000004">
      <c r="B75">
        <v>18</v>
      </c>
      <c r="C75" s="27">
        <v>422.11907648641227</v>
      </c>
      <c r="D75">
        <v>18</v>
      </c>
      <c r="E75" s="27">
        <v>66.807366941718456</v>
      </c>
      <c r="F75">
        <v>18</v>
      </c>
      <c r="G75" s="39">
        <v>312.62501276147498</v>
      </c>
    </row>
    <row r="76" spans="2:7" x14ac:dyDescent="0.55000000000000004">
      <c r="B76">
        <v>19</v>
      </c>
      <c r="C76" s="27">
        <v>182.14231278452127</v>
      </c>
      <c r="D76">
        <v>19</v>
      </c>
      <c r="E76" s="27">
        <v>67.299378908722048</v>
      </c>
      <c r="F76">
        <v>19</v>
      </c>
      <c r="G76" s="39">
        <v>396.12698418190655</v>
      </c>
    </row>
    <row r="77" spans="2:7" x14ac:dyDescent="0.55000000000000004">
      <c r="B77">
        <v>20</v>
      </c>
      <c r="C77" s="27">
        <v>340.20883349792467</v>
      </c>
      <c r="D77">
        <v>20</v>
      </c>
      <c r="E77" s="27">
        <v>105.52311714658705</v>
      </c>
      <c r="F77">
        <v>20</v>
      </c>
      <c r="G77" s="39">
        <v>221.02141096653779</v>
      </c>
    </row>
    <row r="78" spans="2:7" x14ac:dyDescent="0.55000000000000004">
      <c r="B78">
        <v>21</v>
      </c>
      <c r="C78" s="27">
        <v>208.17239206699492</v>
      </c>
      <c r="D78">
        <v>21</v>
      </c>
      <c r="E78" s="27">
        <v>47.076099499354882</v>
      </c>
      <c r="F78">
        <v>21</v>
      </c>
      <c r="G78" s="39">
        <v>256.24096833243937</v>
      </c>
    </row>
    <row r="79" spans="2:7" x14ac:dyDescent="0.55000000000000004">
      <c r="B79">
        <v>22</v>
      </c>
      <c r="C79" s="27">
        <v>227.65911967448844</v>
      </c>
      <c r="D79">
        <v>22</v>
      </c>
      <c r="E79" s="27">
        <v>40.685727666774362</v>
      </c>
      <c r="F79">
        <v>22</v>
      </c>
      <c r="G79" s="39">
        <v>264.51171381545265</v>
      </c>
    </row>
    <row r="80" spans="2:7" x14ac:dyDescent="0.55000000000000004">
      <c r="B80">
        <v>23</v>
      </c>
      <c r="C80" s="27">
        <v>372.62800403509681</v>
      </c>
      <c r="D80">
        <v>23</v>
      </c>
      <c r="E80" s="27">
        <v>61.323305049201579</v>
      </c>
      <c r="F80">
        <v>23</v>
      </c>
      <c r="G80" s="39">
        <v>175.01891489571091</v>
      </c>
    </row>
    <row r="81" spans="2:7" x14ac:dyDescent="0.55000000000000004">
      <c r="B81">
        <v>24</v>
      </c>
      <c r="C81" s="27">
        <v>227.6452162446509</v>
      </c>
      <c r="D81">
        <v>24</v>
      </c>
      <c r="E81" s="27">
        <v>95.620481809431453</v>
      </c>
      <c r="F81">
        <v>24</v>
      </c>
      <c r="G81" s="39">
        <v>341.16517696432498</v>
      </c>
    </row>
    <row r="82" spans="2:7" x14ac:dyDescent="0.55000000000000004">
      <c r="B82">
        <v>25</v>
      </c>
      <c r="C82" s="27">
        <v>402.52539310576543</v>
      </c>
      <c r="D82">
        <v>25</v>
      </c>
      <c r="E82" s="27">
        <v>57.37284801282491</v>
      </c>
      <c r="F82">
        <v>25</v>
      </c>
      <c r="G82" s="39">
        <v>192.00168251642083</v>
      </c>
    </row>
    <row r="83" spans="2:7" x14ac:dyDescent="0.55000000000000004">
      <c r="B83">
        <v>26</v>
      </c>
      <c r="C83" s="27">
        <v>334.40382170590289</v>
      </c>
      <c r="D83">
        <v>26</v>
      </c>
      <c r="E83" s="27">
        <v>24.256317454409018</v>
      </c>
      <c r="F83">
        <v>26</v>
      </c>
      <c r="G83" s="39">
        <v>303.92774245949192</v>
      </c>
    </row>
    <row r="84" spans="2:7" x14ac:dyDescent="0.55000000000000004">
      <c r="B84">
        <v>27</v>
      </c>
      <c r="C84" s="27">
        <v>293.20439005021791</v>
      </c>
      <c r="D84">
        <v>27</v>
      </c>
      <c r="E84" s="27">
        <v>43.060094792351585</v>
      </c>
      <c r="F84">
        <v>27</v>
      </c>
      <c r="G84" s="39">
        <v>258.49510120714973</v>
      </c>
    </row>
    <row r="85" spans="2:7" x14ac:dyDescent="0.55000000000000004">
      <c r="B85">
        <v>28</v>
      </c>
      <c r="C85" s="27">
        <v>298.26794019199082</v>
      </c>
      <c r="D85">
        <v>28</v>
      </c>
      <c r="E85" s="27">
        <v>94.891546953629799</v>
      </c>
      <c r="F85">
        <v>28</v>
      </c>
      <c r="G85" s="39">
        <v>303.32126598522774</v>
      </c>
    </row>
    <row r="86" spans="2:7" x14ac:dyDescent="0.55000000000000004">
      <c r="B86">
        <v>29</v>
      </c>
      <c r="C86" s="27">
        <v>454.93343830203673</v>
      </c>
      <c r="D86">
        <v>29</v>
      </c>
      <c r="E86" s="27">
        <v>86.011157881671338</v>
      </c>
      <c r="F86">
        <v>29</v>
      </c>
      <c r="G86" s="39">
        <v>331.27435593265193</v>
      </c>
    </row>
    <row r="87" spans="2:7" x14ac:dyDescent="0.55000000000000004">
      <c r="B87">
        <v>30</v>
      </c>
      <c r="C87" s="27">
        <v>194.41676127066171</v>
      </c>
      <c r="D87">
        <v>30</v>
      </c>
      <c r="E87" s="27">
        <v>46.447939404512596</v>
      </c>
      <c r="F87">
        <v>30</v>
      </c>
      <c r="G87" s="39">
        <v>300.14440410946685</v>
      </c>
    </row>
    <row r="88" spans="2:7" x14ac:dyDescent="0.55000000000000004">
      <c r="B88">
        <v>31</v>
      </c>
      <c r="C88" s="27">
        <v>318.76201782517632</v>
      </c>
      <c r="D88">
        <v>31</v>
      </c>
      <c r="E88" s="27">
        <v>66.483207907663513</v>
      </c>
      <c r="F88">
        <v>31</v>
      </c>
      <c r="G88" s="39">
        <v>323.54240779346588</v>
      </c>
    </row>
    <row r="89" spans="2:7" x14ac:dyDescent="0.55000000000000004">
      <c r="B89">
        <v>32</v>
      </c>
      <c r="C89" s="27">
        <v>316.65905822105407</v>
      </c>
      <c r="D89">
        <v>32</v>
      </c>
      <c r="E89" s="27">
        <v>99.141360126875298</v>
      </c>
      <c r="F89">
        <v>32</v>
      </c>
      <c r="G89" s="39">
        <v>235.64816738920905</v>
      </c>
    </row>
    <row r="90" spans="2:7" x14ac:dyDescent="0.55000000000000004">
      <c r="B90">
        <v>33</v>
      </c>
      <c r="C90" s="27">
        <v>322.75640563869524</v>
      </c>
      <c r="D90">
        <v>33</v>
      </c>
      <c r="E90" s="27">
        <v>93.505385500963968</v>
      </c>
      <c r="F90">
        <v>33</v>
      </c>
      <c r="G90" s="39">
        <v>271.88740193324065</v>
      </c>
    </row>
    <row r="91" spans="2:7" x14ac:dyDescent="0.55000000000000004">
      <c r="B91">
        <v>34</v>
      </c>
      <c r="C91" s="27">
        <v>178.14660596297188</v>
      </c>
      <c r="D91">
        <v>34</v>
      </c>
      <c r="E91" s="27">
        <v>59.758126048809629</v>
      </c>
      <c r="F91">
        <v>34</v>
      </c>
      <c r="G91" s="39">
        <v>366.63903010195787</v>
      </c>
    </row>
    <row r="92" spans="2:7" x14ac:dyDescent="0.55000000000000004">
      <c r="B92">
        <v>35</v>
      </c>
      <c r="C92" s="27">
        <v>385.23373143201661</v>
      </c>
      <c r="D92">
        <v>35</v>
      </c>
      <c r="E92" s="27">
        <v>27.953919137861835</v>
      </c>
      <c r="F92">
        <v>35</v>
      </c>
      <c r="G92" s="39">
        <v>325.96097478673039</v>
      </c>
    </row>
    <row r="93" spans="2:7" x14ac:dyDescent="0.55000000000000004">
      <c r="B93">
        <v>36</v>
      </c>
      <c r="C93" s="27">
        <v>286.58864278019814</v>
      </c>
      <c r="D93">
        <v>36</v>
      </c>
      <c r="E93" s="27">
        <v>34.124856345211789</v>
      </c>
      <c r="F93">
        <v>36</v>
      </c>
      <c r="G93" s="39">
        <v>206.64401307567695</v>
      </c>
    </row>
    <row r="94" spans="2:7" x14ac:dyDescent="0.55000000000000004">
      <c r="B94">
        <v>37</v>
      </c>
      <c r="C94" s="27">
        <v>237.55380742824454</v>
      </c>
      <c r="D94">
        <v>37</v>
      </c>
      <c r="E94" s="27">
        <v>47.46716731370465</v>
      </c>
      <c r="F94">
        <v>37</v>
      </c>
      <c r="G94" s="39">
        <v>311.06174285521848</v>
      </c>
    </row>
    <row r="95" spans="2:7" x14ac:dyDescent="0.55000000000000004">
      <c r="B95">
        <v>38</v>
      </c>
      <c r="C95" s="27">
        <v>135.42386969879274</v>
      </c>
      <c r="D95">
        <v>38</v>
      </c>
      <c r="E95" s="27">
        <v>42.152301161079514</v>
      </c>
      <c r="F95">
        <v>38</v>
      </c>
      <c r="G95" s="39">
        <v>345.30243067688434</v>
      </c>
    </row>
    <row r="96" spans="2:7" x14ac:dyDescent="0.55000000000000004">
      <c r="B96">
        <v>39</v>
      </c>
      <c r="C96" s="27">
        <v>249.06803645995998</v>
      </c>
      <c r="D96">
        <v>39</v>
      </c>
      <c r="E96" s="27">
        <v>13.604974429065805</v>
      </c>
      <c r="F96">
        <v>39</v>
      </c>
      <c r="G96" s="39">
        <v>295.26352868503307</v>
      </c>
    </row>
    <row r="97" spans="2:7" x14ac:dyDescent="0.55000000000000004">
      <c r="B97">
        <v>40</v>
      </c>
      <c r="C97" s="27">
        <v>78.513610065283956</v>
      </c>
      <c r="D97">
        <v>40</v>
      </c>
      <c r="E97" s="27">
        <v>42.330868776089446</v>
      </c>
      <c r="F97">
        <v>40</v>
      </c>
      <c r="G97" s="39">
        <v>148.73486665490177</v>
      </c>
    </row>
    <row r="98" spans="2:7" x14ac:dyDescent="0.55000000000000004">
      <c r="B98">
        <v>41</v>
      </c>
      <c r="C98" s="27">
        <v>284.25392541596045</v>
      </c>
      <c r="D98">
        <v>41</v>
      </c>
      <c r="E98" s="27">
        <v>21.631252497129307</v>
      </c>
      <c r="F98">
        <v>41</v>
      </c>
      <c r="G98" s="39">
        <v>315.96888479430413</v>
      </c>
    </row>
    <row r="99" spans="2:7" x14ac:dyDescent="0.55000000000000004">
      <c r="B99">
        <v>42</v>
      </c>
      <c r="C99" s="27">
        <v>219.19417687602956</v>
      </c>
      <c r="D99">
        <v>42</v>
      </c>
      <c r="E99" s="27">
        <v>31.699591990977222</v>
      </c>
      <c r="F99">
        <v>42</v>
      </c>
      <c r="G99" s="39">
        <v>380.46147480847816</v>
      </c>
    </row>
    <row r="100" spans="2:7" x14ac:dyDescent="0.55000000000000004">
      <c r="B100">
        <v>43</v>
      </c>
      <c r="C100" s="27">
        <v>286.25285761457008</v>
      </c>
      <c r="D100">
        <v>43</v>
      </c>
      <c r="E100" s="27">
        <v>124.30185055693002</v>
      </c>
      <c r="F100">
        <v>43</v>
      </c>
      <c r="G100" s="39">
        <v>398.82017685654966</v>
      </c>
    </row>
    <row r="101" spans="2:7" x14ac:dyDescent="0.55000000000000004">
      <c r="B101">
        <v>44</v>
      </c>
      <c r="C101" s="27">
        <v>321.1451215669203</v>
      </c>
      <c r="D101">
        <v>44</v>
      </c>
      <c r="E101" s="27">
        <v>42.896967835623428</v>
      </c>
      <c r="F101">
        <v>44</v>
      </c>
      <c r="G101" s="39">
        <v>357.1665223683986</v>
      </c>
    </row>
    <row r="102" spans="2:7" x14ac:dyDescent="0.55000000000000004">
      <c r="B102">
        <v>45</v>
      </c>
      <c r="C102" s="27">
        <v>279.41031420671465</v>
      </c>
      <c r="D102">
        <v>45</v>
      </c>
      <c r="E102" s="27">
        <v>59.647438402781489</v>
      </c>
      <c r="F102">
        <v>45</v>
      </c>
      <c r="G102" s="39">
        <v>197.89421639898404</v>
      </c>
    </row>
    <row r="103" spans="2:7" x14ac:dyDescent="0.55000000000000004">
      <c r="B103">
        <v>46</v>
      </c>
      <c r="C103" s="27">
        <v>443.75544212603086</v>
      </c>
      <c r="D103">
        <v>46</v>
      </c>
      <c r="E103" s="27">
        <v>45.061609689341211</v>
      </c>
      <c r="F103">
        <v>46</v>
      </c>
      <c r="G103" s="39">
        <v>277.97497365091743</v>
      </c>
    </row>
    <row r="104" spans="2:7" x14ac:dyDescent="0.55000000000000004">
      <c r="B104">
        <v>47</v>
      </c>
      <c r="C104" s="27">
        <v>468.33432799502037</v>
      </c>
      <c r="D104">
        <v>47</v>
      </c>
      <c r="E104" s="27">
        <v>47.107936935774077</v>
      </c>
      <c r="F104">
        <v>47</v>
      </c>
      <c r="G104" s="39">
        <v>285.30523021740942</v>
      </c>
    </row>
    <row r="105" spans="2:7" x14ac:dyDescent="0.55000000000000004">
      <c r="B105">
        <v>48</v>
      </c>
      <c r="C105" s="27">
        <v>306.15170615003831</v>
      </c>
      <c r="D105">
        <v>48</v>
      </c>
      <c r="E105" s="27">
        <v>44.885043747603447</v>
      </c>
      <c r="F105">
        <v>48</v>
      </c>
      <c r="G105" s="39">
        <v>351.49180180950196</v>
      </c>
    </row>
    <row r="106" spans="2:7" x14ac:dyDescent="0.55000000000000004">
      <c r="B106">
        <v>49</v>
      </c>
      <c r="C106" s="27">
        <v>177.14822819096543</v>
      </c>
      <c r="D106">
        <v>49</v>
      </c>
      <c r="E106" s="27">
        <v>85.334396018683478</v>
      </c>
      <c r="F106">
        <v>49</v>
      </c>
      <c r="G106" s="39">
        <v>292.70582142361616</v>
      </c>
    </row>
    <row r="107" spans="2:7" x14ac:dyDescent="0.55000000000000004">
      <c r="B107">
        <v>50</v>
      </c>
      <c r="C107" s="27">
        <v>245.80251470767925</v>
      </c>
      <c r="D107">
        <v>50</v>
      </c>
      <c r="E107" s="27">
        <v>21.75113425523962</v>
      </c>
      <c r="F107">
        <v>50</v>
      </c>
      <c r="G107" s="39">
        <v>374.36741199377013</v>
      </c>
    </row>
    <row r="108" spans="2:7" x14ac:dyDescent="0.55000000000000004">
      <c r="B108">
        <v>51</v>
      </c>
      <c r="C108" s="27">
        <v>335.49761435277441</v>
      </c>
      <c r="D108">
        <v>51</v>
      </c>
      <c r="E108" s="27">
        <v>11.347428188563455</v>
      </c>
      <c r="F108">
        <v>51</v>
      </c>
      <c r="G108" s="39">
        <v>298.19793681567654</v>
      </c>
    </row>
    <row r="109" spans="2:7" x14ac:dyDescent="0.55000000000000004">
      <c r="B109">
        <v>52</v>
      </c>
      <c r="C109" s="27">
        <v>260.78272038905016</v>
      </c>
      <c r="D109">
        <v>52</v>
      </c>
      <c r="E109" s="27">
        <v>9.8142855966291123</v>
      </c>
      <c r="F109">
        <v>52</v>
      </c>
      <c r="G109" s="39">
        <v>230.56726473456871</v>
      </c>
    </row>
    <row r="110" spans="2:7" x14ac:dyDescent="0.55000000000000004">
      <c r="B110">
        <v>53</v>
      </c>
      <c r="C110" s="27">
        <v>412.13163899670639</v>
      </c>
      <c r="D110">
        <v>53</v>
      </c>
      <c r="E110" s="27">
        <v>73.770984066645681</v>
      </c>
      <c r="F110">
        <v>53</v>
      </c>
      <c r="G110" s="39">
        <v>147.70252933999251</v>
      </c>
    </row>
    <row r="111" spans="2:7" x14ac:dyDescent="0.55000000000000004">
      <c r="B111">
        <v>54</v>
      </c>
      <c r="C111" s="27">
        <v>293.02309448020424</v>
      </c>
      <c r="D111">
        <v>54</v>
      </c>
      <c r="E111" s="27">
        <v>66.174829229017789</v>
      </c>
      <c r="F111">
        <v>54</v>
      </c>
      <c r="G111" s="39">
        <v>404.41053632763567</v>
      </c>
    </row>
    <row r="112" spans="2:7" x14ac:dyDescent="0.55000000000000004">
      <c r="B112">
        <v>55</v>
      </c>
      <c r="C112" s="27">
        <v>188.44038592564178</v>
      </c>
      <c r="D112">
        <v>55</v>
      </c>
      <c r="E112" s="27">
        <v>62.517531072330314</v>
      </c>
      <c r="F112">
        <v>55</v>
      </c>
      <c r="G112" s="39">
        <v>338.33360948419732</v>
      </c>
    </row>
    <row r="113" spans="2:7" x14ac:dyDescent="0.55000000000000004">
      <c r="B113">
        <v>56</v>
      </c>
      <c r="C113" s="27">
        <v>277.69024034165261</v>
      </c>
      <c r="D113">
        <v>56</v>
      </c>
      <c r="E113" s="27">
        <v>15.830932766482075</v>
      </c>
      <c r="F113">
        <v>56</v>
      </c>
      <c r="G113" s="39">
        <v>530.07925998682424</v>
      </c>
    </row>
    <row r="114" spans="2:7" x14ac:dyDescent="0.55000000000000004">
      <c r="B114">
        <v>57</v>
      </c>
      <c r="C114" s="27">
        <v>385.00662960222911</v>
      </c>
      <c r="D114">
        <v>57</v>
      </c>
      <c r="E114" s="27">
        <v>57.326506414189168</v>
      </c>
      <c r="F114">
        <v>57</v>
      </c>
      <c r="G114" s="39">
        <v>217.40623058124677</v>
      </c>
    </row>
    <row r="115" spans="2:7" x14ac:dyDescent="0.55000000000000004">
      <c r="B115">
        <v>58</v>
      </c>
      <c r="C115" s="27">
        <v>284.38955419840852</v>
      </c>
      <c r="D115">
        <v>58</v>
      </c>
      <c r="E115" s="27">
        <v>2.5357910343496286</v>
      </c>
      <c r="F115">
        <v>58</v>
      </c>
      <c r="G115" s="39">
        <v>336.02968465348783</v>
      </c>
    </row>
    <row r="116" spans="2:7" x14ac:dyDescent="0.55000000000000004">
      <c r="B116">
        <v>59</v>
      </c>
      <c r="C116" s="27">
        <v>207.78475353697564</v>
      </c>
      <c r="D116">
        <v>59</v>
      </c>
      <c r="E116" s="27">
        <v>17.817248699608967</v>
      </c>
      <c r="F116">
        <v>59</v>
      </c>
      <c r="G116" s="39">
        <v>294.18984524584732</v>
      </c>
    </row>
    <row r="117" spans="2:7" x14ac:dyDescent="0.55000000000000004">
      <c r="B117">
        <v>60</v>
      </c>
      <c r="C117" s="27">
        <v>418.5147869944193</v>
      </c>
      <c r="D117">
        <v>60</v>
      </c>
      <c r="E117" s="27">
        <v>64.590606929847752</v>
      </c>
      <c r="F117">
        <v>60</v>
      </c>
      <c r="G117" s="39">
        <v>227.67227404131162</v>
      </c>
    </row>
    <row r="118" spans="2:7" x14ac:dyDescent="0.55000000000000004">
      <c r="B118">
        <v>61</v>
      </c>
      <c r="C118" s="27">
        <v>335.37126214285468</v>
      </c>
      <c r="D118">
        <v>61</v>
      </c>
      <c r="E118" s="27">
        <v>62.351142674728962</v>
      </c>
      <c r="F118">
        <v>61</v>
      </c>
      <c r="G118" s="39">
        <v>139.30684157796424</v>
      </c>
    </row>
    <row r="119" spans="2:7" x14ac:dyDescent="0.55000000000000004">
      <c r="B119">
        <v>62</v>
      </c>
      <c r="C119" s="27">
        <v>294.3142476373277</v>
      </c>
      <c r="D119">
        <v>62</v>
      </c>
      <c r="E119" s="27">
        <v>19.681912038761176</v>
      </c>
      <c r="F119">
        <v>62</v>
      </c>
      <c r="G119" s="39">
        <v>388.08565852700355</v>
      </c>
    </row>
    <row r="120" spans="2:7" x14ac:dyDescent="0.55000000000000004">
      <c r="B120">
        <v>63</v>
      </c>
      <c r="C120" s="27">
        <v>307.74888580745073</v>
      </c>
      <c r="D120">
        <v>63</v>
      </c>
      <c r="E120" s="27">
        <v>28.312972140804213</v>
      </c>
      <c r="F120">
        <v>63</v>
      </c>
      <c r="G120" s="39">
        <v>347.42529070594446</v>
      </c>
    </row>
    <row r="121" spans="2:7" x14ac:dyDescent="0.55000000000000004">
      <c r="B121">
        <v>64</v>
      </c>
      <c r="C121" s="27">
        <v>200.11828560557137</v>
      </c>
      <c r="D121">
        <v>64</v>
      </c>
      <c r="E121" s="27">
        <v>22.009433537421931</v>
      </c>
      <c r="F121">
        <v>64</v>
      </c>
      <c r="G121" s="39">
        <v>416.24819164336935</v>
      </c>
    </row>
    <row r="122" spans="2:7" x14ac:dyDescent="0.55000000000000004">
      <c r="B122">
        <v>65</v>
      </c>
      <c r="C122" s="27">
        <v>288.84402693679039</v>
      </c>
      <c r="D122">
        <v>65</v>
      </c>
      <c r="E122" s="27">
        <v>68.606138715145164</v>
      </c>
      <c r="F122">
        <v>65</v>
      </c>
      <c r="G122" s="39">
        <v>379.28294056006058</v>
      </c>
    </row>
    <row r="123" spans="2:7" x14ac:dyDescent="0.55000000000000004">
      <c r="B123">
        <v>66</v>
      </c>
      <c r="C123" s="27">
        <v>337.5559702359825</v>
      </c>
      <c r="D123">
        <v>66</v>
      </c>
      <c r="E123" s="27">
        <v>51.109325220303155</v>
      </c>
      <c r="F123">
        <v>66</v>
      </c>
      <c r="G123" s="39">
        <v>321.5395351339842</v>
      </c>
    </row>
    <row r="124" spans="2:7" x14ac:dyDescent="0.55000000000000004">
      <c r="B124">
        <v>67</v>
      </c>
      <c r="C124" s="27">
        <v>342.5698861357638</v>
      </c>
      <c r="D124">
        <v>67</v>
      </c>
      <c r="E124" s="27">
        <v>39.510039860190588</v>
      </c>
      <c r="F124">
        <v>67</v>
      </c>
      <c r="G124" s="39">
        <v>230.67291982269964</v>
      </c>
    </row>
    <row r="125" spans="2:7" x14ac:dyDescent="0.55000000000000004">
      <c r="B125">
        <v>68</v>
      </c>
      <c r="C125" s="27">
        <v>232.18497704124064</v>
      </c>
      <c r="D125">
        <v>68</v>
      </c>
      <c r="E125" s="27">
        <v>98.384713264925324</v>
      </c>
      <c r="F125">
        <v>68</v>
      </c>
      <c r="G125" s="39">
        <v>430.79118955650893</v>
      </c>
    </row>
    <row r="126" spans="2:7" x14ac:dyDescent="0.55000000000000004">
      <c r="B126">
        <v>69</v>
      </c>
      <c r="C126" s="27">
        <v>287.69646575817683</v>
      </c>
      <c r="D126">
        <v>69</v>
      </c>
      <c r="E126" s="27">
        <v>85.918958969820977</v>
      </c>
      <c r="F126">
        <v>69</v>
      </c>
      <c r="G126" s="39">
        <v>363.82399720516821</v>
      </c>
    </row>
    <row r="127" spans="2:7" x14ac:dyDescent="0.55000000000000004">
      <c r="B127">
        <v>70</v>
      </c>
      <c r="C127" s="27">
        <v>291.27588073387818</v>
      </c>
      <c r="D127">
        <v>70</v>
      </c>
      <c r="E127" s="27">
        <v>20.078255857155789</v>
      </c>
      <c r="F127">
        <v>70</v>
      </c>
      <c r="G127" s="39">
        <v>272.05117921317259</v>
      </c>
    </row>
    <row r="128" spans="2:7" x14ac:dyDescent="0.55000000000000004">
      <c r="B128">
        <v>71</v>
      </c>
      <c r="C128" s="27">
        <v>145.60940440203728</v>
      </c>
      <c r="D128">
        <v>71</v>
      </c>
      <c r="E128" s="27">
        <v>62.417018030347947</v>
      </c>
      <c r="F128">
        <v>71</v>
      </c>
      <c r="G128" s="39">
        <v>250.18681517882237</v>
      </c>
    </row>
    <row r="129" spans="2:7" x14ac:dyDescent="0.55000000000000004">
      <c r="B129">
        <v>72</v>
      </c>
      <c r="C129" s="27">
        <v>439.30228549643346</v>
      </c>
      <c r="D129">
        <v>72</v>
      </c>
      <c r="E129" s="27">
        <v>49.672924600614046</v>
      </c>
      <c r="F129">
        <v>72</v>
      </c>
      <c r="G129" s="39">
        <v>240.54315932340108</v>
      </c>
    </row>
    <row r="130" spans="2:7" x14ac:dyDescent="0.55000000000000004">
      <c r="B130">
        <v>73</v>
      </c>
      <c r="C130" s="27">
        <v>408.37070822245255</v>
      </c>
      <c r="D130">
        <v>73</v>
      </c>
      <c r="E130" s="27">
        <v>102.90548053904186</v>
      </c>
      <c r="F130">
        <v>73</v>
      </c>
      <c r="G130" s="39">
        <v>450.21492328083707</v>
      </c>
    </row>
    <row r="131" spans="2:7" x14ac:dyDescent="0.55000000000000004">
      <c r="B131">
        <v>74</v>
      </c>
      <c r="C131" s="27">
        <v>407.71652554772788</v>
      </c>
      <c r="D131">
        <v>74</v>
      </c>
      <c r="E131" s="27">
        <v>81.957173693103741</v>
      </c>
      <c r="F131">
        <v>74</v>
      </c>
      <c r="G131" s="39">
        <v>273.96507534156103</v>
      </c>
    </row>
    <row r="132" spans="2:7" x14ac:dyDescent="0.55000000000000004">
      <c r="B132">
        <v>75</v>
      </c>
      <c r="C132" s="27">
        <v>300.55306724998968</v>
      </c>
      <c r="D132">
        <v>75</v>
      </c>
      <c r="E132" s="27">
        <v>47.269554188098823</v>
      </c>
      <c r="F132">
        <v>75</v>
      </c>
      <c r="G132" s="39">
        <v>288.96596545077227</v>
      </c>
    </row>
    <row r="133" spans="2:7" x14ac:dyDescent="0.55000000000000004">
      <c r="B133">
        <v>76</v>
      </c>
      <c r="C133" s="27">
        <v>372.5592645385903</v>
      </c>
      <c r="D133">
        <v>76</v>
      </c>
      <c r="E133" s="27">
        <v>48.850892033140397</v>
      </c>
      <c r="F133">
        <v>76</v>
      </c>
      <c r="G133" s="39">
        <v>375.22203341028194</v>
      </c>
    </row>
    <row r="134" spans="2:7" x14ac:dyDescent="0.55000000000000004">
      <c r="B134">
        <v>77</v>
      </c>
      <c r="C134" s="27">
        <v>227.01321377684263</v>
      </c>
      <c r="D134">
        <v>77</v>
      </c>
      <c r="E134" s="27">
        <v>50.91396547743301</v>
      </c>
      <c r="F134">
        <v>77</v>
      </c>
      <c r="G134" s="39">
        <v>153.33084842614909</v>
      </c>
    </row>
    <row r="135" spans="2:7" x14ac:dyDescent="0.55000000000000004">
      <c r="B135">
        <v>78</v>
      </c>
      <c r="C135" s="27">
        <v>228.11702338084274</v>
      </c>
      <c r="D135">
        <v>78</v>
      </c>
      <c r="E135" s="27">
        <v>24.831829110298912</v>
      </c>
      <c r="F135">
        <v>78</v>
      </c>
      <c r="G135" s="39">
        <v>447.21527416814723</v>
      </c>
    </row>
    <row r="136" spans="2:7" x14ac:dyDescent="0.55000000000000004">
      <c r="B136">
        <v>79</v>
      </c>
      <c r="C136" s="27">
        <v>265.23677022969491</v>
      </c>
      <c r="D136">
        <v>79</v>
      </c>
      <c r="E136" s="27">
        <v>11.247011503991374</v>
      </c>
      <c r="F136">
        <v>79</v>
      </c>
      <c r="G136" s="39">
        <v>228.67638402603302</v>
      </c>
    </row>
    <row r="137" spans="2:7" x14ac:dyDescent="0.55000000000000004">
      <c r="B137">
        <v>80</v>
      </c>
      <c r="C137" s="27">
        <v>289.50173892331452</v>
      </c>
      <c r="D137">
        <v>80</v>
      </c>
      <c r="E137" s="27">
        <v>36.057240522243156</v>
      </c>
      <c r="F137">
        <v>80</v>
      </c>
      <c r="G137" s="39">
        <v>224.03256023928441</v>
      </c>
    </row>
    <row r="138" spans="2:7" x14ac:dyDescent="0.55000000000000004">
      <c r="B138">
        <v>81</v>
      </c>
      <c r="C138" s="27">
        <v>327.79974787930087</v>
      </c>
      <c r="D138">
        <v>81</v>
      </c>
      <c r="E138" s="27">
        <v>37.479460012003102</v>
      </c>
      <c r="F138">
        <v>81</v>
      </c>
      <c r="G138" s="39">
        <v>324.09553055723768</v>
      </c>
    </row>
    <row r="139" spans="2:7" x14ac:dyDescent="0.55000000000000004">
      <c r="B139">
        <v>82</v>
      </c>
      <c r="C139" s="27">
        <v>48.709583374202367</v>
      </c>
      <c r="D139">
        <v>82</v>
      </c>
      <c r="E139" s="27">
        <v>87.827566350166308</v>
      </c>
      <c r="F139">
        <v>82</v>
      </c>
      <c r="G139" s="39">
        <v>359.89540222662242</v>
      </c>
    </row>
    <row r="140" spans="2:7" x14ac:dyDescent="0.55000000000000004">
      <c r="B140">
        <v>83</v>
      </c>
      <c r="C140" s="27">
        <v>447.98146606074863</v>
      </c>
      <c r="D140">
        <v>83</v>
      </c>
      <c r="E140" s="27">
        <v>54.458489034116361</v>
      </c>
      <c r="F140">
        <v>83</v>
      </c>
      <c r="G140" s="39">
        <v>271.47700927580348</v>
      </c>
    </row>
    <row r="141" spans="2:7" x14ac:dyDescent="0.55000000000000004">
      <c r="B141">
        <v>84</v>
      </c>
      <c r="C141" s="27">
        <v>392.11714482535109</v>
      </c>
      <c r="D141">
        <v>84</v>
      </c>
      <c r="E141" s="27">
        <v>40.42432487953532</v>
      </c>
      <c r="F141">
        <v>84</v>
      </c>
      <c r="G141" s="39">
        <v>230.41337530077521</v>
      </c>
    </row>
    <row r="142" spans="2:7" x14ac:dyDescent="0.55000000000000004">
      <c r="B142">
        <v>85</v>
      </c>
      <c r="C142" s="27">
        <v>293.36372457475301</v>
      </c>
      <c r="D142">
        <v>85</v>
      </c>
      <c r="E142" s="27">
        <v>66.581712749628309</v>
      </c>
      <c r="F142">
        <v>85</v>
      </c>
      <c r="G142" s="39">
        <v>291.71431800147201</v>
      </c>
    </row>
    <row r="143" spans="2:7" x14ac:dyDescent="0.55000000000000004">
      <c r="B143">
        <v>86</v>
      </c>
      <c r="C143" s="27">
        <v>341.01019379155332</v>
      </c>
      <c r="D143">
        <v>86</v>
      </c>
      <c r="E143" s="27">
        <v>19.150195112029039</v>
      </c>
      <c r="F143">
        <v>86</v>
      </c>
      <c r="G143" s="39">
        <v>387.94330952255973</v>
      </c>
    </row>
    <row r="144" spans="2:7" x14ac:dyDescent="0.55000000000000004">
      <c r="B144">
        <v>87</v>
      </c>
      <c r="C144" s="27">
        <v>389.39835550723126</v>
      </c>
      <c r="D144">
        <v>87</v>
      </c>
      <c r="E144" s="27">
        <v>68.75818152672359</v>
      </c>
      <c r="F144">
        <v>87</v>
      </c>
      <c r="G144" s="39">
        <v>277.72330983493703</v>
      </c>
    </row>
    <row r="145" spans="2:7" x14ac:dyDescent="0.55000000000000004">
      <c r="B145">
        <v>88</v>
      </c>
      <c r="C145" s="27">
        <v>287.27923106982377</v>
      </c>
      <c r="D145">
        <v>88</v>
      </c>
      <c r="E145" s="27">
        <v>43.830500317314254</v>
      </c>
      <c r="F145">
        <v>88</v>
      </c>
      <c r="G145" s="39">
        <v>213.55015299827332</v>
      </c>
    </row>
    <row r="146" spans="2:7" x14ac:dyDescent="0.55000000000000004">
      <c r="B146">
        <v>89</v>
      </c>
      <c r="C146" s="27">
        <v>200.27396303721363</v>
      </c>
      <c r="D146">
        <v>89</v>
      </c>
      <c r="E146" s="27">
        <v>63.374350676453211</v>
      </c>
      <c r="F146">
        <v>89</v>
      </c>
      <c r="G146" s="39">
        <v>376.7414634199738</v>
      </c>
    </row>
    <row r="147" spans="2:7" x14ac:dyDescent="0.55000000000000004">
      <c r="B147">
        <v>90</v>
      </c>
      <c r="C147" s="27">
        <v>210.38677573234582</v>
      </c>
      <c r="D147">
        <v>90</v>
      </c>
      <c r="E147" s="27">
        <v>-34.319302214953879</v>
      </c>
      <c r="F147">
        <v>90</v>
      </c>
      <c r="G147" s="39">
        <v>370.73492560391395</v>
      </c>
    </row>
    <row r="148" spans="2:7" x14ac:dyDescent="0.55000000000000004">
      <c r="B148">
        <v>91</v>
      </c>
      <c r="C148" s="27">
        <v>293.85117518790128</v>
      </c>
      <c r="D148">
        <v>91</v>
      </c>
      <c r="E148" s="27">
        <v>58.836173704858737</v>
      </c>
      <c r="F148">
        <v>91</v>
      </c>
      <c r="G148" s="39">
        <v>249.08444199058533</v>
      </c>
    </row>
    <row r="149" spans="2:7" x14ac:dyDescent="0.55000000000000004">
      <c r="B149">
        <v>92</v>
      </c>
      <c r="C149" s="27">
        <v>213.39272580018752</v>
      </c>
      <c r="D149">
        <v>92</v>
      </c>
      <c r="E149" s="27">
        <v>72.151735080977758</v>
      </c>
      <c r="F149">
        <v>92</v>
      </c>
      <c r="G149" s="39">
        <v>208.44266775974143</v>
      </c>
    </row>
    <row r="150" spans="2:7" x14ac:dyDescent="0.55000000000000004">
      <c r="B150">
        <v>93</v>
      </c>
      <c r="C150" s="27">
        <v>250.89829944971237</v>
      </c>
      <c r="D150">
        <v>93</v>
      </c>
      <c r="E150" s="27">
        <v>63.496210777009644</v>
      </c>
      <c r="F150">
        <v>93</v>
      </c>
      <c r="G150" s="39">
        <v>242.79317613477977</v>
      </c>
    </row>
    <row r="151" spans="2:7" x14ac:dyDescent="0.55000000000000004">
      <c r="B151">
        <v>94</v>
      </c>
      <c r="C151" s="27">
        <v>236.01174103348256</v>
      </c>
      <c r="D151">
        <v>94</v>
      </c>
      <c r="E151" s="27">
        <v>102.81650668244184</v>
      </c>
      <c r="F151">
        <v>94</v>
      </c>
      <c r="G151" s="39">
        <v>306.56346522297758</v>
      </c>
    </row>
    <row r="152" spans="2:7" x14ac:dyDescent="0.55000000000000004">
      <c r="B152">
        <v>95</v>
      </c>
      <c r="C152" s="27">
        <v>327.66069598990555</v>
      </c>
      <c r="D152">
        <v>95</v>
      </c>
      <c r="E152" s="27">
        <v>-4.1885060977086326</v>
      </c>
      <c r="F152">
        <v>95</v>
      </c>
      <c r="G152" s="39">
        <v>281.01984433632788</v>
      </c>
    </row>
    <row r="153" spans="2:7" x14ac:dyDescent="0.55000000000000004">
      <c r="B153">
        <v>96</v>
      </c>
      <c r="C153" s="27">
        <v>365.07881665405642</v>
      </c>
      <c r="D153">
        <v>96</v>
      </c>
      <c r="E153" s="27">
        <v>-10.336793844095297</v>
      </c>
      <c r="F153">
        <v>96</v>
      </c>
      <c r="G153" s="39">
        <v>281.34068326271688</v>
      </c>
    </row>
    <row r="154" spans="2:7" x14ac:dyDescent="0.55000000000000004">
      <c r="B154">
        <v>97</v>
      </c>
      <c r="C154" s="27">
        <v>345.86835945932404</v>
      </c>
      <c r="D154">
        <v>97</v>
      </c>
      <c r="E154" s="27">
        <v>12.556403301215937</v>
      </c>
      <c r="F154">
        <v>97</v>
      </c>
      <c r="G154" s="39">
        <v>163.50936170885592</v>
      </c>
    </row>
    <row r="155" spans="2:7" x14ac:dyDescent="0.55000000000000004">
      <c r="B155">
        <v>98</v>
      </c>
      <c r="C155" s="27">
        <v>165.49597016710294</v>
      </c>
      <c r="D155">
        <v>98</v>
      </c>
      <c r="E155" s="27">
        <v>139.88318578804993</v>
      </c>
      <c r="F155">
        <v>98</v>
      </c>
      <c r="G155" s="39">
        <v>461.19819313406163</v>
      </c>
    </row>
    <row r="156" spans="2:7" x14ac:dyDescent="0.55000000000000004">
      <c r="B156">
        <v>99</v>
      </c>
      <c r="C156" s="27">
        <v>356.79918787436571</v>
      </c>
      <c r="D156">
        <v>99</v>
      </c>
      <c r="E156" s="27">
        <v>67.792259240543885</v>
      </c>
      <c r="F156">
        <v>99</v>
      </c>
      <c r="G156" s="39">
        <v>395.83859437548716</v>
      </c>
    </row>
    <row r="157" spans="2:7" x14ac:dyDescent="0.55000000000000004">
      <c r="B157">
        <v>100</v>
      </c>
      <c r="C157" s="27">
        <v>174.81653989739064</v>
      </c>
      <c r="D157">
        <v>100</v>
      </c>
      <c r="E157" s="27">
        <v>67.572355639231063</v>
      </c>
      <c r="F157">
        <v>100</v>
      </c>
      <c r="G157" s="39">
        <v>148.74651666650666</v>
      </c>
    </row>
    <row r="158" spans="2:7" x14ac:dyDescent="0.55000000000000004">
      <c r="B158">
        <v>101</v>
      </c>
      <c r="C158" s="27">
        <v>254.53710811412265</v>
      </c>
      <c r="D158">
        <v>101</v>
      </c>
      <c r="E158" s="27">
        <v>94.373772245838836</v>
      </c>
      <c r="F158">
        <v>101</v>
      </c>
      <c r="G158" s="39">
        <v>362.95351442784994</v>
      </c>
    </row>
    <row r="159" spans="2:7" x14ac:dyDescent="0.55000000000000004">
      <c r="B159">
        <v>102</v>
      </c>
      <c r="C159" s="27">
        <v>280.02010736551722</v>
      </c>
      <c r="D159">
        <v>102</v>
      </c>
      <c r="E159" s="27">
        <v>38.457882068320238</v>
      </c>
      <c r="F159">
        <v>102</v>
      </c>
      <c r="G159" s="39">
        <v>236.26699234208652</v>
      </c>
    </row>
    <row r="160" spans="2:7" x14ac:dyDescent="0.55000000000000004">
      <c r="B160">
        <v>103</v>
      </c>
      <c r="C160" s="27">
        <v>281.97329663712304</v>
      </c>
      <c r="D160">
        <v>103</v>
      </c>
      <c r="E160" s="27">
        <v>88.635213485198349</v>
      </c>
      <c r="F160">
        <v>103</v>
      </c>
      <c r="G160" s="39">
        <v>466.40224594055695</v>
      </c>
    </row>
    <row r="161" spans="2:7" x14ac:dyDescent="0.55000000000000004">
      <c r="B161">
        <v>104</v>
      </c>
      <c r="C161" s="27">
        <v>360.59442973490673</v>
      </c>
      <c r="D161">
        <v>104</v>
      </c>
      <c r="E161" s="27">
        <v>34.580767246233208</v>
      </c>
      <c r="F161">
        <v>104</v>
      </c>
      <c r="G161" s="39">
        <v>190.67218615851905</v>
      </c>
    </row>
    <row r="162" spans="2:7" x14ac:dyDescent="0.55000000000000004">
      <c r="B162">
        <v>105</v>
      </c>
      <c r="C162" s="27">
        <v>330.42859315518911</v>
      </c>
      <c r="D162">
        <v>105</v>
      </c>
      <c r="E162" s="27">
        <v>94.482088704095929</v>
      </c>
      <c r="F162">
        <v>105</v>
      </c>
      <c r="G162" s="39">
        <v>194.10638755793781</v>
      </c>
    </row>
    <row r="163" spans="2:7" x14ac:dyDescent="0.55000000000000004">
      <c r="B163">
        <v>106</v>
      </c>
      <c r="C163" s="27">
        <v>149.50780008270806</v>
      </c>
      <c r="D163">
        <v>106</v>
      </c>
      <c r="E163" s="27">
        <v>-32.183106280206118</v>
      </c>
      <c r="F163">
        <v>106</v>
      </c>
      <c r="G163" s="39">
        <v>280.75882345438987</v>
      </c>
    </row>
    <row r="164" spans="2:7" x14ac:dyDescent="0.55000000000000004">
      <c r="B164">
        <v>107</v>
      </c>
      <c r="C164" s="27">
        <v>224.99547168225263</v>
      </c>
      <c r="D164">
        <v>107</v>
      </c>
      <c r="E164" s="27">
        <v>79.974489630122548</v>
      </c>
      <c r="F164">
        <v>107</v>
      </c>
      <c r="G164" s="39">
        <v>384.97735136678244</v>
      </c>
    </row>
    <row r="165" spans="2:7" x14ac:dyDescent="0.55000000000000004">
      <c r="B165">
        <v>108</v>
      </c>
      <c r="C165" s="27">
        <v>292.37675902936087</v>
      </c>
      <c r="D165">
        <v>108</v>
      </c>
      <c r="E165" s="27">
        <v>57.782114471654481</v>
      </c>
      <c r="F165">
        <v>108</v>
      </c>
      <c r="G165" s="39">
        <v>232.29210922038905</v>
      </c>
    </row>
    <row r="166" spans="2:7" x14ac:dyDescent="0.55000000000000004">
      <c r="B166">
        <v>109</v>
      </c>
      <c r="C166" s="27">
        <v>337.53437527715192</v>
      </c>
      <c r="D166">
        <v>109</v>
      </c>
      <c r="E166" s="27">
        <v>39.283670944839173</v>
      </c>
      <c r="F166">
        <v>109</v>
      </c>
      <c r="G166" s="39">
        <v>387.43389584376735</v>
      </c>
    </row>
    <row r="167" spans="2:7" x14ac:dyDescent="0.55000000000000004">
      <c r="B167">
        <v>110</v>
      </c>
      <c r="C167" s="27">
        <v>250.56362453794185</v>
      </c>
      <c r="D167">
        <v>110</v>
      </c>
      <c r="E167" s="27">
        <v>-2.380610754660303</v>
      </c>
      <c r="F167">
        <v>110</v>
      </c>
      <c r="G167" s="39">
        <v>234.65835739759828</v>
      </c>
    </row>
    <row r="168" spans="2:7" x14ac:dyDescent="0.55000000000000004">
      <c r="B168">
        <v>111</v>
      </c>
      <c r="C168" s="27">
        <v>322.41541673652421</v>
      </c>
      <c r="D168">
        <v>111</v>
      </c>
      <c r="E168" s="27">
        <v>-0.85498922691607504</v>
      </c>
      <c r="F168">
        <v>111</v>
      </c>
      <c r="G168" s="39">
        <v>261.71535719389431</v>
      </c>
    </row>
    <row r="169" spans="2:7" x14ac:dyDescent="0.55000000000000004">
      <c r="B169">
        <v>112</v>
      </c>
      <c r="C169" s="27">
        <v>201.94116740960297</v>
      </c>
      <c r="D169">
        <v>112</v>
      </c>
      <c r="E169" s="27">
        <v>79.650578535851295</v>
      </c>
      <c r="F169">
        <v>112</v>
      </c>
      <c r="G169" s="39">
        <v>327.53930796113775</v>
      </c>
    </row>
    <row r="170" spans="2:7" x14ac:dyDescent="0.55000000000000004">
      <c r="B170">
        <v>113</v>
      </c>
      <c r="C170" s="27">
        <v>221.69442335159766</v>
      </c>
      <c r="D170">
        <v>113</v>
      </c>
      <c r="E170" s="27">
        <v>108.97148567213844</v>
      </c>
      <c r="F170">
        <v>113</v>
      </c>
      <c r="G170" s="39">
        <v>220.3693559531265</v>
      </c>
    </row>
    <row r="171" spans="2:7" x14ac:dyDescent="0.55000000000000004">
      <c r="B171">
        <v>114</v>
      </c>
      <c r="C171" s="27">
        <v>332.99044287229066</v>
      </c>
      <c r="D171">
        <v>114</v>
      </c>
      <c r="E171" s="27">
        <v>13.310536090904222</v>
      </c>
      <c r="F171">
        <v>114</v>
      </c>
      <c r="G171" s="39">
        <v>296.85257305482912</v>
      </c>
    </row>
    <row r="172" spans="2:7" x14ac:dyDescent="0.55000000000000004">
      <c r="B172">
        <v>115</v>
      </c>
      <c r="C172" s="27">
        <v>134.09596633618759</v>
      </c>
      <c r="D172">
        <v>115</v>
      </c>
      <c r="E172" s="27">
        <v>51.536260970871538</v>
      </c>
      <c r="F172">
        <v>115</v>
      </c>
      <c r="G172" s="39">
        <v>272.8898909885433</v>
      </c>
    </row>
    <row r="173" spans="2:7" x14ac:dyDescent="0.55000000000000004">
      <c r="B173">
        <v>116</v>
      </c>
      <c r="C173" s="27">
        <v>213.04709458996737</v>
      </c>
      <c r="D173">
        <v>116</v>
      </c>
      <c r="E173" s="27">
        <v>44.36146394429737</v>
      </c>
      <c r="F173">
        <v>116</v>
      </c>
      <c r="G173" s="39">
        <v>449.76785155732125</v>
      </c>
    </row>
    <row r="174" spans="2:7" x14ac:dyDescent="0.55000000000000004">
      <c r="B174">
        <v>117</v>
      </c>
      <c r="C174" s="27">
        <v>180.62425190237931</v>
      </c>
      <c r="D174">
        <v>117</v>
      </c>
      <c r="E174" s="27">
        <v>65.639811460056237</v>
      </c>
      <c r="F174">
        <v>117</v>
      </c>
      <c r="G174" s="39">
        <v>329.16876765838765</v>
      </c>
    </row>
    <row r="175" spans="2:7" x14ac:dyDescent="0.55000000000000004">
      <c r="B175">
        <v>118</v>
      </c>
      <c r="C175" s="27">
        <v>231.48726806735951</v>
      </c>
      <c r="D175">
        <v>118</v>
      </c>
      <c r="E175" s="27">
        <v>63.742025543656474</v>
      </c>
      <c r="F175">
        <v>118</v>
      </c>
      <c r="G175" s="39">
        <v>176.53045992897518</v>
      </c>
    </row>
    <row r="176" spans="2:7" x14ac:dyDescent="0.55000000000000004">
      <c r="B176">
        <v>119</v>
      </c>
      <c r="C176" s="27">
        <v>218.21337523189155</v>
      </c>
      <c r="D176">
        <v>119</v>
      </c>
      <c r="E176" s="27">
        <v>75.051630983849506</v>
      </c>
      <c r="F176">
        <v>119</v>
      </c>
      <c r="G176" s="39">
        <v>284.54994142624128</v>
      </c>
    </row>
    <row r="177" spans="2:7" x14ac:dyDescent="0.55000000000000004">
      <c r="B177">
        <v>120</v>
      </c>
      <c r="C177" s="27">
        <v>315.39302718116625</v>
      </c>
      <c r="D177">
        <v>120</v>
      </c>
      <c r="E177" s="27">
        <v>44.643875424162246</v>
      </c>
      <c r="F177">
        <v>120</v>
      </c>
      <c r="G177" s="39">
        <v>409.7353600312689</v>
      </c>
    </row>
    <row r="178" spans="2:7" x14ac:dyDescent="0.55000000000000004">
      <c r="B178">
        <v>121</v>
      </c>
      <c r="C178" s="27">
        <v>377.46406565869728</v>
      </c>
      <c r="D178">
        <v>121</v>
      </c>
      <c r="E178" s="27">
        <v>24.467739813480094</v>
      </c>
      <c r="F178">
        <v>121</v>
      </c>
      <c r="G178" s="39">
        <v>321.53806221346139</v>
      </c>
    </row>
    <row r="179" spans="2:7" x14ac:dyDescent="0.55000000000000004">
      <c r="B179">
        <v>122</v>
      </c>
      <c r="C179" s="27">
        <v>338.36447090261413</v>
      </c>
      <c r="D179">
        <v>122</v>
      </c>
      <c r="E179" s="27">
        <v>27.259371365748752</v>
      </c>
      <c r="F179">
        <v>122</v>
      </c>
      <c r="G179" s="39">
        <v>482.8102641523667</v>
      </c>
    </row>
    <row r="180" spans="2:7" x14ac:dyDescent="0.55000000000000004">
      <c r="B180">
        <v>123</v>
      </c>
      <c r="C180" s="27">
        <v>379.76132035048659</v>
      </c>
      <c r="D180">
        <v>123</v>
      </c>
      <c r="E180" s="27">
        <v>-8.9232097805111259</v>
      </c>
      <c r="F180">
        <v>123</v>
      </c>
      <c r="G180" s="39">
        <v>260.54361793611622</v>
      </c>
    </row>
    <row r="181" spans="2:7" x14ac:dyDescent="0.55000000000000004">
      <c r="B181">
        <v>124</v>
      </c>
      <c r="C181" s="27">
        <v>296.87146103732186</v>
      </c>
      <c r="D181">
        <v>124</v>
      </c>
      <c r="E181" s="27">
        <v>95.236669686245065</v>
      </c>
      <c r="F181">
        <v>124</v>
      </c>
      <c r="G181" s="39">
        <v>291.33042697656634</v>
      </c>
    </row>
    <row r="182" spans="2:7" x14ac:dyDescent="0.55000000000000004">
      <c r="B182">
        <v>125</v>
      </c>
      <c r="C182" s="27">
        <v>448.84683290469474</v>
      </c>
      <c r="D182">
        <v>125</v>
      </c>
      <c r="E182" s="27">
        <v>80.325360071994993</v>
      </c>
      <c r="F182">
        <v>125</v>
      </c>
      <c r="G182" s="39">
        <v>319.10464049992561</v>
      </c>
    </row>
    <row r="183" spans="2:7" x14ac:dyDescent="0.55000000000000004">
      <c r="B183">
        <v>126</v>
      </c>
      <c r="C183" s="27">
        <v>334.54305789826884</v>
      </c>
      <c r="D183">
        <v>126</v>
      </c>
      <c r="E183" s="27">
        <v>47.285895174400309</v>
      </c>
      <c r="F183">
        <v>126</v>
      </c>
      <c r="G183" s="39">
        <v>298.37841377938383</v>
      </c>
    </row>
    <row r="184" spans="2:7" x14ac:dyDescent="0.55000000000000004">
      <c r="B184">
        <v>127</v>
      </c>
      <c r="C184" s="27">
        <v>198.54281244616345</v>
      </c>
      <c r="D184">
        <v>127</v>
      </c>
      <c r="E184" s="27">
        <v>-3.2503004214520388</v>
      </c>
      <c r="F184">
        <v>127</v>
      </c>
      <c r="G184" s="39">
        <v>350.66641125863617</v>
      </c>
    </row>
    <row r="185" spans="2:7" x14ac:dyDescent="0.55000000000000004">
      <c r="B185">
        <v>128</v>
      </c>
      <c r="C185" s="27">
        <v>292.51124348750636</v>
      </c>
      <c r="D185">
        <v>128</v>
      </c>
      <c r="E185" s="27">
        <v>85.464708251941659</v>
      </c>
      <c r="F185">
        <v>128</v>
      </c>
      <c r="G185" s="39">
        <v>261.59631715558317</v>
      </c>
    </row>
    <row r="186" spans="2:7" x14ac:dyDescent="0.55000000000000004">
      <c r="B186">
        <v>129</v>
      </c>
      <c r="C186" s="27">
        <v>369.94130317151678</v>
      </c>
      <c r="D186">
        <v>129</v>
      </c>
      <c r="E186" s="27">
        <v>14.047320890310182</v>
      </c>
      <c r="F186">
        <v>129</v>
      </c>
      <c r="G186" s="39">
        <v>400.39411331280564</v>
      </c>
    </row>
    <row r="187" spans="2:7" x14ac:dyDescent="0.55000000000000004">
      <c r="B187">
        <v>130</v>
      </c>
      <c r="C187" s="27">
        <v>213.03976903391595</v>
      </c>
      <c r="D187">
        <v>130</v>
      </c>
      <c r="E187" s="27">
        <v>74.984749217035358</v>
      </c>
      <c r="F187">
        <v>130</v>
      </c>
      <c r="G187" s="39">
        <v>186.14557832342993</v>
      </c>
    </row>
    <row r="188" spans="2:7" x14ac:dyDescent="0.55000000000000004">
      <c r="B188">
        <v>131</v>
      </c>
      <c r="C188" s="27">
        <v>332.42170360232569</v>
      </c>
      <c r="D188">
        <v>131</v>
      </c>
      <c r="E188" s="27">
        <v>46.626454627804463</v>
      </c>
      <c r="F188">
        <v>131</v>
      </c>
      <c r="G188" s="39">
        <v>437.6600417781022</v>
      </c>
    </row>
    <row r="189" spans="2:7" x14ac:dyDescent="0.55000000000000004">
      <c r="B189">
        <v>132</v>
      </c>
      <c r="C189" s="27">
        <v>287.05173336104747</v>
      </c>
      <c r="D189">
        <v>132</v>
      </c>
      <c r="E189" s="27">
        <v>106.43405369988261</v>
      </c>
      <c r="F189">
        <v>132</v>
      </c>
      <c r="G189" s="39">
        <v>314.0910526745505</v>
      </c>
    </row>
    <row r="190" spans="2:7" x14ac:dyDescent="0.55000000000000004">
      <c r="B190">
        <v>133</v>
      </c>
      <c r="C190" s="27">
        <v>426.22095616844797</v>
      </c>
      <c r="D190">
        <v>133</v>
      </c>
      <c r="E190" s="27">
        <v>42.630310951646038</v>
      </c>
      <c r="F190">
        <v>133</v>
      </c>
      <c r="G190" s="39">
        <v>211.89376841581742</v>
      </c>
    </row>
    <row r="191" spans="2:7" x14ac:dyDescent="0.55000000000000004">
      <c r="B191">
        <v>134</v>
      </c>
      <c r="C191" s="27">
        <v>184.69249678733692</v>
      </c>
      <c r="D191">
        <v>134</v>
      </c>
      <c r="E191" s="27">
        <v>113.26979723761956</v>
      </c>
      <c r="F191">
        <v>134</v>
      </c>
      <c r="G191" s="39">
        <v>321.76690374640629</v>
      </c>
    </row>
    <row r="192" spans="2:7" x14ac:dyDescent="0.55000000000000004">
      <c r="B192">
        <v>135</v>
      </c>
      <c r="C192" s="27">
        <v>335.19496704698463</v>
      </c>
      <c r="D192">
        <v>135</v>
      </c>
      <c r="E192" s="27">
        <v>60.550141407544075</v>
      </c>
      <c r="F192">
        <v>135</v>
      </c>
      <c r="G192" s="39">
        <v>184.14692284390745</v>
      </c>
    </row>
    <row r="193" spans="2:7" x14ac:dyDescent="0.55000000000000004">
      <c r="B193">
        <v>136</v>
      </c>
      <c r="C193" s="27">
        <v>285.52419791110043</v>
      </c>
      <c r="D193">
        <v>136</v>
      </c>
      <c r="E193" s="27">
        <v>31.598923906075569</v>
      </c>
      <c r="F193">
        <v>136</v>
      </c>
      <c r="G193" s="39">
        <v>309.6067205999687</v>
      </c>
    </row>
    <row r="194" spans="2:7" x14ac:dyDescent="0.55000000000000004">
      <c r="B194">
        <v>137</v>
      </c>
      <c r="C194" s="27">
        <v>375.62758159876932</v>
      </c>
      <c r="D194">
        <v>137</v>
      </c>
      <c r="E194" s="27">
        <v>11.047406874456748</v>
      </c>
      <c r="F194">
        <v>137</v>
      </c>
      <c r="G194" s="39">
        <v>321.76849654744126</v>
      </c>
    </row>
    <row r="195" spans="2:7" x14ac:dyDescent="0.55000000000000004">
      <c r="B195">
        <v>138</v>
      </c>
      <c r="C195" s="27">
        <v>246.02766529510424</v>
      </c>
      <c r="D195">
        <v>138</v>
      </c>
      <c r="E195" s="27">
        <v>54.02853843198352</v>
      </c>
      <c r="F195">
        <v>138</v>
      </c>
      <c r="G195" s="39">
        <v>207.35687055128759</v>
      </c>
    </row>
    <row r="196" spans="2:7" x14ac:dyDescent="0.55000000000000004">
      <c r="B196">
        <v>139</v>
      </c>
      <c r="C196" s="27">
        <v>454.01420290368731</v>
      </c>
      <c r="D196">
        <v>139</v>
      </c>
      <c r="E196" s="27">
        <v>-3.2467802247928006</v>
      </c>
      <c r="F196">
        <v>139</v>
      </c>
      <c r="G196" s="39">
        <v>249.52393307041925</v>
      </c>
    </row>
    <row r="197" spans="2:7" x14ac:dyDescent="0.55000000000000004">
      <c r="B197">
        <v>140</v>
      </c>
      <c r="C197" s="27">
        <v>201.16673773764921</v>
      </c>
      <c r="D197">
        <v>140</v>
      </c>
      <c r="E197" s="27">
        <v>38.143446275562134</v>
      </c>
      <c r="F197">
        <v>140</v>
      </c>
      <c r="G197" s="39">
        <v>360.05393951541458</v>
      </c>
    </row>
    <row r="198" spans="2:7" x14ac:dyDescent="0.55000000000000004">
      <c r="B198">
        <v>141</v>
      </c>
      <c r="C198" s="27">
        <v>325.82741620640661</v>
      </c>
      <c r="D198">
        <v>141</v>
      </c>
      <c r="E198" s="27">
        <v>65.439786050868889</v>
      </c>
      <c r="F198">
        <v>141</v>
      </c>
      <c r="G198" s="39">
        <v>292.93670212808831</v>
      </c>
    </row>
    <row r="199" spans="2:7" x14ac:dyDescent="0.55000000000000004">
      <c r="B199">
        <v>142</v>
      </c>
      <c r="C199" s="27">
        <v>277.4506836481782</v>
      </c>
      <c r="D199">
        <v>142</v>
      </c>
      <c r="E199" s="27">
        <v>64.715506044665375</v>
      </c>
      <c r="F199">
        <v>142</v>
      </c>
      <c r="G199" s="39">
        <v>298.68039176633357</v>
      </c>
    </row>
    <row r="200" spans="2:7" x14ac:dyDescent="0.55000000000000004">
      <c r="B200">
        <v>143</v>
      </c>
      <c r="C200" s="27">
        <v>317.42110319913661</v>
      </c>
      <c r="D200">
        <v>143</v>
      </c>
      <c r="E200" s="27">
        <v>64.197580521075466</v>
      </c>
      <c r="F200">
        <v>143</v>
      </c>
      <c r="G200" s="39">
        <v>214.99212994445179</v>
      </c>
    </row>
    <row r="201" spans="2:7" x14ac:dyDescent="0.55000000000000004">
      <c r="B201">
        <v>144</v>
      </c>
      <c r="C201" s="27">
        <v>259.64738710738413</v>
      </c>
      <c r="D201">
        <v>144</v>
      </c>
      <c r="E201" s="27">
        <v>75.928800142008669</v>
      </c>
      <c r="F201">
        <v>144</v>
      </c>
      <c r="G201" s="39">
        <v>359.14158670127114</v>
      </c>
    </row>
    <row r="202" spans="2:7" x14ac:dyDescent="0.55000000000000004">
      <c r="B202">
        <v>145</v>
      </c>
      <c r="C202" s="27">
        <v>390.97106983706698</v>
      </c>
      <c r="D202">
        <v>145</v>
      </c>
      <c r="E202" s="27">
        <v>40.595643023620227</v>
      </c>
      <c r="F202">
        <v>145</v>
      </c>
      <c r="G202" s="39">
        <v>265.44492537511917</v>
      </c>
    </row>
    <row r="203" spans="2:7" x14ac:dyDescent="0.55000000000000004">
      <c r="B203">
        <v>146</v>
      </c>
      <c r="C203" s="27">
        <v>429.44692089556054</v>
      </c>
      <c r="D203">
        <v>146</v>
      </c>
      <c r="E203" s="27">
        <v>49.918311348957104</v>
      </c>
      <c r="F203">
        <v>146</v>
      </c>
      <c r="G203" s="39">
        <v>448.48979394695527</v>
      </c>
    </row>
    <row r="204" spans="2:7" x14ac:dyDescent="0.55000000000000004">
      <c r="B204">
        <v>147</v>
      </c>
      <c r="C204" s="27">
        <v>380.4888526193065</v>
      </c>
      <c r="D204">
        <v>147</v>
      </c>
      <c r="E204" s="27">
        <v>71.270306378832558</v>
      </c>
      <c r="F204">
        <v>147</v>
      </c>
      <c r="G204" s="39">
        <v>397.18060533810996</v>
      </c>
    </row>
    <row r="205" spans="2:7" x14ac:dyDescent="0.55000000000000004">
      <c r="B205">
        <v>148</v>
      </c>
      <c r="C205" s="27">
        <v>237.03968350953727</v>
      </c>
      <c r="D205">
        <v>148</v>
      </c>
      <c r="E205" s="27">
        <v>91.387940223570297</v>
      </c>
      <c r="F205">
        <v>148</v>
      </c>
      <c r="G205" s="39">
        <v>206.97509045133165</v>
      </c>
    </row>
    <row r="206" spans="2:7" x14ac:dyDescent="0.55000000000000004">
      <c r="B206">
        <v>149</v>
      </c>
      <c r="C206" s="27">
        <v>278.55881507232453</v>
      </c>
      <c r="D206">
        <v>149</v>
      </c>
      <c r="E206" s="27">
        <v>17.040338604342509</v>
      </c>
      <c r="F206">
        <v>149</v>
      </c>
      <c r="G206" s="39">
        <v>246.33637253845561</v>
      </c>
    </row>
    <row r="207" spans="2:7" x14ac:dyDescent="0.55000000000000004">
      <c r="B207">
        <v>150</v>
      </c>
      <c r="C207" s="27">
        <v>442.01829114743992</v>
      </c>
      <c r="D207">
        <v>150</v>
      </c>
      <c r="E207" s="27">
        <v>78.207842425220747</v>
      </c>
      <c r="F207">
        <v>150</v>
      </c>
      <c r="G207" s="39">
        <v>291.30657575160478</v>
      </c>
    </row>
    <row r="208" spans="2:7" x14ac:dyDescent="0.55000000000000004">
      <c r="B208">
        <v>151</v>
      </c>
      <c r="C208" s="27">
        <v>309.9455487586041</v>
      </c>
      <c r="D208">
        <v>151</v>
      </c>
      <c r="E208" s="27">
        <v>30.564498153405182</v>
      </c>
      <c r="F208">
        <v>151</v>
      </c>
      <c r="G208" s="39">
        <v>457.92062011614394</v>
      </c>
    </row>
    <row r="209" spans="2:7" x14ac:dyDescent="0.55000000000000004">
      <c r="B209">
        <v>152</v>
      </c>
      <c r="C209" s="27">
        <v>199.31668062513086</v>
      </c>
      <c r="D209">
        <v>152</v>
      </c>
      <c r="E209" s="27">
        <v>101.31993535878694</v>
      </c>
      <c r="F209">
        <v>152</v>
      </c>
      <c r="G209" s="39">
        <v>439.96360929969626</v>
      </c>
    </row>
    <row r="210" spans="2:7" x14ac:dyDescent="0.55000000000000004">
      <c r="B210">
        <v>153</v>
      </c>
      <c r="C210" s="27">
        <v>344.35071398252666</v>
      </c>
      <c r="D210">
        <v>153</v>
      </c>
      <c r="E210" s="27">
        <v>42.228931299391348</v>
      </c>
      <c r="F210">
        <v>153</v>
      </c>
      <c r="G210" s="39">
        <v>254.3310373569692</v>
      </c>
    </row>
    <row r="211" spans="2:7" x14ac:dyDescent="0.55000000000000004">
      <c r="B211">
        <v>154</v>
      </c>
      <c r="C211" s="27">
        <v>496.04884077973713</v>
      </c>
      <c r="D211">
        <v>154</v>
      </c>
      <c r="E211" s="27">
        <v>21.55988725484805</v>
      </c>
      <c r="F211">
        <v>154</v>
      </c>
      <c r="G211" s="39">
        <v>365.51691062361334</v>
      </c>
    </row>
    <row r="212" spans="2:7" x14ac:dyDescent="0.55000000000000004">
      <c r="B212">
        <v>155</v>
      </c>
      <c r="C212" s="27">
        <v>207.35584225388391</v>
      </c>
      <c r="D212">
        <v>155</v>
      </c>
      <c r="E212" s="27">
        <v>15.202390235370473</v>
      </c>
      <c r="F212">
        <v>155</v>
      </c>
      <c r="G212" s="39">
        <v>411.4506749821507</v>
      </c>
    </row>
    <row r="213" spans="2:7" x14ac:dyDescent="0.55000000000000004">
      <c r="B213">
        <v>156</v>
      </c>
      <c r="C213" s="27">
        <v>363.34662250159693</v>
      </c>
      <c r="D213">
        <v>156</v>
      </c>
      <c r="E213" s="27">
        <v>61.906713712456344</v>
      </c>
      <c r="F213">
        <v>156</v>
      </c>
      <c r="G213" s="39">
        <v>232.87084684975679</v>
      </c>
    </row>
    <row r="214" spans="2:7" x14ac:dyDescent="0.55000000000000004">
      <c r="B214">
        <v>157</v>
      </c>
      <c r="C214" s="27">
        <v>478.04274731756936</v>
      </c>
      <c r="D214">
        <v>157</v>
      </c>
      <c r="E214" s="27">
        <v>73.170245531585337</v>
      </c>
      <c r="F214">
        <v>157</v>
      </c>
      <c r="G214" s="39">
        <v>319.9218160147318</v>
      </c>
    </row>
    <row r="215" spans="2:7" x14ac:dyDescent="0.55000000000000004">
      <c r="B215">
        <v>158</v>
      </c>
      <c r="C215" s="27">
        <v>357.3089975735848</v>
      </c>
      <c r="D215">
        <v>158</v>
      </c>
      <c r="E215" s="27">
        <v>63.766045218438478</v>
      </c>
      <c r="F215">
        <v>158</v>
      </c>
      <c r="G215" s="39">
        <v>180.43658580637683</v>
      </c>
    </row>
    <row r="216" spans="2:7" x14ac:dyDescent="0.55000000000000004">
      <c r="B216">
        <v>159</v>
      </c>
      <c r="C216" s="27">
        <v>267.36375647812173</v>
      </c>
      <c r="D216">
        <v>159</v>
      </c>
      <c r="E216" s="27">
        <v>36.381402938409863</v>
      </c>
      <c r="F216">
        <v>159</v>
      </c>
      <c r="G216" s="39">
        <v>349.33153419596033</v>
      </c>
    </row>
    <row r="217" spans="2:7" x14ac:dyDescent="0.55000000000000004">
      <c r="B217">
        <v>160</v>
      </c>
      <c r="C217" s="27">
        <v>249.23116797014657</v>
      </c>
      <c r="D217">
        <v>160</v>
      </c>
      <c r="E217" s="27">
        <v>27.888307493011201</v>
      </c>
      <c r="F217">
        <v>160</v>
      </c>
      <c r="G217" s="39">
        <v>132.10926160467906</v>
      </c>
    </row>
    <row r="218" spans="2:7" x14ac:dyDescent="0.55000000000000004">
      <c r="B218">
        <v>161</v>
      </c>
      <c r="C218" s="27">
        <v>211.41096999680369</v>
      </c>
      <c r="D218">
        <v>161</v>
      </c>
      <c r="E218" s="27">
        <v>67.964836749207919</v>
      </c>
      <c r="F218">
        <v>161</v>
      </c>
      <c r="G218" s="39">
        <v>310.31470616191268</v>
      </c>
    </row>
    <row r="219" spans="2:7" x14ac:dyDescent="0.55000000000000004">
      <c r="B219">
        <v>162</v>
      </c>
      <c r="C219" s="27">
        <v>263.16845644731609</v>
      </c>
      <c r="D219">
        <v>162</v>
      </c>
      <c r="E219" s="27">
        <v>64.619720732181506</v>
      </c>
      <c r="F219">
        <v>162</v>
      </c>
      <c r="G219" s="39">
        <v>216.98343448259206</v>
      </c>
    </row>
    <row r="220" spans="2:7" x14ac:dyDescent="0.55000000000000004">
      <c r="B220">
        <v>163</v>
      </c>
      <c r="C220" s="27">
        <v>276.66583604678721</v>
      </c>
      <c r="D220">
        <v>163</v>
      </c>
      <c r="E220" s="27">
        <v>80.112831740711229</v>
      </c>
      <c r="F220">
        <v>163</v>
      </c>
      <c r="G220" s="39">
        <v>317.63149234877125</v>
      </c>
    </row>
    <row r="221" spans="2:7" x14ac:dyDescent="0.55000000000000004">
      <c r="B221">
        <v>164</v>
      </c>
      <c r="C221" s="27">
        <v>319.25478854734916</v>
      </c>
      <c r="D221">
        <v>164</v>
      </c>
      <c r="E221" s="27">
        <v>27.943482538608894</v>
      </c>
      <c r="F221">
        <v>164</v>
      </c>
      <c r="G221" s="39">
        <v>315.67925940049088</v>
      </c>
    </row>
    <row r="222" spans="2:7" x14ac:dyDescent="0.55000000000000004">
      <c r="B222">
        <v>165</v>
      </c>
      <c r="C222" s="27">
        <v>218.41956916745357</v>
      </c>
      <c r="D222">
        <v>165</v>
      </c>
      <c r="E222" s="27">
        <v>62.223258076445553</v>
      </c>
      <c r="F222">
        <v>165</v>
      </c>
      <c r="G222" s="39">
        <v>347.22144228129326</v>
      </c>
    </row>
    <row r="223" spans="2:7" x14ac:dyDescent="0.55000000000000004">
      <c r="B223">
        <v>166</v>
      </c>
      <c r="C223" s="27">
        <v>314.28616774597549</v>
      </c>
      <c r="D223">
        <v>166</v>
      </c>
      <c r="E223" s="27">
        <v>68.359621230737119</v>
      </c>
      <c r="F223">
        <v>166</v>
      </c>
      <c r="G223" s="39">
        <v>349.46982637421331</v>
      </c>
    </row>
    <row r="224" spans="2:7" x14ac:dyDescent="0.55000000000000004">
      <c r="B224">
        <v>167</v>
      </c>
      <c r="C224" s="27">
        <v>256.14047721090009</v>
      </c>
      <c r="D224">
        <v>167</v>
      </c>
      <c r="E224" s="27">
        <v>115.5407682448425</v>
      </c>
      <c r="F224">
        <v>167</v>
      </c>
      <c r="G224" s="39">
        <v>290.79468282602426</v>
      </c>
    </row>
    <row r="225" spans="2:7" x14ac:dyDescent="0.55000000000000004">
      <c r="B225">
        <v>168</v>
      </c>
      <c r="C225" s="27">
        <v>368.58190756415166</v>
      </c>
      <c r="D225">
        <v>168</v>
      </c>
      <c r="E225" s="27">
        <v>53.612245768978745</v>
      </c>
      <c r="F225">
        <v>168</v>
      </c>
      <c r="G225" s="39">
        <v>296.41821592900703</v>
      </c>
    </row>
    <row r="226" spans="2:7" x14ac:dyDescent="0.55000000000000004">
      <c r="B226">
        <v>169</v>
      </c>
      <c r="C226" s="27">
        <v>348.44888190139517</v>
      </c>
      <c r="D226">
        <v>169</v>
      </c>
      <c r="E226" s="27">
        <v>3.4540614753161378</v>
      </c>
      <c r="F226">
        <v>169</v>
      </c>
      <c r="G226" s="39">
        <v>175.0140625715872</v>
      </c>
    </row>
    <row r="227" spans="2:7" x14ac:dyDescent="0.55000000000000004">
      <c r="B227">
        <v>170</v>
      </c>
      <c r="C227" s="27">
        <v>198.03736453091923</v>
      </c>
      <c r="D227">
        <v>170</v>
      </c>
      <c r="E227" s="27">
        <v>-48.834730722720593</v>
      </c>
      <c r="F227">
        <v>170</v>
      </c>
      <c r="G227" s="39">
        <v>267.03405494390898</v>
      </c>
    </row>
    <row r="228" spans="2:7" x14ac:dyDescent="0.55000000000000004">
      <c r="B228">
        <v>171</v>
      </c>
      <c r="C228" s="27">
        <v>266.63965973936479</v>
      </c>
      <c r="D228">
        <v>171</v>
      </c>
      <c r="E228" s="27">
        <v>46.392332699276814</v>
      </c>
      <c r="F228">
        <v>171</v>
      </c>
      <c r="G228" s="39">
        <v>195.14702999737585</v>
      </c>
    </row>
    <row r="229" spans="2:7" x14ac:dyDescent="0.55000000000000004">
      <c r="B229">
        <v>172</v>
      </c>
      <c r="C229" s="27">
        <v>240.61266694740095</v>
      </c>
      <c r="D229">
        <v>172</v>
      </c>
      <c r="E229" s="27">
        <v>22.655733526547401</v>
      </c>
      <c r="F229">
        <v>172</v>
      </c>
      <c r="G229" s="39">
        <v>288.12953115875439</v>
      </c>
    </row>
    <row r="230" spans="2:7" x14ac:dyDescent="0.55000000000000004">
      <c r="B230">
        <v>173</v>
      </c>
      <c r="C230" s="27">
        <v>208.99697627811332</v>
      </c>
      <c r="D230">
        <v>173</v>
      </c>
      <c r="E230" s="27">
        <v>74.154202177542771</v>
      </c>
      <c r="F230">
        <v>173</v>
      </c>
      <c r="G230" s="39">
        <v>389.04808741363104</v>
      </c>
    </row>
    <row r="231" spans="2:7" x14ac:dyDescent="0.55000000000000004">
      <c r="B231">
        <v>174</v>
      </c>
      <c r="C231" s="27">
        <v>361.23452835907847</v>
      </c>
      <c r="D231">
        <v>174</v>
      </c>
      <c r="E231" s="27">
        <v>14.025685735575202</v>
      </c>
      <c r="F231">
        <v>174</v>
      </c>
      <c r="G231" s="39">
        <v>280.20156421310656</v>
      </c>
    </row>
    <row r="232" spans="2:7" x14ac:dyDescent="0.55000000000000004">
      <c r="B232">
        <v>175</v>
      </c>
      <c r="C232" s="27">
        <v>314.17278635858122</v>
      </c>
      <c r="D232">
        <v>175</v>
      </c>
      <c r="E232" s="27">
        <v>74.496189966073089</v>
      </c>
      <c r="F232">
        <v>175</v>
      </c>
      <c r="G232" s="39">
        <v>179.75295439218132</v>
      </c>
    </row>
    <row r="233" spans="2:7" x14ac:dyDescent="0.55000000000000004">
      <c r="B233">
        <v>176</v>
      </c>
      <c r="C233" s="27">
        <v>203.90137527507571</v>
      </c>
      <c r="D233">
        <v>176</v>
      </c>
      <c r="E233" s="27">
        <v>61.37228634154593</v>
      </c>
      <c r="F233">
        <v>176</v>
      </c>
      <c r="G233" s="39">
        <v>240.97072078342742</v>
      </c>
    </row>
    <row r="234" spans="2:7" x14ac:dyDescent="0.55000000000000004">
      <c r="B234">
        <v>177</v>
      </c>
      <c r="C234" s="27">
        <v>293.7388941513762</v>
      </c>
      <c r="D234">
        <v>177</v>
      </c>
      <c r="E234" s="27">
        <v>45.280548812737578</v>
      </c>
      <c r="F234">
        <v>177</v>
      </c>
      <c r="G234" s="39">
        <v>307.70551812062826</v>
      </c>
    </row>
    <row r="235" spans="2:7" x14ac:dyDescent="0.55000000000000004">
      <c r="B235">
        <v>178</v>
      </c>
      <c r="C235" s="27">
        <v>292.45020590004333</v>
      </c>
      <c r="D235">
        <v>178</v>
      </c>
      <c r="E235" s="27">
        <v>76.027151139973753</v>
      </c>
      <c r="F235">
        <v>178</v>
      </c>
      <c r="G235" s="39">
        <v>327.32075738881394</v>
      </c>
    </row>
    <row r="236" spans="2:7" x14ac:dyDescent="0.55000000000000004">
      <c r="B236">
        <v>179</v>
      </c>
      <c r="C236" s="27">
        <v>347.54502425989421</v>
      </c>
      <c r="D236">
        <v>179</v>
      </c>
      <c r="E236" s="27">
        <v>63.360904505584301</v>
      </c>
      <c r="F236">
        <v>179</v>
      </c>
      <c r="G236" s="39">
        <v>274.57498004503941</v>
      </c>
    </row>
    <row r="237" spans="2:7" x14ac:dyDescent="0.55000000000000004">
      <c r="B237">
        <v>180</v>
      </c>
      <c r="C237" s="27">
        <v>163.61369149253318</v>
      </c>
      <c r="D237">
        <v>180</v>
      </c>
      <c r="E237" s="27">
        <v>6.578823901346702</v>
      </c>
      <c r="F237">
        <v>180</v>
      </c>
      <c r="G237" s="39">
        <v>413.68846467344093</v>
      </c>
    </row>
    <row r="238" spans="2:7" x14ac:dyDescent="0.55000000000000004">
      <c r="B238">
        <v>181</v>
      </c>
      <c r="C238" s="27">
        <v>210.22236366177933</v>
      </c>
      <c r="D238">
        <v>181</v>
      </c>
      <c r="E238" s="27">
        <v>40.714994071197978</v>
      </c>
      <c r="F238">
        <v>181</v>
      </c>
      <c r="G238" s="39">
        <v>375.12407324760954</v>
      </c>
    </row>
    <row r="239" spans="2:7" x14ac:dyDescent="0.55000000000000004">
      <c r="B239">
        <v>182</v>
      </c>
      <c r="C239" s="27">
        <v>265.39502217433056</v>
      </c>
      <c r="D239">
        <v>182</v>
      </c>
      <c r="E239" s="27">
        <v>6.853412893954399</v>
      </c>
      <c r="F239">
        <v>182</v>
      </c>
      <c r="G239" s="39">
        <v>206.2595164430374</v>
      </c>
    </row>
    <row r="240" spans="2:7" x14ac:dyDescent="0.55000000000000004">
      <c r="B240">
        <v>183</v>
      </c>
      <c r="C240" s="27">
        <v>338.72536353276297</v>
      </c>
      <c r="D240">
        <v>183</v>
      </c>
      <c r="E240" s="27">
        <v>4.9262595779971221</v>
      </c>
      <c r="F240">
        <v>183</v>
      </c>
      <c r="G240" s="39">
        <v>353.25075530768788</v>
      </c>
    </row>
    <row r="241" spans="2:7" x14ac:dyDescent="0.55000000000000004">
      <c r="B241">
        <v>184</v>
      </c>
      <c r="C241" s="27">
        <v>245.26246546271224</v>
      </c>
      <c r="D241">
        <v>184</v>
      </c>
      <c r="E241" s="27">
        <v>80.060307818963508</v>
      </c>
      <c r="F241">
        <v>184</v>
      </c>
      <c r="G241" s="39">
        <v>394.30671699144659</v>
      </c>
    </row>
    <row r="242" spans="2:7" x14ac:dyDescent="0.55000000000000004">
      <c r="B242">
        <v>185</v>
      </c>
      <c r="C242" s="27">
        <v>326.47161964520109</v>
      </c>
      <c r="D242">
        <v>185</v>
      </c>
      <c r="E242" s="27">
        <v>-26.504884677325535</v>
      </c>
      <c r="F242">
        <v>185</v>
      </c>
      <c r="G242" s="39">
        <v>151.89652908644433</v>
      </c>
    </row>
    <row r="243" spans="2:7" x14ac:dyDescent="0.55000000000000004">
      <c r="B243">
        <v>186</v>
      </c>
      <c r="C243" s="27">
        <v>265.35179183225318</v>
      </c>
      <c r="D243">
        <v>186</v>
      </c>
      <c r="E243" s="27">
        <v>67.7389007951015</v>
      </c>
      <c r="F243">
        <v>186</v>
      </c>
      <c r="G243" s="39">
        <v>357.01934142751401</v>
      </c>
    </row>
    <row r="244" spans="2:7" x14ac:dyDescent="0.55000000000000004">
      <c r="B244">
        <v>187</v>
      </c>
      <c r="C244" s="27">
        <v>97.080447398578883</v>
      </c>
      <c r="D244">
        <v>187</v>
      </c>
      <c r="E244" s="27">
        <v>65.007165037122078</v>
      </c>
      <c r="F244">
        <v>187</v>
      </c>
      <c r="G244" s="39">
        <v>386.18786950840138</v>
      </c>
    </row>
    <row r="245" spans="2:7" x14ac:dyDescent="0.55000000000000004">
      <c r="B245">
        <v>188</v>
      </c>
      <c r="C245" s="27">
        <v>321.75255808822033</v>
      </c>
      <c r="D245">
        <v>188</v>
      </c>
      <c r="E245" s="27">
        <v>74.38474863605181</v>
      </c>
      <c r="F245">
        <v>188</v>
      </c>
      <c r="G245" s="39">
        <v>401.33134155245347</v>
      </c>
    </row>
    <row r="246" spans="2:7" x14ac:dyDescent="0.55000000000000004">
      <c r="B246">
        <v>189</v>
      </c>
      <c r="C246" s="27">
        <v>310.14062799034366</v>
      </c>
      <c r="D246">
        <v>189</v>
      </c>
      <c r="E246" s="27">
        <v>86.360323389658106</v>
      </c>
      <c r="F246">
        <v>189</v>
      </c>
      <c r="G246" s="39">
        <v>206.46821086571907</v>
      </c>
    </row>
    <row r="247" spans="2:7" x14ac:dyDescent="0.55000000000000004">
      <c r="B247">
        <v>190</v>
      </c>
      <c r="C247" s="27">
        <v>270.16180099170185</v>
      </c>
      <c r="D247">
        <v>190</v>
      </c>
      <c r="E247" s="27">
        <v>67.647826329149595</v>
      </c>
      <c r="F247">
        <v>190</v>
      </c>
      <c r="G247" s="39">
        <v>500.2830545651974</v>
      </c>
    </row>
    <row r="248" spans="2:7" x14ac:dyDescent="0.55000000000000004">
      <c r="B248">
        <v>191</v>
      </c>
      <c r="C248" s="27">
        <v>191.61441828290145</v>
      </c>
      <c r="D248">
        <v>191</v>
      </c>
      <c r="E248" s="27">
        <v>78.144877748748584</v>
      </c>
      <c r="F248">
        <v>191</v>
      </c>
      <c r="G248" s="39">
        <v>279.41224904532572</v>
      </c>
    </row>
    <row r="249" spans="2:7" x14ac:dyDescent="0.55000000000000004">
      <c r="B249">
        <v>192</v>
      </c>
      <c r="C249" s="27">
        <v>338.11972795907769</v>
      </c>
      <c r="D249">
        <v>192</v>
      </c>
      <c r="E249" s="27">
        <v>105.6715301118485</v>
      </c>
      <c r="F249">
        <v>192</v>
      </c>
      <c r="G249" s="39">
        <v>384.66799995672142</v>
      </c>
    </row>
    <row r="250" spans="2:7" x14ac:dyDescent="0.55000000000000004">
      <c r="B250">
        <v>193</v>
      </c>
      <c r="C250" s="27">
        <v>336.65154806205862</v>
      </c>
      <c r="D250">
        <v>193</v>
      </c>
      <c r="E250" s="27">
        <v>63.762622489078893</v>
      </c>
      <c r="F250">
        <v>193</v>
      </c>
      <c r="G250" s="39">
        <v>294.21226320336018</v>
      </c>
    </row>
    <row r="251" spans="2:7" x14ac:dyDescent="0.55000000000000004">
      <c r="B251">
        <v>194</v>
      </c>
      <c r="C251" s="27">
        <v>317.90598408762202</v>
      </c>
      <c r="D251">
        <v>194</v>
      </c>
      <c r="E251" s="27">
        <v>30.289691293372599</v>
      </c>
      <c r="F251">
        <v>194</v>
      </c>
      <c r="G251" s="39">
        <v>260.13669933963257</v>
      </c>
    </row>
    <row r="252" spans="2:7" x14ac:dyDescent="0.55000000000000004">
      <c r="B252">
        <v>195</v>
      </c>
      <c r="C252" s="27">
        <v>343.62196367534381</v>
      </c>
      <c r="D252">
        <v>195</v>
      </c>
      <c r="E252" s="27">
        <v>95.693357921703836</v>
      </c>
      <c r="F252">
        <v>195</v>
      </c>
      <c r="G252" s="39">
        <v>216.12447672844172</v>
      </c>
    </row>
    <row r="253" spans="2:7" x14ac:dyDescent="0.55000000000000004">
      <c r="B253">
        <v>196</v>
      </c>
      <c r="C253" s="27">
        <v>420.3707226121042</v>
      </c>
      <c r="D253">
        <v>196</v>
      </c>
      <c r="E253" s="27">
        <v>96.718849323698862</v>
      </c>
      <c r="F253">
        <v>196</v>
      </c>
      <c r="G253" s="39">
        <v>191.36057036564301</v>
      </c>
    </row>
    <row r="254" spans="2:7" x14ac:dyDescent="0.55000000000000004">
      <c r="B254">
        <v>197</v>
      </c>
      <c r="C254" s="27">
        <v>442.78077060396078</v>
      </c>
      <c r="D254">
        <v>197</v>
      </c>
      <c r="E254" s="27">
        <v>41.315659357438918</v>
      </c>
      <c r="F254">
        <v>197</v>
      </c>
      <c r="G254" s="39">
        <v>330.83642391873133</v>
      </c>
    </row>
    <row r="255" spans="2:7" x14ac:dyDescent="0.55000000000000004">
      <c r="B255">
        <v>198</v>
      </c>
      <c r="C255" s="27">
        <v>260.75754621759512</v>
      </c>
      <c r="D255">
        <v>198</v>
      </c>
      <c r="E255" s="27">
        <v>60.291349550041346</v>
      </c>
      <c r="F255">
        <v>198</v>
      </c>
      <c r="G255" s="39">
        <v>369.80499720047698</v>
      </c>
    </row>
    <row r="256" spans="2:7" x14ac:dyDescent="0.55000000000000004">
      <c r="B256">
        <v>199</v>
      </c>
      <c r="C256" s="27">
        <v>301.26079029336063</v>
      </c>
      <c r="D256">
        <v>199</v>
      </c>
      <c r="E256" s="27">
        <v>57.44422836541743</v>
      </c>
      <c r="F256">
        <v>199</v>
      </c>
      <c r="G256" s="39">
        <v>277.21332119445776</v>
      </c>
    </row>
    <row r="257" spans="2:7" x14ac:dyDescent="0.55000000000000004">
      <c r="B257">
        <v>200</v>
      </c>
      <c r="C257" s="27">
        <v>317.71031039989202</v>
      </c>
      <c r="D257">
        <v>200</v>
      </c>
      <c r="E257" s="27">
        <v>53.918324996178235</v>
      </c>
      <c r="F257">
        <v>200</v>
      </c>
      <c r="G257" s="39">
        <v>354.49413418883802</v>
      </c>
    </row>
    <row r="258" spans="2:7" x14ac:dyDescent="0.55000000000000004">
      <c r="B258">
        <v>201</v>
      </c>
      <c r="C258" s="27">
        <v>403.66307175550742</v>
      </c>
      <c r="D258">
        <v>201</v>
      </c>
      <c r="E258" s="27">
        <v>12.685211250354644</v>
      </c>
      <c r="F258">
        <v>201</v>
      </c>
      <c r="G258" s="39">
        <v>418.52306960962636</v>
      </c>
    </row>
    <row r="259" spans="2:7" x14ac:dyDescent="0.55000000000000004">
      <c r="B259">
        <v>202</v>
      </c>
      <c r="C259" s="27">
        <v>178.70822835233062</v>
      </c>
      <c r="D259">
        <v>202</v>
      </c>
      <c r="E259" s="27">
        <v>69.619169374067553</v>
      </c>
      <c r="F259">
        <v>202</v>
      </c>
      <c r="G259" s="39">
        <v>270.60859467135128</v>
      </c>
    </row>
    <row r="260" spans="2:7" x14ac:dyDescent="0.55000000000000004">
      <c r="B260">
        <v>203</v>
      </c>
      <c r="C260" s="27">
        <v>159.9721892086117</v>
      </c>
      <c r="D260">
        <v>203</v>
      </c>
      <c r="E260" s="27">
        <v>65.971674871516754</v>
      </c>
      <c r="F260">
        <v>203</v>
      </c>
      <c r="G260" s="39">
        <v>362.59550151611518</v>
      </c>
    </row>
    <row r="261" spans="2:7" x14ac:dyDescent="0.55000000000000004">
      <c r="B261">
        <v>204</v>
      </c>
      <c r="C261" s="27">
        <v>402.20549394514632</v>
      </c>
      <c r="D261">
        <v>204</v>
      </c>
      <c r="E261" s="27">
        <v>10.145987224962191</v>
      </c>
      <c r="F261">
        <v>204</v>
      </c>
      <c r="G261" s="39">
        <v>175.72821281642643</v>
      </c>
    </row>
    <row r="262" spans="2:7" x14ac:dyDescent="0.55000000000000004">
      <c r="B262">
        <v>205</v>
      </c>
      <c r="C262" s="27">
        <v>342.22920454137318</v>
      </c>
      <c r="D262">
        <v>205</v>
      </c>
      <c r="E262" s="27">
        <v>54.426887675017198</v>
      </c>
      <c r="F262">
        <v>205</v>
      </c>
      <c r="G262" s="39">
        <v>332.59374606970124</v>
      </c>
    </row>
    <row r="263" spans="2:7" x14ac:dyDescent="0.55000000000000004">
      <c r="B263">
        <v>206</v>
      </c>
      <c r="C263" s="27">
        <v>260.11790203152839</v>
      </c>
      <c r="D263">
        <v>206</v>
      </c>
      <c r="E263" s="27">
        <v>25.228916513339797</v>
      </c>
      <c r="F263">
        <v>206</v>
      </c>
      <c r="G263" s="39">
        <v>488.12858110452169</v>
      </c>
    </row>
    <row r="264" spans="2:7" x14ac:dyDescent="0.55000000000000004">
      <c r="B264">
        <v>207</v>
      </c>
      <c r="C264" s="27">
        <v>357.00617652435028</v>
      </c>
      <c r="D264">
        <v>207</v>
      </c>
      <c r="E264" s="27">
        <v>76.476195758675999</v>
      </c>
      <c r="F264">
        <v>207</v>
      </c>
      <c r="G264" s="39">
        <v>309.59991995940993</v>
      </c>
    </row>
    <row r="265" spans="2:7" x14ac:dyDescent="0.55000000000000004">
      <c r="B265">
        <v>208</v>
      </c>
      <c r="C265" s="27">
        <v>262.81147035311983</v>
      </c>
      <c r="D265">
        <v>208</v>
      </c>
      <c r="E265" s="27">
        <v>42.42911503611699</v>
      </c>
      <c r="F265">
        <v>208</v>
      </c>
      <c r="G265" s="39">
        <v>326.17726511085129</v>
      </c>
    </row>
    <row r="266" spans="2:7" x14ac:dyDescent="0.55000000000000004">
      <c r="B266">
        <v>209</v>
      </c>
      <c r="C266" s="27">
        <v>250.03940622967656</v>
      </c>
      <c r="D266">
        <v>209</v>
      </c>
      <c r="E266" s="27">
        <v>66.575317971037705</v>
      </c>
      <c r="F266">
        <v>209</v>
      </c>
      <c r="G266" s="39">
        <v>379.95733367692401</v>
      </c>
    </row>
    <row r="267" spans="2:7" x14ac:dyDescent="0.55000000000000004">
      <c r="B267">
        <v>210</v>
      </c>
      <c r="C267" s="27">
        <v>289.29694813764786</v>
      </c>
      <c r="D267">
        <v>210</v>
      </c>
      <c r="E267" s="27">
        <v>107.64751514704477</v>
      </c>
      <c r="F267">
        <v>210</v>
      </c>
      <c r="G267" s="39">
        <v>442.39170271149885</v>
      </c>
    </row>
    <row r="268" spans="2:7" x14ac:dyDescent="0.55000000000000004">
      <c r="B268">
        <v>211</v>
      </c>
      <c r="C268" s="27">
        <v>314.33188770061327</v>
      </c>
      <c r="D268">
        <v>211</v>
      </c>
      <c r="E268" s="27">
        <v>37.471092637908846</v>
      </c>
      <c r="F268">
        <v>211</v>
      </c>
      <c r="G268" s="39">
        <v>293.46879554849954</v>
      </c>
    </row>
    <row r="269" spans="2:7" x14ac:dyDescent="0.55000000000000004">
      <c r="B269">
        <v>212</v>
      </c>
      <c r="C269" s="27">
        <v>322.97025801225135</v>
      </c>
      <c r="D269">
        <v>212</v>
      </c>
      <c r="E269" s="27">
        <v>40.970421176519281</v>
      </c>
      <c r="F269">
        <v>212</v>
      </c>
      <c r="G269" s="39">
        <v>227.6710670470278</v>
      </c>
    </row>
    <row r="270" spans="2:7" x14ac:dyDescent="0.55000000000000004">
      <c r="B270">
        <v>213</v>
      </c>
      <c r="C270" s="27">
        <v>390.49905954970427</v>
      </c>
      <c r="D270">
        <v>213</v>
      </c>
      <c r="E270" s="27">
        <v>21.085315909526738</v>
      </c>
      <c r="F270">
        <v>213</v>
      </c>
      <c r="G270" s="39">
        <v>300.27849647094388</v>
      </c>
    </row>
    <row r="271" spans="2:7" x14ac:dyDescent="0.55000000000000004">
      <c r="B271">
        <v>214</v>
      </c>
      <c r="C271" s="27">
        <v>202.35583863923938</v>
      </c>
      <c r="D271">
        <v>214</v>
      </c>
      <c r="E271" s="27">
        <v>76.637890767335037</v>
      </c>
      <c r="F271">
        <v>214</v>
      </c>
      <c r="G271" s="39">
        <v>334.76482603461642</v>
      </c>
    </row>
    <row r="272" spans="2:7" x14ac:dyDescent="0.55000000000000004">
      <c r="B272">
        <v>215</v>
      </c>
      <c r="C272" s="27">
        <v>147.97676612328922</v>
      </c>
      <c r="D272">
        <v>215</v>
      </c>
      <c r="E272" s="27">
        <v>18.479791390224499</v>
      </c>
      <c r="F272">
        <v>215</v>
      </c>
      <c r="G272" s="39">
        <v>307.95970236011937</v>
      </c>
    </row>
    <row r="273" spans="2:7" x14ac:dyDescent="0.55000000000000004">
      <c r="B273">
        <v>216</v>
      </c>
      <c r="C273" s="27">
        <v>302.86373998467269</v>
      </c>
      <c r="D273">
        <v>216</v>
      </c>
      <c r="E273" s="27">
        <v>42.47203446227725</v>
      </c>
      <c r="F273">
        <v>216</v>
      </c>
      <c r="G273" s="39">
        <v>285.19107023168061</v>
      </c>
    </row>
    <row r="274" spans="2:7" x14ac:dyDescent="0.55000000000000004">
      <c r="B274">
        <v>217</v>
      </c>
      <c r="C274" s="27">
        <v>372.10388905490402</v>
      </c>
      <c r="D274">
        <v>217</v>
      </c>
      <c r="E274" s="27">
        <v>-53.273625860830833</v>
      </c>
      <c r="F274">
        <v>217</v>
      </c>
      <c r="G274" s="39">
        <v>449.40433430113421</v>
      </c>
    </row>
    <row r="275" spans="2:7" x14ac:dyDescent="0.55000000000000004">
      <c r="B275">
        <v>218</v>
      </c>
      <c r="C275" s="27">
        <v>281.31416474917228</v>
      </c>
      <c r="D275">
        <v>218</v>
      </c>
      <c r="E275" s="27">
        <v>65.145329466936431</v>
      </c>
      <c r="F275">
        <v>218</v>
      </c>
      <c r="G275" s="39">
        <v>196.87569825790808</v>
      </c>
    </row>
    <row r="276" spans="2:7" x14ac:dyDescent="0.55000000000000004">
      <c r="B276">
        <v>219</v>
      </c>
      <c r="C276" s="27">
        <v>258.40025810798363</v>
      </c>
      <c r="D276">
        <v>219</v>
      </c>
      <c r="E276" s="27">
        <v>35.002498797950196</v>
      </c>
      <c r="F276">
        <v>219</v>
      </c>
      <c r="G276" s="39">
        <v>258.45940028171594</v>
      </c>
    </row>
    <row r="277" spans="2:7" x14ac:dyDescent="0.55000000000000004">
      <c r="B277">
        <v>220</v>
      </c>
      <c r="C277" s="27">
        <v>369.50756685619899</v>
      </c>
      <c r="D277">
        <v>220</v>
      </c>
      <c r="E277" s="27">
        <v>-12.369074660774309</v>
      </c>
      <c r="F277">
        <v>220</v>
      </c>
      <c r="G277" s="39">
        <v>410.60712712245328</v>
      </c>
    </row>
    <row r="278" spans="2:7" x14ac:dyDescent="0.55000000000000004">
      <c r="B278">
        <v>221</v>
      </c>
      <c r="C278" s="27">
        <v>312.22930083235786</v>
      </c>
      <c r="D278">
        <v>221</v>
      </c>
      <c r="E278" s="27">
        <v>64.071706991844891</v>
      </c>
      <c r="F278">
        <v>221</v>
      </c>
      <c r="G278" s="39">
        <v>369.35587814193337</v>
      </c>
    </row>
    <row r="279" spans="2:7" x14ac:dyDescent="0.55000000000000004">
      <c r="B279">
        <v>222</v>
      </c>
      <c r="C279" s="27">
        <v>249.1209689258622</v>
      </c>
      <c r="D279">
        <v>222</v>
      </c>
      <c r="E279" s="27">
        <v>61.426168329349018</v>
      </c>
      <c r="F279">
        <v>222</v>
      </c>
      <c r="G279" s="39">
        <v>250.70347638770622</v>
      </c>
    </row>
    <row r="280" spans="2:7" x14ac:dyDescent="0.55000000000000004">
      <c r="B280">
        <v>223</v>
      </c>
      <c r="C280" s="27">
        <v>210.82792872892068</v>
      </c>
      <c r="D280">
        <v>223</v>
      </c>
      <c r="E280" s="27">
        <v>60.951172130113548</v>
      </c>
      <c r="F280">
        <v>223</v>
      </c>
      <c r="G280" s="39">
        <v>406.53535202744803</v>
      </c>
    </row>
    <row r="281" spans="2:7" x14ac:dyDescent="0.55000000000000004">
      <c r="B281">
        <v>224</v>
      </c>
      <c r="C281" s="27">
        <v>247.53781871263465</v>
      </c>
      <c r="D281">
        <v>224</v>
      </c>
      <c r="E281" s="27">
        <v>61.318060817985241</v>
      </c>
      <c r="F281">
        <v>224</v>
      </c>
      <c r="G281" s="39">
        <v>361.36057715729783</v>
      </c>
    </row>
    <row r="282" spans="2:7" x14ac:dyDescent="0.55000000000000004">
      <c r="B282">
        <v>225</v>
      </c>
      <c r="C282" s="27">
        <v>272.06368971526479</v>
      </c>
      <c r="D282">
        <v>225</v>
      </c>
      <c r="E282" s="27">
        <v>35.10146020119376</v>
      </c>
      <c r="F282">
        <v>225</v>
      </c>
      <c r="G282" s="39">
        <v>316.97490678042095</v>
      </c>
    </row>
    <row r="283" spans="2:7" x14ac:dyDescent="0.55000000000000004">
      <c r="B283">
        <v>226</v>
      </c>
      <c r="C283" s="27">
        <v>357.30223292143529</v>
      </c>
      <c r="D283">
        <v>226</v>
      </c>
      <c r="E283" s="27">
        <v>55.753725326244343</v>
      </c>
      <c r="F283">
        <v>226</v>
      </c>
      <c r="G283" s="39">
        <v>325.27213830277395</v>
      </c>
    </row>
    <row r="284" spans="2:7" x14ac:dyDescent="0.55000000000000004">
      <c r="B284">
        <v>227</v>
      </c>
      <c r="C284" s="27">
        <v>321.30608125789939</v>
      </c>
      <c r="D284">
        <v>227</v>
      </c>
      <c r="E284" s="27">
        <v>32.868494651357366</v>
      </c>
      <c r="F284">
        <v>227</v>
      </c>
      <c r="G284" s="39">
        <v>283.25297697224926</v>
      </c>
    </row>
    <row r="285" spans="2:7" x14ac:dyDescent="0.55000000000000004">
      <c r="B285">
        <v>228</v>
      </c>
      <c r="C285" s="27">
        <v>419.12905110213364</v>
      </c>
      <c r="D285">
        <v>228</v>
      </c>
      <c r="E285" s="27">
        <v>89.492671410797556</v>
      </c>
      <c r="F285">
        <v>228</v>
      </c>
      <c r="G285" s="39">
        <v>200.8791613374116</v>
      </c>
    </row>
    <row r="286" spans="2:7" x14ac:dyDescent="0.55000000000000004">
      <c r="B286">
        <v>229</v>
      </c>
      <c r="C286" s="27">
        <v>267.44694849869188</v>
      </c>
      <c r="D286">
        <v>229</v>
      </c>
      <c r="E286" s="27">
        <v>43.372950855269401</v>
      </c>
      <c r="F286">
        <v>229</v>
      </c>
      <c r="G286" s="39">
        <v>310.70070902292781</v>
      </c>
    </row>
    <row r="287" spans="2:7" x14ac:dyDescent="0.55000000000000004">
      <c r="B287">
        <v>230</v>
      </c>
      <c r="C287" s="27">
        <v>292.49022116426102</v>
      </c>
      <c r="D287">
        <v>230</v>
      </c>
      <c r="E287" s="27">
        <v>36.522968789179522</v>
      </c>
      <c r="F287">
        <v>230</v>
      </c>
      <c r="G287" s="39">
        <v>94.105524507000467</v>
      </c>
    </row>
    <row r="288" spans="2:7" x14ac:dyDescent="0.55000000000000004">
      <c r="B288">
        <v>231</v>
      </c>
      <c r="C288" s="27">
        <v>336.49916964900285</v>
      </c>
      <c r="D288">
        <v>231</v>
      </c>
      <c r="E288" s="27">
        <v>66.048792135749252</v>
      </c>
      <c r="F288">
        <v>231</v>
      </c>
      <c r="G288" s="39">
        <v>269.56652797210967</v>
      </c>
    </row>
    <row r="289" spans="2:7" x14ac:dyDescent="0.55000000000000004">
      <c r="B289">
        <v>232</v>
      </c>
      <c r="C289" s="27">
        <v>162.09579108177286</v>
      </c>
      <c r="D289">
        <v>232</v>
      </c>
      <c r="E289" s="27">
        <v>53.643826983444683</v>
      </c>
      <c r="F289">
        <v>232</v>
      </c>
      <c r="G289" s="39">
        <v>309.80844277637095</v>
      </c>
    </row>
    <row r="290" spans="2:7" x14ac:dyDescent="0.55000000000000004">
      <c r="B290">
        <v>233</v>
      </c>
      <c r="C290" s="27">
        <v>219.02511073218614</v>
      </c>
      <c r="D290">
        <v>233</v>
      </c>
      <c r="E290" s="27">
        <v>116.33886111058533</v>
      </c>
      <c r="F290">
        <v>233</v>
      </c>
      <c r="G290" s="39">
        <v>373.04715372744943</v>
      </c>
    </row>
    <row r="291" spans="2:7" x14ac:dyDescent="0.55000000000000004">
      <c r="B291">
        <v>234</v>
      </c>
      <c r="C291" s="27">
        <v>337.88689906991289</v>
      </c>
      <c r="D291">
        <v>234</v>
      </c>
      <c r="E291" s="27">
        <v>70.362681247778141</v>
      </c>
      <c r="F291">
        <v>234</v>
      </c>
      <c r="G291" s="39">
        <v>261.28372565918409</v>
      </c>
    </row>
    <row r="292" spans="2:7" x14ac:dyDescent="0.55000000000000004">
      <c r="B292">
        <v>235</v>
      </c>
      <c r="C292" s="27">
        <v>379.79854262419201</v>
      </c>
      <c r="D292">
        <v>235</v>
      </c>
      <c r="E292" s="27">
        <v>31.5234854270822</v>
      </c>
      <c r="F292">
        <v>235</v>
      </c>
      <c r="G292" s="39">
        <v>373.58073242724726</v>
      </c>
    </row>
    <row r="293" spans="2:7" x14ac:dyDescent="0.55000000000000004">
      <c r="B293">
        <v>236</v>
      </c>
      <c r="C293" s="27">
        <v>362.09255515575018</v>
      </c>
      <c r="D293">
        <v>236</v>
      </c>
      <c r="E293" s="27">
        <v>62.914425904115575</v>
      </c>
      <c r="F293">
        <v>236</v>
      </c>
      <c r="G293" s="39">
        <v>270.32728904893702</v>
      </c>
    </row>
    <row r="294" spans="2:7" x14ac:dyDescent="0.55000000000000004">
      <c r="B294">
        <v>237</v>
      </c>
      <c r="C294" s="27">
        <v>270.83983052321253</v>
      </c>
      <c r="D294">
        <v>237</v>
      </c>
      <c r="E294" s="27">
        <v>93.653329287810237</v>
      </c>
      <c r="F294">
        <v>237</v>
      </c>
      <c r="G294" s="39">
        <v>386.87418112051864</v>
      </c>
    </row>
    <row r="295" spans="2:7" x14ac:dyDescent="0.55000000000000004">
      <c r="B295">
        <v>238</v>
      </c>
      <c r="C295" s="27">
        <v>299.94654641924438</v>
      </c>
      <c r="D295">
        <v>238</v>
      </c>
      <c r="E295" s="27">
        <v>48.154247360586552</v>
      </c>
      <c r="F295">
        <v>238</v>
      </c>
      <c r="G295" s="39">
        <v>207.40362129554893</v>
      </c>
    </row>
    <row r="296" spans="2:7" x14ac:dyDescent="0.55000000000000004">
      <c r="B296">
        <v>239</v>
      </c>
      <c r="C296" s="27">
        <v>203.55103544763656</v>
      </c>
      <c r="D296">
        <v>239</v>
      </c>
      <c r="E296" s="27">
        <v>71.131638436519353</v>
      </c>
      <c r="F296">
        <v>239</v>
      </c>
      <c r="G296" s="39">
        <v>280.67535859768384</v>
      </c>
    </row>
    <row r="297" spans="2:7" x14ac:dyDescent="0.55000000000000004">
      <c r="B297">
        <v>240</v>
      </c>
      <c r="C297" s="27">
        <v>277.66222153162113</v>
      </c>
      <c r="D297">
        <v>240</v>
      </c>
      <c r="E297" s="27">
        <v>29.61265671240804</v>
      </c>
      <c r="F297">
        <v>240</v>
      </c>
      <c r="G297" s="39">
        <v>360.17365827765479</v>
      </c>
    </row>
    <row r="298" spans="2:7" x14ac:dyDescent="0.55000000000000004">
      <c r="B298">
        <v>241</v>
      </c>
      <c r="C298" s="27">
        <v>328.42062270738722</v>
      </c>
      <c r="D298">
        <v>241</v>
      </c>
      <c r="E298" s="27">
        <v>18.975976509539024</v>
      </c>
      <c r="F298">
        <v>241</v>
      </c>
      <c r="G298" s="39">
        <v>142.32899461291174</v>
      </c>
    </row>
    <row r="299" spans="2:7" x14ac:dyDescent="0.55000000000000004">
      <c r="B299">
        <v>242</v>
      </c>
      <c r="C299" s="27">
        <v>198.14818156387037</v>
      </c>
      <c r="D299">
        <v>242</v>
      </c>
      <c r="E299" s="27">
        <v>54.771659125279562</v>
      </c>
      <c r="F299">
        <v>242</v>
      </c>
      <c r="G299" s="39">
        <v>190.81499600550541</v>
      </c>
    </row>
    <row r="300" spans="2:7" x14ac:dyDescent="0.55000000000000004">
      <c r="B300">
        <v>243</v>
      </c>
      <c r="C300" s="27">
        <v>286.20626882357527</v>
      </c>
      <c r="D300">
        <v>243</v>
      </c>
      <c r="E300" s="27">
        <v>25.104768406377431</v>
      </c>
      <c r="F300">
        <v>243</v>
      </c>
      <c r="G300" s="39">
        <v>332.42676486082041</v>
      </c>
    </row>
    <row r="301" spans="2:7" x14ac:dyDescent="0.55000000000000004">
      <c r="B301">
        <v>244</v>
      </c>
      <c r="C301" s="27">
        <v>325.75111771057703</v>
      </c>
      <c r="D301">
        <v>244</v>
      </c>
      <c r="E301" s="27">
        <v>53.798131525862701</v>
      </c>
      <c r="F301">
        <v>244</v>
      </c>
      <c r="G301" s="39">
        <v>349.75286942364488</v>
      </c>
    </row>
    <row r="302" spans="2:7" x14ac:dyDescent="0.55000000000000004">
      <c r="B302">
        <v>245</v>
      </c>
      <c r="C302" s="27">
        <v>209.38810579052026</v>
      </c>
      <c r="D302">
        <v>245</v>
      </c>
      <c r="E302" s="27">
        <v>45.482407068750376</v>
      </c>
      <c r="F302">
        <v>245</v>
      </c>
      <c r="G302" s="39">
        <v>400.54119197906698</v>
      </c>
    </row>
    <row r="303" spans="2:7" x14ac:dyDescent="0.55000000000000004">
      <c r="B303">
        <v>246</v>
      </c>
      <c r="C303" s="27">
        <v>320.12109078406144</v>
      </c>
      <c r="D303">
        <v>246</v>
      </c>
      <c r="E303" s="27">
        <v>36.061617930392245</v>
      </c>
      <c r="F303">
        <v>246</v>
      </c>
      <c r="G303" s="39">
        <v>221.9790841532226</v>
      </c>
    </row>
    <row r="304" spans="2:7" x14ac:dyDescent="0.55000000000000004">
      <c r="B304">
        <v>247</v>
      </c>
      <c r="C304" s="27">
        <v>242.93943036360784</v>
      </c>
      <c r="D304">
        <v>247</v>
      </c>
      <c r="E304" s="27">
        <v>37.943231056742178</v>
      </c>
      <c r="F304">
        <v>247</v>
      </c>
      <c r="G304" s="39">
        <v>185.70363189277978</v>
      </c>
    </row>
    <row r="305" spans="2:7" x14ac:dyDescent="0.55000000000000004">
      <c r="B305">
        <v>248</v>
      </c>
      <c r="C305" s="27">
        <v>264.296417318463</v>
      </c>
      <c r="D305">
        <v>248</v>
      </c>
      <c r="E305" s="27">
        <v>19.713094715778126</v>
      </c>
      <c r="F305">
        <v>248</v>
      </c>
      <c r="G305" s="39">
        <v>213.10531812466792</v>
      </c>
    </row>
    <row r="306" spans="2:7" x14ac:dyDescent="0.55000000000000004">
      <c r="B306">
        <v>249</v>
      </c>
      <c r="C306" s="27">
        <v>347.91477866965931</v>
      </c>
      <c r="D306">
        <v>249</v>
      </c>
      <c r="E306" s="27">
        <v>25.819504343235891</v>
      </c>
      <c r="F306">
        <v>249</v>
      </c>
      <c r="G306" s="39">
        <v>218.83133400616137</v>
      </c>
    </row>
    <row r="307" spans="2:7" x14ac:dyDescent="0.55000000000000004">
      <c r="B307">
        <v>250</v>
      </c>
      <c r="C307" s="27">
        <v>392.9934307131598</v>
      </c>
      <c r="D307">
        <v>250</v>
      </c>
      <c r="E307" s="27">
        <v>42.737673668019724</v>
      </c>
      <c r="F307">
        <v>250</v>
      </c>
      <c r="G307" s="39">
        <v>409.98013286821646</v>
      </c>
    </row>
    <row r="308" spans="2:7" x14ac:dyDescent="0.55000000000000004">
      <c r="B308">
        <v>251</v>
      </c>
      <c r="C308" s="27">
        <v>275.06039203640125</v>
      </c>
      <c r="D308">
        <v>251</v>
      </c>
      <c r="E308" s="27">
        <v>50.789624956553141</v>
      </c>
      <c r="F308">
        <v>251</v>
      </c>
      <c r="G308" s="39">
        <v>241.15076205583335</v>
      </c>
    </row>
    <row r="309" spans="2:7" x14ac:dyDescent="0.55000000000000004">
      <c r="B309">
        <v>252</v>
      </c>
      <c r="C309" s="27">
        <v>284.02259902158744</v>
      </c>
      <c r="D309">
        <v>252</v>
      </c>
      <c r="E309" s="27">
        <v>55.33783910588555</v>
      </c>
      <c r="F309">
        <v>252</v>
      </c>
      <c r="G309" s="39">
        <v>199.26318335908201</v>
      </c>
    </row>
    <row r="310" spans="2:7" x14ac:dyDescent="0.55000000000000004">
      <c r="B310">
        <v>253</v>
      </c>
      <c r="C310" s="27">
        <v>260.34939752431978</v>
      </c>
      <c r="D310">
        <v>253</v>
      </c>
      <c r="E310" s="27">
        <v>17.718078953395832</v>
      </c>
      <c r="F310">
        <v>253</v>
      </c>
      <c r="G310" s="39">
        <v>239.41036959981929</v>
      </c>
    </row>
    <row r="311" spans="2:7" x14ac:dyDescent="0.55000000000000004">
      <c r="B311">
        <v>254</v>
      </c>
      <c r="C311" s="27">
        <v>351.49867577618789</v>
      </c>
      <c r="D311">
        <v>254</v>
      </c>
      <c r="E311" s="27">
        <v>58.483567648830174</v>
      </c>
      <c r="F311">
        <v>254</v>
      </c>
      <c r="G311" s="39">
        <v>249.85628459146659</v>
      </c>
    </row>
    <row r="312" spans="2:7" x14ac:dyDescent="0.55000000000000004">
      <c r="B312">
        <v>255</v>
      </c>
      <c r="C312" s="27">
        <v>233.16077210140224</v>
      </c>
      <c r="D312">
        <v>255</v>
      </c>
      <c r="E312" s="27">
        <v>56.779704818935357</v>
      </c>
      <c r="F312">
        <v>255</v>
      </c>
      <c r="G312" s="39">
        <v>317.6038707046597</v>
      </c>
    </row>
    <row r="313" spans="2:7" x14ac:dyDescent="0.55000000000000004">
      <c r="B313">
        <v>256</v>
      </c>
      <c r="C313" s="27">
        <v>207.40112495701024</v>
      </c>
      <c r="D313">
        <v>256</v>
      </c>
      <c r="E313" s="27">
        <v>8.3879355802832407</v>
      </c>
      <c r="F313">
        <v>256</v>
      </c>
      <c r="G313" s="39">
        <v>283.40690141751014</v>
      </c>
    </row>
    <row r="314" spans="2:7" x14ac:dyDescent="0.55000000000000004">
      <c r="B314">
        <v>257</v>
      </c>
      <c r="C314" s="27">
        <v>371.96182124636186</v>
      </c>
      <c r="D314">
        <v>257</v>
      </c>
      <c r="E314" s="27">
        <v>0.85231937712652694</v>
      </c>
      <c r="F314">
        <v>257</v>
      </c>
      <c r="G314" s="39">
        <v>284.52788913112505</v>
      </c>
    </row>
    <row r="315" spans="2:7" x14ac:dyDescent="0.55000000000000004">
      <c r="B315">
        <v>258</v>
      </c>
      <c r="C315" s="27">
        <v>358.5358340156501</v>
      </c>
      <c r="D315">
        <v>258</v>
      </c>
      <c r="E315" s="27">
        <v>58.508122446944064</v>
      </c>
      <c r="F315">
        <v>258</v>
      </c>
      <c r="G315" s="39">
        <v>228.93811517850111</v>
      </c>
    </row>
    <row r="316" spans="2:7" x14ac:dyDescent="0.55000000000000004">
      <c r="B316">
        <v>259</v>
      </c>
      <c r="C316" s="27">
        <v>356.32408401348795</v>
      </c>
      <c r="D316">
        <v>259</v>
      </c>
      <c r="E316" s="27">
        <v>73.357860874868038</v>
      </c>
      <c r="F316">
        <v>259</v>
      </c>
      <c r="G316" s="39">
        <v>254.68136500204767</v>
      </c>
    </row>
    <row r="317" spans="2:7" x14ac:dyDescent="0.55000000000000004">
      <c r="B317">
        <v>260</v>
      </c>
      <c r="C317" s="27">
        <v>219.73036773819766</v>
      </c>
      <c r="D317">
        <v>260</v>
      </c>
      <c r="E317" s="27">
        <v>12.402993031771587</v>
      </c>
      <c r="F317">
        <v>260</v>
      </c>
      <c r="G317" s="39">
        <v>378.83308851640419</v>
      </c>
    </row>
    <row r="318" spans="2:7" x14ac:dyDescent="0.55000000000000004">
      <c r="B318">
        <v>261</v>
      </c>
      <c r="C318" s="27">
        <v>402.30954874558563</v>
      </c>
      <c r="D318">
        <v>261</v>
      </c>
      <c r="E318" s="27">
        <v>81.315745046652765</v>
      </c>
      <c r="F318">
        <v>261</v>
      </c>
      <c r="G318" s="39">
        <v>329.61793767180745</v>
      </c>
    </row>
    <row r="319" spans="2:7" x14ac:dyDescent="0.55000000000000004">
      <c r="B319">
        <v>262</v>
      </c>
      <c r="C319" s="27">
        <v>338.75192891104348</v>
      </c>
      <c r="D319">
        <v>262</v>
      </c>
      <c r="E319" s="27">
        <v>53.132260266111089</v>
      </c>
      <c r="F319">
        <v>262</v>
      </c>
      <c r="G319" s="39">
        <v>282.17028339049347</v>
      </c>
    </row>
    <row r="320" spans="2:7" x14ac:dyDescent="0.55000000000000004">
      <c r="B320">
        <v>263</v>
      </c>
      <c r="C320" s="27">
        <v>109.78568673939853</v>
      </c>
      <c r="D320">
        <v>263</v>
      </c>
      <c r="E320" s="27">
        <v>68.578565586345974</v>
      </c>
      <c r="F320">
        <v>263</v>
      </c>
      <c r="G320" s="39">
        <v>355.93192111145885</v>
      </c>
    </row>
    <row r="321" spans="2:7" x14ac:dyDescent="0.55000000000000004">
      <c r="B321">
        <v>264</v>
      </c>
      <c r="C321" s="27">
        <v>249.68571126052939</v>
      </c>
      <c r="D321">
        <v>264</v>
      </c>
      <c r="E321" s="27">
        <v>58.048566528530166</v>
      </c>
      <c r="F321">
        <v>264</v>
      </c>
      <c r="G321" s="39">
        <v>307.20313518975536</v>
      </c>
    </row>
    <row r="322" spans="2:7" x14ac:dyDescent="0.55000000000000004">
      <c r="B322">
        <v>265</v>
      </c>
      <c r="C322" s="27">
        <v>134.01567402567022</v>
      </c>
      <c r="D322">
        <v>265</v>
      </c>
      <c r="E322" s="27">
        <v>102.74031882021424</v>
      </c>
      <c r="F322">
        <v>265</v>
      </c>
      <c r="G322" s="39">
        <v>193.56360697539026</v>
      </c>
    </row>
    <row r="323" spans="2:7" x14ac:dyDescent="0.55000000000000004">
      <c r="B323">
        <v>266</v>
      </c>
      <c r="C323" s="27">
        <v>309.79187242007458</v>
      </c>
      <c r="D323">
        <v>266</v>
      </c>
      <c r="E323" s="27">
        <v>47.512368064481159</v>
      </c>
      <c r="F323">
        <v>266</v>
      </c>
      <c r="G323" s="39">
        <v>333.69370914314834</v>
      </c>
    </row>
    <row r="324" spans="2:7" x14ac:dyDescent="0.55000000000000004">
      <c r="B324">
        <v>267</v>
      </c>
      <c r="C324" s="27">
        <v>279.69503393736466</v>
      </c>
      <c r="D324">
        <v>267</v>
      </c>
      <c r="E324" s="27">
        <v>21.400291694346652</v>
      </c>
      <c r="F324">
        <v>267</v>
      </c>
      <c r="G324" s="39">
        <v>283.51483568854422</v>
      </c>
    </row>
    <row r="325" spans="2:7" x14ac:dyDescent="0.55000000000000004">
      <c r="B325">
        <v>268</v>
      </c>
      <c r="C325" s="27">
        <v>347.52161006995908</v>
      </c>
      <c r="D325">
        <v>268</v>
      </c>
      <c r="E325" s="27">
        <v>122.34169300632425</v>
      </c>
      <c r="F325">
        <v>268</v>
      </c>
      <c r="G325" s="39">
        <v>26.657039127150341</v>
      </c>
    </row>
    <row r="326" spans="2:7" x14ac:dyDescent="0.55000000000000004">
      <c r="B326">
        <v>269</v>
      </c>
      <c r="C326" s="27">
        <v>248.60846570252187</v>
      </c>
      <c r="D326">
        <v>269</v>
      </c>
      <c r="E326" s="27">
        <v>64.407985700565789</v>
      </c>
      <c r="F326">
        <v>269</v>
      </c>
      <c r="G326" s="39">
        <v>347.75351990081282</v>
      </c>
    </row>
    <row r="327" spans="2:7" x14ac:dyDescent="0.55000000000000004">
      <c r="B327">
        <v>270</v>
      </c>
      <c r="C327" s="27">
        <v>415.02899459372378</v>
      </c>
      <c r="D327">
        <v>270</v>
      </c>
      <c r="E327" s="27">
        <v>64.398102790483236</v>
      </c>
      <c r="F327">
        <v>270</v>
      </c>
      <c r="G327" s="39">
        <v>257.58221845710329</v>
      </c>
    </row>
    <row r="328" spans="2:7" x14ac:dyDescent="0.55000000000000004">
      <c r="B328">
        <v>271</v>
      </c>
      <c r="C328" s="27">
        <v>236.34748802611273</v>
      </c>
      <c r="D328">
        <v>271</v>
      </c>
      <c r="E328" s="27">
        <v>45.876613959653405</v>
      </c>
      <c r="F328">
        <v>271</v>
      </c>
      <c r="G328" s="39">
        <v>280.61968449591222</v>
      </c>
    </row>
    <row r="329" spans="2:7" x14ac:dyDescent="0.55000000000000004">
      <c r="B329">
        <v>272</v>
      </c>
      <c r="C329" s="27">
        <v>354.11140016241882</v>
      </c>
      <c r="D329">
        <v>272</v>
      </c>
      <c r="E329" s="27">
        <v>52.576779742401669</v>
      </c>
      <c r="F329">
        <v>272</v>
      </c>
      <c r="G329" s="39">
        <v>272.42467029102983</v>
      </c>
    </row>
    <row r="330" spans="2:7" x14ac:dyDescent="0.55000000000000004">
      <c r="B330">
        <v>273</v>
      </c>
      <c r="C330" s="27">
        <v>275.44205124801988</v>
      </c>
      <c r="D330">
        <v>273</v>
      </c>
      <c r="E330" s="27">
        <v>62.403214890514491</v>
      </c>
      <c r="F330">
        <v>273</v>
      </c>
      <c r="G330" s="39">
        <v>368.38179068071446</v>
      </c>
    </row>
    <row r="331" spans="2:7" x14ac:dyDescent="0.55000000000000004">
      <c r="B331">
        <v>274</v>
      </c>
      <c r="C331" s="27">
        <v>135.05374250718211</v>
      </c>
      <c r="D331">
        <v>274</v>
      </c>
      <c r="E331" s="27">
        <v>-1.5785356250374605</v>
      </c>
      <c r="F331">
        <v>274</v>
      </c>
      <c r="G331" s="39">
        <v>203.04903030602583</v>
      </c>
    </row>
    <row r="332" spans="2:7" x14ac:dyDescent="0.55000000000000004">
      <c r="B332">
        <v>275</v>
      </c>
      <c r="C332" s="27">
        <v>400.94482561392334</v>
      </c>
      <c r="D332">
        <v>275</v>
      </c>
      <c r="E332" s="27">
        <v>42.288127740520146</v>
      </c>
      <c r="F332">
        <v>275</v>
      </c>
      <c r="G332" s="39">
        <v>224.29419416928573</v>
      </c>
    </row>
    <row r="333" spans="2:7" x14ac:dyDescent="0.55000000000000004">
      <c r="B333">
        <v>276</v>
      </c>
      <c r="C333" s="27">
        <v>268.0156754968703</v>
      </c>
      <c r="D333">
        <v>276</v>
      </c>
      <c r="E333" s="27">
        <v>24.283298523978615</v>
      </c>
      <c r="F333">
        <v>276</v>
      </c>
      <c r="G333" s="39">
        <v>277.44892373754971</v>
      </c>
    </row>
    <row r="334" spans="2:7" x14ac:dyDescent="0.55000000000000004">
      <c r="B334">
        <v>277</v>
      </c>
      <c r="C334" s="27">
        <v>189.62195915968277</v>
      </c>
      <c r="D334">
        <v>277</v>
      </c>
      <c r="E334" s="27">
        <v>59.584113634005263</v>
      </c>
      <c r="F334">
        <v>277</v>
      </c>
      <c r="G334" s="39">
        <v>363.07426792117855</v>
      </c>
    </row>
    <row r="335" spans="2:7" x14ac:dyDescent="0.55000000000000004">
      <c r="B335">
        <v>278</v>
      </c>
      <c r="C335" s="27">
        <v>352.92433394761179</v>
      </c>
      <c r="D335">
        <v>278</v>
      </c>
      <c r="E335" s="27">
        <v>-2.6586684287074078</v>
      </c>
      <c r="F335">
        <v>278</v>
      </c>
      <c r="G335" s="39">
        <v>211.71868898114926</v>
      </c>
    </row>
    <row r="336" spans="2:7" x14ac:dyDescent="0.55000000000000004">
      <c r="B336">
        <v>279</v>
      </c>
      <c r="C336" s="27">
        <v>215.81595720942445</v>
      </c>
      <c r="D336">
        <v>279</v>
      </c>
      <c r="E336" s="27">
        <v>30.796827824473798</v>
      </c>
      <c r="F336">
        <v>279</v>
      </c>
      <c r="G336" s="39">
        <v>438.80163908431217</v>
      </c>
    </row>
    <row r="337" spans="2:7" x14ac:dyDescent="0.55000000000000004">
      <c r="B337">
        <v>280</v>
      </c>
      <c r="C337" s="27">
        <v>333.4060433872088</v>
      </c>
      <c r="D337">
        <v>280</v>
      </c>
      <c r="E337" s="27">
        <v>74.988009502002782</v>
      </c>
      <c r="F337">
        <v>280</v>
      </c>
      <c r="G337" s="39">
        <v>489.44000936273414</v>
      </c>
    </row>
    <row r="338" spans="2:7" x14ac:dyDescent="0.55000000000000004">
      <c r="B338">
        <v>281</v>
      </c>
      <c r="C338" s="27">
        <v>280.13023303423495</v>
      </c>
      <c r="D338">
        <v>281</v>
      </c>
      <c r="E338" s="27">
        <v>65.719050334979727</v>
      </c>
      <c r="F338">
        <v>281</v>
      </c>
      <c r="G338" s="39">
        <v>318.35567710243561</v>
      </c>
    </row>
    <row r="339" spans="2:7" x14ac:dyDescent="0.55000000000000004">
      <c r="B339">
        <v>282</v>
      </c>
      <c r="C339" s="27">
        <v>332.97851811164924</v>
      </c>
      <c r="D339">
        <v>282</v>
      </c>
      <c r="E339" s="27">
        <v>82.996498013385974</v>
      </c>
      <c r="F339">
        <v>282</v>
      </c>
      <c r="G339" s="39">
        <v>360.94039410223701</v>
      </c>
    </row>
    <row r="340" spans="2:7" x14ac:dyDescent="0.55000000000000004">
      <c r="B340">
        <v>283</v>
      </c>
      <c r="C340" s="27">
        <v>312.35747478717315</v>
      </c>
      <c r="D340">
        <v>283</v>
      </c>
      <c r="E340" s="27">
        <v>43.444437692447032</v>
      </c>
      <c r="F340">
        <v>283</v>
      </c>
      <c r="G340" s="39">
        <v>228.07451540498818</v>
      </c>
    </row>
    <row r="341" spans="2:7" x14ac:dyDescent="0.55000000000000004">
      <c r="B341">
        <v>284</v>
      </c>
      <c r="C341" s="27">
        <v>186.52085784971993</v>
      </c>
      <c r="D341">
        <v>284</v>
      </c>
      <c r="E341" s="27">
        <v>38.050280112922422</v>
      </c>
      <c r="F341">
        <v>284</v>
      </c>
      <c r="G341" s="39">
        <v>436.21932359850302</v>
      </c>
    </row>
    <row r="342" spans="2:7" x14ac:dyDescent="0.55000000000000004">
      <c r="B342">
        <v>285</v>
      </c>
      <c r="C342" s="27">
        <v>265.83665270227971</v>
      </c>
      <c r="D342">
        <v>285</v>
      </c>
      <c r="E342" s="27">
        <v>63.915643459333992</v>
      </c>
      <c r="F342">
        <v>285</v>
      </c>
      <c r="G342" s="39">
        <v>201.99197669879814</v>
      </c>
    </row>
    <row r="343" spans="2:7" x14ac:dyDescent="0.55000000000000004">
      <c r="B343">
        <v>286</v>
      </c>
      <c r="C343" s="27">
        <v>337.92182795342541</v>
      </c>
      <c r="D343">
        <v>286</v>
      </c>
      <c r="E343" s="27">
        <v>21.948435940967109</v>
      </c>
      <c r="F343">
        <v>286</v>
      </c>
      <c r="G343" s="39">
        <v>245.86926207577221</v>
      </c>
    </row>
    <row r="344" spans="2:7" x14ac:dyDescent="0.55000000000000004">
      <c r="B344">
        <v>287</v>
      </c>
      <c r="C344" s="27">
        <v>359.78809466465765</v>
      </c>
      <c r="D344">
        <v>287</v>
      </c>
      <c r="E344" s="27">
        <v>40.243828563120033</v>
      </c>
      <c r="F344">
        <v>287</v>
      </c>
      <c r="G344" s="39">
        <v>321.6636346005094</v>
      </c>
    </row>
    <row r="345" spans="2:7" x14ac:dyDescent="0.55000000000000004">
      <c r="B345">
        <v>288</v>
      </c>
      <c r="C345" s="27">
        <v>195.12696888545719</v>
      </c>
      <c r="D345">
        <v>288</v>
      </c>
      <c r="E345" s="27">
        <v>52.322066646666329</v>
      </c>
      <c r="F345">
        <v>288</v>
      </c>
      <c r="G345" s="39">
        <v>338.1770604266606</v>
      </c>
    </row>
    <row r="346" spans="2:7" x14ac:dyDescent="0.55000000000000004">
      <c r="B346">
        <v>289</v>
      </c>
      <c r="C346" s="27">
        <v>273.265809357791</v>
      </c>
      <c r="D346">
        <v>289</v>
      </c>
      <c r="E346" s="27">
        <v>26.101477911668638</v>
      </c>
      <c r="F346">
        <v>289</v>
      </c>
      <c r="G346" s="39">
        <v>408.90946608570789</v>
      </c>
    </row>
    <row r="347" spans="2:7" x14ac:dyDescent="0.55000000000000004">
      <c r="B347">
        <v>290</v>
      </c>
      <c r="C347" s="27">
        <v>251.78048862455279</v>
      </c>
      <c r="D347">
        <v>290</v>
      </c>
      <c r="E347" s="27">
        <v>37.116149914882655</v>
      </c>
      <c r="F347">
        <v>290</v>
      </c>
      <c r="G347" s="39">
        <v>360.68801004637419</v>
      </c>
    </row>
    <row r="348" spans="2:7" x14ac:dyDescent="0.55000000000000004">
      <c r="B348">
        <v>291</v>
      </c>
      <c r="C348" s="27">
        <v>271.63018748335418</v>
      </c>
      <c r="D348">
        <v>291</v>
      </c>
      <c r="E348" s="27">
        <v>40.595731256512714</v>
      </c>
      <c r="F348">
        <v>291</v>
      </c>
      <c r="G348" s="39">
        <v>303.60626857520225</v>
      </c>
    </row>
    <row r="349" spans="2:7" x14ac:dyDescent="0.55000000000000004">
      <c r="B349">
        <v>292</v>
      </c>
      <c r="C349" s="27">
        <v>326.5383463741577</v>
      </c>
      <c r="D349">
        <v>292</v>
      </c>
      <c r="E349" s="27">
        <v>52.206290402288673</v>
      </c>
      <c r="F349">
        <v>292</v>
      </c>
      <c r="G349" s="39">
        <v>307.81194843858867</v>
      </c>
    </row>
    <row r="350" spans="2:7" x14ac:dyDescent="0.55000000000000004">
      <c r="B350">
        <v>293</v>
      </c>
      <c r="C350" s="27">
        <v>182.42282591009109</v>
      </c>
      <c r="D350">
        <v>293</v>
      </c>
      <c r="E350" s="27">
        <v>64.350676690249855</v>
      </c>
      <c r="F350">
        <v>293</v>
      </c>
      <c r="G350" s="39">
        <v>217.24823660265997</v>
      </c>
    </row>
    <row r="351" spans="2:7" x14ac:dyDescent="0.55000000000000004">
      <c r="B351">
        <v>294</v>
      </c>
      <c r="C351" s="27">
        <v>205.97486857372508</v>
      </c>
      <c r="D351">
        <v>294</v>
      </c>
      <c r="E351" s="27">
        <v>73.898022675946692</v>
      </c>
      <c r="F351">
        <v>294</v>
      </c>
      <c r="G351" s="39">
        <v>284.85818044074347</v>
      </c>
    </row>
    <row r="352" spans="2:7" x14ac:dyDescent="0.55000000000000004">
      <c r="B352">
        <v>295</v>
      </c>
      <c r="C352" s="27">
        <v>321.04485126591152</v>
      </c>
      <c r="D352">
        <v>295</v>
      </c>
      <c r="E352" s="27">
        <v>73.698291865296071</v>
      </c>
      <c r="F352">
        <v>295</v>
      </c>
      <c r="G352" s="39">
        <v>218.22521571620416</v>
      </c>
    </row>
    <row r="353" spans="2:7" x14ac:dyDescent="0.55000000000000004">
      <c r="B353">
        <v>296</v>
      </c>
      <c r="C353" s="27">
        <v>237.1638118222242</v>
      </c>
      <c r="D353">
        <v>296</v>
      </c>
      <c r="E353" s="27">
        <v>139.28400726774743</v>
      </c>
      <c r="F353">
        <v>296</v>
      </c>
      <c r="G353" s="39">
        <v>210.29862702300423</v>
      </c>
    </row>
    <row r="354" spans="2:7" x14ac:dyDescent="0.55000000000000004">
      <c r="B354">
        <v>297</v>
      </c>
      <c r="C354" s="27">
        <v>250.58284179794202</v>
      </c>
      <c r="D354">
        <v>297</v>
      </c>
      <c r="E354" s="27">
        <v>35.493281077138533</v>
      </c>
      <c r="F354">
        <v>297</v>
      </c>
      <c r="G354" s="39">
        <v>250.10369436429605</v>
      </c>
    </row>
    <row r="355" spans="2:7" x14ac:dyDescent="0.55000000000000004">
      <c r="B355">
        <v>298</v>
      </c>
      <c r="C355" s="27">
        <v>465.51477020869709</v>
      </c>
      <c r="D355">
        <v>298</v>
      </c>
      <c r="E355" s="27">
        <v>58.124864598128042</v>
      </c>
      <c r="F355">
        <v>298</v>
      </c>
      <c r="G355" s="39">
        <v>250.72563077905852</v>
      </c>
    </row>
    <row r="356" spans="2:7" x14ac:dyDescent="0.55000000000000004">
      <c r="B356">
        <v>299</v>
      </c>
      <c r="C356" s="27">
        <v>212.47860289438074</v>
      </c>
      <c r="D356">
        <v>299</v>
      </c>
      <c r="E356" s="27">
        <v>-1.8499756336388558</v>
      </c>
      <c r="F356">
        <v>299</v>
      </c>
      <c r="G356" s="39">
        <v>374.75338057687964</v>
      </c>
    </row>
    <row r="357" spans="2:7" x14ac:dyDescent="0.55000000000000004">
      <c r="B357">
        <v>300</v>
      </c>
      <c r="C357" s="27">
        <v>318.69533522314413</v>
      </c>
      <c r="D357">
        <v>300</v>
      </c>
      <c r="E357" s="27">
        <v>125.06188914700422</v>
      </c>
      <c r="F357">
        <v>300</v>
      </c>
      <c r="G357" s="39">
        <v>383.0858065193928</v>
      </c>
    </row>
    <row r="358" spans="2:7" x14ac:dyDescent="0.55000000000000004">
      <c r="B358">
        <v>301</v>
      </c>
      <c r="C358" s="27">
        <v>479.70739003874155</v>
      </c>
      <c r="D358">
        <v>301</v>
      </c>
      <c r="E358" s="27">
        <v>37.978007894933391</v>
      </c>
      <c r="F358">
        <v>301</v>
      </c>
      <c r="G358" s="39">
        <v>310.79772427774208</v>
      </c>
    </row>
    <row r="359" spans="2:7" x14ac:dyDescent="0.55000000000000004">
      <c r="B359">
        <v>302</v>
      </c>
      <c r="C359" s="27">
        <v>370.61961160016585</v>
      </c>
      <c r="D359">
        <v>302</v>
      </c>
      <c r="E359" s="27">
        <v>63.846628990400724</v>
      </c>
      <c r="F359">
        <v>302</v>
      </c>
      <c r="G359" s="39">
        <v>419.98483482426462</v>
      </c>
    </row>
    <row r="360" spans="2:7" x14ac:dyDescent="0.55000000000000004">
      <c r="B360">
        <v>303</v>
      </c>
      <c r="C360" s="27">
        <v>187.16366896461369</v>
      </c>
      <c r="D360">
        <v>303</v>
      </c>
      <c r="E360" s="27">
        <v>93.660333035288275</v>
      </c>
      <c r="F360">
        <v>303</v>
      </c>
      <c r="G360" s="39">
        <v>343.04120776415624</v>
      </c>
    </row>
    <row r="361" spans="2:7" x14ac:dyDescent="0.55000000000000004">
      <c r="B361">
        <v>304</v>
      </c>
      <c r="C361" s="27">
        <v>344.34800446264722</v>
      </c>
      <c r="D361">
        <v>304</v>
      </c>
      <c r="E361" s="27">
        <v>53.80255191815958</v>
      </c>
      <c r="F361">
        <v>304</v>
      </c>
      <c r="G361" s="39">
        <v>324.83418380109839</v>
      </c>
    </row>
    <row r="362" spans="2:7" x14ac:dyDescent="0.55000000000000004">
      <c r="B362">
        <v>305</v>
      </c>
      <c r="C362" s="27">
        <v>335.13371468968944</v>
      </c>
      <c r="D362">
        <v>305</v>
      </c>
      <c r="E362" s="27">
        <v>71.303324153329598</v>
      </c>
      <c r="F362">
        <v>305</v>
      </c>
      <c r="G362" s="39">
        <v>143.43021007067142</v>
      </c>
    </row>
    <row r="363" spans="2:7" x14ac:dyDescent="0.55000000000000004">
      <c r="B363">
        <v>306</v>
      </c>
      <c r="C363" s="27">
        <v>213.88711278099743</v>
      </c>
      <c r="D363">
        <v>306</v>
      </c>
      <c r="E363" s="27">
        <v>87.020756624746795</v>
      </c>
      <c r="F363">
        <v>306</v>
      </c>
      <c r="G363" s="39">
        <v>424.81913343644493</v>
      </c>
    </row>
    <row r="364" spans="2:7" x14ac:dyDescent="0.55000000000000004">
      <c r="B364">
        <v>307</v>
      </c>
      <c r="C364" s="27">
        <v>316.59917250986462</v>
      </c>
      <c r="D364">
        <v>307</v>
      </c>
      <c r="E364" s="27">
        <v>41.891894735238751</v>
      </c>
      <c r="F364">
        <v>307</v>
      </c>
      <c r="G364" s="39">
        <v>322.49899935904608</v>
      </c>
    </row>
    <row r="365" spans="2:7" x14ac:dyDescent="0.55000000000000004">
      <c r="B365">
        <v>308</v>
      </c>
      <c r="C365" s="27">
        <v>328.55043978053214</v>
      </c>
      <c r="D365">
        <v>308</v>
      </c>
      <c r="E365" s="27">
        <v>28.291367095845551</v>
      </c>
      <c r="F365">
        <v>308</v>
      </c>
      <c r="G365" s="39">
        <v>330.66501064549351</v>
      </c>
    </row>
    <row r="366" spans="2:7" x14ac:dyDescent="0.55000000000000004">
      <c r="B366">
        <v>309</v>
      </c>
      <c r="C366" s="27">
        <v>174.06465705072901</v>
      </c>
      <c r="D366">
        <v>309</v>
      </c>
      <c r="E366" s="27">
        <v>12.858108047541862</v>
      </c>
      <c r="F366">
        <v>309</v>
      </c>
      <c r="G366" s="39">
        <v>389.43140515778452</v>
      </c>
    </row>
    <row r="367" spans="2:7" x14ac:dyDescent="0.55000000000000004">
      <c r="B367">
        <v>310</v>
      </c>
      <c r="C367" s="27">
        <v>324.49633576511343</v>
      </c>
      <c r="D367">
        <v>310</v>
      </c>
      <c r="E367" s="27">
        <v>19.095854810170245</v>
      </c>
      <c r="F367">
        <v>310</v>
      </c>
      <c r="G367" s="39">
        <v>497.98312385145937</v>
      </c>
    </row>
    <row r="368" spans="2:7" x14ac:dyDescent="0.55000000000000004">
      <c r="B368">
        <v>311</v>
      </c>
      <c r="C368" s="27">
        <v>440.86905586417623</v>
      </c>
      <c r="D368">
        <v>311</v>
      </c>
      <c r="E368" s="27">
        <v>54.082386482766509</v>
      </c>
      <c r="F368">
        <v>311</v>
      </c>
      <c r="G368" s="39">
        <v>254.00518794195875</v>
      </c>
    </row>
    <row r="369" spans="2:7" x14ac:dyDescent="0.55000000000000004">
      <c r="B369">
        <v>312</v>
      </c>
      <c r="C369" s="27">
        <v>313.82954350414184</v>
      </c>
      <c r="D369">
        <v>312</v>
      </c>
      <c r="E369" s="27">
        <v>8.3220390630263736</v>
      </c>
      <c r="F369">
        <v>312</v>
      </c>
      <c r="G369" s="39">
        <v>340.64474513020093</v>
      </c>
    </row>
    <row r="370" spans="2:7" x14ac:dyDescent="0.55000000000000004">
      <c r="B370">
        <v>313</v>
      </c>
      <c r="C370" s="27">
        <v>318.318718358696</v>
      </c>
      <c r="D370">
        <v>313</v>
      </c>
      <c r="E370" s="27">
        <v>129.20690167414489</v>
      </c>
      <c r="F370">
        <v>313</v>
      </c>
      <c r="G370" s="39">
        <v>364.01642249721192</v>
      </c>
    </row>
    <row r="371" spans="2:7" x14ac:dyDescent="0.55000000000000004">
      <c r="B371">
        <v>314</v>
      </c>
      <c r="C371" s="27">
        <v>295.37607890405866</v>
      </c>
      <c r="D371">
        <v>314</v>
      </c>
      <c r="E371" s="27">
        <v>40.764782381161936</v>
      </c>
      <c r="F371">
        <v>314</v>
      </c>
      <c r="G371" s="39">
        <v>316.96226784709717</v>
      </c>
    </row>
    <row r="372" spans="2:7" x14ac:dyDescent="0.55000000000000004">
      <c r="B372">
        <v>315</v>
      </c>
      <c r="C372" s="27">
        <v>330.08850907982253</v>
      </c>
      <c r="D372">
        <v>315</v>
      </c>
      <c r="E372" s="27">
        <v>27.243110415719318</v>
      </c>
      <c r="F372">
        <v>315</v>
      </c>
      <c r="G372" s="39">
        <v>256.45606495284892</v>
      </c>
    </row>
    <row r="373" spans="2:7" x14ac:dyDescent="0.55000000000000004">
      <c r="B373">
        <v>316</v>
      </c>
      <c r="C373" s="27">
        <v>289.22946358274004</v>
      </c>
      <c r="D373">
        <v>316</v>
      </c>
      <c r="E373" s="27">
        <v>40.077880580544516</v>
      </c>
      <c r="F373">
        <v>316</v>
      </c>
      <c r="G373" s="39">
        <v>439.97671777102289</v>
      </c>
    </row>
    <row r="374" spans="2:7" x14ac:dyDescent="0.55000000000000004">
      <c r="B374">
        <v>317</v>
      </c>
      <c r="C374" s="27">
        <v>279.32016749125785</v>
      </c>
      <c r="D374">
        <v>317</v>
      </c>
      <c r="E374" s="27">
        <v>47.6619854321114</v>
      </c>
      <c r="F374">
        <v>317</v>
      </c>
      <c r="G374" s="39">
        <v>259.6205441654879</v>
      </c>
    </row>
    <row r="375" spans="2:7" x14ac:dyDescent="0.55000000000000004">
      <c r="B375">
        <v>318</v>
      </c>
      <c r="C375" s="27">
        <v>244.72313292743243</v>
      </c>
      <c r="D375">
        <v>318</v>
      </c>
      <c r="E375" s="27">
        <v>32.998538406890063</v>
      </c>
      <c r="F375">
        <v>318</v>
      </c>
      <c r="G375" s="39">
        <v>359.05648563491678</v>
      </c>
    </row>
    <row r="376" spans="2:7" x14ac:dyDescent="0.55000000000000004">
      <c r="B376">
        <v>319</v>
      </c>
      <c r="C376" s="27">
        <v>319.4273322472331</v>
      </c>
      <c r="D376">
        <v>319</v>
      </c>
      <c r="E376" s="27">
        <v>31.925790024067769</v>
      </c>
      <c r="F376">
        <v>319</v>
      </c>
      <c r="G376" s="39">
        <v>345.2744753575829</v>
      </c>
    </row>
    <row r="377" spans="2:7" x14ac:dyDescent="0.55000000000000004">
      <c r="B377">
        <v>320</v>
      </c>
      <c r="C377" s="27">
        <v>175.29180691206008</v>
      </c>
      <c r="D377">
        <v>320</v>
      </c>
      <c r="E377" s="27">
        <v>30.257127543409887</v>
      </c>
      <c r="F377">
        <v>320</v>
      </c>
      <c r="G377" s="39">
        <v>335.202610925366</v>
      </c>
    </row>
    <row r="378" spans="2:7" x14ac:dyDescent="0.55000000000000004">
      <c r="B378">
        <v>321</v>
      </c>
      <c r="C378" s="27">
        <v>363.37823006377977</v>
      </c>
      <c r="D378">
        <v>321</v>
      </c>
      <c r="E378" s="27">
        <v>67.4194109470413</v>
      </c>
      <c r="F378">
        <v>321</v>
      </c>
      <c r="G378" s="39">
        <v>463.81328113790221</v>
      </c>
    </row>
    <row r="379" spans="2:7" x14ac:dyDescent="0.55000000000000004">
      <c r="B379">
        <v>322</v>
      </c>
      <c r="C379" s="27">
        <v>237.83387476366326</v>
      </c>
      <c r="D379">
        <v>322</v>
      </c>
      <c r="E379" s="27">
        <v>6.4590092800041674</v>
      </c>
      <c r="F379">
        <v>322</v>
      </c>
      <c r="G379" s="39">
        <v>408.71897435078256</v>
      </c>
    </row>
    <row r="380" spans="2:7" x14ac:dyDescent="0.55000000000000004">
      <c r="B380">
        <v>323</v>
      </c>
      <c r="C380" s="27">
        <v>198.61401899709938</v>
      </c>
      <c r="D380">
        <v>323</v>
      </c>
      <c r="E380" s="27">
        <v>81.425122303462643</v>
      </c>
      <c r="F380">
        <v>323</v>
      </c>
      <c r="G380" s="39">
        <v>201.26171367462021</v>
      </c>
    </row>
    <row r="381" spans="2:7" x14ac:dyDescent="0.55000000000000004">
      <c r="B381">
        <v>324</v>
      </c>
      <c r="C381" s="27">
        <v>254.97028682571226</v>
      </c>
      <c r="D381">
        <v>324</v>
      </c>
      <c r="E381" s="27">
        <v>84.407663993432905</v>
      </c>
      <c r="F381">
        <v>324</v>
      </c>
      <c r="G381" s="39">
        <v>255.85027138779492</v>
      </c>
    </row>
    <row r="382" spans="2:7" x14ac:dyDescent="0.55000000000000004">
      <c r="B382">
        <v>325</v>
      </c>
      <c r="C382" s="27">
        <v>346.88579181299156</v>
      </c>
      <c r="D382">
        <v>325</v>
      </c>
      <c r="E382" s="27">
        <v>61.049045222714952</v>
      </c>
      <c r="F382">
        <v>325</v>
      </c>
      <c r="G382" s="39">
        <v>272.78147282477897</v>
      </c>
    </row>
    <row r="383" spans="2:7" x14ac:dyDescent="0.55000000000000004">
      <c r="B383">
        <v>326</v>
      </c>
      <c r="C383" s="27">
        <v>284.37553598477444</v>
      </c>
      <c r="D383">
        <v>326</v>
      </c>
      <c r="E383" s="27">
        <v>52.191455410650519</v>
      </c>
      <c r="F383">
        <v>326</v>
      </c>
      <c r="G383" s="39">
        <v>366.86668494998105</v>
      </c>
    </row>
    <row r="384" spans="2:7" x14ac:dyDescent="0.55000000000000004">
      <c r="B384">
        <v>327</v>
      </c>
      <c r="C384" s="27">
        <v>273.99320055528392</v>
      </c>
      <c r="D384">
        <v>327</v>
      </c>
      <c r="E384" s="27">
        <v>69.85578238378298</v>
      </c>
      <c r="F384">
        <v>327</v>
      </c>
      <c r="G384" s="39">
        <v>254.81028927058253</v>
      </c>
    </row>
    <row r="385" spans="2:7" x14ac:dyDescent="0.55000000000000004">
      <c r="B385">
        <v>328</v>
      </c>
      <c r="C385" s="27">
        <v>128.27697563192055</v>
      </c>
      <c r="D385">
        <v>328</v>
      </c>
      <c r="E385" s="27">
        <v>62.331178297167668</v>
      </c>
      <c r="F385">
        <v>328</v>
      </c>
      <c r="G385" s="39">
        <v>301.77084666156054</v>
      </c>
    </row>
    <row r="386" spans="2:7" x14ac:dyDescent="0.55000000000000004">
      <c r="B386">
        <v>329</v>
      </c>
      <c r="C386" s="27">
        <v>365.86452920232045</v>
      </c>
      <c r="D386">
        <v>329</v>
      </c>
      <c r="E386" s="27">
        <v>74.961261849074532</v>
      </c>
      <c r="F386">
        <v>329</v>
      </c>
      <c r="G386" s="39">
        <v>267.85996447649586</v>
      </c>
    </row>
    <row r="387" spans="2:7" x14ac:dyDescent="0.55000000000000004">
      <c r="B387">
        <v>330</v>
      </c>
      <c r="C387" s="27">
        <v>327.15090640367896</v>
      </c>
      <c r="D387">
        <v>330</v>
      </c>
      <c r="E387" s="27">
        <v>55.206345586037941</v>
      </c>
      <c r="F387">
        <v>330</v>
      </c>
      <c r="G387" s="39">
        <v>301.3474000360128</v>
      </c>
    </row>
    <row r="388" spans="2:7" x14ac:dyDescent="0.55000000000000004">
      <c r="B388">
        <v>331</v>
      </c>
      <c r="C388" s="27">
        <v>297.35503598084256</v>
      </c>
      <c r="D388">
        <v>331</v>
      </c>
      <c r="E388" s="27">
        <v>45.879483182024629</v>
      </c>
      <c r="F388">
        <v>331</v>
      </c>
      <c r="G388" s="39">
        <v>292.01644933688499</v>
      </c>
    </row>
    <row r="389" spans="2:7" x14ac:dyDescent="0.55000000000000004">
      <c r="B389">
        <v>332</v>
      </c>
      <c r="C389" s="27">
        <v>378.73499558227724</v>
      </c>
      <c r="D389">
        <v>332</v>
      </c>
      <c r="E389" s="27">
        <v>83.461701250189932</v>
      </c>
      <c r="F389">
        <v>332</v>
      </c>
      <c r="G389" s="39">
        <v>248.20552817329548</v>
      </c>
    </row>
    <row r="390" spans="2:7" x14ac:dyDescent="0.55000000000000004">
      <c r="B390">
        <v>333</v>
      </c>
      <c r="C390" s="27">
        <v>186.98605918331518</v>
      </c>
      <c r="D390">
        <v>333</v>
      </c>
      <c r="E390" s="27">
        <v>7.3833558680425497</v>
      </c>
      <c r="F390">
        <v>333</v>
      </c>
      <c r="G390" s="39">
        <v>57.588921100541086</v>
      </c>
    </row>
    <row r="391" spans="2:7" x14ac:dyDescent="0.55000000000000004">
      <c r="B391">
        <v>334</v>
      </c>
      <c r="C391" s="27">
        <v>215.66577893929872</v>
      </c>
      <c r="D391">
        <v>334</v>
      </c>
      <c r="E391" s="27">
        <v>80.375137586557031</v>
      </c>
      <c r="F391">
        <v>334</v>
      </c>
      <c r="G391" s="39">
        <v>187.90451662635721</v>
      </c>
    </row>
    <row r="392" spans="2:7" x14ac:dyDescent="0.55000000000000004">
      <c r="B392">
        <v>335</v>
      </c>
      <c r="C392" s="27">
        <v>180.02039331788575</v>
      </c>
      <c r="D392">
        <v>335</v>
      </c>
      <c r="E392" s="27">
        <v>-13.262055975505433</v>
      </c>
      <c r="F392">
        <v>335</v>
      </c>
      <c r="G392" s="39">
        <v>294.4279614004318</v>
      </c>
    </row>
    <row r="393" spans="2:7" x14ac:dyDescent="0.55000000000000004">
      <c r="B393">
        <v>336</v>
      </c>
      <c r="C393" s="27">
        <v>184.24642515205937</v>
      </c>
      <c r="D393">
        <v>336</v>
      </c>
      <c r="E393" s="27">
        <v>10.219629605161224</v>
      </c>
      <c r="F393">
        <v>336</v>
      </c>
      <c r="G393" s="39">
        <v>472.58566760718304</v>
      </c>
    </row>
    <row r="394" spans="2:7" x14ac:dyDescent="0.55000000000000004">
      <c r="B394">
        <v>337</v>
      </c>
      <c r="C394" s="27">
        <v>335.43965253567075</v>
      </c>
      <c r="D394">
        <v>337</v>
      </c>
      <c r="E394" s="27">
        <v>6.1829231613985556</v>
      </c>
      <c r="F394">
        <v>337</v>
      </c>
      <c r="G394" s="39">
        <v>109.77902465718152</v>
      </c>
    </row>
    <row r="395" spans="2:7" x14ac:dyDescent="0.55000000000000004">
      <c r="B395">
        <v>338</v>
      </c>
      <c r="C395" s="27">
        <v>238.17601088384168</v>
      </c>
      <c r="D395">
        <v>338</v>
      </c>
      <c r="E395" s="27">
        <v>79.52044451858022</v>
      </c>
      <c r="F395">
        <v>338</v>
      </c>
      <c r="G395" s="39">
        <v>158.29258124812276</v>
      </c>
    </row>
    <row r="396" spans="2:7" x14ac:dyDescent="0.55000000000000004">
      <c r="B396">
        <v>339</v>
      </c>
      <c r="C396" s="27">
        <v>217.51077758822805</v>
      </c>
      <c r="D396">
        <v>339</v>
      </c>
      <c r="E396" s="27">
        <v>73.490250676909781</v>
      </c>
      <c r="F396">
        <v>339</v>
      </c>
      <c r="G396" s="39">
        <v>172.52597359166907</v>
      </c>
    </row>
    <row r="397" spans="2:7" x14ac:dyDescent="0.55000000000000004">
      <c r="B397">
        <v>340</v>
      </c>
      <c r="C397" s="27">
        <v>388.50067535386103</v>
      </c>
      <c r="D397">
        <v>340</v>
      </c>
      <c r="E397" s="27">
        <v>96.056239340989535</v>
      </c>
      <c r="F397">
        <v>340</v>
      </c>
      <c r="G397" s="39">
        <v>284.75431688424595</v>
      </c>
    </row>
    <row r="398" spans="2:7" x14ac:dyDescent="0.55000000000000004">
      <c r="B398">
        <v>341</v>
      </c>
      <c r="C398" s="27">
        <v>345.23328992475052</v>
      </c>
      <c r="D398">
        <v>341</v>
      </c>
      <c r="E398" s="27">
        <v>45.897151112721694</v>
      </c>
      <c r="F398">
        <v>341</v>
      </c>
      <c r="G398" s="39">
        <v>250.02115672399106</v>
      </c>
    </row>
    <row r="399" spans="2:7" x14ac:dyDescent="0.55000000000000004">
      <c r="B399">
        <v>342</v>
      </c>
      <c r="C399" s="27">
        <v>444.02846269747221</v>
      </c>
      <c r="D399">
        <v>342</v>
      </c>
      <c r="E399" s="27">
        <v>114.93198383040536</v>
      </c>
      <c r="F399">
        <v>342</v>
      </c>
      <c r="G399" s="39">
        <v>258.87423185910808</v>
      </c>
    </row>
    <row r="400" spans="2:7" x14ac:dyDescent="0.55000000000000004">
      <c r="B400">
        <v>343</v>
      </c>
      <c r="C400" s="27">
        <v>289.02853422249086</v>
      </c>
      <c r="D400">
        <v>343</v>
      </c>
      <c r="E400" s="27">
        <v>28.072710365967545</v>
      </c>
      <c r="F400">
        <v>343</v>
      </c>
      <c r="G400" s="39">
        <v>243.47588625331056</v>
      </c>
    </row>
    <row r="401" spans="2:7" x14ac:dyDescent="0.55000000000000004">
      <c r="B401">
        <v>344</v>
      </c>
      <c r="C401" s="27">
        <v>168.89424196411159</v>
      </c>
      <c r="D401">
        <v>344</v>
      </c>
      <c r="E401" s="27">
        <v>106.54191978289117</v>
      </c>
      <c r="F401">
        <v>344</v>
      </c>
      <c r="G401" s="39">
        <v>365.63759248538599</v>
      </c>
    </row>
    <row r="402" spans="2:7" x14ac:dyDescent="0.55000000000000004">
      <c r="B402">
        <v>345</v>
      </c>
      <c r="C402" s="27">
        <v>282.92091734204934</v>
      </c>
      <c r="D402">
        <v>345</v>
      </c>
      <c r="E402" s="27">
        <v>75.443247077929627</v>
      </c>
      <c r="F402">
        <v>345</v>
      </c>
      <c r="G402" s="39">
        <v>158.95386735671568</v>
      </c>
    </row>
    <row r="403" spans="2:7" x14ac:dyDescent="0.55000000000000004">
      <c r="B403">
        <v>346</v>
      </c>
      <c r="C403" s="27">
        <v>405.23185240950465</v>
      </c>
      <c r="D403">
        <v>346</v>
      </c>
      <c r="E403" s="27">
        <v>41.752558496051876</v>
      </c>
      <c r="F403">
        <v>346</v>
      </c>
      <c r="G403" s="39">
        <v>199.35256445448471</v>
      </c>
    </row>
    <row r="404" spans="2:7" x14ac:dyDescent="0.55000000000000004">
      <c r="B404">
        <v>347</v>
      </c>
      <c r="C404" s="27">
        <v>190.81473276494344</v>
      </c>
      <c r="D404">
        <v>347</v>
      </c>
      <c r="E404" s="27">
        <v>11.865374001525719</v>
      </c>
      <c r="F404">
        <v>347</v>
      </c>
      <c r="G404" s="39">
        <v>225.30644678148602</v>
      </c>
    </row>
    <row r="405" spans="2:7" x14ac:dyDescent="0.55000000000000004">
      <c r="B405">
        <v>348</v>
      </c>
      <c r="C405" s="27">
        <v>233.36525843328712</v>
      </c>
      <c r="D405">
        <v>348</v>
      </c>
      <c r="E405" s="27">
        <v>31.17456878895791</v>
      </c>
      <c r="F405">
        <v>348</v>
      </c>
      <c r="G405" s="39">
        <v>172.1078194584021</v>
      </c>
    </row>
    <row r="406" spans="2:7" x14ac:dyDescent="0.55000000000000004">
      <c r="B406">
        <v>349</v>
      </c>
      <c r="C406" s="27">
        <v>296.69067651588153</v>
      </c>
      <c r="D406">
        <v>349</v>
      </c>
      <c r="E406" s="27">
        <v>2.9228952236087196</v>
      </c>
      <c r="F406">
        <v>349</v>
      </c>
      <c r="G406" s="39">
        <v>239.416719633947</v>
      </c>
    </row>
    <row r="407" spans="2:7" x14ac:dyDescent="0.55000000000000004">
      <c r="B407">
        <v>350</v>
      </c>
      <c r="C407" s="27">
        <v>104.31618998138234</v>
      </c>
      <c r="D407">
        <v>350</v>
      </c>
      <c r="E407" s="27">
        <v>96.386529007416527</v>
      </c>
      <c r="F407">
        <v>350</v>
      </c>
      <c r="G407" s="39">
        <v>170.96882495430623</v>
      </c>
    </row>
    <row r="408" spans="2:7" x14ac:dyDescent="0.55000000000000004">
      <c r="B408">
        <v>351</v>
      </c>
      <c r="C408" s="27">
        <v>320.53723884888177</v>
      </c>
      <c r="D408">
        <v>351</v>
      </c>
      <c r="E408" s="27">
        <v>37.567514834992807</v>
      </c>
      <c r="F408">
        <v>351</v>
      </c>
      <c r="G408" s="39">
        <v>409.45889510631548</v>
      </c>
    </row>
    <row r="409" spans="2:7" x14ac:dyDescent="0.55000000000000004">
      <c r="B409">
        <v>352</v>
      </c>
      <c r="C409" s="27">
        <v>397.07467926482974</v>
      </c>
      <c r="D409">
        <v>352</v>
      </c>
      <c r="E409" s="27">
        <v>43.138167735476955</v>
      </c>
      <c r="F409">
        <v>352</v>
      </c>
      <c r="G409" s="39">
        <v>373.35393196699965</v>
      </c>
    </row>
    <row r="410" spans="2:7" x14ac:dyDescent="0.55000000000000004">
      <c r="B410">
        <v>353</v>
      </c>
      <c r="C410" s="27">
        <v>288.0538720708729</v>
      </c>
      <c r="D410">
        <v>353</v>
      </c>
      <c r="E410" s="27">
        <v>31.735188849225288</v>
      </c>
      <c r="F410">
        <v>353</v>
      </c>
      <c r="G410" s="39">
        <v>288.00111754675777</v>
      </c>
    </row>
    <row r="411" spans="2:7" x14ac:dyDescent="0.55000000000000004">
      <c r="B411">
        <v>354</v>
      </c>
      <c r="C411" s="27">
        <v>309.46141671883311</v>
      </c>
      <c r="D411">
        <v>354</v>
      </c>
      <c r="E411" s="27">
        <v>14.797968877464939</v>
      </c>
      <c r="F411">
        <v>354</v>
      </c>
      <c r="G411" s="39">
        <v>341.47152737646968</v>
      </c>
    </row>
    <row r="412" spans="2:7" x14ac:dyDescent="0.55000000000000004">
      <c r="B412">
        <v>355</v>
      </c>
      <c r="C412" s="27">
        <v>296.33987062595912</v>
      </c>
      <c r="D412">
        <v>355</v>
      </c>
      <c r="E412" s="27">
        <v>112.02077658886603</v>
      </c>
      <c r="F412">
        <v>355</v>
      </c>
      <c r="G412" s="39">
        <v>383.49570933112983</v>
      </c>
    </row>
    <row r="413" spans="2:7" x14ac:dyDescent="0.55000000000000004">
      <c r="B413">
        <v>356</v>
      </c>
      <c r="C413" s="27">
        <v>219.72599471844734</v>
      </c>
      <c r="D413">
        <v>356</v>
      </c>
      <c r="E413" s="27">
        <v>97.116850949995325</v>
      </c>
      <c r="F413">
        <v>356</v>
      </c>
      <c r="G413" s="39">
        <v>165.32374822509888</v>
      </c>
    </row>
    <row r="414" spans="2:7" x14ac:dyDescent="0.55000000000000004">
      <c r="B414">
        <v>357</v>
      </c>
      <c r="C414" s="27">
        <v>299.95353424240011</v>
      </c>
      <c r="D414">
        <v>357</v>
      </c>
      <c r="E414" s="27">
        <v>47.275102118784154</v>
      </c>
      <c r="F414">
        <v>357</v>
      </c>
      <c r="G414" s="39">
        <v>493.62443437575212</v>
      </c>
    </row>
    <row r="415" spans="2:7" x14ac:dyDescent="0.55000000000000004">
      <c r="B415">
        <v>358</v>
      </c>
      <c r="C415" s="27">
        <v>199.71346231140677</v>
      </c>
      <c r="D415">
        <v>358</v>
      </c>
      <c r="E415" s="27">
        <v>105.59823903083927</v>
      </c>
      <c r="F415">
        <v>358</v>
      </c>
      <c r="G415" s="39">
        <v>332.07175837019503</v>
      </c>
    </row>
    <row r="416" spans="2:7" x14ac:dyDescent="0.55000000000000004">
      <c r="B416">
        <v>359</v>
      </c>
      <c r="C416" s="27">
        <v>292.53689443373617</v>
      </c>
      <c r="D416">
        <v>359</v>
      </c>
      <c r="E416" s="27">
        <v>100.0200928635812</v>
      </c>
      <c r="F416">
        <v>359</v>
      </c>
      <c r="G416" s="39">
        <v>281.3689425120802</v>
      </c>
    </row>
    <row r="417" spans="2:7" x14ac:dyDescent="0.55000000000000004">
      <c r="B417">
        <v>360</v>
      </c>
      <c r="C417" s="27">
        <v>328.4874560943054</v>
      </c>
      <c r="D417">
        <v>360</v>
      </c>
      <c r="E417" s="27">
        <v>67.743074118464605</v>
      </c>
      <c r="F417">
        <v>360</v>
      </c>
      <c r="G417" s="39">
        <v>299.32981528889115</v>
      </c>
    </row>
    <row r="418" spans="2:7" x14ac:dyDescent="0.55000000000000004">
      <c r="B418">
        <v>361</v>
      </c>
      <c r="C418" s="27">
        <v>376.75739407802928</v>
      </c>
      <c r="D418">
        <v>361</v>
      </c>
      <c r="E418" s="27">
        <v>48.53602125896888</v>
      </c>
      <c r="F418">
        <v>361</v>
      </c>
      <c r="G418" s="39">
        <v>441.47560579766503</v>
      </c>
    </row>
    <row r="419" spans="2:7" x14ac:dyDescent="0.55000000000000004">
      <c r="B419">
        <v>362</v>
      </c>
      <c r="C419" s="27">
        <v>218.11029065120698</v>
      </c>
      <c r="D419">
        <v>362</v>
      </c>
      <c r="E419" s="27">
        <v>75.598783777555482</v>
      </c>
      <c r="F419">
        <v>362</v>
      </c>
      <c r="G419" s="39">
        <v>335.80749560971435</v>
      </c>
    </row>
    <row r="420" spans="2:7" x14ac:dyDescent="0.55000000000000004">
      <c r="B420">
        <v>363</v>
      </c>
      <c r="C420" s="27">
        <v>167.11085330455211</v>
      </c>
      <c r="D420">
        <v>363</v>
      </c>
      <c r="E420" s="27">
        <v>61.092648103516069</v>
      </c>
      <c r="F420">
        <v>363</v>
      </c>
      <c r="G420" s="39">
        <v>315.17183000219273</v>
      </c>
    </row>
    <row r="421" spans="2:7" x14ac:dyDescent="0.55000000000000004">
      <c r="B421">
        <v>364</v>
      </c>
      <c r="C421" s="27">
        <v>351.51383935861691</v>
      </c>
      <c r="D421">
        <v>364</v>
      </c>
      <c r="E421" s="27">
        <v>102.85719912605072</v>
      </c>
      <c r="F421">
        <v>364</v>
      </c>
      <c r="G421" s="39">
        <v>305.6068553831501</v>
      </c>
    </row>
    <row r="422" spans="2:7" x14ac:dyDescent="0.55000000000000004">
      <c r="B422">
        <v>365</v>
      </c>
      <c r="C422" s="27">
        <v>371.9414359443287</v>
      </c>
      <c r="D422">
        <v>365</v>
      </c>
      <c r="E422" s="27">
        <v>82.846334043284912</v>
      </c>
      <c r="F422">
        <v>365</v>
      </c>
      <c r="G422" s="39">
        <v>244.46382316675448</v>
      </c>
    </row>
    <row r="423" spans="2:7" x14ac:dyDescent="0.55000000000000004">
      <c r="B423">
        <v>366</v>
      </c>
      <c r="C423" s="27">
        <v>435.49875403044769</v>
      </c>
      <c r="D423">
        <v>366</v>
      </c>
      <c r="E423" s="27">
        <v>22.748555105944973</v>
      </c>
      <c r="F423">
        <v>366</v>
      </c>
      <c r="G423" s="39">
        <v>327.03386373784213</v>
      </c>
    </row>
    <row r="424" spans="2:7" x14ac:dyDescent="0.55000000000000004">
      <c r="B424">
        <v>367</v>
      </c>
      <c r="C424" s="27">
        <v>187.67594223360521</v>
      </c>
      <c r="D424">
        <v>367</v>
      </c>
      <c r="E424" s="27">
        <v>62.623423921033954</v>
      </c>
      <c r="F424">
        <v>367</v>
      </c>
      <c r="G424" s="39">
        <v>311.97648946425863</v>
      </c>
    </row>
    <row r="425" spans="2:7" x14ac:dyDescent="0.55000000000000004">
      <c r="B425">
        <v>368</v>
      </c>
      <c r="C425" s="27">
        <v>279.06619821145199</v>
      </c>
      <c r="D425">
        <v>368</v>
      </c>
      <c r="E425" s="27">
        <v>57.417075441260593</v>
      </c>
      <c r="F425">
        <v>368</v>
      </c>
      <c r="G425" s="39">
        <v>413.02284298490156</v>
      </c>
    </row>
    <row r="426" spans="2:7" x14ac:dyDescent="0.55000000000000004">
      <c r="B426">
        <v>369</v>
      </c>
      <c r="C426" s="27">
        <v>305.71163566884968</v>
      </c>
      <c r="D426">
        <v>369</v>
      </c>
      <c r="E426" s="27">
        <v>56.306851910512684</v>
      </c>
      <c r="F426">
        <v>369</v>
      </c>
      <c r="G426" s="39">
        <v>394.78893622182511</v>
      </c>
    </row>
    <row r="427" spans="2:7" x14ac:dyDescent="0.55000000000000004">
      <c r="B427">
        <v>370</v>
      </c>
      <c r="C427" s="27">
        <v>463.79443744538202</v>
      </c>
      <c r="D427">
        <v>370</v>
      </c>
      <c r="E427" s="27">
        <v>49.672256091370073</v>
      </c>
      <c r="F427">
        <v>370</v>
      </c>
      <c r="G427" s="39">
        <v>298.57357443153188</v>
      </c>
    </row>
    <row r="428" spans="2:7" x14ac:dyDescent="0.55000000000000004">
      <c r="B428">
        <v>371</v>
      </c>
      <c r="C428" s="27">
        <v>329.59835413528992</v>
      </c>
      <c r="D428">
        <v>371</v>
      </c>
      <c r="E428" s="27">
        <v>57.243167200242667</v>
      </c>
      <c r="F428">
        <v>371</v>
      </c>
      <c r="G428" s="39">
        <v>339.32927783118731</v>
      </c>
    </row>
    <row r="429" spans="2:7" x14ac:dyDescent="0.55000000000000004">
      <c r="B429">
        <v>372</v>
      </c>
      <c r="C429" s="27">
        <v>285.50922965619208</v>
      </c>
      <c r="D429">
        <v>372</v>
      </c>
      <c r="E429" s="27">
        <v>78.496817103923988</v>
      </c>
      <c r="F429">
        <v>372</v>
      </c>
      <c r="G429" s="39">
        <v>310.44138050756283</v>
      </c>
    </row>
    <row r="430" spans="2:7" x14ac:dyDescent="0.55000000000000004">
      <c r="B430">
        <v>373</v>
      </c>
      <c r="C430" s="27">
        <v>354.97034125506423</v>
      </c>
      <c r="D430">
        <v>373</v>
      </c>
      <c r="E430" s="27">
        <v>12.967716458770244</v>
      </c>
      <c r="F430">
        <v>373</v>
      </c>
      <c r="G430" s="39">
        <v>297.03752956174878</v>
      </c>
    </row>
    <row r="431" spans="2:7" x14ac:dyDescent="0.55000000000000004">
      <c r="B431">
        <v>374</v>
      </c>
      <c r="C431" s="27">
        <v>346.21100020022561</v>
      </c>
      <c r="D431">
        <v>374</v>
      </c>
      <c r="E431" s="27">
        <v>74.841097749697042</v>
      </c>
      <c r="F431">
        <v>374</v>
      </c>
      <c r="G431" s="39">
        <v>284.12457151123738</v>
      </c>
    </row>
    <row r="432" spans="2:7" x14ac:dyDescent="0.55000000000000004">
      <c r="B432">
        <v>375</v>
      </c>
      <c r="C432" s="27">
        <v>174.31532778108578</v>
      </c>
      <c r="D432">
        <v>375</v>
      </c>
      <c r="E432" s="27">
        <v>26.691542290072292</v>
      </c>
      <c r="F432">
        <v>375</v>
      </c>
      <c r="G432" s="39">
        <v>218.85892941682044</v>
      </c>
    </row>
    <row r="433" spans="2:7" x14ac:dyDescent="0.55000000000000004">
      <c r="B433">
        <v>376</v>
      </c>
      <c r="C433" s="27">
        <v>340.55063208834042</v>
      </c>
      <c r="D433">
        <v>376</v>
      </c>
      <c r="E433" s="27">
        <v>47.751429701766902</v>
      </c>
      <c r="F433">
        <v>376</v>
      </c>
      <c r="G433" s="39">
        <v>316.99773165389672</v>
      </c>
    </row>
    <row r="434" spans="2:7" x14ac:dyDescent="0.55000000000000004">
      <c r="B434">
        <v>377</v>
      </c>
      <c r="C434" s="27">
        <v>380.02448182798332</v>
      </c>
      <c r="D434">
        <v>377</v>
      </c>
      <c r="E434" s="27">
        <v>1.9524625828950235</v>
      </c>
      <c r="F434">
        <v>377</v>
      </c>
      <c r="G434" s="39">
        <v>294.40412283558339</v>
      </c>
    </row>
    <row r="435" spans="2:7" x14ac:dyDescent="0.55000000000000004">
      <c r="B435">
        <v>378</v>
      </c>
      <c r="C435" s="27">
        <v>68.077684681503143</v>
      </c>
      <c r="D435">
        <v>378</v>
      </c>
      <c r="E435" s="27">
        <v>-36.979188096000577</v>
      </c>
      <c r="F435">
        <v>378</v>
      </c>
      <c r="G435" s="39">
        <v>361.82914763244145</v>
      </c>
    </row>
    <row r="436" spans="2:7" x14ac:dyDescent="0.55000000000000004">
      <c r="B436">
        <v>379</v>
      </c>
      <c r="C436" s="27">
        <v>215.65895544390742</v>
      </c>
      <c r="D436">
        <v>379</v>
      </c>
      <c r="E436" s="27">
        <v>44.845462416770928</v>
      </c>
      <c r="F436">
        <v>379</v>
      </c>
      <c r="G436" s="39">
        <v>156.35053641648221</v>
      </c>
    </row>
    <row r="437" spans="2:7" x14ac:dyDescent="0.55000000000000004">
      <c r="B437">
        <v>380</v>
      </c>
      <c r="C437" s="27">
        <v>304.81889932438582</v>
      </c>
      <c r="D437">
        <v>380</v>
      </c>
      <c r="E437" s="27">
        <v>42.694273548552694</v>
      </c>
      <c r="F437">
        <v>380</v>
      </c>
      <c r="G437" s="39">
        <v>371.47499035932475</v>
      </c>
    </row>
    <row r="438" spans="2:7" x14ac:dyDescent="0.55000000000000004">
      <c r="B438">
        <v>381</v>
      </c>
      <c r="C438" s="27">
        <v>372.59506882957976</v>
      </c>
      <c r="D438">
        <v>381</v>
      </c>
      <c r="E438" s="27">
        <v>67.268089329020881</v>
      </c>
      <c r="F438">
        <v>381</v>
      </c>
      <c r="G438" s="39">
        <v>455.49891821052734</v>
      </c>
    </row>
    <row r="439" spans="2:7" x14ac:dyDescent="0.55000000000000004">
      <c r="B439">
        <v>382</v>
      </c>
      <c r="C439" s="27">
        <v>249.03727227930597</v>
      </c>
      <c r="D439">
        <v>382</v>
      </c>
      <c r="E439" s="27">
        <v>86.758168397071898</v>
      </c>
      <c r="F439">
        <v>382</v>
      </c>
      <c r="G439" s="39">
        <v>378.92078414268178</v>
      </c>
    </row>
    <row r="440" spans="2:7" x14ac:dyDescent="0.55000000000000004">
      <c r="B440">
        <v>383</v>
      </c>
      <c r="C440" s="27">
        <v>211.70756461122818</v>
      </c>
      <c r="D440">
        <v>383</v>
      </c>
      <c r="E440" s="27">
        <v>46.333261253429896</v>
      </c>
      <c r="F440">
        <v>383</v>
      </c>
      <c r="G440" s="39">
        <v>376.49017730093965</v>
      </c>
    </row>
    <row r="441" spans="2:7" x14ac:dyDescent="0.55000000000000004">
      <c r="B441">
        <v>384</v>
      </c>
      <c r="C441" s="27">
        <v>242.37301406596276</v>
      </c>
      <c r="D441">
        <v>384</v>
      </c>
      <c r="E441" s="27">
        <v>93.712589419636387</v>
      </c>
      <c r="F441">
        <v>384</v>
      </c>
      <c r="G441" s="39">
        <v>138.30658822002022</v>
      </c>
    </row>
    <row r="442" spans="2:7" x14ac:dyDescent="0.55000000000000004">
      <c r="B442">
        <v>385</v>
      </c>
      <c r="C442" s="27">
        <v>424.79112252084821</v>
      </c>
      <c r="D442">
        <v>385</v>
      </c>
      <c r="E442" s="27">
        <v>39.087647666034073</v>
      </c>
      <c r="F442">
        <v>385</v>
      </c>
      <c r="G442" s="39">
        <v>507.97378340796627</v>
      </c>
    </row>
    <row r="443" spans="2:7" x14ac:dyDescent="0.55000000000000004">
      <c r="B443">
        <v>386</v>
      </c>
      <c r="C443" s="27">
        <v>324.12647800091554</v>
      </c>
      <c r="D443">
        <v>386</v>
      </c>
      <c r="E443" s="27">
        <v>49.346019142211908</v>
      </c>
      <c r="F443">
        <v>386</v>
      </c>
      <c r="G443" s="39">
        <v>258.43484626582608</v>
      </c>
    </row>
    <row r="444" spans="2:7" x14ac:dyDescent="0.55000000000000004">
      <c r="B444">
        <v>387</v>
      </c>
      <c r="C444" s="27">
        <v>436.80504893219268</v>
      </c>
      <c r="D444">
        <v>387</v>
      </c>
      <c r="E444" s="27">
        <v>53.909537278361846</v>
      </c>
      <c r="F444">
        <v>387</v>
      </c>
      <c r="G444" s="39">
        <v>306.55177523422515</v>
      </c>
    </row>
    <row r="445" spans="2:7" x14ac:dyDescent="0.55000000000000004">
      <c r="B445">
        <v>388</v>
      </c>
      <c r="C445" s="27">
        <v>295.97162211002973</v>
      </c>
      <c r="D445">
        <v>388</v>
      </c>
      <c r="E445" s="27">
        <v>26.59746217307066</v>
      </c>
      <c r="F445">
        <v>388</v>
      </c>
      <c r="G445" s="39">
        <v>320.52800316930291</v>
      </c>
    </row>
    <row r="446" spans="2:7" x14ac:dyDescent="0.55000000000000004">
      <c r="B446">
        <v>389</v>
      </c>
      <c r="C446" s="27">
        <v>310.96281603630257</v>
      </c>
      <c r="D446">
        <v>389</v>
      </c>
      <c r="E446" s="27">
        <v>58.575138439600309</v>
      </c>
      <c r="F446">
        <v>389</v>
      </c>
      <c r="G446" s="39">
        <v>289.86178187743968</v>
      </c>
    </row>
    <row r="447" spans="2:7" x14ac:dyDescent="0.55000000000000004">
      <c r="B447">
        <v>390</v>
      </c>
      <c r="C447" s="27">
        <v>235.51146382004279</v>
      </c>
      <c r="D447">
        <v>390</v>
      </c>
      <c r="E447" s="27">
        <v>90.713317331451321</v>
      </c>
      <c r="F447">
        <v>390</v>
      </c>
      <c r="G447" s="39">
        <v>385.49970733773489</v>
      </c>
    </row>
    <row r="448" spans="2:7" x14ac:dyDescent="0.55000000000000004">
      <c r="B448">
        <v>391</v>
      </c>
      <c r="C448" s="27">
        <v>363.44057143265593</v>
      </c>
      <c r="D448">
        <v>391</v>
      </c>
      <c r="E448" s="27">
        <v>77.543055680487981</v>
      </c>
      <c r="F448">
        <v>391</v>
      </c>
      <c r="G448" s="39">
        <v>342.1430540476411</v>
      </c>
    </row>
    <row r="449" spans="2:7" x14ac:dyDescent="0.55000000000000004">
      <c r="B449">
        <v>392</v>
      </c>
      <c r="C449" s="27">
        <v>275.1052697632615</v>
      </c>
      <c r="D449">
        <v>392</v>
      </c>
      <c r="E449" s="27">
        <v>116.70740598560235</v>
      </c>
      <c r="F449">
        <v>392</v>
      </c>
      <c r="G449" s="39">
        <v>422.87615399422066</v>
      </c>
    </row>
    <row r="450" spans="2:7" x14ac:dyDescent="0.55000000000000004">
      <c r="B450">
        <v>393</v>
      </c>
      <c r="C450" s="27">
        <v>324.67887627722985</v>
      </c>
      <c r="D450">
        <v>393</v>
      </c>
      <c r="E450" s="27">
        <v>42.025058842869981</v>
      </c>
      <c r="F450">
        <v>393</v>
      </c>
      <c r="G450" s="39">
        <v>343.59119811149992</v>
      </c>
    </row>
    <row r="451" spans="2:7" x14ac:dyDescent="0.55000000000000004">
      <c r="B451">
        <v>394</v>
      </c>
      <c r="C451" s="27">
        <v>407.87353412105676</v>
      </c>
      <c r="D451">
        <v>394</v>
      </c>
      <c r="E451" s="27">
        <v>96.371798949804116</v>
      </c>
      <c r="F451">
        <v>394</v>
      </c>
      <c r="G451" s="39">
        <v>376.44771797666561</v>
      </c>
    </row>
    <row r="452" spans="2:7" x14ac:dyDescent="0.55000000000000004">
      <c r="B452">
        <v>395</v>
      </c>
      <c r="C452" s="27">
        <v>335.32432709741397</v>
      </c>
      <c r="D452">
        <v>395</v>
      </c>
      <c r="E452" s="27">
        <v>14.925010104738924</v>
      </c>
      <c r="F452">
        <v>395</v>
      </c>
      <c r="G452" s="39">
        <v>286.43518107251651</v>
      </c>
    </row>
    <row r="453" spans="2:7" x14ac:dyDescent="0.55000000000000004">
      <c r="B453">
        <v>396</v>
      </c>
      <c r="C453" s="27">
        <v>347.34813113240398</v>
      </c>
      <c r="D453">
        <v>396</v>
      </c>
      <c r="E453" s="27">
        <v>32.161952895875018</v>
      </c>
      <c r="F453">
        <v>396</v>
      </c>
      <c r="G453" s="39">
        <v>247.17070433454455</v>
      </c>
    </row>
    <row r="454" spans="2:7" x14ac:dyDescent="0.55000000000000004">
      <c r="B454">
        <v>397</v>
      </c>
      <c r="C454" s="27">
        <v>320.665054889121</v>
      </c>
      <c r="D454">
        <v>397</v>
      </c>
      <c r="E454" s="27">
        <v>16.578157658369456</v>
      </c>
      <c r="F454">
        <v>397</v>
      </c>
      <c r="G454" s="39">
        <v>131.26962943956585</v>
      </c>
    </row>
    <row r="455" spans="2:7" x14ac:dyDescent="0.55000000000000004">
      <c r="B455">
        <v>398</v>
      </c>
      <c r="C455" s="27">
        <v>375.16843899462179</v>
      </c>
      <c r="D455">
        <v>398</v>
      </c>
      <c r="E455" s="27">
        <v>14.361135411538399</v>
      </c>
      <c r="F455">
        <v>398</v>
      </c>
      <c r="G455" s="39">
        <v>375.8528673627103</v>
      </c>
    </row>
    <row r="456" spans="2:7" x14ac:dyDescent="0.55000000000000004">
      <c r="B456">
        <v>399</v>
      </c>
      <c r="C456" s="27">
        <v>408.82318601831975</v>
      </c>
      <c r="D456">
        <v>399</v>
      </c>
      <c r="E456" s="27">
        <v>-8.8688128138726867</v>
      </c>
      <c r="F456">
        <v>399</v>
      </c>
      <c r="G456" s="39">
        <v>339.03669202909009</v>
      </c>
    </row>
    <row r="457" spans="2:7" x14ac:dyDescent="0.55000000000000004">
      <c r="B457">
        <v>400</v>
      </c>
      <c r="C457" s="27">
        <v>132.19915365392828</v>
      </c>
      <c r="D457">
        <v>400</v>
      </c>
      <c r="E457" s="27">
        <v>65.319926337017719</v>
      </c>
      <c r="F457">
        <v>400</v>
      </c>
      <c r="G457" s="39">
        <v>322.33440323004032</v>
      </c>
    </row>
    <row r="458" spans="2:7" x14ac:dyDescent="0.55000000000000004">
      <c r="B458">
        <v>401</v>
      </c>
      <c r="C458" s="27">
        <v>246.21518058911488</v>
      </c>
      <c r="D458">
        <v>401</v>
      </c>
      <c r="E458" s="27">
        <v>59.881963770356386</v>
      </c>
      <c r="F458">
        <v>401</v>
      </c>
      <c r="G458" s="39">
        <v>350.24057587431832</v>
      </c>
    </row>
    <row r="459" spans="2:7" x14ac:dyDescent="0.55000000000000004">
      <c r="B459">
        <v>402</v>
      </c>
      <c r="C459" s="27">
        <v>312.96042426330831</v>
      </c>
      <c r="D459">
        <v>402</v>
      </c>
      <c r="E459" s="27">
        <v>34.848915015010611</v>
      </c>
      <c r="F459">
        <v>402</v>
      </c>
      <c r="G459" s="39">
        <v>200.79117669771085</v>
      </c>
    </row>
    <row r="460" spans="2:7" x14ac:dyDescent="0.55000000000000004">
      <c r="B460">
        <v>403</v>
      </c>
      <c r="C460" s="27">
        <v>364.80283285771606</v>
      </c>
      <c r="D460">
        <v>403</v>
      </c>
      <c r="E460" s="27">
        <v>27.339963049045402</v>
      </c>
      <c r="F460">
        <v>403</v>
      </c>
      <c r="G460" s="39">
        <v>362.31897600257724</v>
      </c>
    </row>
    <row r="461" spans="2:7" x14ac:dyDescent="0.55000000000000004">
      <c r="B461">
        <v>404</v>
      </c>
      <c r="C461" s="27">
        <v>381.01306907891569</v>
      </c>
      <c r="D461">
        <v>404</v>
      </c>
      <c r="E461" s="27">
        <v>-1.647663794234191</v>
      </c>
      <c r="F461">
        <v>404</v>
      </c>
      <c r="G461" s="39">
        <v>377.16975284366947</v>
      </c>
    </row>
    <row r="462" spans="2:7" x14ac:dyDescent="0.55000000000000004">
      <c r="B462">
        <v>405</v>
      </c>
      <c r="C462" s="27">
        <v>363.61140119758403</v>
      </c>
      <c r="D462">
        <v>405</v>
      </c>
      <c r="E462" s="27">
        <v>44.445556424037427</v>
      </c>
      <c r="F462">
        <v>405</v>
      </c>
      <c r="G462" s="39">
        <v>254.11223962928551</v>
      </c>
    </row>
    <row r="463" spans="2:7" x14ac:dyDescent="0.55000000000000004">
      <c r="B463">
        <v>406</v>
      </c>
      <c r="C463" s="27">
        <v>384.2380904549226</v>
      </c>
      <c r="D463">
        <v>406</v>
      </c>
      <c r="E463" s="27">
        <v>38.005148459571338</v>
      </c>
      <c r="F463">
        <v>406</v>
      </c>
      <c r="G463" s="39">
        <v>432.86303545391939</v>
      </c>
    </row>
    <row r="464" spans="2:7" x14ac:dyDescent="0.55000000000000004">
      <c r="B464">
        <v>407</v>
      </c>
      <c r="C464" s="27">
        <v>241.97106818611766</v>
      </c>
      <c r="D464">
        <v>407</v>
      </c>
      <c r="E464" s="27">
        <v>111.65530424333987</v>
      </c>
      <c r="F464">
        <v>407</v>
      </c>
      <c r="G464" s="39">
        <v>369.26958312754624</v>
      </c>
    </row>
    <row r="465" spans="2:7" x14ac:dyDescent="0.55000000000000004">
      <c r="B465">
        <v>408</v>
      </c>
      <c r="C465" s="27">
        <v>237.28805973753987</v>
      </c>
      <c r="D465">
        <v>408</v>
      </c>
      <c r="E465" s="27">
        <v>95.976131922216396</v>
      </c>
      <c r="F465">
        <v>408</v>
      </c>
      <c r="G465" s="39">
        <v>356.19554313356679</v>
      </c>
    </row>
    <row r="466" spans="2:7" x14ac:dyDescent="0.55000000000000004">
      <c r="B466">
        <v>409</v>
      </c>
      <c r="C466" s="27">
        <v>494.90443034576111</v>
      </c>
      <c r="D466">
        <v>409</v>
      </c>
      <c r="E466" s="27">
        <v>79.328015274453179</v>
      </c>
      <c r="F466">
        <v>409</v>
      </c>
      <c r="G466" s="39">
        <v>229.61819039784717</v>
      </c>
    </row>
    <row r="467" spans="2:7" x14ac:dyDescent="0.55000000000000004">
      <c r="B467">
        <v>410</v>
      </c>
      <c r="C467" s="27">
        <v>447.7738330322486</v>
      </c>
      <c r="D467">
        <v>410</v>
      </c>
      <c r="E467" s="27">
        <v>34.990849864670196</v>
      </c>
      <c r="F467">
        <v>410</v>
      </c>
      <c r="G467" s="39">
        <v>254.2715326895642</v>
      </c>
    </row>
    <row r="468" spans="2:7" x14ac:dyDescent="0.55000000000000004">
      <c r="B468">
        <v>411</v>
      </c>
      <c r="C468" s="27">
        <v>269.40556100112804</v>
      </c>
      <c r="D468">
        <v>411</v>
      </c>
      <c r="E468" s="27">
        <v>59.292048845060947</v>
      </c>
      <c r="F468">
        <v>411</v>
      </c>
      <c r="G468" s="39">
        <v>201.10279550816801</v>
      </c>
    </row>
    <row r="469" spans="2:7" x14ac:dyDescent="0.55000000000000004">
      <c r="B469">
        <v>412</v>
      </c>
      <c r="C469" s="27">
        <v>310.85847770363904</v>
      </c>
      <c r="D469">
        <v>412</v>
      </c>
      <c r="E469" s="27">
        <v>84.199741957617846</v>
      </c>
      <c r="F469">
        <v>412</v>
      </c>
      <c r="G469" s="39">
        <v>485.14358676403151</v>
      </c>
    </row>
    <row r="470" spans="2:7" x14ac:dyDescent="0.55000000000000004">
      <c r="B470">
        <v>413</v>
      </c>
      <c r="C470" s="27">
        <v>334.52372751889357</v>
      </c>
      <c r="D470">
        <v>413</v>
      </c>
      <c r="E470" s="27">
        <v>61.345927800051427</v>
      </c>
      <c r="F470">
        <v>413</v>
      </c>
      <c r="G470" s="39">
        <v>262.29161255627031</v>
      </c>
    </row>
    <row r="471" spans="2:7" x14ac:dyDescent="0.55000000000000004">
      <c r="B471">
        <v>414</v>
      </c>
      <c r="C471" s="27">
        <v>386.49048972028038</v>
      </c>
      <c r="D471">
        <v>414</v>
      </c>
      <c r="E471" s="27">
        <v>26.828321513713519</v>
      </c>
      <c r="F471">
        <v>414</v>
      </c>
      <c r="G471" s="39">
        <v>189.65327976077251</v>
      </c>
    </row>
    <row r="472" spans="2:7" x14ac:dyDescent="0.55000000000000004">
      <c r="B472">
        <v>415</v>
      </c>
      <c r="C472" s="27">
        <v>304.78503522514814</v>
      </c>
      <c r="D472">
        <v>415</v>
      </c>
      <c r="E472" s="27">
        <v>27.365756749168611</v>
      </c>
      <c r="F472">
        <v>415</v>
      </c>
      <c r="G472" s="39">
        <v>347.39734775584117</v>
      </c>
    </row>
    <row r="473" spans="2:7" x14ac:dyDescent="0.55000000000000004">
      <c r="B473">
        <v>416</v>
      </c>
      <c r="C473" s="27">
        <v>349.12823210084451</v>
      </c>
      <c r="D473">
        <v>416</v>
      </c>
      <c r="E473" s="27">
        <v>30.033582067297427</v>
      </c>
      <c r="F473">
        <v>416</v>
      </c>
      <c r="G473" s="39">
        <v>302.37342927146528</v>
      </c>
    </row>
    <row r="474" spans="2:7" x14ac:dyDescent="0.55000000000000004">
      <c r="B474">
        <v>417</v>
      </c>
      <c r="C474" s="27">
        <v>337.31621547405473</v>
      </c>
      <c r="D474">
        <v>417</v>
      </c>
      <c r="E474" s="27">
        <v>57.059512151510745</v>
      </c>
      <c r="F474">
        <v>417</v>
      </c>
      <c r="G474" s="39">
        <v>278.43728342056431</v>
      </c>
    </row>
    <row r="475" spans="2:7" x14ac:dyDescent="0.55000000000000004">
      <c r="B475">
        <v>418</v>
      </c>
      <c r="C475" s="27">
        <v>293.58755583290946</v>
      </c>
      <c r="D475">
        <v>418</v>
      </c>
      <c r="E475" s="27">
        <v>48.399931507912299</v>
      </c>
      <c r="F475">
        <v>418</v>
      </c>
      <c r="G475" s="39">
        <v>183.97370914949974</v>
      </c>
    </row>
    <row r="476" spans="2:7" x14ac:dyDescent="0.55000000000000004">
      <c r="B476">
        <v>419</v>
      </c>
      <c r="C476" s="27">
        <v>478.96842452243754</v>
      </c>
      <c r="D476">
        <v>419</v>
      </c>
      <c r="E476" s="27">
        <v>44.268756804597551</v>
      </c>
      <c r="F476">
        <v>419</v>
      </c>
      <c r="G476" s="39">
        <v>326.03242107517514</v>
      </c>
    </row>
    <row r="477" spans="2:7" x14ac:dyDescent="0.55000000000000004">
      <c r="B477">
        <v>420</v>
      </c>
      <c r="C477" s="27">
        <v>301.51159042084174</v>
      </c>
      <c r="D477">
        <v>420</v>
      </c>
      <c r="E477" s="27">
        <v>22.655965885812371</v>
      </c>
      <c r="F477">
        <v>420</v>
      </c>
      <c r="G477" s="39">
        <v>240.56541056435086</v>
      </c>
    </row>
    <row r="478" spans="2:7" x14ac:dyDescent="0.55000000000000004">
      <c r="B478">
        <v>421</v>
      </c>
      <c r="C478" s="27">
        <v>366.97270602499628</v>
      </c>
      <c r="D478">
        <v>421</v>
      </c>
      <c r="E478" s="27">
        <v>22.971031869258468</v>
      </c>
      <c r="F478">
        <v>421</v>
      </c>
      <c r="G478" s="39">
        <v>108.36489564027389</v>
      </c>
    </row>
    <row r="479" spans="2:7" x14ac:dyDescent="0.55000000000000004">
      <c r="B479">
        <v>422</v>
      </c>
      <c r="C479" s="27">
        <v>205.93357343857741</v>
      </c>
      <c r="D479">
        <v>422</v>
      </c>
      <c r="E479" s="27">
        <v>48.556458518730885</v>
      </c>
      <c r="F479">
        <v>422</v>
      </c>
      <c r="G479" s="39">
        <v>299.18888504042707</v>
      </c>
    </row>
    <row r="480" spans="2:7" x14ac:dyDescent="0.55000000000000004">
      <c r="B480">
        <v>423</v>
      </c>
      <c r="C480" s="27">
        <v>343.43150863733916</v>
      </c>
      <c r="D480">
        <v>423</v>
      </c>
      <c r="E480" s="27">
        <v>24.854011996972975</v>
      </c>
      <c r="F480">
        <v>423</v>
      </c>
      <c r="G480" s="39">
        <v>382.24767497302179</v>
      </c>
    </row>
    <row r="481" spans="2:7" x14ac:dyDescent="0.55000000000000004">
      <c r="B481">
        <v>424</v>
      </c>
      <c r="C481" s="27">
        <v>332.55699301228913</v>
      </c>
      <c r="D481">
        <v>424</v>
      </c>
      <c r="E481" s="27">
        <v>9.5918735065981338</v>
      </c>
      <c r="F481">
        <v>424</v>
      </c>
      <c r="G481" s="39">
        <v>351.8962552871144</v>
      </c>
    </row>
    <row r="482" spans="2:7" x14ac:dyDescent="0.55000000000000004">
      <c r="B482">
        <v>425</v>
      </c>
      <c r="C482" s="27">
        <v>280.00680509475563</v>
      </c>
      <c r="D482">
        <v>425</v>
      </c>
      <c r="E482" s="27">
        <v>52.371903144018688</v>
      </c>
      <c r="F482">
        <v>425</v>
      </c>
      <c r="G482" s="39">
        <v>312.35661897719115</v>
      </c>
    </row>
    <row r="483" spans="2:7" x14ac:dyDescent="0.55000000000000004">
      <c r="B483">
        <v>426</v>
      </c>
      <c r="C483" s="27">
        <v>344.12719612351282</v>
      </c>
      <c r="D483">
        <v>426</v>
      </c>
      <c r="E483" s="27">
        <v>20.919227191450645</v>
      </c>
      <c r="F483">
        <v>426</v>
      </c>
      <c r="G483" s="39">
        <v>348.27095520647822</v>
      </c>
    </row>
    <row r="484" spans="2:7" x14ac:dyDescent="0.55000000000000004">
      <c r="B484">
        <v>427</v>
      </c>
      <c r="C484" s="27">
        <v>352.62161188116278</v>
      </c>
      <c r="D484">
        <v>427</v>
      </c>
      <c r="E484" s="27">
        <v>2.6055148807519046</v>
      </c>
      <c r="F484">
        <v>427</v>
      </c>
      <c r="G484" s="39">
        <v>381.35974518906903</v>
      </c>
    </row>
    <row r="485" spans="2:7" x14ac:dyDescent="0.55000000000000004">
      <c r="B485">
        <v>428</v>
      </c>
      <c r="C485" s="27">
        <v>295.85338741443792</v>
      </c>
      <c r="D485">
        <v>428</v>
      </c>
      <c r="E485" s="27">
        <v>49.65254964671621</v>
      </c>
      <c r="F485">
        <v>428</v>
      </c>
      <c r="G485" s="39">
        <v>269.45662729230219</v>
      </c>
    </row>
    <row r="486" spans="2:7" x14ac:dyDescent="0.55000000000000004">
      <c r="B486">
        <v>429</v>
      </c>
      <c r="C486" s="27">
        <v>256.83453636185959</v>
      </c>
      <c r="D486">
        <v>429</v>
      </c>
      <c r="E486" s="27">
        <v>20.383971286903677</v>
      </c>
      <c r="F486">
        <v>429</v>
      </c>
      <c r="G486" s="39">
        <v>353.08806647490633</v>
      </c>
    </row>
    <row r="487" spans="2:7" x14ac:dyDescent="0.55000000000000004">
      <c r="B487">
        <v>430</v>
      </c>
      <c r="C487" s="27">
        <v>251.24999542175158</v>
      </c>
      <c r="D487">
        <v>430</v>
      </c>
      <c r="E487" s="27">
        <v>90.457574405338789</v>
      </c>
      <c r="F487">
        <v>430</v>
      </c>
      <c r="G487" s="39">
        <v>340.70279808284067</v>
      </c>
    </row>
    <row r="488" spans="2:7" x14ac:dyDescent="0.55000000000000004">
      <c r="B488">
        <v>431</v>
      </c>
      <c r="C488" s="27">
        <v>489.23300291271198</v>
      </c>
      <c r="D488">
        <v>431</v>
      </c>
      <c r="E488" s="27">
        <v>86.970812541607714</v>
      </c>
      <c r="F488">
        <v>431</v>
      </c>
      <c r="G488" s="39">
        <v>274.02394880659784</v>
      </c>
    </row>
    <row r="489" spans="2:7" x14ac:dyDescent="0.55000000000000004">
      <c r="B489">
        <v>432</v>
      </c>
      <c r="C489" s="27">
        <v>337.87578001236625</v>
      </c>
      <c r="D489">
        <v>432</v>
      </c>
      <c r="E489" s="27">
        <v>41.909248420288321</v>
      </c>
      <c r="F489">
        <v>432</v>
      </c>
      <c r="G489" s="39">
        <v>343.57399903103817</v>
      </c>
    </row>
    <row r="490" spans="2:7" x14ac:dyDescent="0.55000000000000004">
      <c r="B490">
        <v>433</v>
      </c>
      <c r="C490" s="27">
        <v>130.54396419368589</v>
      </c>
      <c r="D490">
        <v>433</v>
      </c>
      <c r="E490" s="27">
        <v>94.82399487604377</v>
      </c>
      <c r="F490">
        <v>433</v>
      </c>
      <c r="G490" s="39">
        <v>347.10636874409698</v>
      </c>
    </row>
    <row r="491" spans="2:7" x14ac:dyDescent="0.55000000000000004">
      <c r="B491">
        <v>434</v>
      </c>
      <c r="C491" s="27">
        <v>295.32227061075452</v>
      </c>
      <c r="D491">
        <v>434</v>
      </c>
      <c r="E491" s="27">
        <v>45.667949897875644</v>
      </c>
      <c r="F491">
        <v>434</v>
      </c>
      <c r="G491" s="39">
        <v>266.4536582334959</v>
      </c>
    </row>
    <row r="492" spans="2:7" x14ac:dyDescent="0.55000000000000004">
      <c r="B492">
        <v>435</v>
      </c>
      <c r="C492" s="27">
        <v>344.32737523414704</v>
      </c>
      <c r="D492">
        <v>435</v>
      </c>
      <c r="E492" s="27">
        <v>65.399139175876769</v>
      </c>
      <c r="F492">
        <v>435</v>
      </c>
      <c r="G492" s="39">
        <v>567.043865865111</v>
      </c>
    </row>
    <row r="493" spans="2:7" x14ac:dyDescent="0.55000000000000004">
      <c r="B493">
        <v>436</v>
      </c>
      <c r="C493" s="27">
        <v>296.99721383273368</v>
      </c>
      <c r="D493">
        <v>436</v>
      </c>
      <c r="E493" s="27">
        <v>47.422550557524723</v>
      </c>
      <c r="F493">
        <v>436</v>
      </c>
      <c r="G493" s="39">
        <v>294.10510779610786</v>
      </c>
    </row>
    <row r="494" spans="2:7" x14ac:dyDescent="0.55000000000000004">
      <c r="B494">
        <v>437</v>
      </c>
      <c r="C494" s="27">
        <v>318.7149897274486</v>
      </c>
      <c r="D494">
        <v>437</v>
      </c>
      <c r="E494" s="27">
        <v>26.95491213460474</v>
      </c>
      <c r="F494">
        <v>437</v>
      </c>
      <c r="G494" s="39">
        <v>355.79464296060462</v>
      </c>
    </row>
    <row r="495" spans="2:7" x14ac:dyDescent="0.55000000000000004">
      <c r="B495">
        <v>438</v>
      </c>
      <c r="C495" s="27">
        <v>285.03331348143502</v>
      </c>
      <c r="D495">
        <v>438</v>
      </c>
      <c r="E495" s="27">
        <v>111.753801764082</v>
      </c>
      <c r="F495">
        <v>438</v>
      </c>
      <c r="G495" s="39">
        <v>155.63647480501371</v>
      </c>
    </row>
    <row r="496" spans="2:7" x14ac:dyDescent="0.55000000000000004">
      <c r="B496">
        <v>439</v>
      </c>
      <c r="C496" s="27">
        <v>42.435732270868129</v>
      </c>
      <c r="D496">
        <v>439</v>
      </c>
      <c r="E496" s="27">
        <v>0.17034452685940948</v>
      </c>
      <c r="F496">
        <v>439</v>
      </c>
      <c r="G496" s="39">
        <v>240.92373470278713</v>
      </c>
    </row>
    <row r="497" spans="2:7" x14ac:dyDescent="0.55000000000000004">
      <c r="B497">
        <v>440</v>
      </c>
      <c r="C497" s="27">
        <v>257.58882229123969</v>
      </c>
      <c r="D497">
        <v>440</v>
      </c>
      <c r="E497" s="27">
        <v>71.199027824312381</v>
      </c>
      <c r="F497">
        <v>440</v>
      </c>
      <c r="G497" s="39">
        <v>321.28042166206421</v>
      </c>
    </row>
    <row r="498" spans="2:7" x14ac:dyDescent="0.55000000000000004">
      <c r="B498">
        <v>441</v>
      </c>
      <c r="C498" s="27">
        <v>366.79706079349262</v>
      </c>
      <c r="D498">
        <v>441</v>
      </c>
      <c r="E498" s="27">
        <v>51.034920946787352</v>
      </c>
      <c r="F498">
        <v>441</v>
      </c>
      <c r="G498" s="39">
        <v>244.59066929557056</v>
      </c>
    </row>
    <row r="499" spans="2:7" x14ac:dyDescent="0.55000000000000004">
      <c r="B499">
        <v>442</v>
      </c>
      <c r="C499" s="27">
        <v>275.64845439183614</v>
      </c>
      <c r="D499">
        <v>442</v>
      </c>
      <c r="E499" s="27">
        <v>15.374851957446619</v>
      </c>
      <c r="F499">
        <v>442</v>
      </c>
      <c r="G499" s="39">
        <v>334.45729641668538</v>
      </c>
    </row>
    <row r="500" spans="2:7" x14ac:dyDescent="0.55000000000000004">
      <c r="B500">
        <v>443</v>
      </c>
      <c r="C500" s="27">
        <v>229.73870941092764</v>
      </c>
      <c r="D500">
        <v>443</v>
      </c>
      <c r="E500" s="27">
        <v>52.09733062885023</v>
      </c>
      <c r="F500">
        <v>443</v>
      </c>
      <c r="G500" s="39">
        <v>282.00828449773439</v>
      </c>
    </row>
    <row r="501" spans="2:7" x14ac:dyDescent="0.55000000000000004">
      <c r="B501">
        <v>444</v>
      </c>
      <c r="C501" s="27">
        <v>178.63876695160104</v>
      </c>
      <c r="D501">
        <v>444</v>
      </c>
      <c r="E501" s="27">
        <v>75.79639205726572</v>
      </c>
      <c r="F501">
        <v>444</v>
      </c>
      <c r="G501" s="39">
        <v>299.61344297418435</v>
      </c>
    </row>
    <row r="502" spans="2:7" x14ac:dyDescent="0.55000000000000004">
      <c r="B502">
        <v>445</v>
      </c>
      <c r="C502" s="27">
        <v>329.51069571095394</v>
      </c>
      <c r="D502">
        <v>445</v>
      </c>
      <c r="E502" s="27">
        <v>60.213647441123868</v>
      </c>
      <c r="F502">
        <v>445</v>
      </c>
      <c r="G502" s="39">
        <v>253.19285060107333</v>
      </c>
    </row>
    <row r="503" spans="2:7" x14ac:dyDescent="0.55000000000000004">
      <c r="B503">
        <v>446</v>
      </c>
      <c r="C503" s="27">
        <v>259.50320705830245</v>
      </c>
      <c r="D503">
        <v>446</v>
      </c>
      <c r="E503" s="27">
        <v>46.758404550451417</v>
      </c>
      <c r="F503">
        <v>446</v>
      </c>
      <c r="G503" s="39">
        <v>327.56096511166686</v>
      </c>
    </row>
    <row r="504" spans="2:7" x14ac:dyDescent="0.55000000000000004">
      <c r="B504">
        <v>447</v>
      </c>
      <c r="C504" s="27">
        <v>383.47179127640629</v>
      </c>
      <c r="D504">
        <v>447</v>
      </c>
      <c r="E504" s="27">
        <v>26.60099833898758</v>
      </c>
      <c r="F504">
        <v>447</v>
      </c>
      <c r="G504" s="39">
        <v>419.17199133489743</v>
      </c>
    </row>
    <row r="505" spans="2:7" x14ac:dyDescent="0.55000000000000004">
      <c r="B505">
        <v>448</v>
      </c>
      <c r="C505" s="27">
        <v>254.23301945579536</v>
      </c>
      <c r="D505">
        <v>448</v>
      </c>
      <c r="E505" s="27">
        <v>90.977229080059473</v>
      </c>
      <c r="F505">
        <v>448</v>
      </c>
      <c r="G505" s="39">
        <v>230.69892223423901</v>
      </c>
    </row>
    <row r="506" spans="2:7" x14ac:dyDescent="0.55000000000000004">
      <c r="B506">
        <v>449</v>
      </c>
      <c r="C506" s="27">
        <v>351.64781079594343</v>
      </c>
      <c r="D506">
        <v>449</v>
      </c>
      <c r="E506" s="27">
        <v>37.560746819483782</v>
      </c>
      <c r="F506">
        <v>449</v>
      </c>
      <c r="G506" s="39">
        <v>258.18516534711017</v>
      </c>
    </row>
    <row r="507" spans="2:7" x14ac:dyDescent="0.55000000000000004">
      <c r="B507">
        <v>450</v>
      </c>
      <c r="C507" s="27">
        <v>163.23381959346796</v>
      </c>
      <c r="D507">
        <v>450</v>
      </c>
      <c r="E507" s="27">
        <v>59.714099424624344</v>
      </c>
      <c r="F507">
        <v>450</v>
      </c>
      <c r="G507" s="39">
        <v>296.32645082077352</v>
      </c>
    </row>
    <row r="508" spans="2:7" x14ac:dyDescent="0.55000000000000004">
      <c r="B508">
        <v>451</v>
      </c>
      <c r="C508" s="27">
        <v>189.94565560922271</v>
      </c>
      <c r="D508">
        <v>451</v>
      </c>
      <c r="E508" s="27">
        <v>32.331063648134915</v>
      </c>
      <c r="F508">
        <v>451</v>
      </c>
      <c r="G508" s="39">
        <v>235.19817401522431</v>
      </c>
    </row>
    <row r="509" spans="2:7" x14ac:dyDescent="0.55000000000000004">
      <c r="B509">
        <v>452</v>
      </c>
      <c r="C509" s="27">
        <v>207.60049951488185</v>
      </c>
      <c r="D509">
        <v>452</v>
      </c>
      <c r="E509" s="27">
        <v>43.895264164076472</v>
      </c>
      <c r="F509">
        <v>452</v>
      </c>
      <c r="G509" s="39">
        <v>231.51502698208975</v>
      </c>
    </row>
    <row r="510" spans="2:7" x14ac:dyDescent="0.55000000000000004">
      <c r="B510">
        <v>453</v>
      </c>
      <c r="C510" s="27">
        <v>329.74158095147669</v>
      </c>
      <c r="D510">
        <v>453</v>
      </c>
      <c r="E510" s="27">
        <v>83.01260362829801</v>
      </c>
      <c r="F510">
        <v>453</v>
      </c>
      <c r="G510" s="39">
        <v>327.16447608567125</v>
      </c>
    </row>
    <row r="511" spans="2:7" x14ac:dyDescent="0.55000000000000004">
      <c r="B511">
        <v>454</v>
      </c>
      <c r="C511" s="27">
        <v>265.52538638011288</v>
      </c>
      <c r="D511">
        <v>454</v>
      </c>
      <c r="E511" s="27">
        <v>55.127344478873994</v>
      </c>
      <c r="F511">
        <v>454</v>
      </c>
      <c r="G511" s="39">
        <v>260.85706758250871</v>
      </c>
    </row>
    <row r="512" spans="2:7" x14ac:dyDescent="0.55000000000000004">
      <c r="B512">
        <v>455</v>
      </c>
      <c r="C512" s="27">
        <v>269.34778619978977</v>
      </c>
      <c r="D512">
        <v>455</v>
      </c>
      <c r="E512" s="27">
        <v>91.669299860446927</v>
      </c>
      <c r="F512">
        <v>455</v>
      </c>
      <c r="G512" s="39">
        <v>371.08642545921953</v>
      </c>
    </row>
    <row r="513" spans="2:7" x14ac:dyDescent="0.55000000000000004">
      <c r="B513">
        <v>456</v>
      </c>
      <c r="C513" s="27">
        <v>122.14756080395598</v>
      </c>
      <c r="D513">
        <v>456</v>
      </c>
      <c r="E513" s="27">
        <v>59.059982861951688</v>
      </c>
      <c r="F513">
        <v>456</v>
      </c>
      <c r="G513" s="39">
        <v>303.84438753474097</v>
      </c>
    </row>
    <row r="514" spans="2:7" x14ac:dyDescent="0.55000000000000004">
      <c r="B514">
        <v>457</v>
      </c>
      <c r="C514" s="27">
        <v>186.04211350076866</v>
      </c>
      <c r="D514">
        <v>457</v>
      </c>
      <c r="E514" s="27">
        <v>39.539194646587376</v>
      </c>
      <c r="F514">
        <v>457</v>
      </c>
      <c r="G514" s="39">
        <v>196.09987648738695</v>
      </c>
    </row>
    <row r="515" spans="2:7" x14ac:dyDescent="0.55000000000000004">
      <c r="B515">
        <v>458</v>
      </c>
      <c r="C515" s="27">
        <v>95.112354953169529</v>
      </c>
      <c r="D515">
        <v>458</v>
      </c>
      <c r="E515" s="27">
        <v>35.876049778898938</v>
      </c>
      <c r="F515">
        <v>458</v>
      </c>
      <c r="G515" s="39">
        <v>296.6413961563469</v>
      </c>
    </row>
    <row r="516" spans="2:7" x14ac:dyDescent="0.55000000000000004">
      <c r="B516">
        <v>459</v>
      </c>
      <c r="C516" s="27">
        <v>208.93669604836967</v>
      </c>
      <c r="D516">
        <v>459</v>
      </c>
      <c r="E516" s="27">
        <v>14.354820142606773</v>
      </c>
      <c r="F516">
        <v>459</v>
      </c>
      <c r="G516" s="39">
        <v>336.27301450691209</v>
      </c>
    </row>
    <row r="517" spans="2:7" x14ac:dyDescent="0.55000000000000004">
      <c r="B517">
        <v>460</v>
      </c>
      <c r="C517" s="27">
        <v>174.66459944657177</v>
      </c>
      <c r="D517">
        <v>460</v>
      </c>
      <c r="E517" s="27">
        <v>46.118550149199692</v>
      </c>
      <c r="F517">
        <v>460</v>
      </c>
      <c r="G517" s="39">
        <v>318.67079130840676</v>
      </c>
    </row>
    <row r="518" spans="2:7" x14ac:dyDescent="0.55000000000000004">
      <c r="B518">
        <v>461</v>
      </c>
      <c r="C518" s="27">
        <v>342.86566110083908</v>
      </c>
      <c r="D518">
        <v>461</v>
      </c>
      <c r="E518" s="27">
        <v>42.619616791164972</v>
      </c>
      <c r="F518">
        <v>461</v>
      </c>
      <c r="G518" s="39">
        <v>408.5354563645094</v>
      </c>
    </row>
    <row r="519" spans="2:7" x14ac:dyDescent="0.55000000000000004">
      <c r="B519">
        <v>462</v>
      </c>
      <c r="C519" s="27">
        <v>399.08058269172267</v>
      </c>
      <c r="D519">
        <v>462</v>
      </c>
      <c r="E519" s="27">
        <v>75.160667565851512</v>
      </c>
      <c r="F519">
        <v>462</v>
      </c>
      <c r="G519" s="39">
        <v>263.16558955963905</v>
      </c>
    </row>
    <row r="520" spans="2:7" x14ac:dyDescent="0.55000000000000004">
      <c r="B520">
        <v>463</v>
      </c>
      <c r="C520" s="27">
        <v>417.67461797340758</v>
      </c>
      <c r="D520">
        <v>463</v>
      </c>
      <c r="E520" s="27">
        <v>45.250963961459107</v>
      </c>
      <c r="F520">
        <v>463</v>
      </c>
      <c r="G520" s="39">
        <v>395.00475592750115</v>
      </c>
    </row>
    <row r="521" spans="2:7" x14ac:dyDescent="0.55000000000000004">
      <c r="B521">
        <v>464</v>
      </c>
      <c r="C521" s="27">
        <v>325.23833179478339</v>
      </c>
      <c r="D521">
        <v>464</v>
      </c>
      <c r="E521" s="27">
        <v>29.904551888546465</v>
      </c>
      <c r="F521">
        <v>464</v>
      </c>
      <c r="G521" s="39">
        <v>201.13218640469648</v>
      </c>
    </row>
    <row r="522" spans="2:7" x14ac:dyDescent="0.55000000000000004">
      <c r="B522">
        <v>465</v>
      </c>
      <c r="C522" s="27">
        <v>305.79093995739629</v>
      </c>
      <c r="D522">
        <v>465</v>
      </c>
      <c r="E522" s="27">
        <v>93.367758680898618</v>
      </c>
      <c r="F522">
        <v>465</v>
      </c>
      <c r="G522" s="39">
        <v>354.98170575689392</v>
      </c>
    </row>
    <row r="523" spans="2:7" x14ac:dyDescent="0.55000000000000004">
      <c r="B523">
        <v>466</v>
      </c>
      <c r="C523" s="27">
        <v>251.18923579402679</v>
      </c>
      <c r="D523">
        <v>466</v>
      </c>
      <c r="E523" s="27">
        <v>56.272782279646535</v>
      </c>
      <c r="F523">
        <v>466</v>
      </c>
      <c r="G523" s="39">
        <v>231.34796565740425</v>
      </c>
    </row>
    <row r="524" spans="2:7" x14ac:dyDescent="0.55000000000000004">
      <c r="B524">
        <v>467</v>
      </c>
      <c r="C524" s="27">
        <v>171.88133456653074</v>
      </c>
      <c r="D524">
        <v>467</v>
      </c>
      <c r="E524" s="27">
        <v>5.1412122626394137</v>
      </c>
      <c r="F524">
        <v>467</v>
      </c>
      <c r="G524" s="39">
        <v>346.00967355530389</v>
      </c>
    </row>
    <row r="525" spans="2:7" x14ac:dyDescent="0.55000000000000004">
      <c r="B525">
        <v>468</v>
      </c>
      <c r="C525" s="27">
        <v>245.35841019140418</v>
      </c>
      <c r="D525">
        <v>468</v>
      </c>
      <c r="E525" s="27">
        <v>65.14341499033435</v>
      </c>
      <c r="F525">
        <v>468</v>
      </c>
      <c r="G525" s="39">
        <v>360.25556472084719</v>
      </c>
    </row>
    <row r="526" spans="2:7" x14ac:dyDescent="0.55000000000000004">
      <c r="B526">
        <v>469</v>
      </c>
      <c r="C526" s="27">
        <v>206.9945225703031</v>
      </c>
      <c r="D526">
        <v>469</v>
      </c>
      <c r="E526" s="27">
        <v>37.6467348703097</v>
      </c>
      <c r="F526">
        <v>469</v>
      </c>
      <c r="G526" s="39">
        <v>318.34195846922859</v>
      </c>
    </row>
    <row r="527" spans="2:7" x14ac:dyDescent="0.55000000000000004">
      <c r="B527">
        <v>470</v>
      </c>
      <c r="C527" s="27">
        <v>238.68981435849736</v>
      </c>
      <c r="D527">
        <v>470</v>
      </c>
      <c r="E527" s="27">
        <v>87.445980495231453</v>
      </c>
      <c r="F527">
        <v>470</v>
      </c>
      <c r="G527" s="39">
        <v>181.42411865642168</v>
      </c>
    </row>
    <row r="528" spans="2:7" x14ac:dyDescent="0.55000000000000004">
      <c r="B528">
        <v>471</v>
      </c>
      <c r="C528" s="27">
        <v>354.54230082776212</v>
      </c>
      <c r="D528">
        <v>471</v>
      </c>
      <c r="E528" s="27">
        <v>10.69468441037343</v>
      </c>
      <c r="F528">
        <v>471</v>
      </c>
      <c r="G528" s="39">
        <v>337.06852321280979</v>
      </c>
    </row>
    <row r="529" spans="2:7" x14ac:dyDescent="0.55000000000000004">
      <c r="B529">
        <v>472</v>
      </c>
      <c r="C529" s="27">
        <v>262.5150463342859</v>
      </c>
      <c r="D529">
        <v>472</v>
      </c>
      <c r="E529" s="27">
        <v>45.342224989104693</v>
      </c>
      <c r="F529">
        <v>472</v>
      </c>
      <c r="G529" s="39">
        <v>444.965043391363</v>
      </c>
    </row>
    <row r="530" spans="2:7" x14ac:dyDescent="0.55000000000000004">
      <c r="B530">
        <v>473</v>
      </c>
      <c r="C530" s="27">
        <v>172.46336427207072</v>
      </c>
      <c r="D530">
        <v>473</v>
      </c>
      <c r="E530" s="27">
        <v>30.280706390007481</v>
      </c>
      <c r="F530">
        <v>473</v>
      </c>
      <c r="G530" s="39">
        <v>295.26320039288908</v>
      </c>
    </row>
    <row r="531" spans="2:7" x14ac:dyDescent="0.55000000000000004">
      <c r="B531">
        <v>474</v>
      </c>
      <c r="C531" s="27">
        <v>247.86991318295495</v>
      </c>
      <c r="D531">
        <v>474</v>
      </c>
      <c r="E531" s="27">
        <v>12.663090811192248</v>
      </c>
      <c r="F531">
        <v>474</v>
      </c>
      <c r="G531" s="39">
        <v>324.23421453146108</v>
      </c>
    </row>
    <row r="532" spans="2:7" x14ac:dyDescent="0.55000000000000004">
      <c r="B532">
        <v>475</v>
      </c>
      <c r="C532" s="27">
        <v>180.25240798988261</v>
      </c>
      <c r="D532">
        <v>475</v>
      </c>
      <c r="E532" s="27">
        <v>64.603489389138446</v>
      </c>
      <c r="F532">
        <v>475</v>
      </c>
      <c r="G532" s="39">
        <v>251.34924430099855</v>
      </c>
    </row>
    <row r="533" spans="2:7" x14ac:dyDescent="0.55000000000000004">
      <c r="B533">
        <v>476</v>
      </c>
      <c r="C533" s="27">
        <v>171.76851119163649</v>
      </c>
      <c r="D533">
        <v>476</v>
      </c>
      <c r="E533" s="27">
        <v>104.47557941704038</v>
      </c>
      <c r="F533">
        <v>476</v>
      </c>
      <c r="G533" s="39">
        <v>274.84893653555866</v>
      </c>
    </row>
    <row r="534" spans="2:7" x14ac:dyDescent="0.55000000000000004">
      <c r="B534">
        <v>477</v>
      </c>
      <c r="C534" s="27">
        <v>291.26374338872876</v>
      </c>
      <c r="D534">
        <v>477</v>
      </c>
      <c r="E534" s="27">
        <v>87.552805246299997</v>
      </c>
      <c r="F534">
        <v>477</v>
      </c>
      <c r="G534" s="39">
        <v>365.05283921008981</v>
      </c>
    </row>
    <row r="535" spans="2:7" x14ac:dyDescent="0.55000000000000004">
      <c r="B535">
        <v>478</v>
      </c>
      <c r="C535" s="27">
        <v>224.43269851974063</v>
      </c>
      <c r="D535">
        <v>478</v>
      </c>
      <c r="E535" s="27">
        <v>58.075980584342801</v>
      </c>
      <c r="F535">
        <v>478</v>
      </c>
      <c r="G535" s="39">
        <v>286.816211549591</v>
      </c>
    </row>
    <row r="536" spans="2:7" x14ac:dyDescent="0.55000000000000004">
      <c r="B536">
        <v>479</v>
      </c>
      <c r="C536" s="27">
        <v>311.79982340536361</v>
      </c>
      <c r="D536">
        <v>479</v>
      </c>
      <c r="E536" s="27">
        <v>75.353516102907321</v>
      </c>
      <c r="F536">
        <v>479</v>
      </c>
      <c r="G536" s="39">
        <v>253.00321257160789</v>
      </c>
    </row>
    <row r="537" spans="2:7" x14ac:dyDescent="0.55000000000000004">
      <c r="B537">
        <v>480</v>
      </c>
      <c r="C537" s="27">
        <v>366.44170603358077</v>
      </c>
      <c r="D537">
        <v>480</v>
      </c>
      <c r="E537" s="27">
        <v>74.977038824989862</v>
      </c>
      <c r="F537">
        <v>480</v>
      </c>
      <c r="G537" s="39">
        <v>186.26787822533009</v>
      </c>
    </row>
    <row r="538" spans="2:7" x14ac:dyDescent="0.55000000000000004">
      <c r="B538">
        <v>481</v>
      </c>
      <c r="C538" s="27">
        <v>407.1206456876692</v>
      </c>
      <c r="D538">
        <v>481</v>
      </c>
      <c r="E538" s="27">
        <v>100.85299513102977</v>
      </c>
      <c r="F538">
        <v>481</v>
      </c>
      <c r="G538" s="39">
        <v>247.83156607357566</v>
      </c>
    </row>
    <row r="539" spans="2:7" x14ac:dyDescent="0.55000000000000004">
      <c r="B539">
        <v>482</v>
      </c>
      <c r="C539" s="27">
        <v>426.22209498583447</v>
      </c>
      <c r="D539">
        <v>482</v>
      </c>
      <c r="E539" s="27">
        <v>43.004422822473231</v>
      </c>
      <c r="F539">
        <v>482</v>
      </c>
      <c r="G539" s="39">
        <v>325.8812303134643</v>
      </c>
    </row>
    <row r="540" spans="2:7" x14ac:dyDescent="0.55000000000000004">
      <c r="B540">
        <v>483</v>
      </c>
      <c r="C540" s="27">
        <v>360.02092548484814</v>
      </c>
      <c r="D540">
        <v>483</v>
      </c>
      <c r="E540" s="27">
        <v>61.360080769809535</v>
      </c>
      <c r="F540">
        <v>483</v>
      </c>
      <c r="G540" s="39">
        <v>317.47133747838308</v>
      </c>
    </row>
    <row r="541" spans="2:7" x14ac:dyDescent="0.55000000000000004">
      <c r="B541">
        <v>484</v>
      </c>
      <c r="C541" s="27">
        <v>394.4857116193661</v>
      </c>
      <c r="D541">
        <v>484</v>
      </c>
      <c r="E541" s="27">
        <v>36.736760193584246</v>
      </c>
      <c r="F541">
        <v>484</v>
      </c>
      <c r="G541" s="39">
        <v>298.78971292107218</v>
      </c>
    </row>
    <row r="542" spans="2:7" x14ac:dyDescent="0.55000000000000004">
      <c r="B542">
        <v>485</v>
      </c>
      <c r="C542" s="27">
        <v>319.77542340260231</v>
      </c>
      <c r="D542">
        <v>485</v>
      </c>
      <c r="E542" s="27">
        <v>99.375503113074075</v>
      </c>
      <c r="F542">
        <v>485</v>
      </c>
      <c r="G542" s="39">
        <v>345.75238882992824</v>
      </c>
    </row>
    <row r="543" spans="2:7" x14ac:dyDescent="0.55000000000000004">
      <c r="B543">
        <v>486</v>
      </c>
      <c r="C543" s="27">
        <v>293.10523954044424</v>
      </c>
      <c r="D543">
        <v>486</v>
      </c>
      <c r="E543" s="27">
        <v>39.175809655700149</v>
      </c>
      <c r="F543">
        <v>486</v>
      </c>
      <c r="G543" s="39">
        <v>272.21127167400425</v>
      </c>
    </row>
    <row r="544" spans="2:7" x14ac:dyDescent="0.55000000000000004">
      <c r="B544">
        <v>487</v>
      </c>
      <c r="C544" s="27">
        <v>329.88757348889698</v>
      </c>
      <c r="D544">
        <v>487</v>
      </c>
      <c r="E544" s="27">
        <v>91.217764319458979</v>
      </c>
      <c r="F544">
        <v>487</v>
      </c>
      <c r="G544" s="39">
        <v>407.32741110760315</v>
      </c>
    </row>
    <row r="545" spans="2:7" x14ac:dyDescent="0.55000000000000004">
      <c r="B545">
        <v>488</v>
      </c>
      <c r="C545" s="27">
        <v>340.75132172527867</v>
      </c>
      <c r="D545">
        <v>488</v>
      </c>
      <c r="E545" s="27">
        <v>62.073078682296739</v>
      </c>
      <c r="F545">
        <v>488</v>
      </c>
      <c r="G545" s="39">
        <v>399.54596926550005</v>
      </c>
    </row>
    <row r="546" spans="2:7" x14ac:dyDescent="0.55000000000000004">
      <c r="B546">
        <v>489</v>
      </c>
      <c r="C546" s="27">
        <v>374.17986251251034</v>
      </c>
      <c r="D546">
        <v>489</v>
      </c>
      <c r="E546" s="27">
        <v>-30.038055932235515</v>
      </c>
      <c r="F546">
        <v>489</v>
      </c>
      <c r="G546" s="39">
        <v>276.5148392939787</v>
      </c>
    </row>
    <row r="547" spans="2:7" x14ac:dyDescent="0.55000000000000004">
      <c r="B547">
        <v>490</v>
      </c>
      <c r="C547" s="27">
        <v>208.89516675382487</v>
      </c>
      <c r="D547">
        <v>490</v>
      </c>
      <c r="E547" s="27">
        <v>78.393718234497342</v>
      </c>
      <c r="F547">
        <v>490</v>
      </c>
      <c r="G547" s="39">
        <v>388.83595631935333</v>
      </c>
    </row>
    <row r="548" spans="2:7" x14ac:dyDescent="0.55000000000000004">
      <c r="B548">
        <v>491</v>
      </c>
      <c r="C548" s="27">
        <v>386.39390935313685</v>
      </c>
      <c r="D548">
        <v>491</v>
      </c>
      <c r="E548" s="27">
        <v>22.32478206753369</v>
      </c>
      <c r="F548">
        <v>491</v>
      </c>
      <c r="G548" s="39">
        <v>231.63271641851139</v>
      </c>
    </row>
    <row r="549" spans="2:7" x14ac:dyDescent="0.55000000000000004">
      <c r="B549">
        <v>492</v>
      </c>
      <c r="C549" s="27">
        <v>80.894469053799526</v>
      </c>
      <c r="D549">
        <v>492</v>
      </c>
      <c r="E549" s="27">
        <v>68.349838311900584</v>
      </c>
      <c r="F549">
        <v>492</v>
      </c>
      <c r="G549" s="39">
        <v>387.80069426719587</v>
      </c>
    </row>
    <row r="550" spans="2:7" x14ac:dyDescent="0.55000000000000004">
      <c r="B550">
        <v>493</v>
      </c>
      <c r="C550" s="27">
        <v>252.91775292569386</v>
      </c>
      <c r="D550">
        <v>493</v>
      </c>
      <c r="E550" s="27">
        <v>67.017425587188683</v>
      </c>
      <c r="F550">
        <v>493</v>
      </c>
      <c r="G550" s="39">
        <v>48.943317743698373</v>
      </c>
    </row>
    <row r="551" spans="2:7" x14ac:dyDescent="0.55000000000000004">
      <c r="B551">
        <v>494</v>
      </c>
      <c r="C551" s="27">
        <v>316.05778129444326</v>
      </c>
      <c r="D551">
        <v>494</v>
      </c>
      <c r="E551" s="27">
        <v>73.657908437748745</v>
      </c>
      <c r="F551">
        <v>494</v>
      </c>
      <c r="G551" s="39">
        <v>288.2396531781954</v>
      </c>
    </row>
    <row r="552" spans="2:7" x14ac:dyDescent="0.55000000000000004">
      <c r="B552">
        <v>495</v>
      </c>
      <c r="C552" s="27">
        <v>169.95131773229679</v>
      </c>
      <c r="D552">
        <v>495</v>
      </c>
      <c r="E552" s="27">
        <v>70.94688299433534</v>
      </c>
      <c r="F552">
        <v>495</v>
      </c>
      <c r="G552" s="39">
        <v>311.55430689463873</v>
      </c>
    </row>
    <row r="553" spans="2:7" x14ac:dyDescent="0.55000000000000004">
      <c r="B553">
        <v>496</v>
      </c>
      <c r="C553" s="27">
        <v>352.02752776508498</v>
      </c>
      <c r="D553">
        <v>496</v>
      </c>
      <c r="E553" s="27">
        <v>91.611000834684589</v>
      </c>
      <c r="F553">
        <v>496</v>
      </c>
      <c r="G553" s="39">
        <v>176.5015505315796</v>
      </c>
    </row>
    <row r="554" spans="2:7" x14ac:dyDescent="0.55000000000000004">
      <c r="B554">
        <v>497</v>
      </c>
      <c r="C554" s="27">
        <v>382.0654689212364</v>
      </c>
      <c r="D554">
        <v>497</v>
      </c>
      <c r="E554" s="27">
        <v>37.609316124171258</v>
      </c>
      <c r="F554">
        <v>497</v>
      </c>
      <c r="G554" s="39">
        <v>263.134683940748</v>
      </c>
    </row>
    <row r="555" spans="2:7" x14ac:dyDescent="0.55000000000000004">
      <c r="B555">
        <v>498</v>
      </c>
      <c r="C555" s="27">
        <v>376.27170044148875</v>
      </c>
      <c r="D555">
        <v>498</v>
      </c>
      <c r="E555" s="27">
        <v>65.285676131525705</v>
      </c>
      <c r="F555">
        <v>498</v>
      </c>
      <c r="G555" s="39">
        <v>297.90661038122363</v>
      </c>
    </row>
    <row r="556" spans="2:7" x14ac:dyDescent="0.55000000000000004">
      <c r="B556">
        <v>499</v>
      </c>
      <c r="C556" s="27">
        <v>315.5418241204822</v>
      </c>
      <c r="D556">
        <v>499</v>
      </c>
      <c r="E556" s="27">
        <v>69.545940366822393</v>
      </c>
      <c r="F556">
        <v>499</v>
      </c>
      <c r="G556" s="39">
        <v>327.72358140644303</v>
      </c>
    </row>
    <row r="557" spans="2:7" x14ac:dyDescent="0.55000000000000004">
      <c r="B557">
        <v>500</v>
      </c>
      <c r="C557" s="27">
        <v>212.04507650446143</v>
      </c>
      <c r="D557">
        <v>500</v>
      </c>
      <c r="E557" s="27">
        <v>16.901725042857962</v>
      </c>
      <c r="F557">
        <v>500</v>
      </c>
      <c r="G557" s="39">
        <v>297.34530036292745</v>
      </c>
    </row>
    <row r="558" spans="2:7" x14ac:dyDescent="0.55000000000000004">
      <c r="C558" s="27"/>
      <c r="E558" s="27"/>
      <c r="G558" s="39"/>
    </row>
    <row r="559" spans="2:7" x14ac:dyDescent="0.55000000000000004">
      <c r="C559" s="27"/>
      <c r="E559" s="27"/>
      <c r="G559" s="39"/>
    </row>
    <row r="560" spans="2:7" x14ac:dyDescent="0.55000000000000004">
      <c r="C560" s="27"/>
      <c r="E560" s="27"/>
      <c r="G560" s="39"/>
    </row>
    <row r="561" spans="3:7" x14ac:dyDescent="0.55000000000000004">
      <c r="C561" s="27"/>
      <c r="E561" s="27"/>
      <c r="G561" s="39"/>
    </row>
    <row r="562" spans="3:7" x14ac:dyDescent="0.55000000000000004">
      <c r="C562" s="27"/>
      <c r="E562" s="27"/>
      <c r="G562" s="39"/>
    </row>
    <row r="563" spans="3:7" x14ac:dyDescent="0.55000000000000004">
      <c r="C563" s="27"/>
      <c r="E563" s="27"/>
      <c r="G563" s="39"/>
    </row>
    <row r="564" spans="3:7" x14ac:dyDescent="0.55000000000000004">
      <c r="C564" s="27"/>
      <c r="E564" s="27"/>
      <c r="G564" s="39"/>
    </row>
    <row r="565" spans="3:7" x14ac:dyDescent="0.55000000000000004">
      <c r="C565" s="27"/>
      <c r="E565" s="27"/>
      <c r="G565" s="39"/>
    </row>
    <row r="566" spans="3:7" x14ac:dyDescent="0.55000000000000004">
      <c r="C566" s="27"/>
      <c r="E566" s="27"/>
      <c r="G566" s="39"/>
    </row>
    <row r="567" spans="3:7" x14ac:dyDescent="0.55000000000000004">
      <c r="C567" s="27"/>
      <c r="E567" s="27"/>
      <c r="G567" s="39"/>
    </row>
    <row r="568" spans="3:7" x14ac:dyDescent="0.55000000000000004">
      <c r="C568" s="27"/>
      <c r="E568" s="27"/>
      <c r="G568" s="39"/>
    </row>
    <row r="569" spans="3:7" x14ac:dyDescent="0.55000000000000004">
      <c r="C569" s="27"/>
      <c r="E569" s="27"/>
      <c r="G569" s="39"/>
    </row>
    <row r="570" spans="3:7" x14ac:dyDescent="0.55000000000000004">
      <c r="C570" s="27"/>
      <c r="E570" s="27"/>
      <c r="G570" s="39"/>
    </row>
    <row r="571" spans="3:7" x14ac:dyDescent="0.55000000000000004">
      <c r="C571" s="27"/>
      <c r="E571" s="27"/>
      <c r="G571" s="39"/>
    </row>
    <row r="572" spans="3:7" x14ac:dyDescent="0.55000000000000004">
      <c r="C572" s="27"/>
      <c r="E572" s="27"/>
      <c r="G572" s="39"/>
    </row>
    <row r="573" spans="3:7" x14ac:dyDescent="0.55000000000000004">
      <c r="C573" s="27"/>
      <c r="E573" s="27"/>
      <c r="G573" s="39"/>
    </row>
    <row r="574" spans="3:7" x14ac:dyDescent="0.55000000000000004">
      <c r="C574" s="27"/>
      <c r="E574" s="27"/>
      <c r="G574" s="39"/>
    </row>
    <row r="575" spans="3:7" x14ac:dyDescent="0.55000000000000004">
      <c r="C575" s="27"/>
      <c r="E575" s="27"/>
      <c r="G575" s="39"/>
    </row>
    <row r="576" spans="3:7" x14ac:dyDescent="0.55000000000000004">
      <c r="C576" s="27"/>
      <c r="E576" s="27"/>
      <c r="G576" s="39"/>
    </row>
    <row r="577" spans="3:7" x14ac:dyDescent="0.55000000000000004">
      <c r="C577" s="27"/>
      <c r="E577" s="27"/>
      <c r="G577" s="39"/>
    </row>
    <row r="578" spans="3:7" x14ac:dyDescent="0.55000000000000004">
      <c r="C578" s="27"/>
      <c r="E578" s="27"/>
      <c r="G578" s="39"/>
    </row>
    <row r="579" spans="3:7" x14ac:dyDescent="0.55000000000000004">
      <c r="C579" s="27"/>
      <c r="E579" s="27"/>
      <c r="G579" s="39"/>
    </row>
    <row r="580" spans="3:7" x14ac:dyDescent="0.55000000000000004">
      <c r="C580" s="27"/>
      <c r="E580" s="27"/>
      <c r="G580" s="39"/>
    </row>
    <row r="581" spans="3:7" x14ac:dyDescent="0.55000000000000004">
      <c r="C581" s="27"/>
      <c r="E581" s="27"/>
      <c r="G581" s="39"/>
    </row>
    <row r="582" spans="3:7" x14ac:dyDescent="0.55000000000000004">
      <c r="C582" s="27"/>
      <c r="E582" s="27"/>
      <c r="G582" s="39"/>
    </row>
    <row r="583" spans="3:7" x14ac:dyDescent="0.55000000000000004">
      <c r="C583" s="27"/>
      <c r="E583" s="27"/>
      <c r="G583" s="39"/>
    </row>
    <row r="584" spans="3:7" x14ac:dyDescent="0.55000000000000004">
      <c r="C584" s="27"/>
      <c r="E584" s="27"/>
      <c r="G584" s="39"/>
    </row>
    <row r="585" spans="3:7" x14ac:dyDescent="0.55000000000000004">
      <c r="C585" s="27"/>
      <c r="E585" s="27"/>
      <c r="G585" s="39"/>
    </row>
    <row r="586" spans="3:7" x14ac:dyDescent="0.55000000000000004">
      <c r="C586" s="27"/>
      <c r="E586" s="27"/>
      <c r="G586" s="39"/>
    </row>
    <row r="587" spans="3:7" x14ac:dyDescent="0.55000000000000004">
      <c r="C587" s="27"/>
      <c r="E587" s="27"/>
      <c r="G587" s="39"/>
    </row>
    <row r="588" spans="3:7" x14ac:dyDescent="0.55000000000000004">
      <c r="C588" s="27"/>
      <c r="E588" s="27"/>
      <c r="G588" s="39"/>
    </row>
    <row r="589" spans="3:7" x14ac:dyDescent="0.55000000000000004">
      <c r="C589" s="27"/>
      <c r="E589" s="27"/>
      <c r="G589" s="39"/>
    </row>
    <row r="590" spans="3:7" x14ac:dyDescent="0.55000000000000004">
      <c r="C590" s="27"/>
      <c r="E590" s="27"/>
      <c r="G590" s="39"/>
    </row>
    <row r="591" spans="3:7" x14ac:dyDescent="0.55000000000000004">
      <c r="C591" s="27"/>
      <c r="E591" s="27"/>
      <c r="G591" s="39"/>
    </row>
    <row r="592" spans="3:7" x14ac:dyDescent="0.55000000000000004">
      <c r="C592" s="27"/>
      <c r="E592" s="27"/>
      <c r="G592" s="39"/>
    </row>
    <row r="593" spans="3:7" x14ac:dyDescent="0.55000000000000004">
      <c r="C593" s="27"/>
      <c r="E593" s="27"/>
      <c r="G593" s="39"/>
    </row>
    <row r="594" spans="3:7" x14ac:dyDescent="0.55000000000000004">
      <c r="C594" s="27"/>
      <c r="E594" s="27"/>
      <c r="G594" s="39"/>
    </row>
    <row r="595" spans="3:7" x14ac:dyDescent="0.55000000000000004">
      <c r="C595" s="27"/>
      <c r="E595" s="27"/>
      <c r="G595" s="39"/>
    </row>
    <row r="596" spans="3:7" x14ac:dyDescent="0.55000000000000004">
      <c r="C596" s="27"/>
      <c r="E596" s="27"/>
      <c r="G596" s="39"/>
    </row>
    <row r="597" spans="3:7" x14ac:dyDescent="0.55000000000000004">
      <c r="C597" s="27"/>
      <c r="E597" s="27"/>
      <c r="G597" s="39"/>
    </row>
    <row r="598" spans="3:7" x14ac:dyDescent="0.55000000000000004">
      <c r="C598" s="27"/>
      <c r="E598" s="27"/>
      <c r="G598" s="39"/>
    </row>
    <row r="599" spans="3:7" x14ac:dyDescent="0.55000000000000004">
      <c r="C599" s="27"/>
      <c r="E599" s="27"/>
      <c r="G599" s="39"/>
    </row>
    <row r="600" spans="3:7" x14ac:dyDescent="0.55000000000000004">
      <c r="C600" s="27"/>
      <c r="E600" s="27"/>
      <c r="G600" s="39"/>
    </row>
    <row r="601" spans="3:7" x14ac:dyDescent="0.55000000000000004">
      <c r="C601" s="27"/>
      <c r="E601" s="27"/>
      <c r="G601" s="39"/>
    </row>
    <row r="602" spans="3:7" x14ac:dyDescent="0.55000000000000004">
      <c r="C602" s="27"/>
      <c r="E602" s="27"/>
      <c r="G602" s="39"/>
    </row>
    <row r="603" spans="3:7" x14ac:dyDescent="0.55000000000000004">
      <c r="C603" s="27"/>
      <c r="E603" s="27"/>
      <c r="G603" s="27"/>
    </row>
    <row r="604" spans="3:7" x14ac:dyDescent="0.55000000000000004">
      <c r="C604" s="27"/>
      <c r="E604" s="27"/>
      <c r="G604" s="27"/>
    </row>
    <row r="605" spans="3:7" x14ac:dyDescent="0.55000000000000004">
      <c r="C605" s="27"/>
      <c r="E605" s="27"/>
      <c r="G605" s="27"/>
    </row>
    <row r="606" spans="3:7" x14ac:dyDescent="0.55000000000000004">
      <c r="C606" s="27"/>
      <c r="E606" s="27"/>
      <c r="G606" s="27"/>
    </row>
    <row r="607" spans="3:7" x14ac:dyDescent="0.55000000000000004">
      <c r="C607" s="27"/>
      <c r="E607" s="27"/>
      <c r="G607" s="27"/>
    </row>
    <row r="608" spans="3:7" x14ac:dyDescent="0.55000000000000004">
      <c r="C608" s="27"/>
      <c r="E608" s="27"/>
      <c r="G608" s="27"/>
    </row>
    <row r="609" spans="3:7" x14ac:dyDescent="0.55000000000000004">
      <c r="C609" s="27"/>
      <c r="E609" s="27"/>
      <c r="G609" s="27"/>
    </row>
    <row r="610" spans="3:7" x14ac:dyDescent="0.55000000000000004">
      <c r="C610" s="27"/>
      <c r="E610" s="27"/>
      <c r="G610" s="27"/>
    </row>
    <row r="611" spans="3:7" x14ac:dyDescent="0.55000000000000004">
      <c r="C611" s="27"/>
      <c r="E611" s="27"/>
      <c r="G611" s="27"/>
    </row>
    <row r="612" spans="3:7" x14ac:dyDescent="0.55000000000000004">
      <c r="C612" s="27"/>
      <c r="E612" s="27"/>
      <c r="G612" s="27"/>
    </row>
    <row r="613" spans="3:7" x14ac:dyDescent="0.55000000000000004">
      <c r="C613" s="27"/>
      <c r="E613" s="27"/>
      <c r="G613" s="27"/>
    </row>
    <row r="614" spans="3:7" x14ac:dyDescent="0.55000000000000004">
      <c r="C614" s="27"/>
      <c r="E614" s="27"/>
      <c r="G614" s="27"/>
    </row>
    <row r="615" spans="3:7" x14ac:dyDescent="0.55000000000000004">
      <c r="C615" s="27"/>
      <c r="E615" s="27"/>
      <c r="G615" s="27"/>
    </row>
    <row r="616" spans="3:7" x14ac:dyDescent="0.55000000000000004">
      <c r="C616" s="27"/>
      <c r="E616" s="27"/>
      <c r="G616" s="27"/>
    </row>
    <row r="617" spans="3:7" x14ac:dyDescent="0.55000000000000004">
      <c r="C617" s="27"/>
      <c r="E617" s="27"/>
      <c r="G617" s="27"/>
    </row>
    <row r="618" spans="3:7" x14ac:dyDescent="0.55000000000000004">
      <c r="C618" s="27"/>
      <c r="E618" s="27"/>
      <c r="G618" s="27"/>
    </row>
    <row r="619" spans="3:7" x14ac:dyDescent="0.55000000000000004">
      <c r="C619" s="27"/>
      <c r="E619" s="27"/>
      <c r="G619" s="27"/>
    </row>
    <row r="620" spans="3:7" x14ac:dyDescent="0.55000000000000004">
      <c r="C620" s="27"/>
      <c r="E620" s="27"/>
      <c r="G620" s="27"/>
    </row>
    <row r="621" spans="3:7" x14ac:dyDescent="0.55000000000000004">
      <c r="C621" s="27"/>
      <c r="E621" s="27"/>
      <c r="G621" s="27"/>
    </row>
    <row r="622" spans="3:7" x14ac:dyDescent="0.55000000000000004">
      <c r="C622" s="27"/>
      <c r="E622" s="27"/>
      <c r="G622" s="27"/>
    </row>
    <row r="623" spans="3:7" x14ac:dyDescent="0.55000000000000004">
      <c r="C623" s="27"/>
      <c r="E623" s="27"/>
      <c r="G623" s="27"/>
    </row>
    <row r="624" spans="3:7" x14ac:dyDescent="0.55000000000000004">
      <c r="C624" s="27"/>
      <c r="E624" s="27"/>
      <c r="G624" s="27"/>
    </row>
    <row r="625" spans="3:7" x14ac:dyDescent="0.55000000000000004">
      <c r="C625" s="27"/>
      <c r="E625" s="27"/>
      <c r="G625" s="27"/>
    </row>
    <row r="626" spans="3:7" x14ac:dyDescent="0.55000000000000004">
      <c r="C626" s="27"/>
      <c r="E626" s="27"/>
      <c r="G626" s="27"/>
    </row>
    <row r="627" spans="3:7" x14ac:dyDescent="0.55000000000000004">
      <c r="C627" s="27"/>
      <c r="E627" s="27"/>
      <c r="G627" s="27"/>
    </row>
    <row r="628" spans="3:7" x14ac:dyDescent="0.55000000000000004">
      <c r="C628" s="27"/>
      <c r="E628" s="27"/>
      <c r="G628" s="27"/>
    </row>
    <row r="629" spans="3:7" x14ac:dyDescent="0.55000000000000004">
      <c r="C629" s="27"/>
      <c r="E629" s="27"/>
      <c r="G629" s="27"/>
    </row>
    <row r="630" spans="3:7" x14ac:dyDescent="0.55000000000000004">
      <c r="C630" s="27"/>
      <c r="E630" s="27"/>
      <c r="G630" s="27"/>
    </row>
    <row r="631" spans="3:7" x14ac:dyDescent="0.55000000000000004">
      <c r="C631" s="27"/>
      <c r="E631" s="27"/>
      <c r="G631" s="27"/>
    </row>
    <row r="632" spans="3:7" x14ac:dyDescent="0.55000000000000004">
      <c r="C632" s="27"/>
      <c r="E632" s="27"/>
      <c r="G632" s="27"/>
    </row>
    <row r="633" spans="3:7" x14ac:dyDescent="0.55000000000000004">
      <c r="C633" s="27"/>
      <c r="E633" s="27"/>
      <c r="G633" s="27"/>
    </row>
    <row r="634" spans="3:7" x14ac:dyDescent="0.55000000000000004">
      <c r="C634" s="27"/>
      <c r="E634" s="27"/>
      <c r="G634" s="27"/>
    </row>
    <row r="635" spans="3:7" x14ac:dyDescent="0.55000000000000004">
      <c r="C635" s="27"/>
      <c r="E635" s="27"/>
      <c r="G635" s="27"/>
    </row>
    <row r="636" spans="3:7" x14ac:dyDescent="0.55000000000000004">
      <c r="C636" s="27"/>
      <c r="E636" s="27"/>
      <c r="G636" s="27"/>
    </row>
    <row r="637" spans="3:7" x14ac:dyDescent="0.55000000000000004">
      <c r="C637" s="27"/>
      <c r="E637" s="27"/>
      <c r="G637" s="27"/>
    </row>
    <row r="638" spans="3:7" x14ac:dyDescent="0.55000000000000004">
      <c r="C638" s="27"/>
      <c r="E638" s="27"/>
      <c r="G638" s="27"/>
    </row>
    <row r="639" spans="3:7" x14ac:dyDescent="0.55000000000000004">
      <c r="C639" s="27"/>
      <c r="E639" s="27"/>
      <c r="G639" s="27"/>
    </row>
    <row r="640" spans="3:7" x14ac:dyDescent="0.55000000000000004">
      <c r="C640" s="27"/>
      <c r="E640" s="27"/>
      <c r="G640" s="27"/>
    </row>
    <row r="641" spans="3:7" x14ac:dyDescent="0.55000000000000004">
      <c r="C641" s="27"/>
      <c r="E641" s="27"/>
      <c r="G641" s="27"/>
    </row>
    <row r="642" spans="3:7" x14ac:dyDescent="0.55000000000000004">
      <c r="C642" s="27"/>
      <c r="E642" s="27"/>
      <c r="G642" s="27"/>
    </row>
    <row r="643" spans="3:7" x14ac:dyDescent="0.55000000000000004">
      <c r="C643" s="27"/>
      <c r="E643" s="27"/>
      <c r="G643" s="27"/>
    </row>
    <row r="644" spans="3:7" x14ac:dyDescent="0.55000000000000004">
      <c r="C644" s="27"/>
      <c r="E644" s="27"/>
      <c r="G644" s="27"/>
    </row>
    <row r="645" spans="3:7" x14ac:dyDescent="0.55000000000000004">
      <c r="C645" s="27"/>
      <c r="E645" s="27"/>
      <c r="G645" s="27"/>
    </row>
    <row r="646" spans="3:7" x14ac:dyDescent="0.55000000000000004">
      <c r="C646" s="27"/>
      <c r="E646" s="27"/>
      <c r="G646" s="27"/>
    </row>
    <row r="647" spans="3:7" x14ac:dyDescent="0.55000000000000004">
      <c r="C647" s="27"/>
      <c r="E647" s="27"/>
      <c r="G647" s="27"/>
    </row>
    <row r="648" spans="3:7" x14ac:dyDescent="0.55000000000000004">
      <c r="C648" s="27"/>
      <c r="E648" s="27"/>
      <c r="G648" s="27"/>
    </row>
    <row r="649" spans="3:7" x14ac:dyDescent="0.55000000000000004">
      <c r="C649" s="27"/>
      <c r="E649" s="27"/>
      <c r="G649" s="27"/>
    </row>
    <row r="650" spans="3:7" x14ac:dyDescent="0.55000000000000004">
      <c r="C650" s="27"/>
      <c r="E650" s="27"/>
      <c r="G650" s="27"/>
    </row>
    <row r="651" spans="3:7" x14ac:dyDescent="0.55000000000000004">
      <c r="C651" s="27"/>
      <c r="E651" s="27"/>
      <c r="G651" s="27"/>
    </row>
    <row r="652" spans="3:7" x14ac:dyDescent="0.55000000000000004">
      <c r="C652" s="27"/>
      <c r="E652" s="27"/>
      <c r="G652" s="27"/>
    </row>
    <row r="653" spans="3:7" x14ac:dyDescent="0.55000000000000004">
      <c r="C653" s="27"/>
      <c r="E653" s="27"/>
      <c r="G653" s="27"/>
    </row>
    <row r="654" spans="3:7" x14ac:dyDescent="0.55000000000000004">
      <c r="C654" s="27"/>
      <c r="E654" s="27"/>
      <c r="G654" s="27"/>
    </row>
    <row r="655" spans="3:7" x14ac:dyDescent="0.55000000000000004">
      <c r="C655" s="27"/>
      <c r="E655" s="27"/>
      <c r="G655" s="27"/>
    </row>
    <row r="656" spans="3:7" x14ac:dyDescent="0.55000000000000004">
      <c r="C656" s="27"/>
      <c r="E656" s="27"/>
      <c r="G656" s="27"/>
    </row>
    <row r="657" spans="3:7" x14ac:dyDescent="0.55000000000000004">
      <c r="C657" s="27"/>
      <c r="E657" s="27"/>
      <c r="G657" s="27"/>
    </row>
    <row r="658" spans="3:7" x14ac:dyDescent="0.55000000000000004">
      <c r="C658" s="27"/>
      <c r="E658" s="27"/>
      <c r="G658" s="27"/>
    </row>
    <row r="659" spans="3:7" x14ac:dyDescent="0.55000000000000004">
      <c r="C659" s="27"/>
      <c r="E659" s="27"/>
      <c r="G659" s="27"/>
    </row>
    <row r="660" spans="3:7" x14ac:dyDescent="0.55000000000000004">
      <c r="C660" s="27"/>
      <c r="E660" s="27"/>
      <c r="G660" s="27"/>
    </row>
    <row r="661" spans="3:7" x14ac:dyDescent="0.55000000000000004">
      <c r="C661" s="27"/>
      <c r="E661" s="27"/>
      <c r="G661" s="27"/>
    </row>
    <row r="662" spans="3:7" x14ac:dyDescent="0.55000000000000004">
      <c r="C662" s="27"/>
      <c r="E662" s="27"/>
      <c r="G662" s="27"/>
    </row>
    <row r="663" spans="3:7" x14ac:dyDescent="0.55000000000000004">
      <c r="C663" s="27"/>
      <c r="E663" s="27"/>
      <c r="G663" s="27"/>
    </row>
    <row r="664" spans="3:7" x14ac:dyDescent="0.55000000000000004">
      <c r="C664" s="27"/>
      <c r="E664" s="27"/>
      <c r="G664" s="27"/>
    </row>
    <row r="665" spans="3:7" x14ac:dyDescent="0.55000000000000004">
      <c r="C665" s="27"/>
      <c r="E665" s="27"/>
      <c r="G665" s="27"/>
    </row>
    <row r="666" spans="3:7" x14ac:dyDescent="0.55000000000000004">
      <c r="C666" s="27"/>
      <c r="E666" s="27"/>
      <c r="G666" s="27"/>
    </row>
    <row r="667" spans="3:7" x14ac:dyDescent="0.55000000000000004">
      <c r="C667" s="27"/>
      <c r="E667" s="27"/>
      <c r="G667" s="27"/>
    </row>
    <row r="668" spans="3:7" x14ac:dyDescent="0.55000000000000004">
      <c r="C668" s="27"/>
      <c r="E668" s="27"/>
      <c r="G668" s="27"/>
    </row>
    <row r="669" spans="3:7" x14ac:dyDescent="0.55000000000000004">
      <c r="C669" s="27"/>
      <c r="E669" s="27"/>
      <c r="G669" s="27"/>
    </row>
    <row r="670" spans="3:7" x14ac:dyDescent="0.55000000000000004">
      <c r="C670" s="27"/>
      <c r="E670" s="27"/>
      <c r="G670" s="27"/>
    </row>
    <row r="671" spans="3:7" x14ac:dyDescent="0.55000000000000004">
      <c r="C671" s="27"/>
      <c r="E671" s="27"/>
      <c r="G671" s="27"/>
    </row>
    <row r="672" spans="3:7" x14ac:dyDescent="0.55000000000000004">
      <c r="C672" s="27"/>
      <c r="E672" s="27"/>
      <c r="G672" s="27"/>
    </row>
    <row r="673" spans="3:7" x14ac:dyDescent="0.55000000000000004">
      <c r="C673" s="27"/>
      <c r="E673" s="27"/>
      <c r="G673" s="27"/>
    </row>
    <row r="674" spans="3:7" x14ac:dyDescent="0.55000000000000004">
      <c r="C674" s="27"/>
      <c r="E674" s="27"/>
      <c r="G674" s="27"/>
    </row>
    <row r="675" spans="3:7" x14ac:dyDescent="0.55000000000000004">
      <c r="C675" s="27"/>
      <c r="E675" s="27"/>
      <c r="G675" s="27"/>
    </row>
    <row r="676" spans="3:7" x14ac:dyDescent="0.55000000000000004">
      <c r="C676" s="27"/>
      <c r="E676" s="27"/>
      <c r="G676" s="27"/>
    </row>
    <row r="677" spans="3:7" x14ac:dyDescent="0.55000000000000004">
      <c r="C677" s="27"/>
      <c r="E677" s="27"/>
      <c r="G677" s="27"/>
    </row>
    <row r="678" spans="3:7" x14ac:dyDescent="0.55000000000000004">
      <c r="C678" s="27"/>
      <c r="E678" s="27"/>
      <c r="G678" s="27"/>
    </row>
    <row r="679" spans="3:7" x14ac:dyDescent="0.55000000000000004">
      <c r="C679" s="27"/>
      <c r="E679" s="27"/>
      <c r="G679" s="27"/>
    </row>
    <row r="680" spans="3:7" x14ac:dyDescent="0.55000000000000004">
      <c r="C680" s="27"/>
      <c r="E680" s="27"/>
      <c r="G680" s="27"/>
    </row>
    <row r="681" spans="3:7" x14ac:dyDescent="0.55000000000000004">
      <c r="C681" s="27"/>
      <c r="E681" s="27"/>
      <c r="G681" s="27"/>
    </row>
    <row r="682" spans="3:7" x14ac:dyDescent="0.55000000000000004">
      <c r="C682" s="27"/>
      <c r="E682" s="27"/>
      <c r="G682" s="27"/>
    </row>
    <row r="683" spans="3:7" x14ac:dyDescent="0.55000000000000004">
      <c r="C683" s="27"/>
      <c r="E683" s="27"/>
      <c r="G683" s="27"/>
    </row>
    <row r="684" spans="3:7" x14ac:dyDescent="0.55000000000000004">
      <c r="C684" s="27"/>
      <c r="E684" s="27"/>
      <c r="G684" s="27"/>
    </row>
    <row r="685" spans="3:7" x14ac:dyDescent="0.55000000000000004">
      <c r="C685" s="27"/>
      <c r="E685" s="27"/>
      <c r="G685" s="27"/>
    </row>
    <row r="686" spans="3:7" x14ac:dyDescent="0.55000000000000004">
      <c r="C686" s="27"/>
      <c r="E686" s="27"/>
      <c r="G686" s="27"/>
    </row>
    <row r="687" spans="3:7" x14ac:dyDescent="0.55000000000000004">
      <c r="C687" s="27"/>
      <c r="E687" s="27"/>
      <c r="G687" s="27"/>
    </row>
    <row r="688" spans="3:7" x14ac:dyDescent="0.55000000000000004">
      <c r="C688" s="27"/>
      <c r="E688" s="27"/>
      <c r="G688" s="27"/>
    </row>
    <row r="689" spans="3:7" x14ac:dyDescent="0.55000000000000004">
      <c r="C689" s="27"/>
      <c r="E689" s="27"/>
      <c r="G689" s="27"/>
    </row>
    <row r="690" spans="3:7" x14ac:dyDescent="0.55000000000000004">
      <c r="C690" s="27"/>
      <c r="E690" s="27"/>
      <c r="G690" s="27"/>
    </row>
    <row r="691" spans="3:7" x14ac:dyDescent="0.55000000000000004">
      <c r="C691" s="27"/>
      <c r="E691" s="27"/>
      <c r="G691" s="27"/>
    </row>
    <row r="692" spans="3:7" x14ac:dyDescent="0.55000000000000004">
      <c r="C692" s="27"/>
      <c r="E692" s="27"/>
      <c r="G692" s="27"/>
    </row>
    <row r="693" spans="3:7" x14ac:dyDescent="0.55000000000000004">
      <c r="C693" s="27"/>
      <c r="E693" s="27"/>
      <c r="G693" s="27"/>
    </row>
    <row r="694" spans="3:7" x14ac:dyDescent="0.55000000000000004">
      <c r="C694" s="27"/>
      <c r="E694" s="27"/>
      <c r="G694" s="27"/>
    </row>
    <row r="695" spans="3:7" x14ac:dyDescent="0.55000000000000004">
      <c r="C695" s="27"/>
      <c r="E695" s="27"/>
      <c r="G695" s="27"/>
    </row>
    <row r="696" spans="3:7" x14ac:dyDescent="0.55000000000000004">
      <c r="C696" s="27"/>
      <c r="E696" s="27"/>
      <c r="G696" s="27"/>
    </row>
    <row r="697" spans="3:7" x14ac:dyDescent="0.55000000000000004">
      <c r="C697" s="27"/>
      <c r="E697" s="27"/>
      <c r="G697" s="27"/>
    </row>
    <row r="698" spans="3:7" x14ac:dyDescent="0.55000000000000004">
      <c r="C698" s="27"/>
      <c r="E698" s="27"/>
      <c r="G698" s="27"/>
    </row>
    <row r="699" spans="3:7" x14ac:dyDescent="0.55000000000000004">
      <c r="C699" s="27"/>
      <c r="E699" s="27"/>
      <c r="G699" s="27"/>
    </row>
    <row r="700" spans="3:7" x14ac:dyDescent="0.55000000000000004">
      <c r="C700" s="27"/>
      <c r="E700" s="27"/>
      <c r="G700" s="27"/>
    </row>
    <row r="701" spans="3:7" x14ac:dyDescent="0.55000000000000004">
      <c r="C701" s="27"/>
      <c r="E701" s="27"/>
      <c r="G701" s="27"/>
    </row>
    <row r="702" spans="3:7" x14ac:dyDescent="0.55000000000000004">
      <c r="C702" s="27"/>
      <c r="E702" s="27"/>
      <c r="G702" s="27"/>
    </row>
    <row r="703" spans="3:7" x14ac:dyDescent="0.55000000000000004">
      <c r="C703" s="27"/>
      <c r="E703" s="27"/>
      <c r="G703" s="27"/>
    </row>
    <row r="704" spans="3:7" x14ac:dyDescent="0.55000000000000004">
      <c r="C704" s="27"/>
      <c r="E704" s="27"/>
      <c r="G704" s="27"/>
    </row>
    <row r="705" spans="3:7" x14ac:dyDescent="0.55000000000000004">
      <c r="C705" s="27"/>
      <c r="E705" s="27"/>
      <c r="G705" s="27"/>
    </row>
    <row r="706" spans="3:7" x14ac:dyDescent="0.55000000000000004">
      <c r="C706" s="27"/>
      <c r="E706" s="27"/>
      <c r="G706" s="27"/>
    </row>
    <row r="707" spans="3:7" x14ac:dyDescent="0.55000000000000004">
      <c r="C707" s="27"/>
      <c r="E707" s="27"/>
      <c r="G707" s="27"/>
    </row>
    <row r="708" spans="3:7" x14ac:dyDescent="0.55000000000000004">
      <c r="C708" s="27"/>
      <c r="E708" s="27"/>
      <c r="G708" s="27"/>
    </row>
    <row r="709" spans="3:7" x14ac:dyDescent="0.55000000000000004">
      <c r="C709" s="27"/>
      <c r="E709" s="27"/>
      <c r="G709" s="27"/>
    </row>
    <row r="710" spans="3:7" x14ac:dyDescent="0.55000000000000004">
      <c r="C710" s="27"/>
      <c r="E710" s="27"/>
      <c r="G710" s="27"/>
    </row>
    <row r="711" spans="3:7" x14ac:dyDescent="0.55000000000000004">
      <c r="C711" s="27"/>
      <c r="E711" s="27"/>
      <c r="G711" s="27"/>
    </row>
    <row r="712" spans="3:7" x14ac:dyDescent="0.55000000000000004">
      <c r="C712" s="27"/>
      <c r="E712" s="27"/>
      <c r="G712" s="27"/>
    </row>
    <row r="713" spans="3:7" x14ac:dyDescent="0.55000000000000004">
      <c r="C713" s="27"/>
      <c r="E713" s="27"/>
      <c r="G713" s="27"/>
    </row>
    <row r="714" spans="3:7" x14ac:dyDescent="0.55000000000000004">
      <c r="C714" s="27"/>
      <c r="E714" s="27"/>
      <c r="G714" s="27"/>
    </row>
    <row r="715" spans="3:7" x14ac:dyDescent="0.55000000000000004">
      <c r="C715" s="27"/>
      <c r="E715" s="27"/>
      <c r="G715" s="27"/>
    </row>
    <row r="716" spans="3:7" x14ac:dyDescent="0.55000000000000004">
      <c r="C716" s="27"/>
      <c r="E716" s="27"/>
      <c r="G716" s="27"/>
    </row>
    <row r="717" spans="3:7" x14ac:dyDescent="0.55000000000000004">
      <c r="C717" s="27"/>
      <c r="E717" s="27"/>
      <c r="G717" s="27"/>
    </row>
    <row r="718" spans="3:7" x14ac:dyDescent="0.55000000000000004">
      <c r="C718" s="27"/>
      <c r="E718" s="27"/>
      <c r="G718" s="27"/>
    </row>
    <row r="719" spans="3:7" x14ac:dyDescent="0.55000000000000004">
      <c r="C719" s="27"/>
      <c r="E719" s="27"/>
      <c r="G719" s="27"/>
    </row>
    <row r="720" spans="3:7" x14ac:dyDescent="0.55000000000000004">
      <c r="C720" s="27"/>
      <c r="E720" s="27"/>
      <c r="G720" s="27"/>
    </row>
    <row r="721" spans="3:7" x14ac:dyDescent="0.55000000000000004">
      <c r="C721" s="27"/>
      <c r="E721" s="27"/>
      <c r="G721" s="27"/>
    </row>
    <row r="722" spans="3:7" x14ac:dyDescent="0.55000000000000004">
      <c r="C722" s="27"/>
      <c r="E722" s="27"/>
      <c r="G722" s="27"/>
    </row>
    <row r="723" spans="3:7" x14ac:dyDescent="0.55000000000000004">
      <c r="C723" s="27"/>
      <c r="E723" s="27"/>
      <c r="G723" s="27"/>
    </row>
    <row r="724" spans="3:7" x14ac:dyDescent="0.55000000000000004">
      <c r="C724" s="27"/>
      <c r="E724" s="27"/>
      <c r="G724" s="27"/>
    </row>
    <row r="725" spans="3:7" x14ac:dyDescent="0.55000000000000004">
      <c r="C725" s="27"/>
      <c r="E725" s="27"/>
      <c r="G725" s="27"/>
    </row>
    <row r="726" spans="3:7" x14ac:dyDescent="0.55000000000000004">
      <c r="C726" s="27"/>
      <c r="E726" s="27"/>
      <c r="G726" s="27"/>
    </row>
    <row r="727" spans="3:7" x14ac:dyDescent="0.55000000000000004">
      <c r="C727" s="27"/>
      <c r="E727" s="27"/>
      <c r="G727" s="27"/>
    </row>
    <row r="728" spans="3:7" x14ac:dyDescent="0.55000000000000004">
      <c r="C728" s="27"/>
      <c r="E728" s="27"/>
      <c r="G728" s="27"/>
    </row>
    <row r="729" spans="3:7" x14ac:dyDescent="0.55000000000000004">
      <c r="C729" s="27"/>
      <c r="E729" s="27"/>
      <c r="G729" s="27"/>
    </row>
    <row r="730" spans="3:7" x14ac:dyDescent="0.55000000000000004">
      <c r="C730" s="27"/>
      <c r="E730" s="27"/>
      <c r="G730" s="27"/>
    </row>
    <row r="731" spans="3:7" x14ac:dyDescent="0.55000000000000004">
      <c r="C731" s="27"/>
      <c r="E731" s="27"/>
      <c r="G731" s="27"/>
    </row>
    <row r="732" spans="3:7" x14ac:dyDescent="0.55000000000000004">
      <c r="C732" s="27"/>
      <c r="E732" s="27"/>
      <c r="G732" s="27"/>
    </row>
    <row r="733" spans="3:7" x14ac:dyDescent="0.55000000000000004">
      <c r="C733" s="27"/>
      <c r="E733" s="27"/>
      <c r="G733" s="27"/>
    </row>
    <row r="734" spans="3:7" x14ac:dyDescent="0.55000000000000004">
      <c r="C734" s="27"/>
      <c r="E734" s="27"/>
      <c r="G734" s="27"/>
    </row>
    <row r="735" spans="3:7" x14ac:dyDescent="0.55000000000000004">
      <c r="C735" s="27"/>
      <c r="E735" s="27"/>
      <c r="G735" s="27"/>
    </row>
    <row r="736" spans="3:7" x14ac:dyDescent="0.55000000000000004">
      <c r="C736" s="27"/>
      <c r="E736" s="27"/>
      <c r="G736" s="27"/>
    </row>
    <row r="737" spans="3:7" x14ac:dyDescent="0.55000000000000004">
      <c r="C737" s="27"/>
      <c r="E737" s="27"/>
      <c r="G737" s="27"/>
    </row>
    <row r="738" spans="3:7" x14ac:dyDescent="0.55000000000000004">
      <c r="C738" s="27"/>
      <c r="E738" s="27"/>
      <c r="G738" s="27"/>
    </row>
    <row r="739" spans="3:7" x14ac:dyDescent="0.55000000000000004">
      <c r="C739" s="27"/>
      <c r="E739" s="27"/>
      <c r="G739" s="27"/>
    </row>
    <row r="740" spans="3:7" x14ac:dyDescent="0.55000000000000004">
      <c r="C740" s="27"/>
      <c r="E740" s="27"/>
      <c r="G740" s="27"/>
    </row>
    <row r="741" spans="3:7" x14ac:dyDescent="0.55000000000000004">
      <c r="C741" s="27"/>
      <c r="E741" s="27"/>
      <c r="G741" s="27"/>
    </row>
    <row r="742" spans="3:7" x14ac:dyDescent="0.55000000000000004">
      <c r="C742" s="27"/>
      <c r="E742" s="27"/>
      <c r="G742" s="27"/>
    </row>
    <row r="743" spans="3:7" x14ac:dyDescent="0.55000000000000004">
      <c r="C743" s="27"/>
      <c r="E743" s="27"/>
      <c r="G743" s="27"/>
    </row>
    <row r="744" spans="3:7" x14ac:dyDescent="0.55000000000000004">
      <c r="C744" s="27"/>
      <c r="E744" s="27"/>
      <c r="G744" s="27"/>
    </row>
    <row r="745" spans="3:7" x14ac:dyDescent="0.55000000000000004">
      <c r="C745" s="27"/>
      <c r="E745" s="27"/>
      <c r="G745" s="27"/>
    </row>
    <row r="746" spans="3:7" x14ac:dyDescent="0.55000000000000004">
      <c r="C746" s="27"/>
      <c r="E746" s="27"/>
      <c r="G746" s="27"/>
    </row>
    <row r="747" spans="3:7" x14ac:dyDescent="0.55000000000000004">
      <c r="C747" s="27"/>
      <c r="E747" s="27"/>
      <c r="G747" s="27"/>
    </row>
    <row r="748" spans="3:7" x14ac:dyDescent="0.55000000000000004">
      <c r="C748" s="27"/>
      <c r="E748" s="27"/>
      <c r="G748" s="27"/>
    </row>
    <row r="749" spans="3:7" x14ac:dyDescent="0.55000000000000004">
      <c r="C749" s="27"/>
      <c r="E749" s="27"/>
      <c r="G749" s="27"/>
    </row>
    <row r="750" spans="3:7" x14ac:dyDescent="0.55000000000000004">
      <c r="C750" s="27"/>
      <c r="E750" s="27"/>
      <c r="G750" s="27"/>
    </row>
    <row r="751" spans="3:7" x14ac:dyDescent="0.55000000000000004">
      <c r="C751" s="27"/>
      <c r="E751" s="27"/>
      <c r="G751" s="27"/>
    </row>
    <row r="752" spans="3:7" x14ac:dyDescent="0.55000000000000004">
      <c r="C752" s="27"/>
      <c r="E752" s="27"/>
      <c r="G752" s="27"/>
    </row>
    <row r="753" spans="3:7" x14ac:dyDescent="0.55000000000000004">
      <c r="C753" s="27"/>
      <c r="E753" s="27"/>
      <c r="G753" s="27"/>
    </row>
    <row r="754" spans="3:7" x14ac:dyDescent="0.55000000000000004">
      <c r="C754" s="27"/>
      <c r="E754" s="27"/>
      <c r="G754" s="27"/>
    </row>
    <row r="755" spans="3:7" x14ac:dyDescent="0.55000000000000004">
      <c r="C755" s="27"/>
      <c r="E755" s="27"/>
      <c r="G755" s="27"/>
    </row>
    <row r="756" spans="3:7" x14ac:dyDescent="0.55000000000000004">
      <c r="C756" s="27"/>
      <c r="E756" s="27"/>
      <c r="G756" s="27"/>
    </row>
    <row r="757" spans="3:7" x14ac:dyDescent="0.55000000000000004">
      <c r="C757" s="27"/>
      <c r="E757" s="27"/>
      <c r="G757" s="27"/>
    </row>
    <row r="758" spans="3:7" x14ac:dyDescent="0.55000000000000004">
      <c r="C758" s="27"/>
      <c r="E758" s="27"/>
      <c r="G758" s="27"/>
    </row>
    <row r="759" spans="3:7" x14ac:dyDescent="0.55000000000000004">
      <c r="C759" s="27"/>
      <c r="E759" s="27"/>
      <c r="G759" s="27"/>
    </row>
    <row r="760" spans="3:7" x14ac:dyDescent="0.55000000000000004">
      <c r="C760" s="27"/>
      <c r="E760" s="27"/>
      <c r="G760" s="27"/>
    </row>
    <row r="761" spans="3:7" x14ac:dyDescent="0.55000000000000004">
      <c r="C761" s="27"/>
      <c r="E761" s="27"/>
      <c r="G761" s="27"/>
    </row>
    <row r="762" spans="3:7" x14ac:dyDescent="0.55000000000000004">
      <c r="C762" s="27"/>
      <c r="E762" s="27"/>
      <c r="G762" s="27"/>
    </row>
    <row r="763" spans="3:7" x14ac:dyDescent="0.55000000000000004">
      <c r="C763" s="27"/>
      <c r="E763" s="27"/>
      <c r="G763" s="27"/>
    </row>
    <row r="764" spans="3:7" x14ac:dyDescent="0.55000000000000004">
      <c r="C764" s="27"/>
      <c r="E764" s="27"/>
      <c r="G764" s="27"/>
    </row>
    <row r="765" spans="3:7" x14ac:dyDescent="0.55000000000000004">
      <c r="C765" s="27"/>
      <c r="E765" s="27"/>
      <c r="G765" s="27"/>
    </row>
    <row r="766" spans="3:7" x14ac:dyDescent="0.55000000000000004">
      <c r="C766" s="27"/>
      <c r="E766" s="27"/>
      <c r="G766" s="27"/>
    </row>
    <row r="767" spans="3:7" x14ac:dyDescent="0.55000000000000004">
      <c r="C767" s="27"/>
      <c r="E767" s="27"/>
      <c r="G767" s="27"/>
    </row>
    <row r="768" spans="3:7" x14ac:dyDescent="0.55000000000000004">
      <c r="C768" s="27"/>
      <c r="E768" s="27"/>
      <c r="G768" s="27"/>
    </row>
    <row r="769" spans="3:7" x14ac:dyDescent="0.55000000000000004">
      <c r="C769" s="27"/>
      <c r="E769" s="27"/>
      <c r="G769" s="27"/>
    </row>
    <row r="770" spans="3:7" x14ac:dyDescent="0.55000000000000004">
      <c r="C770" s="27"/>
      <c r="E770" s="27"/>
      <c r="G770" s="27"/>
    </row>
    <row r="771" spans="3:7" x14ac:dyDescent="0.55000000000000004">
      <c r="C771" s="27"/>
      <c r="E771" s="27"/>
      <c r="G771" s="27"/>
    </row>
    <row r="772" spans="3:7" x14ac:dyDescent="0.55000000000000004">
      <c r="C772" s="27"/>
      <c r="E772" s="27"/>
      <c r="G772" s="27"/>
    </row>
    <row r="773" spans="3:7" x14ac:dyDescent="0.55000000000000004">
      <c r="C773" s="27"/>
      <c r="E773" s="27"/>
      <c r="G773" s="27"/>
    </row>
    <row r="774" spans="3:7" x14ac:dyDescent="0.55000000000000004">
      <c r="C774" s="27"/>
      <c r="E774" s="27"/>
      <c r="G774" s="27"/>
    </row>
    <row r="775" spans="3:7" x14ac:dyDescent="0.55000000000000004">
      <c r="C775" s="27"/>
      <c r="E775" s="27"/>
      <c r="G775" s="27"/>
    </row>
    <row r="776" spans="3:7" x14ac:dyDescent="0.55000000000000004">
      <c r="C776" s="27"/>
      <c r="E776" s="27"/>
      <c r="G776" s="27"/>
    </row>
    <row r="777" spans="3:7" x14ac:dyDescent="0.55000000000000004">
      <c r="C777" s="27"/>
      <c r="E777" s="27"/>
      <c r="G777" s="27"/>
    </row>
    <row r="778" spans="3:7" x14ac:dyDescent="0.55000000000000004">
      <c r="C778" s="27"/>
      <c r="E778" s="27"/>
      <c r="G778" s="27"/>
    </row>
    <row r="779" spans="3:7" x14ac:dyDescent="0.55000000000000004">
      <c r="C779" s="27"/>
      <c r="E779" s="27"/>
      <c r="G779" s="27"/>
    </row>
    <row r="780" spans="3:7" x14ac:dyDescent="0.55000000000000004">
      <c r="C780" s="27"/>
      <c r="E780" s="27"/>
      <c r="G780" s="27"/>
    </row>
    <row r="781" spans="3:7" x14ac:dyDescent="0.55000000000000004">
      <c r="C781" s="27"/>
      <c r="E781" s="27"/>
      <c r="G781" s="27"/>
    </row>
    <row r="782" spans="3:7" x14ac:dyDescent="0.55000000000000004">
      <c r="C782" s="27"/>
      <c r="E782" s="27"/>
      <c r="G782" s="27"/>
    </row>
    <row r="783" spans="3:7" x14ac:dyDescent="0.55000000000000004">
      <c r="C783" s="27"/>
      <c r="E783" s="27"/>
      <c r="G783" s="27"/>
    </row>
    <row r="784" spans="3:7" x14ac:dyDescent="0.55000000000000004">
      <c r="C784" s="27"/>
      <c r="E784" s="27"/>
      <c r="G784" s="27"/>
    </row>
    <row r="785" spans="3:7" x14ac:dyDescent="0.55000000000000004">
      <c r="C785" s="27"/>
      <c r="E785" s="27"/>
      <c r="G785" s="27"/>
    </row>
    <row r="786" spans="3:7" x14ac:dyDescent="0.55000000000000004">
      <c r="C786" s="27"/>
      <c r="E786" s="27"/>
      <c r="G786" s="27"/>
    </row>
    <row r="787" spans="3:7" x14ac:dyDescent="0.55000000000000004">
      <c r="C787" s="27"/>
      <c r="E787" s="27"/>
      <c r="G787" s="27"/>
    </row>
    <row r="788" spans="3:7" x14ac:dyDescent="0.55000000000000004">
      <c r="C788" s="27"/>
      <c r="E788" s="27"/>
      <c r="G788" s="27"/>
    </row>
    <row r="789" spans="3:7" x14ac:dyDescent="0.55000000000000004">
      <c r="C789" s="27"/>
      <c r="E789" s="27"/>
      <c r="G789" s="27"/>
    </row>
    <row r="790" spans="3:7" x14ac:dyDescent="0.55000000000000004">
      <c r="C790" s="27"/>
      <c r="E790" s="27"/>
      <c r="G790" s="27"/>
    </row>
    <row r="791" spans="3:7" x14ac:dyDescent="0.55000000000000004">
      <c r="C791" s="27"/>
      <c r="E791" s="27"/>
      <c r="G791" s="27"/>
    </row>
    <row r="792" spans="3:7" x14ac:dyDescent="0.55000000000000004">
      <c r="C792" s="27"/>
      <c r="E792" s="27"/>
      <c r="G792" s="27"/>
    </row>
    <row r="793" spans="3:7" x14ac:dyDescent="0.55000000000000004">
      <c r="C793" s="27"/>
      <c r="E793" s="27"/>
      <c r="G793" s="27"/>
    </row>
    <row r="794" spans="3:7" x14ac:dyDescent="0.55000000000000004">
      <c r="C794" s="27"/>
      <c r="E794" s="27"/>
      <c r="G794" s="27"/>
    </row>
    <row r="795" spans="3:7" x14ac:dyDescent="0.55000000000000004">
      <c r="C795" s="27"/>
      <c r="E795" s="27"/>
      <c r="G795" s="27"/>
    </row>
    <row r="796" spans="3:7" x14ac:dyDescent="0.55000000000000004">
      <c r="C796" s="27"/>
      <c r="E796" s="27"/>
      <c r="G796" s="27"/>
    </row>
    <row r="797" spans="3:7" x14ac:dyDescent="0.55000000000000004">
      <c r="C797" s="27"/>
      <c r="E797" s="27"/>
      <c r="G797" s="27"/>
    </row>
    <row r="798" spans="3:7" x14ac:dyDescent="0.55000000000000004">
      <c r="C798" s="27"/>
      <c r="E798" s="27"/>
      <c r="G798" s="27"/>
    </row>
    <row r="799" spans="3:7" x14ac:dyDescent="0.55000000000000004">
      <c r="C799" s="27"/>
      <c r="E799" s="27"/>
      <c r="G799" s="27"/>
    </row>
    <row r="800" spans="3:7" x14ac:dyDescent="0.55000000000000004">
      <c r="C800" s="27"/>
      <c r="E800" s="27"/>
      <c r="G800" s="27"/>
    </row>
    <row r="801" spans="3:7" x14ac:dyDescent="0.55000000000000004">
      <c r="C801" s="27"/>
      <c r="E801" s="27"/>
      <c r="G801" s="27"/>
    </row>
    <row r="802" spans="3:7" x14ac:dyDescent="0.55000000000000004">
      <c r="C802" s="27"/>
      <c r="E802" s="27"/>
      <c r="G802" s="27"/>
    </row>
    <row r="803" spans="3:7" x14ac:dyDescent="0.55000000000000004">
      <c r="C803" s="27"/>
      <c r="E803" s="27"/>
      <c r="G803" s="27"/>
    </row>
    <row r="804" spans="3:7" x14ac:dyDescent="0.55000000000000004">
      <c r="C804" s="27"/>
      <c r="E804" s="27"/>
      <c r="G804" s="27"/>
    </row>
    <row r="805" spans="3:7" x14ac:dyDescent="0.55000000000000004">
      <c r="C805" s="27"/>
      <c r="E805" s="27"/>
      <c r="G805" s="27"/>
    </row>
    <row r="806" spans="3:7" x14ac:dyDescent="0.55000000000000004">
      <c r="C806" s="27"/>
      <c r="E806" s="27"/>
      <c r="G806" s="27"/>
    </row>
    <row r="807" spans="3:7" x14ac:dyDescent="0.55000000000000004">
      <c r="C807" s="27"/>
      <c r="E807" s="27"/>
      <c r="G807" s="27"/>
    </row>
    <row r="808" spans="3:7" x14ac:dyDescent="0.55000000000000004">
      <c r="C808" s="27"/>
      <c r="E808" s="27"/>
      <c r="G808" s="27"/>
    </row>
    <row r="809" spans="3:7" x14ac:dyDescent="0.55000000000000004">
      <c r="C809" s="27"/>
      <c r="E809" s="27"/>
      <c r="G809" s="27"/>
    </row>
    <row r="810" spans="3:7" x14ac:dyDescent="0.55000000000000004">
      <c r="C810" s="27"/>
      <c r="E810" s="27"/>
      <c r="G810" s="27"/>
    </row>
    <row r="811" spans="3:7" x14ac:dyDescent="0.55000000000000004">
      <c r="C811" s="27"/>
      <c r="E811" s="27"/>
      <c r="G811" s="27"/>
    </row>
    <row r="812" spans="3:7" x14ac:dyDescent="0.55000000000000004">
      <c r="C812" s="27"/>
      <c r="E812" s="27"/>
      <c r="G812" s="27"/>
    </row>
    <row r="813" spans="3:7" x14ac:dyDescent="0.55000000000000004">
      <c r="C813" s="27"/>
      <c r="E813" s="27"/>
      <c r="G813" s="27"/>
    </row>
    <row r="814" spans="3:7" x14ac:dyDescent="0.55000000000000004">
      <c r="C814" s="27"/>
      <c r="E814" s="27"/>
      <c r="G814" s="27"/>
    </row>
    <row r="815" spans="3:7" x14ac:dyDescent="0.55000000000000004">
      <c r="C815" s="27"/>
      <c r="E815" s="27"/>
      <c r="G815" s="27"/>
    </row>
    <row r="816" spans="3:7" x14ac:dyDescent="0.55000000000000004">
      <c r="C816" s="27"/>
      <c r="E816" s="27"/>
      <c r="G816" s="27"/>
    </row>
    <row r="817" spans="3:7" x14ac:dyDescent="0.55000000000000004">
      <c r="C817" s="27"/>
      <c r="E817" s="27"/>
      <c r="G817" s="27"/>
    </row>
    <row r="818" spans="3:7" x14ac:dyDescent="0.55000000000000004">
      <c r="C818" s="27"/>
      <c r="E818" s="27"/>
      <c r="G818" s="27"/>
    </row>
    <row r="819" spans="3:7" x14ac:dyDescent="0.55000000000000004">
      <c r="C819" s="27"/>
      <c r="E819" s="27"/>
      <c r="G819" s="27"/>
    </row>
    <row r="820" spans="3:7" x14ac:dyDescent="0.55000000000000004">
      <c r="C820" s="27"/>
      <c r="E820" s="27"/>
      <c r="G820" s="27"/>
    </row>
    <row r="821" spans="3:7" x14ac:dyDescent="0.55000000000000004">
      <c r="C821" s="27"/>
      <c r="E821" s="27"/>
      <c r="G821" s="27"/>
    </row>
    <row r="822" spans="3:7" x14ac:dyDescent="0.55000000000000004">
      <c r="C822" s="27"/>
      <c r="E822" s="27"/>
      <c r="G822" s="27"/>
    </row>
    <row r="823" spans="3:7" x14ac:dyDescent="0.55000000000000004">
      <c r="C823" s="27"/>
      <c r="E823" s="27"/>
      <c r="G823" s="27"/>
    </row>
    <row r="824" spans="3:7" x14ac:dyDescent="0.55000000000000004">
      <c r="C824" s="27"/>
      <c r="E824" s="27"/>
      <c r="G824" s="27"/>
    </row>
    <row r="825" spans="3:7" x14ac:dyDescent="0.55000000000000004">
      <c r="C825" s="27"/>
      <c r="E825" s="27"/>
      <c r="G825" s="27"/>
    </row>
    <row r="826" spans="3:7" x14ac:dyDescent="0.55000000000000004">
      <c r="C826" s="27"/>
      <c r="E826" s="27"/>
      <c r="G826" s="27"/>
    </row>
    <row r="827" spans="3:7" x14ac:dyDescent="0.55000000000000004">
      <c r="C827" s="27"/>
      <c r="E827" s="27"/>
      <c r="G827" s="27"/>
    </row>
    <row r="828" spans="3:7" x14ac:dyDescent="0.55000000000000004">
      <c r="C828" s="27"/>
      <c r="E828" s="27"/>
      <c r="G828" s="27"/>
    </row>
    <row r="829" spans="3:7" x14ac:dyDescent="0.55000000000000004">
      <c r="C829" s="27"/>
      <c r="E829" s="27"/>
      <c r="G829" s="27"/>
    </row>
    <row r="830" spans="3:7" x14ac:dyDescent="0.55000000000000004">
      <c r="C830" s="27"/>
      <c r="E830" s="27"/>
      <c r="G830" s="27"/>
    </row>
    <row r="831" spans="3:7" x14ac:dyDescent="0.55000000000000004">
      <c r="C831" s="27"/>
      <c r="E831" s="27"/>
      <c r="G831" s="27"/>
    </row>
    <row r="832" spans="3:7" x14ac:dyDescent="0.55000000000000004">
      <c r="C832" s="27"/>
      <c r="E832" s="27"/>
      <c r="G832" s="27"/>
    </row>
    <row r="833" spans="3:7" x14ac:dyDescent="0.55000000000000004">
      <c r="C833" s="27"/>
      <c r="E833" s="27"/>
      <c r="G833" s="27"/>
    </row>
    <row r="834" spans="3:7" x14ac:dyDescent="0.55000000000000004">
      <c r="C834" s="27"/>
      <c r="E834" s="27"/>
      <c r="G834" s="27"/>
    </row>
    <row r="835" spans="3:7" x14ac:dyDescent="0.55000000000000004">
      <c r="C835" s="27"/>
      <c r="E835" s="27"/>
      <c r="G835" s="27"/>
    </row>
    <row r="836" spans="3:7" x14ac:dyDescent="0.55000000000000004">
      <c r="C836" s="27"/>
      <c r="E836" s="27"/>
      <c r="G836" s="27"/>
    </row>
    <row r="837" spans="3:7" x14ac:dyDescent="0.55000000000000004">
      <c r="C837" s="27"/>
      <c r="E837" s="27"/>
      <c r="G837" s="27"/>
    </row>
    <row r="838" spans="3:7" x14ac:dyDescent="0.55000000000000004">
      <c r="C838" s="27"/>
      <c r="E838" s="27"/>
      <c r="G838" s="27"/>
    </row>
    <row r="839" spans="3:7" x14ac:dyDescent="0.55000000000000004">
      <c r="C839" s="27"/>
      <c r="E839" s="27"/>
      <c r="G839" s="27"/>
    </row>
    <row r="840" spans="3:7" x14ac:dyDescent="0.55000000000000004">
      <c r="C840" s="27"/>
      <c r="E840" s="27"/>
      <c r="G840" s="27"/>
    </row>
    <row r="841" spans="3:7" x14ac:dyDescent="0.55000000000000004">
      <c r="C841" s="27"/>
      <c r="E841" s="27"/>
      <c r="G841" s="27"/>
    </row>
    <row r="842" spans="3:7" x14ac:dyDescent="0.55000000000000004">
      <c r="C842" s="27"/>
      <c r="E842" s="27"/>
      <c r="G842" s="27"/>
    </row>
    <row r="843" spans="3:7" x14ac:dyDescent="0.55000000000000004">
      <c r="C843" s="27"/>
      <c r="E843" s="27"/>
      <c r="G843" s="27"/>
    </row>
    <row r="844" spans="3:7" x14ac:dyDescent="0.55000000000000004">
      <c r="C844" s="27"/>
      <c r="E844" s="27"/>
      <c r="G844" s="27"/>
    </row>
    <row r="845" spans="3:7" x14ac:dyDescent="0.55000000000000004">
      <c r="C845" s="27"/>
      <c r="E845" s="27"/>
      <c r="G845" s="27"/>
    </row>
    <row r="846" spans="3:7" x14ac:dyDescent="0.55000000000000004">
      <c r="C846" s="27"/>
      <c r="E846" s="27"/>
      <c r="G846" s="27"/>
    </row>
    <row r="847" spans="3:7" x14ac:dyDescent="0.55000000000000004">
      <c r="C847" s="27"/>
      <c r="E847" s="27"/>
      <c r="G847" s="27"/>
    </row>
    <row r="848" spans="3:7" x14ac:dyDescent="0.55000000000000004">
      <c r="C848" s="27"/>
      <c r="E848" s="27"/>
      <c r="G848" s="27"/>
    </row>
    <row r="849" spans="3:7" x14ac:dyDescent="0.55000000000000004">
      <c r="C849" s="27"/>
      <c r="E849" s="27"/>
      <c r="G849" s="27"/>
    </row>
    <row r="850" spans="3:7" x14ac:dyDescent="0.55000000000000004">
      <c r="C850" s="27"/>
      <c r="E850" s="27"/>
      <c r="G850" s="27"/>
    </row>
    <row r="851" spans="3:7" x14ac:dyDescent="0.55000000000000004">
      <c r="C851" s="27"/>
      <c r="E851" s="27"/>
      <c r="G851" s="27"/>
    </row>
    <row r="852" spans="3:7" x14ac:dyDescent="0.55000000000000004">
      <c r="C852" s="27"/>
      <c r="E852" s="27"/>
      <c r="G852" s="27"/>
    </row>
    <row r="853" spans="3:7" x14ac:dyDescent="0.55000000000000004">
      <c r="C853" s="27"/>
      <c r="E853" s="27"/>
      <c r="G853" s="27"/>
    </row>
    <row r="854" spans="3:7" x14ac:dyDescent="0.55000000000000004">
      <c r="C854" s="27"/>
      <c r="E854" s="27"/>
      <c r="G854" s="27"/>
    </row>
    <row r="855" spans="3:7" x14ac:dyDescent="0.55000000000000004">
      <c r="C855" s="27"/>
      <c r="E855" s="27"/>
      <c r="G855" s="27"/>
    </row>
    <row r="856" spans="3:7" x14ac:dyDescent="0.55000000000000004">
      <c r="C856" s="27"/>
      <c r="E856" s="27"/>
      <c r="G856" s="27"/>
    </row>
    <row r="857" spans="3:7" x14ac:dyDescent="0.55000000000000004">
      <c r="C857" s="27"/>
      <c r="E857" s="27"/>
      <c r="G857" s="27"/>
    </row>
    <row r="858" spans="3:7" x14ac:dyDescent="0.55000000000000004">
      <c r="C858" s="27"/>
      <c r="E858" s="27"/>
      <c r="G858" s="27"/>
    </row>
    <row r="859" spans="3:7" x14ac:dyDescent="0.55000000000000004">
      <c r="C859" s="27"/>
      <c r="E859" s="27"/>
      <c r="G859" s="27"/>
    </row>
    <row r="860" spans="3:7" x14ac:dyDescent="0.55000000000000004">
      <c r="C860" s="27"/>
      <c r="E860" s="27"/>
      <c r="G860" s="27"/>
    </row>
    <row r="861" spans="3:7" x14ac:dyDescent="0.55000000000000004">
      <c r="C861" s="27"/>
      <c r="E861" s="27"/>
      <c r="G861" s="27"/>
    </row>
    <row r="862" spans="3:7" x14ac:dyDescent="0.55000000000000004">
      <c r="C862" s="27"/>
      <c r="E862" s="27"/>
      <c r="G862" s="27"/>
    </row>
    <row r="863" spans="3:7" x14ac:dyDescent="0.55000000000000004">
      <c r="C863" s="27"/>
      <c r="E863" s="27"/>
      <c r="G863" s="27"/>
    </row>
    <row r="864" spans="3:7" x14ac:dyDescent="0.55000000000000004">
      <c r="C864" s="27"/>
      <c r="E864" s="27"/>
      <c r="G864" s="27"/>
    </row>
    <row r="865" spans="3:7" x14ac:dyDescent="0.55000000000000004">
      <c r="C865" s="27"/>
      <c r="E865" s="27"/>
      <c r="G865" s="27"/>
    </row>
    <row r="866" spans="3:7" x14ac:dyDescent="0.55000000000000004">
      <c r="C866" s="27"/>
      <c r="E866" s="27"/>
      <c r="G866" s="27"/>
    </row>
    <row r="867" spans="3:7" x14ac:dyDescent="0.55000000000000004">
      <c r="C867" s="27"/>
      <c r="E867" s="27"/>
      <c r="G867" s="27"/>
    </row>
    <row r="868" spans="3:7" x14ac:dyDescent="0.55000000000000004">
      <c r="C868" s="27"/>
      <c r="E868" s="27"/>
      <c r="G868" s="27"/>
    </row>
    <row r="869" spans="3:7" x14ac:dyDescent="0.55000000000000004">
      <c r="C869" s="27"/>
      <c r="E869" s="27"/>
      <c r="G869" s="27"/>
    </row>
    <row r="870" spans="3:7" x14ac:dyDescent="0.55000000000000004">
      <c r="C870" s="27"/>
      <c r="E870" s="27"/>
      <c r="G870" s="27"/>
    </row>
    <row r="871" spans="3:7" x14ac:dyDescent="0.55000000000000004">
      <c r="C871" s="27"/>
      <c r="E871" s="27"/>
      <c r="G871" s="27"/>
    </row>
    <row r="872" spans="3:7" x14ac:dyDescent="0.55000000000000004">
      <c r="C872" s="27"/>
      <c r="E872" s="27"/>
      <c r="G872" s="27"/>
    </row>
    <row r="873" spans="3:7" x14ac:dyDescent="0.55000000000000004">
      <c r="C873" s="27"/>
      <c r="E873" s="27"/>
      <c r="G873" s="27"/>
    </row>
    <row r="874" spans="3:7" x14ac:dyDescent="0.55000000000000004">
      <c r="C874" s="27"/>
      <c r="E874" s="27"/>
      <c r="G874" s="27"/>
    </row>
    <row r="875" spans="3:7" x14ac:dyDescent="0.55000000000000004">
      <c r="C875" s="27"/>
      <c r="E875" s="27"/>
      <c r="G875" s="27"/>
    </row>
    <row r="876" spans="3:7" x14ac:dyDescent="0.55000000000000004">
      <c r="C876" s="27"/>
      <c r="E876" s="27"/>
      <c r="G876" s="27"/>
    </row>
    <row r="877" spans="3:7" x14ac:dyDescent="0.55000000000000004">
      <c r="C877" s="27"/>
      <c r="E877" s="27"/>
      <c r="G877" s="27"/>
    </row>
    <row r="878" spans="3:7" x14ac:dyDescent="0.55000000000000004">
      <c r="C878" s="27"/>
      <c r="E878" s="27"/>
      <c r="G878" s="27"/>
    </row>
    <row r="879" spans="3:7" x14ac:dyDescent="0.55000000000000004">
      <c r="C879" s="27"/>
      <c r="E879" s="27"/>
      <c r="G879" s="27"/>
    </row>
    <row r="880" spans="3:7" x14ac:dyDescent="0.55000000000000004">
      <c r="C880" s="27"/>
      <c r="E880" s="27"/>
      <c r="G880" s="27"/>
    </row>
    <row r="881" spans="3:7" x14ac:dyDescent="0.55000000000000004">
      <c r="C881" s="27"/>
      <c r="E881" s="27"/>
      <c r="G881" s="27"/>
    </row>
    <row r="882" spans="3:7" x14ac:dyDescent="0.55000000000000004">
      <c r="C882" s="27"/>
      <c r="E882" s="27"/>
      <c r="G882" s="27"/>
    </row>
    <row r="883" spans="3:7" x14ac:dyDescent="0.55000000000000004">
      <c r="C883" s="27"/>
      <c r="E883" s="27"/>
      <c r="G883" s="27"/>
    </row>
    <row r="884" spans="3:7" x14ac:dyDescent="0.55000000000000004">
      <c r="C884" s="27"/>
      <c r="E884" s="27"/>
      <c r="G884" s="27"/>
    </row>
    <row r="885" spans="3:7" x14ac:dyDescent="0.55000000000000004">
      <c r="C885" s="27"/>
      <c r="E885" s="27"/>
      <c r="G885" s="27"/>
    </row>
    <row r="886" spans="3:7" x14ac:dyDescent="0.55000000000000004">
      <c r="C886" s="27"/>
      <c r="E886" s="27"/>
      <c r="G886" s="27"/>
    </row>
    <row r="887" spans="3:7" x14ac:dyDescent="0.55000000000000004">
      <c r="C887" s="27"/>
      <c r="E887" s="27"/>
      <c r="G887" s="27"/>
    </row>
    <row r="888" spans="3:7" x14ac:dyDescent="0.55000000000000004">
      <c r="C888" s="27"/>
      <c r="E888" s="27"/>
      <c r="G888" s="27"/>
    </row>
    <row r="889" spans="3:7" x14ac:dyDescent="0.55000000000000004">
      <c r="C889" s="27"/>
      <c r="E889" s="27"/>
      <c r="G889" s="27"/>
    </row>
    <row r="890" spans="3:7" x14ac:dyDescent="0.55000000000000004">
      <c r="C890" s="27"/>
      <c r="E890" s="27"/>
      <c r="G890" s="27"/>
    </row>
    <row r="891" spans="3:7" x14ac:dyDescent="0.55000000000000004">
      <c r="C891" s="27"/>
      <c r="E891" s="27"/>
      <c r="G891" s="27"/>
    </row>
    <row r="892" spans="3:7" x14ac:dyDescent="0.55000000000000004">
      <c r="C892" s="27"/>
      <c r="E892" s="27"/>
      <c r="G892" s="27"/>
    </row>
    <row r="893" spans="3:7" x14ac:dyDescent="0.55000000000000004">
      <c r="C893" s="27"/>
      <c r="E893" s="27"/>
      <c r="G893" s="27"/>
    </row>
    <row r="894" spans="3:7" x14ac:dyDescent="0.55000000000000004">
      <c r="C894" s="27"/>
      <c r="E894" s="27"/>
      <c r="G894" s="27"/>
    </row>
    <row r="895" spans="3:7" x14ac:dyDescent="0.55000000000000004">
      <c r="C895" s="27"/>
      <c r="E895" s="27"/>
      <c r="G895" s="27"/>
    </row>
    <row r="896" spans="3:7" x14ac:dyDescent="0.55000000000000004">
      <c r="C896" s="27"/>
      <c r="E896" s="27"/>
      <c r="G896" s="27"/>
    </row>
    <row r="897" spans="3:7" x14ac:dyDescent="0.55000000000000004">
      <c r="C897" s="27"/>
      <c r="E897" s="27"/>
      <c r="G897" s="27"/>
    </row>
    <row r="898" spans="3:7" x14ac:dyDescent="0.55000000000000004">
      <c r="C898" s="27"/>
      <c r="E898" s="27"/>
      <c r="G898" s="27"/>
    </row>
    <row r="899" spans="3:7" x14ac:dyDescent="0.55000000000000004">
      <c r="C899" s="27"/>
      <c r="E899" s="27"/>
      <c r="G899" s="27"/>
    </row>
    <row r="900" spans="3:7" x14ac:dyDescent="0.55000000000000004">
      <c r="C900" s="27"/>
      <c r="E900" s="27"/>
      <c r="G900" s="27"/>
    </row>
    <row r="901" spans="3:7" x14ac:dyDescent="0.55000000000000004">
      <c r="C901" s="27"/>
      <c r="E901" s="27"/>
      <c r="G901" s="27"/>
    </row>
    <row r="902" spans="3:7" x14ac:dyDescent="0.55000000000000004">
      <c r="C902" s="27"/>
      <c r="E902" s="27"/>
      <c r="G902" s="27"/>
    </row>
    <row r="903" spans="3:7" x14ac:dyDescent="0.55000000000000004">
      <c r="C903" s="27"/>
      <c r="E903" s="27"/>
      <c r="G903" s="27"/>
    </row>
    <row r="904" spans="3:7" x14ac:dyDescent="0.55000000000000004">
      <c r="C904" s="27"/>
      <c r="E904" s="27"/>
      <c r="G904" s="27"/>
    </row>
    <row r="905" spans="3:7" x14ac:dyDescent="0.55000000000000004">
      <c r="C905" s="27"/>
      <c r="E905" s="27"/>
      <c r="G905" s="27"/>
    </row>
    <row r="906" spans="3:7" x14ac:dyDescent="0.55000000000000004">
      <c r="C906" s="27"/>
      <c r="E906" s="27"/>
      <c r="G906" s="27"/>
    </row>
    <row r="907" spans="3:7" x14ac:dyDescent="0.55000000000000004">
      <c r="C907" s="27"/>
      <c r="E907" s="27"/>
      <c r="G907" s="27"/>
    </row>
    <row r="908" spans="3:7" x14ac:dyDescent="0.55000000000000004">
      <c r="C908" s="27"/>
      <c r="E908" s="27"/>
      <c r="G908" s="27"/>
    </row>
    <row r="909" spans="3:7" x14ac:dyDescent="0.55000000000000004">
      <c r="C909" s="27"/>
      <c r="E909" s="27"/>
      <c r="G909" s="27"/>
    </row>
    <row r="910" spans="3:7" x14ac:dyDescent="0.55000000000000004">
      <c r="C910" s="27"/>
      <c r="E910" s="27"/>
      <c r="G910" s="27"/>
    </row>
    <row r="911" spans="3:7" x14ac:dyDescent="0.55000000000000004">
      <c r="C911" s="27"/>
      <c r="E911" s="27"/>
      <c r="G911" s="27"/>
    </row>
    <row r="912" spans="3:7" x14ac:dyDescent="0.55000000000000004">
      <c r="C912" s="27"/>
      <c r="E912" s="27"/>
      <c r="G912" s="27"/>
    </row>
    <row r="913" spans="3:7" x14ac:dyDescent="0.55000000000000004">
      <c r="C913" s="27"/>
      <c r="E913" s="27"/>
      <c r="G913" s="27"/>
    </row>
    <row r="914" spans="3:7" x14ac:dyDescent="0.55000000000000004">
      <c r="C914" s="27"/>
      <c r="E914" s="27"/>
      <c r="G914" s="27"/>
    </row>
    <row r="915" spans="3:7" x14ac:dyDescent="0.55000000000000004">
      <c r="C915" s="27"/>
      <c r="E915" s="27"/>
      <c r="G915" s="27"/>
    </row>
    <row r="916" spans="3:7" x14ac:dyDescent="0.55000000000000004">
      <c r="C916" s="27"/>
      <c r="E916" s="27"/>
      <c r="G916" s="27"/>
    </row>
    <row r="917" spans="3:7" x14ac:dyDescent="0.55000000000000004">
      <c r="C917" s="27"/>
      <c r="E917" s="27"/>
      <c r="G917" s="27"/>
    </row>
    <row r="918" spans="3:7" x14ac:dyDescent="0.55000000000000004">
      <c r="C918" s="27"/>
      <c r="E918" s="27"/>
      <c r="G918" s="27"/>
    </row>
    <row r="919" spans="3:7" x14ac:dyDescent="0.55000000000000004">
      <c r="C919" s="27"/>
      <c r="E919" s="27"/>
      <c r="G919" s="27"/>
    </row>
    <row r="920" spans="3:7" x14ac:dyDescent="0.55000000000000004">
      <c r="C920" s="27"/>
      <c r="E920" s="27"/>
      <c r="G920" s="27"/>
    </row>
    <row r="921" spans="3:7" x14ac:dyDescent="0.55000000000000004">
      <c r="C921" s="27"/>
      <c r="E921" s="27"/>
      <c r="G921" s="27"/>
    </row>
    <row r="922" spans="3:7" x14ac:dyDescent="0.55000000000000004">
      <c r="C922" s="27"/>
      <c r="E922" s="27"/>
      <c r="G922" s="27"/>
    </row>
    <row r="923" spans="3:7" x14ac:dyDescent="0.55000000000000004">
      <c r="C923" s="27"/>
      <c r="E923" s="27"/>
      <c r="G923" s="27"/>
    </row>
    <row r="924" spans="3:7" x14ac:dyDescent="0.55000000000000004">
      <c r="C924" s="27"/>
      <c r="E924" s="27"/>
      <c r="G924" s="27"/>
    </row>
    <row r="925" spans="3:7" x14ac:dyDescent="0.55000000000000004">
      <c r="C925" s="27"/>
      <c r="E925" s="27"/>
      <c r="G925" s="27"/>
    </row>
    <row r="926" spans="3:7" x14ac:dyDescent="0.55000000000000004">
      <c r="C926" s="27"/>
      <c r="E926" s="27"/>
      <c r="G926" s="27"/>
    </row>
    <row r="927" spans="3:7" x14ac:dyDescent="0.55000000000000004">
      <c r="C927" s="27"/>
      <c r="E927" s="27"/>
      <c r="G927" s="27"/>
    </row>
    <row r="928" spans="3:7" x14ac:dyDescent="0.55000000000000004">
      <c r="C928" s="27"/>
      <c r="E928" s="27"/>
      <c r="G928" s="27"/>
    </row>
    <row r="929" spans="3:7" x14ac:dyDescent="0.55000000000000004">
      <c r="C929" s="27"/>
      <c r="E929" s="27"/>
      <c r="G929" s="27"/>
    </row>
    <row r="930" spans="3:7" x14ac:dyDescent="0.55000000000000004">
      <c r="C930" s="27"/>
      <c r="E930" s="27"/>
      <c r="G930" s="27"/>
    </row>
    <row r="931" spans="3:7" x14ac:dyDescent="0.55000000000000004">
      <c r="C931" s="27"/>
      <c r="E931" s="27"/>
      <c r="G931" s="27"/>
    </row>
    <row r="932" spans="3:7" x14ac:dyDescent="0.55000000000000004">
      <c r="C932" s="27"/>
      <c r="E932" s="27"/>
      <c r="G932" s="27"/>
    </row>
    <row r="933" spans="3:7" x14ac:dyDescent="0.55000000000000004">
      <c r="C933" s="27"/>
      <c r="E933" s="27"/>
      <c r="G933" s="27"/>
    </row>
    <row r="934" spans="3:7" x14ac:dyDescent="0.55000000000000004">
      <c r="C934" s="27"/>
      <c r="E934" s="27"/>
      <c r="G934" s="27"/>
    </row>
    <row r="935" spans="3:7" x14ac:dyDescent="0.55000000000000004">
      <c r="C935" s="27"/>
      <c r="E935" s="27"/>
      <c r="G935" s="27"/>
    </row>
    <row r="936" spans="3:7" x14ac:dyDescent="0.55000000000000004">
      <c r="C936" s="27"/>
      <c r="E936" s="27"/>
      <c r="G936" s="27"/>
    </row>
    <row r="937" spans="3:7" x14ac:dyDescent="0.55000000000000004">
      <c r="C937" s="27"/>
      <c r="E937" s="27"/>
      <c r="G937" s="27"/>
    </row>
    <row r="938" spans="3:7" x14ac:dyDescent="0.55000000000000004">
      <c r="C938" s="27"/>
      <c r="E938" s="27"/>
      <c r="G938" s="27"/>
    </row>
    <row r="939" spans="3:7" x14ac:dyDescent="0.55000000000000004">
      <c r="C939" s="27"/>
      <c r="E939" s="27"/>
      <c r="G939" s="27"/>
    </row>
    <row r="940" spans="3:7" x14ac:dyDescent="0.55000000000000004">
      <c r="C940" s="27"/>
      <c r="E940" s="27"/>
      <c r="G940" s="27"/>
    </row>
    <row r="941" spans="3:7" x14ac:dyDescent="0.55000000000000004">
      <c r="C941" s="27"/>
      <c r="E941" s="27"/>
      <c r="G941" s="27"/>
    </row>
    <row r="942" spans="3:7" x14ac:dyDescent="0.55000000000000004">
      <c r="C942" s="27"/>
      <c r="E942" s="27"/>
      <c r="G942" s="27"/>
    </row>
    <row r="943" spans="3:7" x14ac:dyDescent="0.55000000000000004">
      <c r="C943" s="27"/>
      <c r="E943" s="27"/>
      <c r="G943" s="27"/>
    </row>
    <row r="944" spans="3:7" x14ac:dyDescent="0.55000000000000004">
      <c r="C944" s="27"/>
      <c r="E944" s="27"/>
      <c r="G944" s="27"/>
    </row>
    <row r="945" spans="3:7" x14ac:dyDescent="0.55000000000000004">
      <c r="C945" s="27"/>
      <c r="E945" s="27"/>
      <c r="G945" s="27"/>
    </row>
    <row r="946" spans="3:7" x14ac:dyDescent="0.55000000000000004">
      <c r="C946" s="27"/>
      <c r="E946" s="27"/>
      <c r="G946" s="27"/>
    </row>
    <row r="947" spans="3:7" x14ac:dyDescent="0.55000000000000004">
      <c r="C947" s="27"/>
      <c r="E947" s="27"/>
      <c r="G947" s="27"/>
    </row>
    <row r="948" spans="3:7" x14ac:dyDescent="0.55000000000000004">
      <c r="C948" s="27"/>
      <c r="E948" s="27"/>
      <c r="G948" s="27"/>
    </row>
    <row r="949" spans="3:7" x14ac:dyDescent="0.55000000000000004">
      <c r="C949" s="27"/>
      <c r="E949" s="27"/>
      <c r="G949" s="27"/>
    </row>
    <row r="950" spans="3:7" x14ac:dyDescent="0.55000000000000004">
      <c r="C950" s="27"/>
      <c r="E950" s="27"/>
      <c r="G950" s="27"/>
    </row>
    <row r="951" spans="3:7" x14ac:dyDescent="0.55000000000000004">
      <c r="C951" s="27"/>
      <c r="E951" s="27"/>
      <c r="G951" s="27"/>
    </row>
    <row r="952" spans="3:7" x14ac:dyDescent="0.55000000000000004">
      <c r="C952" s="27"/>
      <c r="E952" s="27"/>
      <c r="G952" s="27"/>
    </row>
    <row r="953" spans="3:7" x14ac:dyDescent="0.55000000000000004">
      <c r="C953" s="27"/>
      <c r="E953" s="27"/>
      <c r="G953" s="27"/>
    </row>
    <row r="954" spans="3:7" x14ac:dyDescent="0.55000000000000004">
      <c r="C954" s="27"/>
      <c r="E954" s="27"/>
      <c r="G954" s="27"/>
    </row>
    <row r="955" spans="3:7" x14ac:dyDescent="0.55000000000000004">
      <c r="C955" s="27"/>
      <c r="E955" s="27"/>
      <c r="G955" s="27"/>
    </row>
    <row r="956" spans="3:7" x14ac:dyDescent="0.55000000000000004">
      <c r="C956" s="27"/>
      <c r="E956" s="27"/>
      <c r="G956" s="27"/>
    </row>
    <row r="957" spans="3:7" x14ac:dyDescent="0.55000000000000004">
      <c r="C957" s="27"/>
      <c r="E957" s="27"/>
      <c r="G957" s="27"/>
    </row>
    <row r="958" spans="3:7" x14ac:dyDescent="0.55000000000000004">
      <c r="C958" s="27"/>
      <c r="E958" s="27"/>
      <c r="G958" s="27"/>
    </row>
    <row r="959" spans="3:7" x14ac:dyDescent="0.55000000000000004">
      <c r="C959" s="27"/>
      <c r="E959" s="27"/>
      <c r="G959" s="27"/>
    </row>
    <row r="960" spans="3:7" x14ac:dyDescent="0.55000000000000004">
      <c r="C960" s="27"/>
      <c r="E960" s="27"/>
      <c r="G960" s="27"/>
    </row>
    <row r="961" spans="3:7" x14ac:dyDescent="0.55000000000000004">
      <c r="C961" s="27"/>
      <c r="E961" s="27"/>
      <c r="G961" s="27"/>
    </row>
    <row r="962" spans="3:7" x14ac:dyDescent="0.55000000000000004">
      <c r="C962" s="27"/>
      <c r="E962" s="27"/>
      <c r="G962" s="27"/>
    </row>
    <row r="963" spans="3:7" x14ac:dyDescent="0.55000000000000004">
      <c r="C963" s="27"/>
      <c r="E963" s="27"/>
      <c r="G963" s="27"/>
    </row>
    <row r="964" spans="3:7" x14ac:dyDescent="0.55000000000000004">
      <c r="C964" s="27"/>
      <c r="E964" s="27"/>
      <c r="G964" s="27"/>
    </row>
    <row r="965" spans="3:7" x14ac:dyDescent="0.55000000000000004">
      <c r="C965" s="27"/>
      <c r="E965" s="27"/>
      <c r="G965" s="27"/>
    </row>
    <row r="966" spans="3:7" x14ac:dyDescent="0.55000000000000004">
      <c r="C966" s="27"/>
      <c r="E966" s="27"/>
      <c r="G966" s="27"/>
    </row>
    <row r="967" spans="3:7" x14ac:dyDescent="0.55000000000000004">
      <c r="C967" s="27"/>
      <c r="E967" s="27"/>
      <c r="G967" s="27"/>
    </row>
    <row r="968" spans="3:7" x14ac:dyDescent="0.55000000000000004">
      <c r="C968" s="27"/>
      <c r="E968" s="27"/>
      <c r="G968" s="27"/>
    </row>
    <row r="969" spans="3:7" x14ac:dyDescent="0.55000000000000004">
      <c r="C969" s="27"/>
      <c r="E969" s="27"/>
      <c r="G969" s="27"/>
    </row>
    <row r="970" spans="3:7" x14ac:dyDescent="0.55000000000000004">
      <c r="C970" s="27"/>
      <c r="E970" s="27"/>
      <c r="G970" s="27"/>
    </row>
    <row r="971" spans="3:7" x14ac:dyDescent="0.55000000000000004">
      <c r="C971" s="27"/>
      <c r="E971" s="27"/>
      <c r="G971" s="27"/>
    </row>
    <row r="972" spans="3:7" x14ac:dyDescent="0.55000000000000004">
      <c r="C972" s="27"/>
      <c r="E972" s="27"/>
      <c r="G972" s="27"/>
    </row>
    <row r="973" spans="3:7" x14ac:dyDescent="0.55000000000000004">
      <c r="C973" s="27"/>
      <c r="E973" s="27"/>
      <c r="G973" s="27"/>
    </row>
    <row r="974" spans="3:7" x14ac:dyDescent="0.55000000000000004">
      <c r="C974" s="27"/>
      <c r="E974" s="27"/>
      <c r="G974" s="27"/>
    </row>
    <row r="975" spans="3:7" x14ac:dyDescent="0.55000000000000004">
      <c r="C975" s="27"/>
      <c r="E975" s="27"/>
      <c r="G975" s="27"/>
    </row>
    <row r="976" spans="3:7" x14ac:dyDescent="0.55000000000000004">
      <c r="C976" s="27"/>
      <c r="E976" s="27"/>
      <c r="G976" s="27"/>
    </row>
    <row r="977" spans="3:7" x14ac:dyDescent="0.55000000000000004">
      <c r="C977" s="27"/>
      <c r="E977" s="27"/>
      <c r="G977" s="27"/>
    </row>
    <row r="978" spans="3:7" x14ac:dyDescent="0.55000000000000004">
      <c r="C978" s="27"/>
      <c r="E978" s="27"/>
      <c r="G978" s="27"/>
    </row>
    <row r="979" spans="3:7" x14ac:dyDescent="0.55000000000000004">
      <c r="C979" s="27"/>
      <c r="E979" s="27"/>
      <c r="G979" s="27"/>
    </row>
    <row r="980" spans="3:7" x14ac:dyDescent="0.55000000000000004">
      <c r="C980" s="27"/>
      <c r="E980" s="27"/>
      <c r="G980" s="27"/>
    </row>
    <row r="981" spans="3:7" x14ac:dyDescent="0.55000000000000004">
      <c r="C981" s="27"/>
      <c r="E981" s="27"/>
      <c r="G981" s="27"/>
    </row>
    <row r="982" spans="3:7" x14ac:dyDescent="0.55000000000000004">
      <c r="C982" s="27"/>
      <c r="E982" s="27"/>
      <c r="G982" s="27"/>
    </row>
    <row r="983" spans="3:7" x14ac:dyDescent="0.55000000000000004">
      <c r="C983" s="27"/>
      <c r="E983" s="27"/>
      <c r="G983" s="27"/>
    </row>
    <row r="984" spans="3:7" x14ac:dyDescent="0.55000000000000004">
      <c r="C984" s="27"/>
      <c r="E984" s="27"/>
      <c r="G984" s="27"/>
    </row>
    <row r="985" spans="3:7" x14ac:dyDescent="0.55000000000000004">
      <c r="C985" s="27"/>
      <c r="E985" s="27"/>
      <c r="G985" s="27"/>
    </row>
    <row r="986" spans="3:7" x14ac:dyDescent="0.55000000000000004">
      <c r="C986" s="27"/>
      <c r="E986" s="27"/>
      <c r="G986" s="27"/>
    </row>
    <row r="987" spans="3:7" x14ac:dyDescent="0.55000000000000004">
      <c r="C987" s="27"/>
      <c r="E987" s="27"/>
      <c r="G987" s="27"/>
    </row>
    <row r="988" spans="3:7" x14ac:dyDescent="0.55000000000000004">
      <c r="C988" s="27"/>
      <c r="E988" s="27"/>
      <c r="G988" s="27"/>
    </row>
    <row r="989" spans="3:7" x14ac:dyDescent="0.55000000000000004">
      <c r="C989" s="27"/>
      <c r="E989" s="27"/>
      <c r="G989" s="27"/>
    </row>
    <row r="990" spans="3:7" x14ac:dyDescent="0.55000000000000004">
      <c r="C990" s="27"/>
      <c r="E990" s="27"/>
      <c r="G990" s="27"/>
    </row>
    <row r="991" spans="3:7" x14ac:dyDescent="0.55000000000000004">
      <c r="C991" s="27"/>
      <c r="E991" s="27"/>
      <c r="G991" s="27"/>
    </row>
    <row r="992" spans="3:7" x14ac:dyDescent="0.55000000000000004">
      <c r="C992" s="27"/>
      <c r="E992" s="27"/>
      <c r="G992" s="27"/>
    </row>
    <row r="993" spans="3:7" x14ac:dyDescent="0.55000000000000004">
      <c r="C993" s="27"/>
      <c r="E993" s="27"/>
      <c r="G993" s="27"/>
    </row>
    <row r="994" spans="3:7" x14ac:dyDescent="0.55000000000000004">
      <c r="C994" s="27"/>
      <c r="E994" s="27"/>
      <c r="G994" s="27"/>
    </row>
    <row r="995" spans="3:7" x14ac:dyDescent="0.55000000000000004">
      <c r="C995" s="27"/>
      <c r="E995" s="27"/>
      <c r="G995" s="27"/>
    </row>
    <row r="996" spans="3:7" x14ac:dyDescent="0.55000000000000004">
      <c r="C996" s="27"/>
      <c r="E996" s="27"/>
      <c r="G996" s="27"/>
    </row>
    <row r="997" spans="3:7" x14ac:dyDescent="0.55000000000000004">
      <c r="C997" s="27"/>
      <c r="E997" s="27"/>
      <c r="G997" s="27"/>
    </row>
    <row r="998" spans="3:7" x14ac:dyDescent="0.55000000000000004">
      <c r="C998" s="27"/>
      <c r="E998" s="27"/>
      <c r="G998" s="27"/>
    </row>
    <row r="999" spans="3:7" x14ac:dyDescent="0.55000000000000004">
      <c r="C999" s="27"/>
      <c r="E999" s="27"/>
      <c r="G999" s="27"/>
    </row>
    <row r="1000" spans="3:7" x14ac:dyDescent="0.55000000000000004">
      <c r="C1000" s="27"/>
      <c r="E1000" s="27"/>
      <c r="G1000" s="27"/>
    </row>
    <row r="1001" spans="3:7" x14ac:dyDescent="0.55000000000000004">
      <c r="C1001" s="27"/>
      <c r="E1001" s="27"/>
      <c r="G1001" s="27"/>
    </row>
    <row r="1002" spans="3:7" x14ac:dyDescent="0.55000000000000004">
      <c r="C1002" s="27"/>
      <c r="E1002" s="27"/>
      <c r="G1002" s="27"/>
    </row>
    <row r="1003" spans="3:7" x14ac:dyDescent="0.55000000000000004">
      <c r="C1003" s="27"/>
      <c r="E1003" s="27"/>
      <c r="G1003" s="27"/>
    </row>
    <row r="1004" spans="3:7" x14ac:dyDescent="0.55000000000000004">
      <c r="C1004" s="27"/>
      <c r="E1004" s="27"/>
      <c r="G1004" s="27"/>
    </row>
    <row r="1005" spans="3:7" x14ac:dyDescent="0.55000000000000004">
      <c r="C1005" s="27"/>
      <c r="E1005" s="27"/>
      <c r="G1005" s="27"/>
    </row>
    <row r="1006" spans="3:7" x14ac:dyDescent="0.55000000000000004">
      <c r="C1006" s="27"/>
      <c r="E1006" s="27"/>
      <c r="G1006" s="27"/>
    </row>
    <row r="1007" spans="3:7" x14ac:dyDescent="0.55000000000000004">
      <c r="C1007" s="27"/>
      <c r="E1007" s="27"/>
      <c r="G1007" s="27"/>
    </row>
    <row r="1008" spans="3:7" x14ac:dyDescent="0.55000000000000004">
      <c r="C1008" s="27"/>
      <c r="E1008" s="27"/>
      <c r="G1008" s="27"/>
    </row>
    <row r="1009" spans="3:7" x14ac:dyDescent="0.55000000000000004">
      <c r="C1009" s="27"/>
      <c r="E1009" s="27"/>
      <c r="G1009" s="27"/>
    </row>
    <row r="1010" spans="3:7" x14ac:dyDescent="0.55000000000000004">
      <c r="C1010" s="27"/>
      <c r="E1010" s="27"/>
      <c r="G1010" s="27"/>
    </row>
    <row r="1011" spans="3:7" x14ac:dyDescent="0.55000000000000004">
      <c r="C1011" s="27"/>
      <c r="E1011" s="27"/>
      <c r="G1011" s="27"/>
    </row>
    <row r="1012" spans="3:7" x14ac:dyDescent="0.55000000000000004">
      <c r="C1012" s="27"/>
      <c r="E1012" s="27"/>
      <c r="G1012" s="27"/>
    </row>
    <row r="1013" spans="3:7" x14ac:dyDescent="0.55000000000000004">
      <c r="C1013" s="27"/>
      <c r="E1013" s="27"/>
      <c r="G1013" s="27"/>
    </row>
    <row r="1014" spans="3:7" x14ac:dyDescent="0.55000000000000004">
      <c r="C1014" s="27"/>
      <c r="E1014" s="27"/>
      <c r="G1014" s="27"/>
    </row>
    <row r="1015" spans="3:7" x14ac:dyDescent="0.55000000000000004">
      <c r="C1015" s="27"/>
      <c r="E1015" s="27"/>
      <c r="G1015" s="27"/>
    </row>
    <row r="1016" spans="3:7" x14ac:dyDescent="0.55000000000000004">
      <c r="C1016" s="27"/>
      <c r="E1016" s="27"/>
      <c r="G1016" s="27"/>
    </row>
    <row r="1017" spans="3:7" x14ac:dyDescent="0.55000000000000004">
      <c r="C1017" s="27"/>
      <c r="E1017" s="27"/>
      <c r="G1017" s="27"/>
    </row>
    <row r="1018" spans="3:7" x14ac:dyDescent="0.55000000000000004">
      <c r="C1018" s="27"/>
      <c r="E1018" s="27"/>
      <c r="G1018" s="27"/>
    </row>
    <row r="1019" spans="3:7" x14ac:dyDescent="0.55000000000000004">
      <c r="C1019" s="27"/>
      <c r="E1019" s="27"/>
      <c r="G1019" s="27"/>
    </row>
    <row r="1020" spans="3:7" x14ac:dyDescent="0.55000000000000004">
      <c r="C1020" s="27"/>
      <c r="E1020" s="27"/>
      <c r="G1020" s="27"/>
    </row>
    <row r="1021" spans="3:7" x14ac:dyDescent="0.55000000000000004">
      <c r="C1021" s="27"/>
      <c r="E1021" s="27"/>
      <c r="G1021" s="27"/>
    </row>
    <row r="1022" spans="3:7" x14ac:dyDescent="0.55000000000000004">
      <c r="C1022" s="27"/>
      <c r="E1022" s="27"/>
      <c r="G1022" s="27"/>
    </row>
    <row r="1023" spans="3:7" x14ac:dyDescent="0.55000000000000004">
      <c r="C1023" s="27"/>
      <c r="E1023" s="27"/>
      <c r="G1023" s="27"/>
    </row>
    <row r="1024" spans="3:7" x14ac:dyDescent="0.55000000000000004">
      <c r="C1024" s="27"/>
      <c r="E1024" s="27"/>
      <c r="G1024" s="27"/>
    </row>
    <row r="1025" spans="3:7" x14ac:dyDescent="0.55000000000000004">
      <c r="C1025" s="27"/>
      <c r="E1025" s="27"/>
      <c r="G1025" s="27"/>
    </row>
    <row r="1026" spans="3:7" x14ac:dyDescent="0.55000000000000004">
      <c r="C1026" s="27"/>
      <c r="E1026" s="27"/>
      <c r="G1026" s="27"/>
    </row>
    <row r="1027" spans="3:7" x14ac:dyDescent="0.55000000000000004">
      <c r="C1027" s="27"/>
      <c r="E1027" s="27"/>
      <c r="G1027" s="27"/>
    </row>
    <row r="1028" spans="3:7" x14ac:dyDescent="0.55000000000000004">
      <c r="C1028" s="27"/>
      <c r="E1028" s="27"/>
      <c r="G1028" s="27"/>
    </row>
    <row r="1029" spans="3:7" x14ac:dyDescent="0.55000000000000004">
      <c r="C1029" s="27"/>
      <c r="E1029" s="27"/>
      <c r="G1029" s="27"/>
    </row>
    <row r="1030" spans="3:7" x14ac:dyDescent="0.55000000000000004">
      <c r="C1030" s="27"/>
      <c r="E1030" s="27"/>
      <c r="G1030" s="27"/>
    </row>
    <row r="1031" spans="3:7" x14ac:dyDescent="0.55000000000000004">
      <c r="C1031" s="27"/>
      <c r="E1031" s="27"/>
      <c r="G1031" s="27"/>
    </row>
    <row r="1032" spans="3:7" x14ac:dyDescent="0.55000000000000004">
      <c r="C1032" s="27"/>
      <c r="E1032" s="27"/>
      <c r="G1032" s="27"/>
    </row>
    <row r="1033" spans="3:7" x14ac:dyDescent="0.55000000000000004">
      <c r="C1033" s="27"/>
      <c r="E1033" s="27"/>
      <c r="G1033" s="27"/>
    </row>
    <row r="1034" spans="3:7" x14ac:dyDescent="0.55000000000000004">
      <c r="C1034" s="27"/>
      <c r="E1034" s="27"/>
      <c r="G1034" s="27"/>
    </row>
    <row r="1035" spans="3:7" x14ac:dyDescent="0.55000000000000004">
      <c r="C1035" s="27"/>
      <c r="E1035" s="27"/>
      <c r="G1035" s="27"/>
    </row>
    <row r="1036" spans="3:7" x14ac:dyDescent="0.55000000000000004">
      <c r="C1036" s="27"/>
      <c r="E1036" s="27"/>
      <c r="G1036" s="27"/>
    </row>
    <row r="1037" spans="3:7" x14ac:dyDescent="0.55000000000000004">
      <c r="C1037" s="27"/>
      <c r="E1037" s="27"/>
      <c r="G1037" s="27"/>
    </row>
    <row r="1038" spans="3:7" x14ac:dyDescent="0.55000000000000004">
      <c r="C1038" s="27"/>
      <c r="E1038" s="27"/>
      <c r="G1038" s="27"/>
    </row>
    <row r="1039" spans="3:7" x14ac:dyDescent="0.55000000000000004">
      <c r="C1039" s="27"/>
      <c r="E1039" s="27"/>
      <c r="G1039" s="27"/>
    </row>
    <row r="1040" spans="3:7" x14ac:dyDescent="0.55000000000000004">
      <c r="C1040" s="27"/>
      <c r="E1040" s="27"/>
      <c r="G1040" s="27"/>
    </row>
    <row r="1041" spans="3:7" x14ac:dyDescent="0.55000000000000004">
      <c r="C1041" s="27"/>
      <c r="E1041" s="27"/>
      <c r="G1041" s="27"/>
    </row>
    <row r="1042" spans="3:7" x14ac:dyDescent="0.55000000000000004">
      <c r="C1042" s="27"/>
      <c r="E1042" s="27"/>
      <c r="G1042" s="27"/>
    </row>
    <row r="1043" spans="3:7" x14ac:dyDescent="0.55000000000000004">
      <c r="C1043" s="27"/>
      <c r="E1043" s="27"/>
      <c r="G1043" s="27"/>
    </row>
    <row r="1044" spans="3:7" x14ac:dyDescent="0.55000000000000004">
      <c r="C1044" s="27"/>
      <c r="E1044" s="27"/>
      <c r="G1044" s="27"/>
    </row>
    <row r="1045" spans="3:7" x14ac:dyDescent="0.55000000000000004">
      <c r="C1045" s="27"/>
      <c r="E1045" s="27"/>
      <c r="G1045" s="27"/>
    </row>
    <row r="1046" spans="3:7" x14ac:dyDescent="0.55000000000000004">
      <c r="C1046" s="27"/>
      <c r="E1046" s="27"/>
      <c r="G1046" s="27"/>
    </row>
    <row r="1047" spans="3:7" x14ac:dyDescent="0.55000000000000004">
      <c r="C1047" s="27"/>
      <c r="E1047" s="27"/>
      <c r="G1047" s="27"/>
    </row>
    <row r="1048" spans="3:7" x14ac:dyDescent="0.55000000000000004">
      <c r="C1048" s="27"/>
      <c r="E1048" s="27"/>
      <c r="G1048" s="27"/>
    </row>
    <row r="1049" spans="3:7" x14ac:dyDescent="0.55000000000000004">
      <c r="C1049" s="27"/>
      <c r="E1049" s="27"/>
      <c r="G1049" s="27"/>
    </row>
    <row r="1050" spans="3:7" x14ac:dyDescent="0.55000000000000004">
      <c r="C1050" s="27"/>
      <c r="E1050" s="27"/>
      <c r="G1050" s="27"/>
    </row>
    <row r="1051" spans="3:7" x14ac:dyDescent="0.55000000000000004">
      <c r="C1051" s="27"/>
      <c r="E1051" s="27"/>
      <c r="G1051" s="27"/>
    </row>
    <row r="1052" spans="3:7" x14ac:dyDescent="0.55000000000000004">
      <c r="C1052" s="27"/>
      <c r="E1052" s="27"/>
      <c r="G1052" s="27"/>
    </row>
    <row r="1053" spans="3:7" x14ac:dyDescent="0.55000000000000004">
      <c r="C1053" s="27"/>
      <c r="E1053" s="27"/>
      <c r="G1053" s="27"/>
    </row>
    <row r="1054" spans="3:7" x14ac:dyDescent="0.55000000000000004">
      <c r="C1054" s="27"/>
      <c r="E1054" s="27"/>
      <c r="G1054" s="27"/>
    </row>
    <row r="1055" spans="3:7" x14ac:dyDescent="0.55000000000000004">
      <c r="C1055" s="27"/>
      <c r="E1055" s="27"/>
      <c r="G1055" s="27"/>
    </row>
    <row r="1056" spans="3:7" x14ac:dyDescent="0.55000000000000004">
      <c r="C1056" s="27"/>
      <c r="E1056" s="27"/>
      <c r="G1056" s="27"/>
    </row>
    <row r="1057" spans="3:7" x14ac:dyDescent="0.55000000000000004">
      <c r="C1057" s="27"/>
      <c r="E1057" s="27"/>
      <c r="G1057" s="27"/>
    </row>
    <row r="1058" spans="3:7" x14ac:dyDescent="0.55000000000000004">
      <c r="C1058" s="27"/>
      <c r="E1058" s="27"/>
      <c r="G1058" s="27"/>
    </row>
    <row r="1059" spans="3:7" x14ac:dyDescent="0.55000000000000004">
      <c r="C1059" s="27"/>
      <c r="E1059" s="27"/>
      <c r="G1059" s="27"/>
    </row>
    <row r="1060" spans="3:7" x14ac:dyDescent="0.55000000000000004">
      <c r="C1060" s="27"/>
      <c r="E1060" s="27"/>
      <c r="G1060" s="27"/>
    </row>
    <row r="1061" spans="3:7" x14ac:dyDescent="0.55000000000000004">
      <c r="C1061" s="27"/>
      <c r="E1061" s="27"/>
      <c r="G1061" s="27"/>
    </row>
    <row r="1062" spans="3:7" x14ac:dyDescent="0.55000000000000004">
      <c r="C1062" s="27"/>
      <c r="E1062" s="27"/>
      <c r="G1062" s="27"/>
    </row>
    <row r="1063" spans="3:7" x14ac:dyDescent="0.55000000000000004">
      <c r="C1063" s="27"/>
      <c r="E1063" s="27"/>
      <c r="G1063" s="27"/>
    </row>
    <row r="1064" spans="3:7" x14ac:dyDescent="0.55000000000000004">
      <c r="C1064" s="27"/>
      <c r="E1064" s="27"/>
      <c r="G1064" s="27"/>
    </row>
    <row r="1065" spans="3:7" x14ac:dyDescent="0.55000000000000004">
      <c r="C1065" s="27"/>
      <c r="E1065" s="27"/>
      <c r="G1065" s="27"/>
    </row>
    <row r="1066" spans="3:7" x14ac:dyDescent="0.55000000000000004">
      <c r="C1066" s="27"/>
      <c r="E1066" s="27"/>
      <c r="G1066" s="27"/>
    </row>
    <row r="1067" spans="3:7" x14ac:dyDescent="0.55000000000000004">
      <c r="C1067" s="27"/>
      <c r="E1067" s="27"/>
      <c r="G1067" s="27"/>
    </row>
    <row r="1068" spans="3:7" x14ac:dyDescent="0.55000000000000004">
      <c r="C1068" s="27"/>
      <c r="E1068" s="27"/>
      <c r="G1068" s="27"/>
    </row>
    <row r="1069" spans="3:7" x14ac:dyDescent="0.55000000000000004">
      <c r="C1069" s="27"/>
      <c r="E1069" s="27"/>
      <c r="G1069" s="27"/>
    </row>
    <row r="1070" spans="3:7" x14ac:dyDescent="0.55000000000000004">
      <c r="C1070" s="27"/>
      <c r="E1070" s="27"/>
      <c r="G1070" s="27"/>
    </row>
    <row r="1071" spans="3:7" x14ac:dyDescent="0.55000000000000004">
      <c r="C1071" s="27"/>
      <c r="E1071" s="27"/>
      <c r="G1071" s="27"/>
    </row>
    <row r="1072" spans="3:7" x14ac:dyDescent="0.55000000000000004">
      <c r="C1072" s="27"/>
      <c r="E1072" s="27"/>
      <c r="G1072" s="27"/>
    </row>
    <row r="1073" spans="3:7" x14ac:dyDescent="0.55000000000000004">
      <c r="C1073" s="27"/>
      <c r="E1073" s="27"/>
      <c r="G1073" s="27"/>
    </row>
    <row r="1074" spans="3:7" x14ac:dyDescent="0.55000000000000004">
      <c r="C1074" s="27"/>
      <c r="E1074" s="27"/>
      <c r="G1074" s="27"/>
    </row>
    <row r="1075" spans="3:7" x14ac:dyDescent="0.55000000000000004">
      <c r="C1075" s="27"/>
      <c r="E1075" s="27"/>
      <c r="G1075" s="27"/>
    </row>
    <row r="1076" spans="3:7" x14ac:dyDescent="0.55000000000000004">
      <c r="C1076" s="27"/>
      <c r="E1076" s="27"/>
      <c r="G1076" s="27"/>
    </row>
    <row r="1077" spans="3:7" x14ac:dyDescent="0.55000000000000004">
      <c r="C1077" s="27"/>
      <c r="E1077" s="27"/>
      <c r="G1077" s="27"/>
    </row>
    <row r="1078" spans="3:7" x14ac:dyDescent="0.55000000000000004">
      <c r="C1078" s="27"/>
      <c r="E1078" s="27"/>
      <c r="G1078" s="27"/>
    </row>
    <row r="1079" spans="3:7" x14ac:dyDescent="0.55000000000000004">
      <c r="C1079" s="27"/>
      <c r="E1079" s="27"/>
      <c r="G1079" s="27"/>
    </row>
    <row r="1080" spans="3:7" x14ac:dyDescent="0.55000000000000004">
      <c r="C1080" s="27"/>
      <c r="E1080" s="27"/>
      <c r="G1080" s="27"/>
    </row>
    <row r="1081" spans="3:7" x14ac:dyDescent="0.55000000000000004">
      <c r="C1081" s="27"/>
      <c r="E1081" s="27"/>
      <c r="G1081" s="27"/>
    </row>
    <row r="1082" spans="3:7" x14ac:dyDescent="0.55000000000000004">
      <c r="C1082" s="27"/>
      <c r="E1082" s="27"/>
      <c r="G1082" s="27"/>
    </row>
    <row r="1083" spans="3:7" x14ac:dyDescent="0.55000000000000004">
      <c r="C1083" s="27"/>
      <c r="E1083" s="27"/>
      <c r="G1083" s="27"/>
    </row>
    <row r="1084" spans="3:7" x14ac:dyDescent="0.55000000000000004">
      <c r="C1084" s="27"/>
      <c r="E1084" s="27"/>
      <c r="G1084" s="27"/>
    </row>
    <row r="1085" spans="3:7" x14ac:dyDescent="0.55000000000000004">
      <c r="C1085" s="27"/>
      <c r="E1085" s="27"/>
      <c r="G1085" s="27"/>
    </row>
    <row r="1086" spans="3:7" x14ac:dyDescent="0.55000000000000004">
      <c r="C1086" s="27"/>
      <c r="E1086" s="27"/>
      <c r="G1086" s="27"/>
    </row>
    <row r="1087" spans="3:7" x14ac:dyDescent="0.55000000000000004">
      <c r="C1087" s="27"/>
      <c r="E1087" s="27"/>
      <c r="G1087" s="27"/>
    </row>
    <row r="1088" spans="3:7" x14ac:dyDescent="0.55000000000000004">
      <c r="C1088" s="27"/>
      <c r="E1088" s="27"/>
      <c r="G1088" s="27"/>
    </row>
    <row r="1089" spans="3:7" x14ac:dyDescent="0.55000000000000004">
      <c r="C1089" s="27"/>
      <c r="E1089" s="27"/>
      <c r="G1089" s="27"/>
    </row>
    <row r="1090" spans="3:7" x14ac:dyDescent="0.55000000000000004">
      <c r="C1090" s="27"/>
      <c r="E1090" s="27"/>
      <c r="G1090" s="27"/>
    </row>
    <row r="1091" spans="3:7" x14ac:dyDescent="0.55000000000000004">
      <c r="C1091" s="27"/>
      <c r="E1091" s="27"/>
      <c r="G1091" s="27"/>
    </row>
    <row r="1092" spans="3:7" x14ac:dyDescent="0.55000000000000004">
      <c r="C1092" s="27"/>
      <c r="E1092" s="27"/>
      <c r="G1092" s="27"/>
    </row>
    <row r="1093" spans="3:7" x14ac:dyDescent="0.55000000000000004">
      <c r="C1093" s="27"/>
      <c r="E1093" s="27"/>
      <c r="G1093" s="27"/>
    </row>
    <row r="1094" spans="3:7" x14ac:dyDescent="0.55000000000000004">
      <c r="C1094" s="27"/>
      <c r="E1094" s="27"/>
      <c r="G1094" s="27"/>
    </row>
    <row r="1095" spans="3:7" x14ac:dyDescent="0.55000000000000004">
      <c r="C1095" s="27"/>
      <c r="E1095" s="27"/>
      <c r="G1095" s="27"/>
    </row>
    <row r="1096" spans="3:7" x14ac:dyDescent="0.55000000000000004">
      <c r="C1096" s="27"/>
      <c r="E1096" s="27"/>
      <c r="G1096" s="27"/>
    </row>
    <row r="1097" spans="3:7" x14ac:dyDescent="0.55000000000000004">
      <c r="C1097" s="27"/>
      <c r="E1097" s="27"/>
      <c r="G1097" s="27"/>
    </row>
    <row r="1098" spans="3:7" x14ac:dyDescent="0.55000000000000004">
      <c r="C1098" s="27"/>
      <c r="E1098" s="27"/>
      <c r="G1098" s="27"/>
    </row>
    <row r="1099" spans="3:7" x14ac:dyDescent="0.55000000000000004">
      <c r="C1099" s="27"/>
      <c r="E1099" s="27"/>
      <c r="G1099" s="27"/>
    </row>
    <row r="1100" spans="3:7" x14ac:dyDescent="0.55000000000000004">
      <c r="C1100" s="27"/>
      <c r="E1100" s="27"/>
      <c r="G1100" s="27"/>
    </row>
    <row r="1101" spans="3:7" x14ac:dyDescent="0.55000000000000004">
      <c r="C1101" s="27"/>
      <c r="E1101" s="27"/>
      <c r="G1101" s="27"/>
    </row>
    <row r="1102" spans="3:7" x14ac:dyDescent="0.55000000000000004">
      <c r="C1102" s="27"/>
      <c r="E1102" s="27"/>
      <c r="G1102" s="27"/>
    </row>
    <row r="1103" spans="3:7" x14ac:dyDescent="0.55000000000000004">
      <c r="C1103" s="27"/>
      <c r="E1103" s="27"/>
      <c r="G1103" s="27"/>
    </row>
    <row r="1104" spans="3:7" x14ac:dyDescent="0.55000000000000004">
      <c r="C1104" s="27"/>
      <c r="E1104" s="27"/>
      <c r="G1104" s="27"/>
    </row>
    <row r="1105" spans="3:7" x14ac:dyDescent="0.55000000000000004">
      <c r="C1105" s="27"/>
      <c r="E1105" s="27"/>
      <c r="G1105" s="27"/>
    </row>
    <row r="1106" spans="3:7" x14ac:dyDescent="0.55000000000000004">
      <c r="C1106" s="27"/>
      <c r="E1106" s="27"/>
      <c r="G1106" s="27"/>
    </row>
    <row r="1107" spans="3:7" x14ac:dyDescent="0.55000000000000004">
      <c r="C1107" s="27"/>
      <c r="E1107" s="27"/>
      <c r="G1107" s="27"/>
    </row>
    <row r="1108" spans="3:7" x14ac:dyDescent="0.55000000000000004">
      <c r="C1108" s="27"/>
      <c r="E1108" s="27"/>
      <c r="G1108" s="27"/>
    </row>
    <row r="1109" spans="3:7" x14ac:dyDescent="0.55000000000000004">
      <c r="C1109" s="27"/>
      <c r="E1109" s="27"/>
      <c r="G1109" s="27"/>
    </row>
    <row r="1110" spans="3:7" x14ac:dyDescent="0.55000000000000004">
      <c r="C1110" s="27"/>
      <c r="E1110" s="27"/>
      <c r="G1110" s="27"/>
    </row>
    <row r="1111" spans="3:7" x14ac:dyDescent="0.55000000000000004">
      <c r="C1111" s="27"/>
      <c r="E1111" s="27"/>
      <c r="G1111" s="27"/>
    </row>
    <row r="1112" spans="3:7" x14ac:dyDescent="0.55000000000000004">
      <c r="C1112" s="27"/>
      <c r="E1112" s="27"/>
      <c r="G1112" s="27"/>
    </row>
    <row r="1113" spans="3:7" x14ac:dyDescent="0.55000000000000004">
      <c r="C1113" s="27"/>
      <c r="E1113" s="27"/>
      <c r="G1113" s="27"/>
    </row>
    <row r="1114" spans="3:7" x14ac:dyDescent="0.55000000000000004">
      <c r="C1114" s="27"/>
      <c r="E1114" s="27"/>
      <c r="G1114" s="27"/>
    </row>
    <row r="1115" spans="3:7" x14ac:dyDescent="0.55000000000000004">
      <c r="C1115" s="27"/>
      <c r="E1115" s="27"/>
      <c r="G1115" s="27"/>
    </row>
    <row r="1116" spans="3:7" x14ac:dyDescent="0.55000000000000004">
      <c r="C1116" s="27"/>
      <c r="E1116" s="27"/>
      <c r="G1116" s="27"/>
    </row>
    <row r="1117" spans="3:7" x14ac:dyDescent="0.55000000000000004">
      <c r="C1117" s="27"/>
      <c r="E1117" s="27"/>
      <c r="G1117" s="27"/>
    </row>
    <row r="1118" spans="3:7" x14ac:dyDescent="0.55000000000000004">
      <c r="C1118" s="27"/>
      <c r="E1118" s="27"/>
      <c r="G1118" s="27"/>
    </row>
    <row r="1119" spans="3:7" x14ac:dyDescent="0.55000000000000004">
      <c r="C1119" s="27"/>
      <c r="E1119" s="27"/>
      <c r="G1119" s="27"/>
    </row>
    <row r="1120" spans="3:7" x14ac:dyDescent="0.55000000000000004">
      <c r="C1120" s="27"/>
      <c r="E1120" s="27"/>
      <c r="G1120" s="27"/>
    </row>
    <row r="1121" spans="3:7" x14ac:dyDescent="0.55000000000000004">
      <c r="C1121" s="27"/>
      <c r="E1121" s="27"/>
      <c r="G1121" s="27"/>
    </row>
    <row r="1122" spans="3:7" x14ac:dyDescent="0.55000000000000004">
      <c r="C1122" s="27"/>
      <c r="E1122" s="27"/>
      <c r="G1122" s="27"/>
    </row>
    <row r="1123" spans="3:7" x14ac:dyDescent="0.55000000000000004">
      <c r="C1123" s="27"/>
      <c r="E1123" s="27"/>
      <c r="G1123" s="27"/>
    </row>
    <row r="1124" spans="3:7" x14ac:dyDescent="0.55000000000000004">
      <c r="C1124" s="27"/>
      <c r="E1124" s="27"/>
      <c r="G1124" s="27"/>
    </row>
    <row r="1125" spans="3:7" x14ac:dyDescent="0.55000000000000004">
      <c r="C1125" s="27"/>
      <c r="E1125" s="27"/>
      <c r="G1125" s="27"/>
    </row>
    <row r="1126" spans="3:7" x14ac:dyDescent="0.55000000000000004">
      <c r="C1126" s="27"/>
      <c r="E1126" s="27"/>
      <c r="G1126" s="27"/>
    </row>
    <row r="1127" spans="3:7" x14ac:dyDescent="0.55000000000000004">
      <c r="C1127" s="27"/>
      <c r="E1127" s="27"/>
      <c r="G1127" s="27"/>
    </row>
    <row r="1128" spans="3:7" x14ac:dyDescent="0.55000000000000004">
      <c r="C1128" s="27"/>
      <c r="E1128" s="27"/>
      <c r="G1128" s="27"/>
    </row>
    <row r="1129" spans="3:7" x14ac:dyDescent="0.55000000000000004">
      <c r="C1129" s="27"/>
      <c r="E1129" s="27"/>
      <c r="G1129" s="27"/>
    </row>
    <row r="1130" spans="3:7" x14ac:dyDescent="0.55000000000000004">
      <c r="C1130" s="27"/>
      <c r="E1130" s="27"/>
      <c r="G1130" s="27"/>
    </row>
    <row r="1131" spans="3:7" x14ac:dyDescent="0.55000000000000004">
      <c r="C1131" s="27"/>
      <c r="E1131" s="27"/>
      <c r="G1131" s="27"/>
    </row>
    <row r="1132" spans="3:7" x14ac:dyDescent="0.55000000000000004">
      <c r="C1132" s="27"/>
      <c r="E1132" s="27"/>
      <c r="G1132" s="27"/>
    </row>
    <row r="1133" spans="3:7" x14ac:dyDescent="0.55000000000000004">
      <c r="C1133" s="27"/>
      <c r="E1133" s="27"/>
      <c r="G1133" s="27"/>
    </row>
    <row r="1134" spans="3:7" x14ac:dyDescent="0.55000000000000004">
      <c r="C1134" s="27"/>
      <c r="E1134" s="27"/>
      <c r="G1134" s="27"/>
    </row>
    <row r="1135" spans="3:7" x14ac:dyDescent="0.55000000000000004">
      <c r="C1135" s="27"/>
      <c r="E1135" s="27"/>
      <c r="G1135" s="27"/>
    </row>
    <row r="1136" spans="3:7" x14ac:dyDescent="0.55000000000000004">
      <c r="C1136" s="27"/>
      <c r="E1136" s="27"/>
      <c r="G1136" s="27"/>
    </row>
    <row r="1137" spans="3:7" x14ac:dyDescent="0.55000000000000004">
      <c r="C1137" s="27"/>
      <c r="E1137" s="27"/>
      <c r="G1137" s="27"/>
    </row>
    <row r="1138" spans="3:7" x14ac:dyDescent="0.55000000000000004">
      <c r="C1138" s="27"/>
      <c r="E1138" s="27"/>
      <c r="G1138" s="27"/>
    </row>
    <row r="1139" spans="3:7" x14ac:dyDescent="0.55000000000000004">
      <c r="C1139" s="27"/>
      <c r="E1139" s="27"/>
      <c r="G1139" s="27"/>
    </row>
    <row r="1140" spans="3:7" x14ac:dyDescent="0.55000000000000004">
      <c r="C1140" s="27"/>
      <c r="E1140" s="27"/>
      <c r="G1140" s="27"/>
    </row>
    <row r="1141" spans="3:7" x14ac:dyDescent="0.55000000000000004">
      <c r="C1141" s="27"/>
      <c r="E1141" s="27"/>
      <c r="G1141" s="27"/>
    </row>
    <row r="1142" spans="3:7" x14ac:dyDescent="0.55000000000000004">
      <c r="C1142" s="27"/>
      <c r="E1142" s="27"/>
      <c r="G1142" s="27"/>
    </row>
    <row r="1143" spans="3:7" x14ac:dyDescent="0.55000000000000004">
      <c r="C1143" s="27"/>
      <c r="E1143" s="27"/>
      <c r="G1143" s="27"/>
    </row>
    <row r="1144" spans="3:7" x14ac:dyDescent="0.55000000000000004">
      <c r="C1144" s="27"/>
      <c r="E1144" s="27"/>
      <c r="G1144" s="27"/>
    </row>
    <row r="1145" spans="3:7" x14ac:dyDescent="0.55000000000000004">
      <c r="C1145" s="27"/>
      <c r="E1145" s="27"/>
      <c r="G1145" s="27"/>
    </row>
    <row r="1146" spans="3:7" x14ac:dyDescent="0.55000000000000004">
      <c r="C1146" s="27"/>
      <c r="E1146" s="27"/>
      <c r="G1146" s="27"/>
    </row>
    <row r="1147" spans="3:7" x14ac:dyDescent="0.55000000000000004">
      <c r="C1147" s="27"/>
      <c r="E1147" s="27"/>
      <c r="G1147" s="27"/>
    </row>
    <row r="1148" spans="3:7" x14ac:dyDescent="0.55000000000000004">
      <c r="C1148" s="27"/>
      <c r="E1148" s="27"/>
      <c r="G1148" s="27"/>
    </row>
    <row r="1149" spans="3:7" x14ac:dyDescent="0.55000000000000004">
      <c r="C1149" s="27"/>
      <c r="E1149" s="27"/>
      <c r="G1149" s="27"/>
    </row>
    <row r="1150" spans="3:7" x14ac:dyDescent="0.55000000000000004">
      <c r="C1150" s="27"/>
      <c r="E1150" s="27"/>
      <c r="G1150" s="27"/>
    </row>
    <row r="1151" spans="3:7" x14ac:dyDescent="0.55000000000000004">
      <c r="C1151" s="27"/>
      <c r="E1151" s="27"/>
      <c r="G1151" s="27"/>
    </row>
    <row r="1152" spans="3:7" x14ac:dyDescent="0.55000000000000004">
      <c r="C1152" s="27"/>
      <c r="E1152" s="27"/>
      <c r="G1152" s="27"/>
    </row>
    <row r="1153" spans="3:7" x14ac:dyDescent="0.55000000000000004">
      <c r="C1153" s="27"/>
      <c r="E1153" s="27"/>
      <c r="G1153" s="27"/>
    </row>
    <row r="1154" spans="3:7" x14ac:dyDescent="0.55000000000000004">
      <c r="C1154" s="27"/>
      <c r="E1154" s="27"/>
      <c r="G1154" s="27"/>
    </row>
    <row r="1155" spans="3:7" x14ac:dyDescent="0.55000000000000004">
      <c r="C1155" s="27"/>
      <c r="E1155" s="27"/>
      <c r="G1155" s="27"/>
    </row>
    <row r="1156" spans="3:7" x14ac:dyDescent="0.55000000000000004">
      <c r="C1156" s="27"/>
      <c r="E1156" s="27"/>
      <c r="G1156" s="27"/>
    </row>
    <row r="1157" spans="3:7" x14ac:dyDescent="0.55000000000000004">
      <c r="C1157" s="27"/>
      <c r="E1157" s="27"/>
      <c r="G1157" s="27"/>
    </row>
    <row r="1158" spans="3:7" x14ac:dyDescent="0.55000000000000004">
      <c r="C1158" s="27"/>
      <c r="E1158" s="27"/>
      <c r="G1158" s="27"/>
    </row>
    <row r="1159" spans="3:7" x14ac:dyDescent="0.55000000000000004">
      <c r="C1159" s="27"/>
      <c r="E1159" s="27"/>
      <c r="G1159" s="27"/>
    </row>
    <row r="1160" spans="3:7" x14ac:dyDescent="0.55000000000000004">
      <c r="C1160" s="27"/>
      <c r="E1160" s="27"/>
      <c r="G1160" s="27"/>
    </row>
    <row r="1161" spans="3:7" x14ac:dyDescent="0.55000000000000004">
      <c r="C1161" s="27"/>
      <c r="E1161" s="27"/>
      <c r="G1161" s="27"/>
    </row>
    <row r="1162" spans="3:7" x14ac:dyDescent="0.55000000000000004">
      <c r="C1162" s="27"/>
      <c r="E1162" s="27"/>
      <c r="G1162" s="27"/>
    </row>
    <row r="1163" spans="3:7" x14ac:dyDescent="0.55000000000000004">
      <c r="C1163" s="27"/>
      <c r="E1163" s="27"/>
      <c r="G1163" s="27"/>
    </row>
    <row r="1164" spans="3:7" x14ac:dyDescent="0.55000000000000004">
      <c r="C1164" s="27"/>
      <c r="E1164" s="27"/>
      <c r="G1164" s="27"/>
    </row>
    <row r="1165" spans="3:7" x14ac:dyDescent="0.55000000000000004">
      <c r="C1165" s="27"/>
      <c r="E1165" s="27"/>
      <c r="G1165" s="27"/>
    </row>
    <row r="1166" spans="3:7" x14ac:dyDescent="0.55000000000000004">
      <c r="C1166" s="27"/>
      <c r="E1166" s="27"/>
      <c r="G1166" s="27"/>
    </row>
    <row r="1167" spans="3:7" x14ac:dyDescent="0.55000000000000004">
      <c r="C1167" s="27"/>
      <c r="E1167" s="27"/>
      <c r="G1167" s="27"/>
    </row>
    <row r="1168" spans="3:7" x14ac:dyDescent="0.55000000000000004">
      <c r="C1168" s="27"/>
      <c r="E1168" s="27"/>
      <c r="G1168" s="27"/>
    </row>
    <row r="1169" spans="3:7" x14ac:dyDescent="0.55000000000000004">
      <c r="C1169" s="27"/>
      <c r="E1169" s="27"/>
      <c r="G1169" s="27"/>
    </row>
    <row r="1170" spans="3:7" x14ac:dyDescent="0.55000000000000004">
      <c r="C1170" s="27"/>
      <c r="E1170" s="27"/>
      <c r="G1170" s="27"/>
    </row>
    <row r="1171" spans="3:7" x14ac:dyDescent="0.55000000000000004">
      <c r="C1171" s="27"/>
      <c r="E1171" s="27"/>
      <c r="G1171" s="27"/>
    </row>
    <row r="1172" spans="3:7" x14ac:dyDescent="0.55000000000000004">
      <c r="C1172" s="27"/>
      <c r="E1172" s="27"/>
      <c r="G1172" s="27"/>
    </row>
    <row r="1173" spans="3:7" x14ac:dyDescent="0.55000000000000004">
      <c r="C1173" s="27"/>
      <c r="E1173" s="27"/>
      <c r="G1173" s="27"/>
    </row>
    <row r="1174" spans="3:7" x14ac:dyDescent="0.55000000000000004">
      <c r="C1174" s="27"/>
      <c r="E1174" s="27"/>
      <c r="G1174" s="27"/>
    </row>
    <row r="1175" spans="3:7" x14ac:dyDescent="0.55000000000000004">
      <c r="C1175" s="27"/>
      <c r="E1175" s="27"/>
      <c r="G1175" s="27"/>
    </row>
    <row r="1176" spans="3:7" x14ac:dyDescent="0.55000000000000004">
      <c r="C1176" s="27"/>
      <c r="E1176" s="27"/>
      <c r="G1176" s="27"/>
    </row>
    <row r="1177" spans="3:7" x14ac:dyDescent="0.55000000000000004">
      <c r="C1177" s="27"/>
      <c r="E1177" s="27"/>
      <c r="G1177" s="27"/>
    </row>
    <row r="1178" spans="3:7" x14ac:dyDescent="0.55000000000000004">
      <c r="C1178" s="27"/>
      <c r="E1178" s="27"/>
      <c r="G1178" s="27"/>
    </row>
    <row r="1179" spans="3:7" x14ac:dyDescent="0.55000000000000004">
      <c r="C1179" s="27"/>
      <c r="E1179" s="27"/>
      <c r="G1179" s="27"/>
    </row>
    <row r="1180" spans="3:7" x14ac:dyDescent="0.55000000000000004">
      <c r="C1180" s="27"/>
      <c r="E1180" s="27"/>
      <c r="G1180" s="27"/>
    </row>
    <row r="1181" spans="3:7" x14ac:dyDescent="0.55000000000000004">
      <c r="C1181" s="27"/>
      <c r="E1181" s="27"/>
      <c r="G1181" s="27"/>
    </row>
    <row r="1182" spans="3:7" x14ac:dyDescent="0.55000000000000004">
      <c r="C1182" s="27"/>
      <c r="E1182" s="27"/>
      <c r="G1182" s="27"/>
    </row>
    <row r="1183" spans="3:7" x14ac:dyDescent="0.55000000000000004">
      <c r="C1183" s="27"/>
      <c r="E1183" s="27"/>
      <c r="G1183" s="27"/>
    </row>
    <row r="1184" spans="3:7" x14ac:dyDescent="0.55000000000000004">
      <c r="C1184" s="27"/>
      <c r="E1184" s="27"/>
      <c r="G1184" s="27"/>
    </row>
    <row r="1185" spans="3:7" x14ac:dyDescent="0.55000000000000004">
      <c r="C1185" s="27"/>
      <c r="E1185" s="27"/>
      <c r="G1185" s="27"/>
    </row>
    <row r="1186" spans="3:7" x14ac:dyDescent="0.55000000000000004">
      <c r="C1186" s="27"/>
      <c r="E1186" s="27"/>
      <c r="G1186" s="27"/>
    </row>
    <row r="1187" spans="3:7" x14ac:dyDescent="0.55000000000000004">
      <c r="C1187" s="27"/>
      <c r="E1187" s="27"/>
      <c r="G1187" s="27"/>
    </row>
    <row r="1188" spans="3:7" x14ac:dyDescent="0.55000000000000004">
      <c r="C1188" s="27"/>
      <c r="E1188" s="27"/>
      <c r="G1188" s="27"/>
    </row>
    <row r="1189" spans="3:7" x14ac:dyDescent="0.55000000000000004">
      <c r="C1189" s="27"/>
      <c r="E1189" s="27"/>
      <c r="G1189" s="27"/>
    </row>
    <row r="1190" spans="3:7" x14ac:dyDescent="0.55000000000000004">
      <c r="C1190" s="27"/>
      <c r="E1190" s="27"/>
      <c r="G1190" s="27"/>
    </row>
    <row r="1191" spans="3:7" x14ac:dyDescent="0.55000000000000004">
      <c r="C1191" s="27"/>
      <c r="E1191" s="27"/>
      <c r="G1191" s="27"/>
    </row>
    <row r="1192" spans="3:7" x14ac:dyDescent="0.55000000000000004">
      <c r="C1192" s="27"/>
      <c r="E1192" s="27"/>
      <c r="G1192" s="27"/>
    </row>
    <row r="1193" spans="3:7" x14ac:dyDescent="0.55000000000000004">
      <c r="C1193" s="27"/>
      <c r="E1193" s="27"/>
      <c r="G1193" s="27"/>
    </row>
    <row r="1194" spans="3:7" x14ac:dyDescent="0.55000000000000004">
      <c r="C1194" s="27"/>
      <c r="E1194" s="27"/>
      <c r="G1194" s="27"/>
    </row>
    <row r="1195" spans="3:7" x14ac:dyDescent="0.55000000000000004">
      <c r="C1195" s="27"/>
      <c r="E1195" s="27"/>
      <c r="G1195" s="27"/>
    </row>
    <row r="1196" spans="3:7" x14ac:dyDescent="0.55000000000000004">
      <c r="C1196" s="27"/>
      <c r="E1196" s="27"/>
      <c r="G1196" s="27"/>
    </row>
    <row r="1197" spans="3:7" x14ac:dyDescent="0.55000000000000004">
      <c r="C1197" s="27"/>
      <c r="E1197" s="27"/>
      <c r="G1197" s="27"/>
    </row>
    <row r="1198" spans="3:7" x14ac:dyDescent="0.55000000000000004">
      <c r="C1198" s="27"/>
      <c r="E1198" s="27"/>
      <c r="G1198" s="27"/>
    </row>
    <row r="1199" spans="3:7" x14ac:dyDescent="0.55000000000000004">
      <c r="C1199" s="27"/>
      <c r="E1199" s="27"/>
      <c r="G1199" s="27"/>
    </row>
    <row r="1200" spans="3:7" x14ac:dyDescent="0.55000000000000004">
      <c r="C1200" s="27"/>
      <c r="E1200" s="27"/>
      <c r="G1200" s="27"/>
    </row>
    <row r="1201" spans="3:7" x14ac:dyDescent="0.55000000000000004">
      <c r="C1201" s="27"/>
      <c r="E1201" s="27"/>
      <c r="G1201" s="27"/>
    </row>
    <row r="1202" spans="3:7" x14ac:dyDescent="0.55000000000000004">
      <c r="C1202" s="27"/>
      <c r="E1202" s="27"/>
      <c r="G1202" s="27"/>
    </row>
    <row r="1203" spans="3:7" x14ac:dyDescent="0.55000000000000004">
      <c r="C1203" s="27"/>
      <c r="E1203" s="27"/>
      <c r="G1203" s="27"/>
    </row>
    <row r="1204" spans="3:7" x14ac:dyDescent="0.55000000000000004">
      <c r="C1204" s="27"/>
      <c r="E1204" s="27"/>
      <c r="G1204" s="27"/>
    </row>
    <row r="1205" spans="3:7" x14ac:dyDescent="0.55000000000000004">
      <c r="C1205" s="27"/>
      <c r="E1205" s="27"/>
      <c r="G1205" s="27"/>
    </row>
    <row r="1206" spans="3:7" x14ac:dyDescent="0.55000000000000004">
      <c r="C1206" s="27"/>
      <c r="E1206" s="27"/>
      <c r="G1206" s="27"/>
    </row>
    <row r="1207" spans="3:7" x14ac:dyDescent="0.55000000000000004">
      <c r="C1207" s="27"/>
      <c r="E1207" s="27"/>
      <c r="G1207" s="27"/>
    </row>
    <row r="1208" spans="3:7" x14ac:dyDescent="0.55000000000000004">
      <c r="C1208" s="27"/>
      <c r="E1208" s="27"/>
      <c r="G1208" s="27"/>
    </row>
    <row r="1209" spans="3:7" x14ac:dyDescent="0.55000000000000004">
      <c r="C1209" s="27"/>
      <c r="E1209" s="27"/>
      <c r="G1209" s="27"/>
    </row>
    <row r="1210" spans="3:7" x14ac:dyDescent="0.55000000000000004">
      <c r="C1210" s="27"/>
      <c r="E1210" s="27"/>
      <c r="G1210" s="27"/>
    </row>
    <row r="1211" spans="3:7" x14ac:dyDescent="0.55000000000000004">
      <c r="C1211" s="27"/>
      <c r="E1211" s="27"/>
      <c r="G1211" s="27"/>
    </row>
    <row r="1212" spans="3:7" x14ac:dyDescent="0.55000000000000004">
      <c r="C1212" s="27"/>
      <c r="E1212" s="27"/>
      <c r="G1212" s="27"/>
    </row>
    <row r="1213" spans="3:7" x14ac:dyDescent="0.55000000000000004">
      <c r="C1213" s="27"/>
      <c r="E1213" s="27"/>
      <c r="G1213" s="27"/>
    </row>
    <row r="1214" spans="3:7" x14ac:dyDescent="0.55000000000000004">
      <c r="C1214" s="27"/>
      <c r="E1214" s="27"/>
      <c r="G1214" s="27"/>
    </row>
    <row r="1215" spans="3:7" x14ac:dyDescent="0.55000000000000004">
      <c r="C1215" s="27"/>
      <c r="E1215" s="27"/>
      <c r="G1215" s="27"/>
    </row>
    <row r="1216" spans="3:7" x14ac:dyDescent="0.55000000000000004">
      <c r="C1216" s="27"/>
      <c r="E1216" s="27"/>
      <c r="G1216" s="27"/>
    </row>
    <row r="1217" spans="3:7" x14ac:dyDescent="0.55000000000000004">
      <c r="C1217" s="27"/>
      <c r="E1217" s="27"/>
      <c r="G1217" s="27"/>
    </row>
    <row r="1218" spans="3:7" x14ac:dyDescent="0.55000000000000004">
      <c r="C1218" s="27"/>
      <c r="E1218" s="27"/>
      <c r="G1218" s="27"/>
    </row>
    <row r="1219" spans="3:7" x14ac:dyDescent="0.55000000000000004">
      <c r="C1219" s="27"/>
      <c r="E1219" s="27"/>
      <c r="G1219" s="27"/>
    </row>
    <row r="1220" spans="3:7" x14ac:dyDescent="0.55000000000000004">
      <c r="C1220" s="27"/>
      <c r="E1220" s="27"/>
      <c r="G1220" s="27"/>
    </row>
    <row r="1221" spans="3:7" x14ac:dyDescent="0.55000000000000004">
      <c r="C1221" s="27"/>
      <c r="E1221" s="27"/>
      <c r="G1221" s="27"/>
    </row>
    <row r="1222" spans="3:7" x14ac:dyDescent="0.55000000000000004">
      <c r="C1222" s="27"/>
      <c r="E1222" s="27"/>
      <c r="G1222" s="27"/>
    </row>
    <row r="1223" spans="3:7" x14ac:dyDescent="0.55000000000000004">
      <c r="C1223" s="27"/>
      <c r="E1223" s="27"/>
      <c r="G1223" s="27"/>
    </row>
    <row r="1224" spans="3:7" x14ac:dyDescent="0.55000000000000004">
      <c r="C1224" s="27"/>
      <c r="E1224" s="27"/>
      <c r="G1224" s="27"/>
    </row>
    <row r="1225" spans="3:7" x14ac:dyDescent="0.55000000000000004">
      <c r="C1225" s="27"/>
      <c r="E1225" s="27"/>
      <c r="G1225" s="27"/>
    </row>
    <row r="1226" spans="3:7" x14ac:dyDescent="0.55000000000000004">
      <c r="C1226" s="27"/>
      <c r="E1226" s="27"/>
      <c r="G1226" s="27"/>
    </row>
    <row r="1227" spans="3:7" x14ac:dyDescent="0.55000000000000004">
      <c r="C1227" s="27"/>
      <c r="E1227" s="27"/>
      <c r="G1227" s="27"/>
    </row>
    <row r="1228" spans="3:7" x14ac:dyDescent="0.55000000000000004">
      <c r="C1228" s="27"/>
      <c r="E1228" s="27"/>
      <c r="G1228" s="27"/>
    </row>
    <row r="1229" spans="3:7" x14ac:dyDescent="0.55000000000000004">
      <c r="C1229" s="27"/>
      <c r="E1229" s="27"/>
      <c r="G1229" s="27"/>
    </row>
    <row r="1230" spans="3:7" x14ac:dyDescent="0.55000000000000004">
      <c r="C1230" s="27"/>
      <c r="E1230" s="27"/>
      <c r="G1230" s="27"/>
    </row>
    <row r="1231" spans="3:7" x14ac:dyDescent="0.55000000000000004">
      <c r="C1231" s="27"/>
      <c r="E1231" s="27"/>
      <c r="G1231" s="27"/>
    </row>
    <row r="1232" spans="3:7" x14ac:dyDescent="0.55000000000000004">
      <c r="C1232" s="27"/>
      <c r="E1232" s="27"/>
      <c r="G1232" s="27"/>
    </row>
    <row r="1233" spans="3:7" x14ac:dyDescent="0.55000000000000004">
      <c r="C1233" s="27"/>
      <c r="E1233" s="27"/>
      <c r="G1233" s="27"/>
    </row>
    <row r="1234" spans="3:7" x14ac:dyDescent="0.55000000000000004">
      <c r="C1234" s="27"/>
      <c r="E1234" s="27"/>
      <c r="G1234" s="27"/>
    </row>
    <row r="1235" spans="3:7" x14ac:dyDescent="0.55000000000000004">
      <c r="C1235" s="27"/>
      <c r="E1235" s="27"/>
      <c r="G1235" s="27"/>
    </row>
    <row r="1236" spans="3:7" x14ac:dyDescent="0.55000000000000004">
      <c r="C1236" s="27"/>
      <c r="E1236" s="27"/>
      <c r="G1236" s="27"/>
    </row>
    <row r="1237" spans="3:7" x14ac:dyDescent="0.55000000000000004">
      <c r="C1237" s="27"/>
      <c r="E1237" s="27"/>
      <c r="G1237" s="27"/>
    </row>
    <row r="1238" spans="3:7" x14ac:dyDescent="0.55000000000000004">
      <c r="C1238" s="27"/>
      <c r="E1238" s="27"/>
      <c r="G1238" s="27"/>
    </row>
    <row r="1239" spans="3:7" x14ac:dyDescent="0.55000000000000004">
      <c r="C1239" s="27"/>
      <c r="E1239" s="27"/>
      <c r="G1239" s="27"/>
    </row>
    <row r="1240" spans="3:7" x14ac:dyDescent="0.55000000000000004">
      <c r="C1240" s="27"/>
      <c r="E1240" s="27"/>
      <c r="G1240" s="27"/>
    </row>
    <row r="1241" spans="3:7" x14ac:dyDescent="0.55000000000000004">
      <c r="C1241" s="27"/>
      <c r="E1241" s="27"/>
      <c r="G1241" s="27"/>
    </row>
    <row r="1242" spans="3:7" x14ac:dyDescent="0.55000000000000004">
      <c r="C1242" s="27"/>
      <c r="E1242" s="27"/>
      <c r="G1242" s="27"/>
    </row>
    <row r="1243" spans="3:7" x14ac:dyDescent="0.55000000000000004">
      <c r="C1243" s="27"/>
      <c r="E1243" s="27"/>
      <c r="G1243" s="27"/>
    </row>
    <row r="1244" spans="3:7" x14ac:dyDescent="0.55000000000000004">
      <c r="C1244" s="27"/>
      <c r="E1244" s="27"/>
      <c r="G1244" s="27"/>
    </row>
    <row r="1245" spans="3:7" x14ac:dyDescent="0.55000000000000004">
      <c r="C1245" s="27"/>
      <c r="E1245" s="27"/>
      <c r="G1245" s="27"/>
    </row>
    <row r="1246" spans="3:7" x14ac:dyDescent="0.55000000000000004">
      <c r="C1246" s="27"/>
      <c r="E1246" s="27"/>
      <c r="G1246" s="27"/>
    </row>
    <row r="1247" spans="3:7" x14ac:dyDescent="0.55000000000000004">
      <c r="C1247" s="27"/>
      <c r="E1247" s="27"/>
      <c r="G1247" s="27"/>
    </row>
    <row r="1248" spans="3:7" x14ac:dyDescent="0.55000000000000004">
      <c r="C1248" s="27"/>
      <c r="E1248" s="27"/>
      <c r="G1248" s="27"/>
    </row>
    <row r="1249" spans="3:7" x14ac:dyDescent="0.55000000000000004">
      <c r="C1249" s="27"/>
      <c r="E1249" s="27"/>
      <c r="G1249" s="27"/>
    </row>
    <row r="1250" spans="3:7" x14ac:dyDescent="0.55000000000000004">
      <c r="C1250" s="27"/>
      <c r="E1250" s="27"/>
      <c r="G1250" s="27"/>
    </row>
    <row r="1251" spans="3:7" x14ac:dyDescent="0.55000000000000004">
      <c r="C1251" s="27"/>
      <c r="E1251" s="27"/>
      <c r="G1251" s="27"/>
    </row>
    <row r="1252" spans="3:7" x14ac:dyDescent="0.55000000000000004">
      <c r="C1252" s="27"/>
      <c r="E1252" s="27"/>
      <c r="G1252" s="27"/>
    </row>
    <row r="1253" spans="3:7" x14ac:dyDescent="0.55000000000000004">
      <c r="C1253" s="27"/>
      <c r="E1253" s="27"/>
      <c r="G1253" s="27"/>
    </row>
    <row r="1254" spans="3:7" x14ac:dyDescent="0.55000000000000004">
      <c r="C1254" s="27"/>
      <c r="E1254" s="27"/>
      <c r="G1254" s="27"/>
    </row>
    <row r="1255" spans="3:7" x14ac:dyDescent="0.55000000000000004">
      <c r="C1255" s="27"/>
      <c r="E1255" s="27"/>
      <c r="G1255" s="27"/>
    </row>
    <row r="1256" spans="3:7" x14ac:dyDescent="0.55000000000000004">
      <c r="C1256" s="27"/>
      <c r="E1256" s="27"/>
      <c r="G1256" s="27"/>
    </row>
    <row r="1257" spans="3:7" x14ac:dyDescent="0.55000000000000004">
      <c r="C1257" s="27"/>
      <c r="E1257" s="27"/>
      <c r="G1257" s="27"/>
    </row>
    <row r="1258" spans="3:7" x14ac:dyDescent="0.55000000000000004">
      <c r="C1258" s="27"/>
      <c r="E1258" s="27"/>
      <c r="G1258" s="27"/>
    </row>
    <row r="1259" spans="3:7" x14ac:dyDescent="0.55000000000000004">
      <c r="C1259" s="27"/>
      <c r="E1259" s="27"/>
      <c r="G1259" s="27"/>
    </row>
    <row r="1260" spans="3:7" x14ac:dyDescent="0.55000000000000004">
      <c r="C1260" s="27"/>
      <c r="E1260" s="27"/>
      <c r="G1260" s="27"/>
    </row>
    <row r="1261" spans="3:7" x14ac:dyDescent="0.55000000000000004">
      <c r="C1261" s="27"/>
      <c r="E1261" s="27"/>
      <c r="G1261" s="27"/>
    </row>
    <row r="1262" spans="3:7" x14ac:dyDescent="0.55000000000000004">
      <c r="C1262" s="27"/>
      <c r="E1262" s="27"/>
      <c r="G1262" s="27"/>
    </row>
    <row r="1263" spans="3:7" x14ac:dyDescent="0.55000000000000004">
      <c r="C1263" s="27"/>
      <c r="E1263" s="27"/>
      <c r="G1263" s="27"/>
    </row>
    <row r="1264" spans="3:7" x14ac:dyDescent="0.55000000000000004">
      <c r="C1264" s="27"/>
      <c r="E1264" s="27"/>
      <c r="G1264" s="27"/>
    </row>
    <row r="1265" spans="3:7" x14ac:dyDescent="0.55000000000000004">
      <c r="C1265" s="27"/>
      <c r="E1265" s="27"/>
      <c r="G1265" s="27"/>
    </row>
    <row r="1266" spans="3:7" x14ac:dyDescent="0.55000000000000004">
      <c r="C1266" s="27"/>
      <c r="E1266" s="27"/>
      <c r="G1266" s="27"/>
    </row>
    <row r="1267" spans="3:7" x14ac:dyDescent="0.55000000000000004">
      <c r="C1267" s="27"/>
      <c r="E1267" s="27"/>
      <c r="G1267" s="27"/>
    </row>
    <row r="1268" spans="3:7" x14ac:dyDescent="0.55000000000000004">
      <c r="C1268" s="27"/>
      <c r="E1268" s="27"/>
      <c r="G1268" s="27"/>
    </row>
    <row r="1269" spans="3:7" x14ac:dyDescent="0.55000000000000004">
      <c r="C1269" s="27"/>
      <c r="E1269" s="27"/>
      <c r="G1269" s="27"/>
    </row>
    <row r="1270" spans="3:7" x14ac:dyDescent="0.55000000000000004">
      <c r="C1270" s="27"/>
      <c r="E1270" s="27"/>
      <c r="G1270" s="27"/>
    </row>
    <row r="1271" spans="3:7" x14ac:dyDescent="0.55000000000000004">
      <c r="C1271" s="27"/>
      <c r="E1271" s="27"/>
      <c r="G1271" s="27"/>
    </row>
    <row r="1272" spans="3:7" x14ac:dyDescent="0.55000000000000004">
      <c r="C1272" s="27"/>
      <c r="E1272" s="27"/>
      <c r="G1272" s="27"/>
    </row>
    <row r="1273" spans="3:7" x14ac:dyDescent="0.55000000000000004">
      <c r="C1273" s="27"/>
      <c r="E1273" s="27"/>
      <c r="G1273" s="27"/>
    </row>
    <row r="1274" spans="3:7" x14ac:dyDescent="0.55000000000000004">
      <c r="C1274" s="27"/>
      <c r="E1274" s="27"/>
      <c r="G1274" s="27"/>
    </row>
    <row r="1275" spans="3:7" x14ac:dyDescent="0.55000000000000004">
      <c r="C1275" s="27"/>
      <c r="E1275" s="27"/>
      <c r="G1275" s="27"/>
    </row>
    <row r="1276" spans="3:7" x14ac:dyDescent="0.55000000000000004">
      <c r="C1276" s="27"/>
      <c r="E1276" s="27"/>
      <c r="G1276" s="27"/>
    </row>
    <row r="1277" spans="3:7" x14ac:dyDescent="0.55000000000000004">
      <c r="C1277" s="27"/>
      <c r="E1277" s="27"/>
      <c r="G1277" s="27"/>
    </row>
    <row r="1278" spans="3:7" x14ac:dyDescent="0.55000000000000004">
      <c r="C1278" s="27"/>
      <c r="E1278" s="27"/>
      <c r="G1278" s="27"/>
    </row>
    <row r="1279" spans="3:7" x14ac:dyDescent="0.55000000000000004">
      <c r="C1279" s="27"/>
      <c r="E1279" s="27"/>
      <c r="G1279" s="27"/>
    </row>
    <row r="1280" spans="3:7" x14ac:dyDescent="0.55000000000000004">
      <c r="C1280" s="27"/>
      <c r="E1280" s="27"/>
      <c r="G1280" s="27"/>
    </row>
    <row r="1281" spans="3:7" x14ac:dyDescent="0.55000000000000004">
      <c r="C1281" s="27"/>
      <c r="E1281" s="27"/>
      <c r="G1281" s="27"/>
    </row>
    <row r="1282" spans="3:7" x14ac:dyDescent="0.55000000000000004">
      <c r="C1282" s="27"/>
      <c r="E1282" s="27"/>
      <c r="G1282" s="27"/>
    </row>
    <row r="1283" spans="3:7" x14ac:dyDescent="0.55000000000000004">
      <c r="C1283" s="27"/>
      <c r="E1283" s="27"/>
      <c r="G1283" s="27"/>
    </row>
    <row r="1284" spans="3:7" x14ac:dyDescent="0.55000000000000004">
      <c r="C1284" s="27"/>
      <c r="E1284" s="27"/>
      <c r="G1284" s="27"/>
    </row>
    <row r="1285" spans="3:7" x14ac:dyDescent="0.55000000000000004">
      <c r="C1285" s="27"/>
      <c r="E1285" s="27"/>
      <c r="G1285" s="27"/>
    </row>
    <row r="1286" spans="3:7" x14ac:dyDescent="0.55000000000000004">
      <c r="C1286" s="27"/>
      <c r="E1286" s="27"/>
      <c r="G1286" s="27"/>
    </row>
    <row r="1287" spans="3:7" x14ac:dyDescent="0.55000000000000004">
      <c r="C1287" s="27"/>
      <c r="E1287" s="27"/>
      <c r="G1287" s="27"/>
    </row>
    <row r="1288" spans="3:7" x14ac:dyDescent="0.55000000000000004">
      <c r="C1288" s="27"/>
      <c r="E1288" s="27"/>
      <c r="G1288" s="27"/>
    </row>
    <row r="1289" spans="3:7" x14ac:dyDescent="0.55000000000000004">
      <c r="C1289" s="27"/>
      <c r="E1289" s="27"/>
      <c r="G1289" s="27"/>
    </row>
    <row r="1290" spans="3:7" x14ac:dyDescent="0.55000000000000004">
      <c r="C1290" s="27"/>
      <c r="E1290" s="27"/>
      <c r="G1290" s="27"/>
    </row>
    <row r="1291" spans="3:7" x14ac:dyDescent="0.55000000000000004">
      <c r="C1291" s="27"/>
      <c r="E1291" s="27"/>
      <c r="G1291" s="27"/>
    </row>
    <row r="1292" spans="3:7" x14ac:dyDescent="0.55000000000000004">
      <c r="C1292" s="27"/>
      <c r="E1292" s="27"/>
      <c r="G1292" s="27"/>
    </row>
    <row r="1293" spans="3:7" x14ac:dyDescent="0.55000000000000004">
      <c r="C1293" s="27"/>
      <c r="E1293" s="27"/>
      <c r="G1293" s="27"/>
    </row>
    <row r="1294" spans="3:7" x14ac:dyDescent="0.55000000000000004">
      <c r="C1294" s="27"/>
      <c r="E1294" s="27"/>
      <c r="G1294" s="27"/>
    </row>
    <row r="1295" spans="3:7" x14ac:dyDescent="0.55000000000000004">
      <c r="C1295" s="27"/>
      <c r="E1295" s="27"/>
      <c r="G1295" s="27"/>
    </row>
    <row r="1296" spans="3:7" x14ac:dyDescent="0.55000000000000004">
      <c r="C1296" s="27"/>
      <c r="E1296" s="27"/>
      <c r="G1296" s="27"/>
    </row>
    <row r="1297" spans="3:7" x14ac:dyDescent="0.55000000000000004">
      <c r="C1297" s="27"/>
      <c r="E1297" s="27"/>
      <c r="G1297" s="27"/>
    </row>
    <row r="1298" spans="3:7" x14ac:dyDescent="0.55000000000000004">
      <c r="C1298" s="27"/>
      <c r="E1298" s="27"/>
      <c r="G1298" s="27"/>
    </row>
    <row r="1299" spans="3:7" x14ac:dyDescent="0.55000000000000004">
      <c r="C1299" s="27"/>
      <c r="E1299" s="27"/>
      <c r="G1299" s="27"/>
    </row>
    <row r="1300" spans="3:7" x14ac:dyDescent="0.55000000000000004">
      <c r="C1300" s="27"/>
      <c r="E1300" s="27"/>
      <c r="G1300" s="27"/>
    </row>
    <row r="1301" spans="3:7" x14ac:dyDescent="0.55000000000000004">
      <c r="C1301" s="27"/>
      <c r="E1301" s="27"/>
      <c r="G1301" s="27"/>
    </row>
    <row r="1302" spans="3:7" x14ac:dyDescent="0.55000000000000004">
      <c r="C1302" s="27"/>
      <c r="E1302" s="27"/>
      <c r="G1302" s="27"/>
    </row>
    <row r="1303" spans="3:7" x14ac:dyDescent="0.55000000000000004">
      <c r="C1303" s="27"/>
      <c r="E1303" s="27"/>
      <c r="G1303" s="27"/>
    </row>
    <row r="1304" spans="3:7" x14ac:dyDescent="0.55000000000000004">
      <c r="C1304" s="27"/>
      <c r="E1304" s="27"/>
      <c r="G1304" s="27"/>
    </row>
    <row r="1305" spans="3:7" x14ac:dyDescent="0.55000000000000004">
      <c r="C1305" s="27"/>
      <c r="E1305" s="27"/>
      <c r="G1305" s="27"/>
    </row>
    <row r="1306" spans="3:7" x14ac:dyDescent="0.55000000000000004">
      <c r="C1306" s="27"/>
      <c r="E1306" s="27"/>
      <c r="G1306" s="27"/>
    </row>
    <row r="1307" spans="3:7" x14ac:dyDescent="0.55000000000000004">
      <c r="C1307" s="27"/>
      <c r="E1307" s="27"/>
      <c r="G1307" s="27"/>
    </row>
    <row r="1308" spans="3:7" x14ac:dyDescent="0.55000000000000004">
      <c r="C1308" s="27"/>
      <c r="E1308" s="27"/>
      <c r="G1308" s="27"/>
    </row>
    <row r="1309" spans="3:7" x14ac:dyDescent="0.55000000000000004">
      <c r="C1309" s="27"/>
      <c r="E1309" s="27"/>
      <c r="G1309" s="27"/>
    </row>
    <row r="1310" spans="3:7" x14ac:dyDescent="0.55000000000000004">
      <c r="C1310" s="27"/>
      <c r="E1310" s="27"/>
      <c r="G1310" s="27"/>
    </row>
    <row r="1311" spans="3:7" x14ac:dyDescent="0.55000000000000004">
      <c r="C1311" s="27"/>
      <c r="E1311" s="27"/>
      <c r="G1311" s="27"/>
    </row>
    <row r="1312" spans="3:7" x14ac:dyDescent="0.55000000000000004">
      <c r="C1312" s="27"/>
      <c r="E1312" s="27"/>
      <c r="G1312" s="27"/>
    </row>
    <row r="1313" spans="3:7" x14ac:dyDescent="0.55000000000000004">
      <c r="C1313" s="27"/>
      <c r="E1313" s="27"/>
      <c r="G1313" s="27"/>
    </row>
    <row r="1314" spans="3:7" x14ac:dyDescent="0.55000000000000004">
      <c r="C1314" s="27"/>
      <c r="E1314" s="27"/>
      <c r="G1314" s="27"/>
    </row>
    <row r="1315" spans="3:7" x14ac:dyDescent="0.55000000000000004">
      <c r="C1315" s="27"/>
      <c r="E1315" s="27"/>
      <c r="G1315" s="27"/>
    </row>
    <row r="1316" spans="3:7" x14ac:dyDescent="0.55000000000000004">
      <c r="C1316" s="27"/>
      <c r="E1316" s="27"/>
      <c r="G1316" s="27"/>
    </row>
    <row r="1317" spans="3:7" x14ac:dyDescent="0.55000000000000004">
      <c r="C1317" s="27"/>
      <c r="E1317" s="27"/>
      <c r="G1317" s="27"/>
    </row>
    <row r="1318" spans="3:7" x14ac:dyDescent="0.55000000000000004">
      <c r="C1318" s="27"/>
      <c r="E1318" s="27"/>
      <c r="G1318" s="27"/>
    </row>
    <row r="1319" spans="3:7" x14ac:dyDescent="0.55000000000000004">
      <c r="C1319" s="27"/>
      <c r="E1319" s="27"/>
      <c r="G1319" s="27"/>
    </row>
    <row r="1320" spans="3:7" x14ac:dyDescent="0.55000000000000004">
      <c r="C1320" s="27"/>
      <c r="E1320" s="27"/>
      <c r="G1320" s="27"/>
    </row>
    <row r="1321" spans="3:7" x14ac:dyDescent="0.55000000000000004">
      <c r="C1321" s="27"/>
      <c r="E1321" s="27"/>
      <c r="G1321" s="27"/>
    </row>
    <row r="1322" spans="3:7" x14ac:dyDescent="0.55000000000000004">
      <c r="C1322" s="27"/>
      <c r="E1322" s="27"/>
      <c r="G1322" s="27"/>
    </row>
    <row r="1323" spans="3:7" x14ac:dyDescent="0.55000000000000004">
      <c r="C1323" s="27"/>
      <c r="E1323" s="27"/>
      <c r="G1323" s="27"/>
    </row>
    <row r="1324" spans="3:7" x14ac:dyDescent="0.55000000000000004">
      <c r="C1324" s="27"/>
      <c r="E1324" s="27"/>
      <c r="G1324" s="27"/>
    </row>
    <row r="1325" spans="3:7" x14ac:dyDescent="0.55000000000000004">
      <c r="C1325" s="27"/>
      <c r="E1325" s="27"/>
      <c r="G1325" s="27"/>
    </row>
    <row r="1326" spans="3:7" x14ac:dyDescent="0.55000000000000004">
      <c r="C1326" s="27"/>
      <c r="E1326" s="27"/>
      <c r="G1326" s="27"/>
    </row>
    <row r="1327" spans="3:7" x14ac:dyDescent="0.55000000000000004">
      <c r="C1327" s="27"/>
      <c r="E1327" s="27"/>
      <c r="G1327" s="27"/>
    </row>
    <row r="1328" spans="3:7" x14ac:dyDescent="0.55000000000000004">
      <c r="C1328" s="27"/>
      <c r="E1328" s="27"/>
      <c r="G1328" s="27"/>
    </row>
    <row r="1329" spans="3:7" x14ac:dyDescent="0.55000000000000004">
      <c r="C1329" s="27"/>
      <c r="E1329" s="27"/>
      <c r="G1329" s="27"/>
    </row>
    <row r="1330" spans="3:7" x14ac:dyDescent="0.55000000000000004">
      <c r="C1330" s="27"/>
      <c r="E1330" s="27"/>
      <c r="G1330" s="27"/>
    </row>
    <row r="1331" spans="3:7" x14ac:dyDescent="0.55000000000000004">
      <c r="C1331" s="27"/>
      <c r="E1331" s="27"/>
      <c r="G1331" s="27"/>
    </row>
    <row r="1332" spans="3:7" x14ac:dyDescent="0.55000000000000004">
      <c r="C1332" s="27"/>
      <c r="E1332" s="27"/>
      <c r="G1332" s="27"/>
    </row>
    <row r="1333" spans="3:7" x14ac:dyDescent="0.55000000000000004">
      <c r="C1333" s="27"/>
      <c r="E1333" s="27"/>
      <c r="G1333" s="27"/>
    </row>
    <row r="1334" spans="3:7" x14ac:dyDescent="0.55000000000000004">
      <c r="C1334" s="27"/>
      <c r="E1334" s="27"/>
      <c r="G1334" s="27"/>
    </row>
    <row r="1335" spans="3:7" x14ac:dyDescent="0.55000000000000004">
      <c r="C1335" s="27"/>
      <c r="E1335" s="27"/>
      <c r="G1335" s="27"/>
    </row>
    <row r="1336" spans="3:7" x14ac:dyDescent="0.55000000000000004">
      <c r="C1336" s="27"/>
      <c r="E1336" s="27"/>
      <c r="G1336" s="27"/>
    </row>
    <row r="1337" spans="3:7" x14ac:dyDescent="0.55000000000000004">
      <c r="C1337" s="27"/>
      <c r="E1337" s="27"/>
      <c r="G1337" s="27"/>
    </row>
    <row r="1338" spans="3:7" x14ac:dyDescent="0.55000000000000004">
      <c r="C1338" s="27"/>
      <c r="E1338" s="27"/>
      <c r="G1338" s="27"/>
    </row>
    <row r="1339" spans="3:7" x14ac:dyDescent="0.55000000000000004">
      <c r="C1339" s="27"/>
      <c r="E1339" s="27"/>
      <c r="G1339" s="27"/>
    </row>
    <row r="1340" spans="3:7" x14ac:dyDescent="0.55000000000000004">
      <c r="C1340" s="27"/>
      <c r="E1340" s="27"/>
      <c r="G1340" s="27"/>
    </row>
    <row r="1341" spans="3:7" x14ac:dyDescent="0.55000000000000004">
      <c r="C1341" s="27"/>
      <c r="E1341" s="27"/>
      <c r="G1341" s="27"/>
    </row>
    <row r="1342" spans="3:7" x14ac:dyDescent="0.55000000000000004">
      <c r="C1342" s="27"/>
      <c r="E1342" s="27"/>
      <c r="G1342" s="27"/>
    </row>
    <row r="1343" spans="3:7" x14ac:dyDescent="0.55000000000000004">
      <c r="C1343" s="27"/>
      <c r="E1343" s="27"/>
      <c r="G1343" s="27"/>
    </row>
    <row r="1344" spans="3:7" x14ac:dyDescent="0.55000000000000004">
      <c r="C1344" s="27"/>
      <c r="E1344" s="27"/>
      <c r="G1344" s="27"/>
    </row>
    <row r="1345" spans="3:7" x14ac:dyDescent="0.55000000000000004">
      <c r="C1345" s="27"/>
      <c r="E1345" s="27"/>
      <c r="G1345" s="27"/>
    </row>
    <row r="1346" spans="3:7" x14ac:dyDescent="0.55000000000000004">
      <c r="C1346" s="27"/>
      <c r="E1346" s="27"/>
      <c r="G1346" s="27"/>
    </row>
    <row r="1347" spans="3:7" x14ac:dyDescent="0.55000000000000004">
      <c r="C1347" s="27"/>
      <c r="E1347" s="27"/>
      <c r="G1347" s="27"/>
    </row>
    <row r="1348" spans="3:7" x14ac:dyDescent="0.55000000000000004">
      <c r="C1348" s="27"/>
      <c r="E1348" s="27"/>
      <c r="G1348" s="27"/>
    </row>
    <row r="1349" spans="3:7" x14ac:dyDescent="0.55000000000000004">
      <c r="C1349" s="27"/>
      <c r="E1349" s="27"/>
      <c r="G1349" s="27"/>
    </row>
    <row r="1350" spans="3:7" x14ac:dyDescent="0.55000000000000004">
      <c r="C1350" s="27"/>
      <c r="E1350" s="27"/>
      <c r="G1350" s="27"/>
    </row>
    <row r="1351" spans="3:7" x14ac:dyDescent="0.55000000000000004">
      <c r="C1351" s="27"/>
      <c r="E1351" s="27"/>
      <c r="G1351" s="27"/>
    </row>
    <row r="1352" spans="3:7" x14ac:dyDescent="0.55000000000000004">
      <c r="C1352" s="27"/>
      <c r="E1352" s="27"/>
      <c r="G1352" s="27"/>
    </row>
    <row r="1353" spans="3:7" x14ac:dyDescent="0.55000000000000004">
      <c r="C1353" s="27"/>
      <c r="E1353" s="27"/>
      <c r="G1353" s="27"/>
    </row>
    <row r="1354" spans="3:7" x14ac:dyDescent="0.55000000000000004">
      <c r="C1354" s="27"/>
      <c r="E1354" s="27"/>
      <c r="G1354" s="27"/>
    </row>
    <row r="1355" spans="3:7" x14ac:dyDescent="0.55000000000000004">
      <c r="C1355" s="27"/>
      <c r="E1355" s="27"/>
      <c r="G1355" s="27"/>
    </row>
    <row r="1356" spans="3:7" x14ac:dyDescent="0.55000000000000004">
      <c r="C1356" s="27"/>
      <c r="E1356" s="27"/>
      <c r="G1356" s="27"/>
    </row>
    <row r="1357" spans="3:7" x14ac:dyDescent="0.55000000000000004">
      <c r="C1357" s="27"/>
      <c r="E1357" s="27"/>
      <c r="G1357" s="27"/>
    </row>
    <row r="1358" spans="3:7" x14ac:dyDescent="0.55000000000000004">
      <c r="C1358" s="27"/>
      <c r="E1358" s="27"/>
      <c r="G1358" s="27"/>
    </row>
    <row r="1359" spans="3:7" x14ac:dyDescent="0.55000000000000004">
      <c r="C1359" s="27"/>
      <c r="E1359" s="27"/>
      <c r="G1359" s="27"/>
    </row>
    <row r="1360" spans="3:7" x14ac:dyDescent="0.55000000000000004">
      <c r="C1360" s="27"/>
      <c r="E1360" s="27"/>
      <c r="G1360" s="27"/>
    </row>
    <row r="1361" spans="3:7" x14ac:dyDescent="0.55000000000000004">
      <c r="C1361" s="27"/>
      <c r="E1361" s="27"/>
      <c r="G1361" s="27"/>
    </row>
    <row r="1362" spans="3:7" x14ac:dyDescent="0.55000000000000004">
      <c r="C1362" s="27"/>
      <c r="E1362" s="27"/>
      <c r="G1362" s="27"/>
    </row>
    <row r="1363" spans="3:7" x14ac:dyDescent="0.55000000000000004">
      <c r="C1363" s="27"/>
      <c r="E1363" s="27"/>
      <c r="G1363" s="27"/>
    </row>
    <row r="1364" spans="3:7" x14ac:dyDescent="0.55000000000000004">
      <c r="C1364" s="27"/>
      <c r="E1364" s="27"/>
      <c r="G1364" s="27"/>
    </row>
    <row r="1365" spans="3:7" x14ac:dyDescent="0.55000000000000004">
      <c r="C1365" s="27"/>
      <c r="E1365" s="27"/>
      <c r="G1365" s="27"/>
    </row>
    <row r="1366" spans="3:7" x14ac:dyDescent="0.55000000000000004">
      <c r="C1366" s="27"/>
      <c r="E1366" s="27"/>
      <c r="G1366" s="27"/>
    </row>
    <row r="1367" spans="3:7" x14ac:dyDescent="0.55000000000000004">
      <c r="C1367" s="27"/>
      <c r="E1367" s="27"/>
      <c r="G1367" s="27"/>
    </row>
    <row r="1368" spans="3:7" x14ac:dyDescent="0.55000000000000004">
      <c r="C1368" s="27"/>
      <c r="E1368" s="27"/>
      <c r="G1368" s="27"/>
    </row>
    <row r="1369" spans="3:7" x14ac:dyDescent="0.55000000000000004">
      <c r="C1369" s="27"/>
      <c r="E1369" s="27"/>
      <c r="G1369" s="27"/>
    </row>
    <row r="1370" spans="3:7" x14ac:dyDescent="0.55000000000000004">
      <c r="C1370" s="27"/>
      <c r="E1370" s="27"/>
      <c r="G1370" s="27"/>
    </row>
    <row r="1371" spans="3:7" x14ac:dyDescent="0.55000000000000004">
      <c r="C1371" s="27"/>
      <c r="E1371" s="27"/>
      <c r="G1371" s="27"/>
    </row>
    <row r="1372" spans="3:7" x14ac:dyDescent="0.55000000000000004">
      <c r="C1372" s="27"/>
      <c r="E1372" s="27"/>
      <c r="G1372" s="27"/>
    </row>
    <row r="1373" spans="3:7" x14ac:dyDescent="0.55000000000000004">
      <c r="C1373" s="27"/>
      <c r="E1373" s="27"/>
      <c r="G1373" s="27"/>
    </row>
    <row r="1374" spans="3:7" x14ac:dyDescent="0.55000000000000004">
      <c r="C1374" s="27"/>
      <c r="E1374" s="27"/>
      <c r="G1374" s="27"/>
    </row>
    <row r="1375" spans="3:7" x14ac:dyDescent="0.55000000000000004">
      <c r="C1375" s="27"/>
      <c r="E1375" s="27"/>
      <c r="G1375" s="27"/>
    </row>
    <row r="1376" spans="3:7" x14ac:dyDescent="0.55000000000000004">
      <c r="C1376" s="27"/>
      <c r="E1376" s="27"/>
      <c r="G1376" s="27"/>
    </row>
    <row r="1377" spans="3:7" x14ac:dyDescent="0.55000000000000004">
      <c r="C1377" s="27"/>
      <c r="E1377" s="27"/>
      <c r="G1377" s="27"/>
    </row>
    <row r="1378" spans="3:7" x14ac:dyDescent="0.55000000000000004">
      <c r="C1378" s="27"/>
      <c r="E1378" s="27"/>
      <c r="G1378" s="27"/>
    </row>
    <row r="1379" spans="3:7" x14ac:dyDescent="0.55000000000000004">
      <c r="C1379" s="27"/>
      <c r="E1379" s="27"/>
      <c r="G1379" s="27"/>
    </row>
    <row r="1380" spans="3:7" x14ac:dyDescent="0.55000000000000004">
      <c r="C1380" s="27"/>
      <c r="E1380" s="27"/>
      <c r="G1380" s="27"/>
    </row>
    <row r="1381" spans="3:7" x14ac:dyDescent="0.55000000000000004">
      <c r="C1381" s="27"/>
      <c r="E1381" s="27"/>
      <c r="G1381" s="27"/>
    </row>
    <row r="1382" spans="3:7" x14ac:dyDescent="0.55000000000000004">
      <c r="C1382" s="27"/>
      <c r="E1382" s="27"/>
      <c r="G1382" s="27"/>
    </row>
    <row r="1383" spans="3:7" x14ac:dyDescent="0.55000000000000004">
      <c r="C1383" s="27"/>
      <c r="E1383" s="27"/>
      <c r="G1383" s="27"/>
    </row>
    <row r="1384" spans="3:7" x14ac:dyDescent="0.55000000000000004">
      <c r="C1384" s="27"/>
      <c r="E1384" s="27"/>
      <c r="G1384" s="27"/>
    </row>
    <row r="1385" spans="3:7" x14ac:dyDescent="0.55000000000000004">
      <c r="C1385" s="27"/>
      <c r="E1385" s="27"/>
      <c r="G1385" s="27"/>
    </row>
    <row r="1386" spans="3:7" x14ac:dyDescent="0.55000000000000004">
      <c r="C1386" s="27"/>
      <c r="E1386" s="27"/>
      <c r="G1386" s="27"/>
    </row>
    <row r="1387" spans="3:7" x14ac:dyDescent="0.55000000000000004">
      <c r="C1387" s="27"/>
      <c r="E1387" s="27"/>
      <c r="G1387" s="27"/>
    </row>
    <row r="1388" spans="3:7" x14ac:dyDescent="0.55000000000000004">
      <c r="C1388" s="27"/>
      <c r="E1388" s="27"/>
      <c r="G1388" s="27"/>
    </row>
    <row r="1389" spans="3:7" x14ac:dyDescent="0.55000000000000004">
      <c r="C1389" s="27"/>
      <c r="E1389" s="27"/>
      <c r="G1389" s="27"/>
    </row>
    <row r="1390" spans="3:7" x14ac:dyDescent="0.55000000000000004">
      <c r="C1390" s="27"/>
      <c r="E1390" s="27"/>
      <c r="G1390" s="27"/>
    </row>
    <row r="1391" spans="3:7" x14ac:dyDescent="0.55000000000000004">
      <c r="C1391" s="27"/>
      <c r="E1391" s="27"/>
      <c r="G1391" s="27"/>
    </row>
    <row r="1392" spans="3:7" x14ac:dyDescent="0.55000000000000004">
      <c r="C1392" s="27"/>
      <c r="E1392" s="27"/>
      <c r="G1392" s="27"/>
    </row>
    <row r="1393" spans="3:7" x14ac:dyDescent="0.55000000000000004">
      <c r="C1393" s="27"/>
      <c r="E1393" s="27"/>
      <c r="G1393" s="27"/>
    </row>
    <row r="1394" spans="3:7" x14ac:dyDescent="0.55000000000000004">
      <c r="C1394" s="27"/>
      <c r="E1394" s="27"/>
      <c r="G1394" s="27"/>
    </row>
    <row r="1395" spans="3:7" x14ac:dyDescent="0.55000000000000004">
      <c r="C1395" s="27"/>
      <c r="E1395" s="27"/>
      <c r="G1395" s="27"/>
    </row>
    <row r="1396" spans="3:7" x14ac:dyDescent="0.55000000000000004">
      <c r="C1396" s="27"/>
      <c r="E1396" s="27"/>
      <c r="G1396" s="27"/>
    </row>
    <row r="1397" spans="3:7" x14ac:dyDescent="0.55000000000000004">
      <c r="C1397" s="27"/>
      <c r="E1397" s="27"/>
      <c r="G1397" s="27"/>
    </row>
    <row r="1398" spans="3:7" x14ac:dyDescent="0.55000000000000004">
      <c r="C1398" s="27"/>
      <c r="E1398" s="27"/>
      <c r="G1398" s="27"/>
    </row>
    <row r="1399" spans="3:7" x14ac:dyDescent="0.55000000000000004">
      <c r="C1399" s="27"/>
      <c r="E1399" s="27"/>
      <c r="G1399" s="27"/>
    </row>
    <row r="1400" spans="3:7" x14ac:dyDescent="0.55000000000000004">
      <c r="C1400" s="27"/>
      <c r="E1400" s="27"/>
      <c r="G1400" s="27"/>
    </row>
    <row r="1401" spans="3:7" x14ac:dyDescent="0.55000000000000004">
      <c r="C1401" s="27"/>
      <c r="E1401" s="27"/>
      <c r="G1401" s="27"/>
    </row>
    <row r="1402" spans="3:7" x14ac:dyDescent="0.55000000000000004">
      <c r="C1402" s="27"/>
      <c r="E1402" s="27"/>
      <c r="G1402" s="27"/>
    </row>
    <row r="1403" spans="3:7" x14ac:dyDescent="0.55000000000000004">
      <c r="C1403" s="27"/>
      <c r="E1403" s="27"/>
      <c r="G1403" s="27"/>
    </row>
    <row r="1404" spans="3:7" x14ac:dyDescent="0.55000000000000004">
      <c r="C1404" s="27"/>
      <c r="E1404" s="27"/>
      <c r="G1404" s="27"/>
    </row>
    <row r="1405" spans="3:7" x14ac:dyDescent="0.55000000000000004">
      <c r="C1405" s="27"/>
      <c r="E1405" s="27"/>
      <c r="G1405" s="27"/>
    </row>
    <row r="1406" spans="3:7" x14ac:dyDescent="0.55000000000000004">
      <c r="C1406" s="27"/>
      <c r="E1406" s="27"/>
      <c r="G1406" s="27"/>
    </row>
    <row r="1407" spans="3:7" x14ac:dyDescent="0.55000000000000004">
      <c r="C1407" s="27"/>
      <c r="E1407" s="27"/>
      <c r="G1407" s="27"/>
    </row>
    <row r="1408" spans="3:7" x14ac:dyDescent="0.55000000000000004">
      <c r="C1408" s="27"/>
      <c r="E1408" s="27"/>
      <c r="G1408" s="27"/>
    </row>
    <row r="1409" spans="3:7" x14ac:dyDescent="0.55000000000000004">
      <c r="C1409" s="27"/>
      <c r="E1409" s="27"/>
      <c r="G1409" s="27"/>
    </row>
    <row r="1410" spans="3:7" x14ac:dyDescent="0.55000000000000004">
      <c r="C1410" s="27"/>
      <c r="E1410" s="27"/>
      <c r="G1410" s="27"/>
    </row>
    <row r="1411" spans="3:7" x14ac:dyDescent="0.55000000000000004">
      <c r="C1411" s="27"/>
      <c r="E1411" s="27"/>
      <c r="G1411" s="27"/>
    </row>
    <row r="1412" spans="3:7" x14ac:dyDescent="0.55000000000000004">
      <c r="C1412" s="27"/>
      <c r="E1412" s="27"/>
      <c r="G1412" s="27"/>
    </row>
    <row r="1413" spans="3:7" x14ac:dyDescent="0.55000000000000004">
      <c r="C1413" s="27"/>
      <c r="E1413" s="27"/>
      <c r="G1413" s="27"/>
    </row>
    <row r="1414" spans="3:7" x14ac:dyDescent="0.55000000000000004">
      <c r="C1414" s="27"/>
      <c r="E1414" s="27"/>
      <c r="G1414" s="27"/>
    </row>
    <row r="1415" spans="3:7" x14ac:dyDescent="0.55000000000000004">
      <c r="C1415" s="27"/>
      <c r="E1415" s="27"/>
      <c r="G1415" s="27"/>
    </row>
    <row r="1416" spans="3:7" x14ac:dyDescent="0.55000000000000004">
      <c r="C1416" s="27"/>
      <c r="E1416" s="27"/>
      <c r="G1416" s="27"/>
    </row>
    <row r="1417" spans="3:7" x14ac:dyDescent="0.55000000000000004">
      <c r="C1417" s="27"/>
      <c r="E1417" s="27"/>
      <c r="G1417" s="27"/>
    </row>
    <row r="1418" spans="3:7" x14ac:dyDescent="0.55000000000000004">
      <c r="C1418" s="27"/>
      <c r="E1418" s="27"/>
      <c r="G1418" s="27"/>
    </row>
    <row r="1419" spans="3:7" x14ac:dyDescent="0.55000000000000004">
      <c r="C1419" s="27"/>
      <c r="E1419" s="27"/>
      <c r="G1419" s="27"/>
    </row>
    <row r="1420" spans="3:7" x14ac:dyDescent="0.55000000000000004">
      <c r="C1420" s="27"/>
      <c r="E1420" s="27"/>
      <c r="G1420" s="27"/>
    </row>
    <row r="1421" spans="3:7" x14ac:dyDescent="0.55000000000000004">
      <c r="C1421" s="27"/>
      <c r="E1421" s="27"/>
      <c r="G1421" s="27"/>
    </row>
    <row r="1422" spans="3:7" x14ac:dyDescent="0.55000000000000004">
      <c r="C1422" s="27"/>
      <c r="E1422" s="27"/>
      <c r="G1422" s="27"/>
    </row>
    <row r="1423" spans="3:7" x14ac:dyDescent="0.55000000000000004">
      <c r="C1423" s="27"/>
      <c r="E1423" s="27"/>
      <c r="G1423" s="27"/>
    </row>
    <row r="1424" spans="3:7" x14ac:dyDescent="0.55000000000000004">
      <c r="C1424" s="27"/>
      <c r="E1424" s="27"/>
      <c r="G1424" s="27"/>
    </row>
    <row r="1425" spans="3:7" x14ac:dyDescent="0.55000000000000004">
      <c r="C1425" s="27"/>
      <c r="E1425" s="27"/>
      <c r="G1425" s="27"/>
    </row>
    <row r="1426" spans="3:7" x14ac:dyDescent="0.55000000000000004">
      <c r="C1426" s="27"/>
      <c r="E1426" s="27"/>
      <c r="G1426" s="27"/>
    </row>
    <row r="1427" spans="3:7" x14ac:dyDescent="0.55000000000000004">
      <c r="C1427" s="27"/>
      <c r="E1427" s="27"/>
      <c r="G1427" s="27"/>
    </row>
    <row r="1428" spans="3:7" x14ac:dyDescent="0.55000000000000004">
      <c r="C1428" s="27"/>
      <c r="E1428" s="27"/>
      <c r="G1428" s="27"/>
    </row>
    <row r="1429" spans="3:7" x14ac:dyDescent="0.55000000000000004">
      <c r="C1429" s="27"/>
      <c r="E1429" s="27"/>
      <c r="G1429" s="27"/>
    </row>
    <row r="1430" spans="3:7" x14ac:dyDescent="0.55000000000000004">
      <c r="C1430" s="27"/>
      <c r="E1430" s="27"/>
      <c r="G1430" s="27"/>
    </row>
    <row r="1431" spans="3:7" x14ac:dyDescent="0.55000000000000004">
      <c r="C1431" s="27"/>
      <c r="E1431" s="27"/>
      <c r="G1431" s="27"/>
    </row>
    <row r="1432" spans="3:7" x14ac:dyDescent="0.55000000000000004">
      <c r="C1432" s="27"/>
      <c r="E1432" s="27"/>
      <c r="G1432" s="27"/>
    </row>
    <row r="1433" spans="3:7" x14ac:dyDescent="0.55000000000000004">
      <c r="C1433" s="27"/>
      <c r="E1433" s="27"/>
      <c r="G1433" s="27"/>
    </row>
    <row r="1434" spans="3:7" x14ac:dyDescent="0.55000000000000004">
      <c r="C1434" s="27"/>
      <c r="E1434" s="27"/>
      <c r="G1434" s="27"/>
    </row>
    <row r="1435" spans="3:7" x14ac:dyDescent="0.55000000000000004">
      <c r="C1435" s="27"/>
      <c r="E1435" s="27"/>
      <c r="G1435" s="27"/>
    </row>
    <row r="1436" spans="3:7" x14ac:dyDescent="0.55000000000000004">
      <c r="C1436" s="27"/>
      <c r="E1436" s="27"/>
      <c r="G1436" s="27"/>
    </row>
    <row r="1437" spans="3:7" x14ac:dyDescent="0.55000000000000004">
      <c r="C1437" s="27"/>
      <c r="E1437" s="27"/>
      <c r="G1437" s="27"/>
    </row>
    <row r="1438" spans="3:7" x14ac:dyDescent="0.55000000000000004">
      <c r="C1438" s="27"/>
      <c r="E1438" s="27"/>
      <c r="G1438" s="27"/>
    </row>
    <row r="1439" spans="3:7" x14ac:dyDescent="0.55000000000000004">
      <c r="C1439" s="27"/>
      <c r="E1439" s="27"/>
      <c r="G1439" s="27"/>
    </row>
    <row r="1440" spans="3:7" x14ac:dyDescent="0.55000000000000004">
      <c r="C1440" s="27"/>
      <c r="E1440" s="27"/>
      <c r="G1440" s="27"/>
    </row>
    <row r="1441" spans="3:7" x14ac:dyDescent="0.55000000000000004">
      <c r="C1441" s="27"/>
      <c r="E1441" s="27"/>
      <c r="G1441" s="27"/>
    </row>
    <row r="1442" spans="3:7" x14ac:dyDescent="0.55000000000000004">
      <c r="C1442" s="27"/>
      <c r="E1442" s="27"/>
      <c r="G1442" s="27"/>
    </row>
    <row r="1443" spans="3:7" x14ac:dyDescent="0.55000000000000004">
      <c r="C1443" s="27"/>
      <c r="E1443" s="27"/>
      <c r="G1443" s="27"/>
    </row>
    <row r="1444" spans="3:7" x14ac:dyDescent="0.55000000000000004">
      <c r="C1444" s="27"/>
      <c r="E1444" s="27"/>
      <c r="G1444" s="27"/>
    </row>
    <row r="1445" spans="3:7" x14ac:dyDescent="0.55000000000000004">
      <c r="C1445" s="27"/>
      <c r="E1445" s="27"/>
      <c r="G1445" s="27"/>
    </row>
    <row r="1446" spans="3:7" x14ac:dyDescent="0.55000000000000004">
      <c r="C1446" s="27"/>
      <c r="E1446" s="27"/>
      <c r="G1446" s="27"/>
    </row>
    <row r="1447" spans="3:7" x14ac:dyDescent="0.55000000000000004">
      <c r="C1447" s="27"/>
      <c r="E1447" s="27"/>
      <c r="G1447" s="27"/>
    </row>
    <row r="1448" spans="3:7" x14ac:dyDescent="0.55000000000000004">
      <c r="C1448" s="27"/>
      <c r="E1448" s="27"/>
      <c r="G1448" s="27"/>
    </row>
    <row r="1449" spans="3:7" x14ac:dyDescent="0.55000000000000004">
      <c r="C1449" s="27"/>
      <c r="E1449" s="27"/>
      <c r="G1449" s="27"/>
    </row>
    <row r="1450" spans="3:7" x14ac:dyDescent="0.55000000000000004">
      <c r="C1450" s="27"/>
      <c r="E1450" s="27"/>
      <c r="G1450" s="27"/>
    </row>
    <row r="1451" spans="3:7" x14ac:dyDescent="0.55000000000000004">
      <c r="C1451" s="27"/>
      <c r="E1451" s="27"/>
      <c r="G1451" s="27"/>
    </row>
    <row r="1452" spans="3:7" x14ac:dyDescent="0.55000000000000004">
      <c r="C1452" s="27"/>
      <c r="E1452" s="27"/>
      <c r="G1452" s="27"/>
    </row>
    <row r="1453" spans="3:7" x14ac:dyDescent="0.55000000000000004">
      <c r="C1453" s="27"/>
      <c r="E1453" s="27"/>
      <c r="G1453" s="27"/>
    </row>
    <row r="1454" spans="3:7" x14ac:dyDescent="0.55000000000000004">
      <c r="C1454" s="27"/>
      <c r="E1454" s="27"/>
      <c r="G1454" s="27"/>
    </row>
    <row r="1455" spans="3:7" x14ac:dyDescent="0.55000000000000004">
      <c r="C1455" s="27"/>
      <c r="E1455" s="27"/>
      <c r="G1455" s="27"/>
    </row>
    <row r="1456" spans="3:7" x14ac:dyDescent="0.55000000000000004">
      <c r="C1456" s="27"/>
      <c r="E1456" s="27"/>
      <c r="G1456" s="27"/>
    </row>
    <row r="1457" spans="3:7" x14ac:dyDescent="0.55000000000000004">
      <c r="C1457" s="27"/>
      <c r="E1457" s="27"/>
      <c r="G1457" s="27"/>
    </row>
    <row r="1458" spans="3:7" x14ac:dyDescent="0.55000000000000004">
      <c r="C1458" s="27"/>
      <c r="E1458" s="27"/>
      <c r="G1458" s="27"/>
    </row>
    <row r="1459" spans="3:7" x14ac:dyDescent="0.55000000000000004">
      <c r="C1459" s="27"/>
      <c r="E1459" s="27"/>
      <c r="G1459" s="27"/>
    </row>
    <row r="1460" spans="3:7" x14ac:dyDescent="0.55000000000000004">
      <c r="C1460" s="27"/>
      <c r="E1460" s="27"/>
      <c r="G1460" s="27"/>
    </row>
    <row r="1461" spans="3:7" x14ac:dyDescent="0.55000000000000004">
      <c r="C1461" s="27"/>
      <c r="E1461" s="27"/>
      <c r="G1461" s="27"/>
    </row>
    <row r="1462" spans="3:7" x14ac:dyDescent="0.55000000000000004">
      <c r="C1462" s="27"/>
      <c r="E1462" s="27"/>
      <c r="G1462" s="27"/>
    </row>
    <row r="1463" spans="3:7" x14ac:dyDescent="0.55000000000000004">
      <c r="C1463" s="27"/>
      <c r="E1463" s="27"/>
      <c r="G1463" s="27"/>
    </row>
    <row r="1464" spans="3:7" x14ac:dyDescent="0.55000000000000004">
      <c r="C1464" s="27"/>
      <c r="E1464" s="27"/>
      <c r="G1464" s="27"/>
    </row>
    <row r="1465" spans="3:7" x14ac:dyDescent="0.55000000000000004">
      <c r="C1465" s="27"/>
      <c r="E1465" s="27"/>
      <c r="G1465" s="27"/>
    </row>
    <row r="1466" spans="3:7" x14ac:dyDescent="0.55000000000000004">
      <c r="C1466" s="27"/>
      <c r="E1466" s="27"/>
      <c r="G1466" s="27"/>
    </row>
    <row r="1467" spans="3:7" x14ac:dyDescent="0.55000000000000004">
      <c r="C1467" s="27"/>
      <c r="E1467" s="27"/>
      <c r="G1467" s="27"/>
    </row>
    <row r="1468" spans="3:7" x14ac:dyDescent="0.55000000000000004">
      <c r="C1468" s="27"/>
      <c r="E1468" s="27"/>
      <c r="G1468" s="27"/>
    </row>
    <row r="1469" spans="3:7" x14ac:dyDescent="0.55000000000000004">
      <c r="C1469" s="27"/>
      <c r="E1469" s="27"/>
      <c r="G1469" s="27"/>
    </row>
    <row r="1470" spans="3:7" x14ac:dyDescent="0.55000000000000004">
      <c r="C1470" s="27"/>
      <c r="E1470" s="27"/>
      <c r="G1470" s="27"/>
    </row>
    <row r="1471" spans="3:7" x14ac:dyDescent="0.55000000000000004">
      <c r="C1471" s="27"/>
      <c r="E1471" s="27"/>
      <c r="G1471" s="27"/>
    </row>
    <row r="1472" spans="3:7" x14ac:dyDescent="0.55000000000000004">
      <c r="C1472" s="27"/>
      <c r="E1472" s="27"/>
      <c r="G1472" s="27"/>
    </row>
    <row r="1473" spans="3:7" x14ac:dyDescent="0.55000000000000004">
      <c r="C1473" s="27"/>
      <c r="E1473" s="27"/>
      <c r="G1473" s="27"/>
    </row>
    <row r="1474" spans="3:7" x14ac:dyDescent="0.55000000000000004">
      <c r="C1474" s="27"/>
      <c r="E1474" s="27"/>
      <c r="G1474" s="27"/>
    </row>
    <row r="1475" spans="3:7" x14ac:dyDescent="0.55000000000000004">
      <c r="C1475" s="27"/>
      <c r="E1475" s="27"/>
      <c r="G1475" s="27"/>
    </row>
    <row r="1476" spans="3:7" x14ac:dyDescent="0.55000000000000004">
      <c r="C1476" s="27"/>
      <c r="E1476" s="27"/>
      <c r="G1476" s="27"/>
    </row>
    <row r="1477" spans="3:7" x14ac:dyDescent="0.55000000000000004">
      <c r="C1477" s="27"/>
      <c r="E1477" s="27"/>
      <c r="G1477" s="27"/>
    </row>
    <row r="1478" spans="3:7" x14ac:dyDescent="0.55000000000000004">
      <c r="C1478" s="27"/>
      <c r="E1478" s="27"/>
      <c r="G1478" s="27"/>
    </row>
    <row r="1479" spans="3:7" x14ac:dyDescent="0.55000000000000004">
      <c r="C1479" s="27"/>
      <c r="E1479" s="27"/>
      <c r="G1479" s="27"/>
    </row>
    <row r="1480" spans="3:7" x14ac:dyDescent="0.55000000000000004">
      <c r="C1480" s="27"/>
      <c r="E1480" s="27"/>
      <c r="G1480" s="27"/>
    </row>
    <row r="1481" spans="3:7" x14ac:dyDescent="0.55000000000000004">
      <c r="C1481" s="27"/>
      <c r="E1481" s="27"/>
      <c r="G1481" s="27"/>
    </row>
    <row r="1482" spans="3:7" x14ac:dyDescent="0.55000000000000004">
      <c r="C1482" s="27"/>
      <c r="E1482" s="27"/>
      <c r="G1482" s="27"/>
    </row>
    <row r="1483" spans="3:7" x14ac:dyDescent="0.55000000000000004">
      <c r="C1483" s="27"/>
      <c r="E1483" s="27"/>
      <c r="G1483" s="27"/>
    </row>
    <row r="1484" spans="3:7" x14ac:dyDescent="0.55000000000000004">
      <c r="C1484" s="27"/>
      <c r="E1484" s="27"/>
      <c r="G1484" s="27"/>
    </row>
    <row r="1485" spans="3:7" x14ac:dyDescent="0.55000000000000004">
      <c r="C1485" s="27"/>
      <c r="E1485" s="27"/>
      <c r="G1485" s="27"/>
    </row>
    <row r="1486" spans="3:7" x14ac:dyDescent="0.55000000000000004">
      <c r="C1486" s="27"/>
      <c r="E1486" s="27"/>
      <c r="G1486" s="27"/>
    </row>
    <row r="1487" spans="3:7" x14ac:dyDescent="0.55000000000000004">
      <c r="C1487" s="27"/>
      <c r="E1487" s="27"/>
      <c r="G1487" s="27"/>
    </row>
    <row r="1488" spans="3:7" x14ac:dyDescent="0.55000000000000004">
      <c r="C1488" s="27"/>
      <c r="E1488" s="27"/>
      <c r="G1488" s="27"/>
    </row>
    <row r="1489" spans="3:7" x14ac:dyDescent="0.55000000000000004">
      <c r="C1489" s="27"/>
      <c r="E1489" s="27"/>
      <c r="G1489" s="27"/>
    </row>
    <row r="1490" spans="3:7" x14ac:dyDescent="0.55000000000000004">
      <c r="C1490" s="27"/>
      <c r="E1490" s="27"/>
      <c r="G1490" s="27"/>
    </row>
    <row r="1491" spans="3:7" x14ac:dyDescent="0.55000000000000004">
      <c r="C1491" s="27"/>
      <c r="E1491" s="27"/>
      <c r="G1491" s="27"/>
    </row>
    <row r="1492" spans="3:7" x14ac:dyDescent="0.55000000000000004">
      <c r="C1492" s="27"/>
      <c r="E1492" s="27"/>
      <c r="G1492" s="27"/>
    </row>
    <row r="1493" spans="3:7" x14ac:dyDescent="0.55000000000000004">
      <c r="C1493" s="27"/>
      <c r="E1493" s="27"/>
      <c r="G1493" s="27"/>
    </row>
    <row r="1494" spans="3:7" x14ac:dyDescent="0.55000000000000004">
      <c r="C1494" s="27"/>
      <c r="E1494" s="27"/>
      <c r="G1494" s="27"/>
    </row>
    <row r="1495" spans="3:7" x14ac:dyDescent="0.55000000000000004">
      <c r="C1495" s="27"/>
      <c r="E1495" s="27"/>
      <c r="G1495" s="27"/>
    </row>
    <row r="1496" spans="3:7" x14ac:dyDescent="0.55000000000000004">
      <c r="C1496" s="27"/>
      <c r="E1496" s="27"/>
      <c r="G1496" s="27"/>
    </row>
    <row r="1497" spans="3:7" x14ac:dyDescent="0.55000000000000004">
      <c r="C1497" s="27"/>
      <c r="E1497" s="27"/>
      <c r="G1497" s="27"/>
    </row>
    <row r="1498" spans="3:7" x14ac:dyDescent="0.55000000000000004">
      <c r="C1498" s="27"/>
      <c r="E1498" s="27"/>
      <c r="G1498" s="27"/>
    </row>
    <row r="1499" spans="3:7" x14ac:dyDescent="0.55000000000000004">
      <c r="C1499" s="27"/>
      <c r="E1499" s="27"/>
      <c r="G1499" s="27"/>
    </row>
    <row r="1500" spans="3:7" x14ac:dyDescent="0.55000000000000004">
      <c r="C1500" s="27"/>
      <c r="E1500" s="27"/>
      <c r="G1500" s="27"/>
    </row>
    <row r="1501" spans="3:7" x14ac:dyDescent="0.55000000000000004">
      <c r="C1501" s="27"/>
      <c r="E1501" s="27"/>
      <c r="G1501" s="27"/>
    </row>
    <row r="1502" spans="3:7" x14ac:dyDescent="0.55000000000000004">
      <c r="C1502" s="27"/>
      <c r="E1502" s="27"/>
      <c r="G1502" s="27"/>
    </row>
    <row r="1503" spans="3:7" x14ac:dyDescent="0.55000000000000004">
      <c r="C1503" s="27"/>
      <c r="E1503" s="27"/>
      <c r="G1503" s="27"/>
    </row>
    <row r="1504" spans="3:7" x14ac:dyDescent="0.55000000000000004">
      <c r="C1504" s="27"/>
      <c r="E1504" s="27"/>
      <c r="G1504" s="27"/>
    </row>
    <row r="1505" spans="3:7" x14ac:dyDescent="0.55000000000000004">
      <c r="C1505" s="27"/>
      <c r="E1505" s="27"/>
      <c r="G1505" s="27"/>
    </row>
    <row r="1506" spans="3:7" x14ac:dyDescent="0.55000000000000004">
      <c r="C1506" s="27"/>
      <c r="E1506" s="27"/>
      <c r="G1506" s="27"/>
    </row>
    <row r="1507" spans="3:7" x14ac:dyDescent="0.55000000000000004">
      <c r="C1507" s="27"/>
      <c r="E1507" s="27"/>
      <c r="G1507" s="27"/>
    </row>
    <row r="1508" spans="3:7" x14ac:dyDescent="0.55000000000000004">
      <c r="C1508" s="27"/>
      <c r="E1508" s="27"/>
      <c r="G1508" s="27"/>
    </row>
    <row r="1509" spans="3:7" x14ac:dyDescent="0.55000000000000004">
      <c r="C1509" s="27"/>
      <c r="E1509" s="27"/>
      <c r="G1509" s="27"/>
    </row>
    <row r="1510" spans="3:7" x14ac:dyDescent="0.55000000000000004">
      <c r="C1510" s="27"/>
      <c r="E1510" s="27"/>
      <c r="G1510" s="27"/>
    </row>
    <row r="1511" spans="3:7" x14ac:dyDescent="0.55000000000000004">
      <c r="C1511" s="27"/>
      <c r="E1511" s="27"/>
      <c r="G1511" s="27"/>
    </row>
    <row r="1512" spans="3:7" x14ac:dyDescent="0.55000000000000004">
      <c r="C1512" s="27"/>
      <c r="E1512" s="27"/>
      <c r="G1512" s="27"/>
    </row>
    <row r="1513" spans="3:7" x14ac:dyDescent="0.55000000000000004">
      <c r="C1513" s="27"/>
      <c r="E1513" s="27"/>
      <c r="G1513" s="27"/>
    </row>
    <row r="1514" spans="3:7" x14ac:dyDescent="0.55000000000000004">
      <c r="C1514" s="27"/>
      <c r="E1514" s="27"/>
      <c r="G1514" s="27"/>
    </row>
    <row r="1515" spans="3:7" x14ac:dyDescent="0.55000000000000004">
      <c r="C1515" s="27"/>
      <c r="E1515" s="27"/>
      <c r="G1515" s="27"/>
    </row>
    <row r="1516" spans="3:7" x14ac:dyDescent="0.55000000000000004">
      <c r="C1516" s="27"/>
      <c r="E1516" s="27"/>
      <c r="G1516" s="27"/>
    </row>
    <row r="1517" spans="3:7" x14ac:dyDescent="0.55000000000000004">
      <c r="C1517" s="27"/>
      <c r="E1517" s="27"/>
      <c r="G1517" s="27"/>
    </row>
    <row r="1518" spans="3:7" x14ac:dyDescent="0.55000000000000004">
      <c r="C1518" s="27"/>
      <c r="E1518" s="27"/>
      <c r="G1518" s="27"/>
    </row>
    <row r="1519" spans="3:7" x14ac:dyDescent="0.55000000000000004">
      <c r="C1519" s="27"/>
      <c r="E1519" s="27"/>
      <c r="G1519" s="27"/>
    </row>
    <row r="1520" spans="3:7" x14ac:dyDescent="0.55000000000000004">
      <c r="C1520" s="27"/>
      <c r="E1520" s="27"/>
      <c r="G1520" s="27"/>
    </row>
    <row r="1521" spans="3:7" x14ac:dyDescent="0.55000000000000004">
      <c r="C1521" s="27"/>
      <c r="E1521" s="27"/>
      <c r="G1521" s="27"/>
    </row>
    <row r="1522" spans="3:7" x14ac:dyDescent="0.55000000000000004">
      <c r="C1522" s="27"/>
      <c r="E1522" s="27"/>
      <c r="G1522" s="27"/>
    </row>
    <row r="1523" spans="3:7" x14ac:dyDescent="0.55000000000000004">
      <c r="C1523" s="27"/>
      <c r="E1523" s="27"/>
      <c r="G1523" s="27"/>
    </row>
    <row r="1524" spans="3:7" x14ac:dyDescent="0.55000000000000004">
      <c r="C1524" s="27"/>
      <c r="E1524" s="27"/>
      <c r="G1524" s="27"/>
    </row>
    <row r="1525" spans="3:7" x14ac:dyDescent="0.55000000000000004">
      <c r="C1525" s="27"/>
      <c r="E1525" s="27"/>
      <c r="G1525" s="27"/>
    </row>
    <row r="1526" spans="3:7" x14ac:dyDescent="0.55000000000000004">
      <c r="C1526" s="27"/>
      <c r="E1526" s="27"/>
      <c r="G1526" s="27"/>
    </row>
    <row r="1527" spans="3:7" x14ac:dyDescent="0.55000000000000004">
      <c r="C1527" s="27"/>
      <c r="E1527" s="27"/>
      <c r="G1527" s="27"/>
    </row>
    <row r="1528" spans="3:7" x14ac:dyDescent="0.55000000000000004">
      <c r="C1528" s="27"/>
      <c r="E1528" s="27"/>
      <c r="G1528" s="27"/>
    </row>
    <row r="1529" spans="3:7" x14ac:dyDescent="0.55000000000000004">
      <c r="C1529" s="27"/>
      <c r="E1529" s="27"/>
      <c r="G1529" s="27"/>
    </row>
    <row r="1530" spans="3:7" x14ac:dyDescent="0.55000000000000004">
      <c r="C1530" s="27"/>
      <c r="E1530" s="27"/>
      <c r="G1530" s="27"/>
    </row>
    <row r="1531" spans="3:7" x14ac:dyDescent="0.55000000000000004">
      <c r="C1531" s="27"/>
      <c r="E1531" s="27"/>
      <c r="G1531" s="27"/>
    </row>
    <row r="1532" spans="3:7" x14ac:dyDescent="0.55000000000000004">
      <c r="C1532" s="27"/>
      <c r="E1532" s="27"/>
      <c r="G1532" s="27"/>
    </row>
    <row r="1533" spans="3:7" x14ac:dyDescent="0.55000000000000004">
      <c r="C1533" s="27"/>
      <c r="E1533" s="27"/>
      <c r="G1533" s="27"/>
    </row>
    <row r="1534" spans="3:7" x14ac:dyDescent="0.55000000000000004">
      <c r="C1534" s="27"/>
      <c r="E1534" s="27"/>
      <c r="G1534" s="27"/>
    </row>
    <row r="1535" spans="3:7" x14ac:dyDescent="0.55000000000000004">
      <c r="C1535" s="27"/>
      <c r="E1535" s="27"/>
      <c r="G1535" s="27"/>
    </row>
    <row r="1536" spans="3:7" x14ac:dyDescent="0.55000000000000004">
      <c r="C1536" s="27"/>
      <c r="E1536" s="27"/>
      <c r="G1536" s="27"/>
    </row>
    <row r="1537" spans="3:7" x14ac:dyDescent="0.55000000000000004">
      <c r="C1537" s="27"/>
      <c r="E1537" s="27"/>
      <c r="G1537" s="27"/>
    </row>
    <row r="1538" spans="3:7" x14ac:dyDescent="0.55000000000000004">
      <c r="C1538" s="27"/>
      <c r="E1538" s="27"/>
      <c r="G1538" s="27"/>
    </row>
    <row r="1539" spans="3:7" x14ac:dyDescent="0.55000000000000004">
      <c r="C1539" s="27"/>
      <c r="E1539" s="27"/>
      <c r="G1539" s="27"/>
    </row>
    <row r="1540" spans="3:7" x14ac:dyDescent="0.55000000000000004">
      <c r="C1540" s="27"/>
      <c r="E1540" s="27"/>
      <c r="G1540" s="27"/>
    </row>
    <row r="1541" spans="3:7" x14ac:dyDescent="0.55000000000000004">
      <c r="C1541" s="27"/>
      <c r="E1541" s="27"/>
      <c r="G1541" s="27"/>
    </row>
    <row r="1542" spans="3:7" x14ac:dyDescent="0.55000000000000004">
      <c r="C1542" s="27"/>
      <c r="E1542" s="27"/>
      <c r="G1542" s="27"/>
    </row>
    <row r="1543" spans="3:7" x14ac:dyDescent="0.55000000000000004">
      <c r="C1543" s="27"/>
      <c r="E1543" s="27"/>
      <c r="G1543" s="27"/>
    </row>
    <row r="1544" spans="3:7" x14ac:dyDescent="0.55000000000000004">
      <c r="C1544" s="27"/>
      <c r="E1544" s="27"/>
      <c r="G1544" s="27"/>
    </row>
    <row r="1545" spans="3:7" x14ac:dyDescent="0.55000000000000004">
      <c r="C1545" s="27"/>
      <c r="E1545" s="27"/>
      <c r="G1545" s="27"/>
    </row>
    <row r="1546" spans="3:7" x14ac:dyDescent="0.55000000000000004">
      <c r="C1546" s="27"/>
      <c r="E1546" s="27"/>
      <c r="G1546" s="27"/>
    </row>
    <row r="1547" spans="3:7" x14ac:dyDescent="0.55000000000000004">
      <c r="C1547" s="27"/>
      <c r="E1547" s="27"/>
      <c r="G1547" s="27"/>
    </row>
    <row r="1548" spans="3:7" x14ac:dyDescent="0.55000000000000004">
      <c r="C1548" s="27"/>
      <c r="E1548" s="27"/>
      <c r="G1548" s="27"/>
    </row>
    <row r="1549" spans="3:7" x14ac:dyDescent="0.55000000000000004">
      <c r="C1549" s="27"/>
      <c r="E1549" s="27"/>
      <c r="G1549" s="27"/>
    </row>
    <row r="1550" spans="3:7" x14ac:dyDescent="0.55000000000000004">
      <c r="C1550" s="27"/>
      <c r="E1550" s="27"/>
      <c r="G1550" s="27"/>
    </row>
    <row r="1551" spans="3:7" x14ac:dyDescent="0.55000000000000004">
      <c r="C1551" s="27"/>
      <c r="E1551" s="27"/>
      <c r="G1551" s="27"/>
    </row>
    <row r="1552" spans="3:7" x14ac:dyDescent="0.55000000000000004">
      <c r="C1552" s="27"/>
      <c r="E1552" s="27"/>
      <c r="G1552" s="27"/>
    </row>
    <row r="1553" spans="3:7" x14ac:dyDescent="0.55000000000000004">
      <c r="C1553" s="27"/>
      <c r="E1553" s="27"/>
      <c r="G1553" s="27"/>
    </row>
    <row r="1554" spans="3:7" x14ac:dyDescent="0.55000000000000004">
      <c r="C1554" s="27"/>
      <c r="E1554" s="27"/>
      <c r="G1554" s="27"/>
    </row>
    <row r="1555" spans="3:7" x14ac:dyDescent="0.55000000000000004">
      <c r="C1555" s="27"/>
      <c r="E1555" s="27"/>
      <c r="G1555" s="27"/>
    </row>
    <row r="1556" spans="3:7" x14ac:dyDescent="0.55000000000000004">
      <c r="C1556" s="27"/>
      <c r="E1556" s="27"/>
      <c r="G1556" s="27"/>
    </row>
    <row r="1557" spans="3:7" x14ac:dyDescent="0.55000000000000004">
      <c r="C1557" s="27"/>
      <c r="E1557" s="27"/>
      <c r="G1557" s="27"/>
    </row>
    <row r="1558" spans="3:7" x14ac:dyDescent="0.55000000000000004">
      <c r="C1558" s="27"/>
      <c r="E1558" s="27"/>
      <c r="G1558" s="27"/>
    </row>
    <row r="1559" spans="3:7" x14ac:dyDescent="0.55000000000000004">
      <c r="C1559" s="27"/>
      <c r="E1559" s="27"/>
      <c r="G1559" s="27"/>
    </row>
    <row r="1560" spans="3:7" x14ac:dyDescent="0.55000000000000004">
      <c r="C1560" s="27"/>
      <c r="E1560" s="27"/>
      <c r="G1560" s="27"/>
    </row>
    <row r="1561" spans="3:7" x14ac:dyDescent="0.55000000000000004">
      <c r="C1561" s="27"/>
      <c r="E1561" s="27"/>
      <c r="G1561" s="27"/>
    </row>
    <row r="1562" spans="3:7" x14ac:dyDescent="0.55000000000000004">
      <c r="C1562" s="27"/>
      <c r="E1562" s="27"/>
      <c r="G1562" s="27"/>
    </row>
    <row r="1563" spans="3:7" x14ac:dyDescent="0.55000000000000004">
      <c r="C1563" s="27"/>
      <c r="E1563" s="27"/>
      <c r="G1563" s="27"/>
    </row>
    <row r="1564" spans="3:7" x14ac:dyDescent="0.55000000000000004">
      <c r="C1564" s="27"/>
      <c r="E1564" s="27"/>
      <c r="G1564" s="27"/>
    </row>
    <row r="1565" spans="3:7" x14ac:dyDescent="0.55000000000000004">
      <c r="C1565" s="27"/>
      <c r="E1565" s="27"/>
      <c r="G1565" s="27"/>
    </row>
    <row r="1566" spans="3:7" x14ac:dyDescent="0.55000000000000004">
      <c r="C1566" s="27"/>
      <c r="E1566" s="27"/>
      <c r="G1566" s="27"/>
    </row>
    <row r="1567" spans="3:7" x14ac:dyDescent="0.55000000000000004">
      <c r="C1567" s="27"/>
      <c r="E1567" s="27"/>
      <c r="G1567" s="27"/>
    </row>
    <row r="1568" spans="3:7" x14ac:dyDescent="0.55000000000000004">
      <c r="C1568" s="27"/>
      <c r="E1568" s="27"/>
      <c r="G1568" s="27"/>
    </row>
    <row r="1569" spans="3:7" x14ac:dyDescent="0.55000000000000004">
      <c r="C1569" s="27"/>
      <c r="E1569" s="27"/>
      <c r="G1569" s="27"/>
    </row>
    <row r="1570" spans="3:7" x14ac:dyDescent="0.55000000000000004">
      <c r="C1570" s="27"/>
      <c r="E1570" s="27"/>
      <c r="G1570" s="27"/>
    </row>
    <row r="1571" spans="3:7" x14ac:dyDescent="0.55000000000000004">
      <c r="C1571" s="27"/>
      <c r="E1571" s="27"/>
      <c r="G1571" s="27"/>
    </row>
    <row r="1572" spans="3:7" x14ac:dyDescent="0.55000000000000004">
      <c r="C1572" s="27"/>
      <c r="E1572" s="27"/>
      <c r="G1572" s="27"/>
    </row>
    <row r="1573" spans="3:7" x14ac:dyDescent="0.55000000000000004">
      <c r="C1573" s="27"/>
      <c r="E1573" s="27"/>
      <c r="G1573" s="27"/>
    </row>
    <row r="1574" spans="3:7" x14ac:dyDescent="0.55000000000000004">
      <c r="C1574" s="27"/>
      <c r="E1574" s="27"/>
      <c r="G1574" s="27"/>
    </row>
    <row r="1575" spans="3:7" x14ac:dyDescent="0.55000000000000004">
      <c r="C1575" s="27"/>
      <c r="E1575" s="27"/>
      <c r="G1575" s="27"/>
    </row>
    <row r="1576" spans="3:7" x14ac:dyDescent="0.55000000000000004">
      <c r="C1576" s="27"/>
      <c r="E1576" s="27"/>
      <c r="G1576" s="27"/>
    </row>
    <row r="1577" spans="3:7" x14ac:dyDescent="0.55000000000000004">
      <c r="C1577" s="27"/>
      <c r="E1577" s="27"/>
      <c r="G1577" s="27"/>
    </row>
    <row r="1578" spans="3:7" x14ac:dyDescent="0.55000000000000004">
      <c r="C1578" s="27"/>
      <c r="E1578" s="27"/>
      <c r="G1578" s="27"/>
    </row>
    <row r="1579" spans="3:7" x14ac:dyDescent="0.55000000000000004">
      <c r="C1579" s="27"/>
      <c r="E1579" s="27"/>
      <c r="G1579" s="27"/>
    </row>
    <row r="1580" spans="3:7" x14ac:dyDescent="0.55000000000000004">
      <c r="C1580" s="27"/>
      <c r="E1580" s="27"/>
      <c r="G1580" s="27"/>
    </row>
    <row r="1581" spans="3:7" x14ac:dyDescent="0.55000000000000004">
      <c r="C1581" s="27"/>
      <c r="E1581" s="27"/>
      <c r="G1581" s="27"/>
    </row>
    <row r="1582" spans="3:7" x14ac:dyDescent="0.55000000000000004">
      <c r="C1582" s="27"/>
      <c r="E1582" s="27"/>
      <c r="G1582" s="27"/>
    </row>
    <row r="1583" spans="3:7" x14ac:dyDescent="0.55000000000000004">
      <c r="C1583" s="27"/>
      <c r="E1583" s="27"/>
      <c r="G1583" s="27"/>
    </row>
    <row r="1584" spans="3:7" x14ac:dyDescent="0.55000000000000004">
      <c r="C1584" s="27"/>
      <c r="E1584" s="27"/>
      <c r="G1584" s="27"/>
    </row>
    <row r="1585" spans="3:7" x14ac:dyDescent="0.55000000000000004">
      <c r="C1585" s="27"/>
      <c r="E1585" s="27"/>
      <c r="G1585" s="27"/>
    </row>
    <row r="1586" spans="3:7" x14ac:dyDescent="0.55000000000000004">
      <c r="C1586" s="27"/>
      <c r="E1586" s="27"/>
      <c r="G1586" s="27"/>
    </row>
    <row r="1587" spans="3:7" x14ac:dyDescent="0.55000000000000004">
      <c r="C1587" s="27"/>
      <c r="E1587" s="27"/>
      <c r="G1587" s="27"/>
    </row>
    <row r="1588" spans="3:7" x14ac:dyDescent="0.55000000000000004">
      <c r="C1588" s="27"/>
      <c r="E1588" s="27"/>
      <c r="G1588" s="27"/>
    </row>
    <row r="1589" spans="3:7" x14ac:dyDescent="0.55000000000000004">
      <c r="C1589" s="27"/>
      <c r="E1589" s="27"/>
      <c r="G1589" s="27"/>
    </row>
    <row r="1590" spans="3:7" x14ac:dyDescent="0.55000000000000004">
      <c r="C1590" s="27"/>
      <c r="E1590" s="27"/>
      <c r="G1590" s="27"/>
    </row>
    <row r="1591" spans="3:7" x14ac:dyDescent="0.55000000000000004">
      <c r="C1591" s="27"/>
      <c r="E1591" s="27"/>
      <c r="G1591" s="27"/>
    </row>
    <row r="1592" spans="3:7" x14ac:dyDescent="0.55000000000000004">
      <c r="C1592" s="27"/>
      <c r="E1592" s="27"/>
      <c r="G1592" s="27"/>
    </row>
    <row r="1593" spans="3:7" x14ac:dyDescent="0.55000000000000004">
      <c r="C1593" s="27"/>
      <c r="E1593" s="27"/>
      <c r="G1593" s="27"/>
    </row>
    <row r="1594" spans="3:7" x14ac:dyDescent="0.55000000000000004">
      <c r="C1594" s="27"/>
      <c r="E1594" s="27"/>
      <c r="G1594" s="27"/>
    </row>
    <row r="1595" spans="3:7" x14ac:dyDescent="0.55000000000000004">
      <c r="C1595" s="27"/>
      <c r="E1595" s="27"/>
      <c r="G1595" s="27"/>
    </row>
    <row r="1596" spans="3:7" x14ac:dyDescent="0.55000000000000004">
      <c r="C1596" s="27"/>
      <c r="E1596" s="27"/>
      <c r="G1596" s="27"/>
    </row>
    <row r="1597" spans="3:7" x14ac:dyDescent="0.55000000000000004">
      <c r="C1597" s="27"/>
      <c r="E1597" s="27"/>
      <c r="G1597" s="27"/>
    </row>
    <row r="1598" spans="3:7" x14ac:dyDescent="0.55000000000000004">
      <c r="C1598" s="27"/>
      <c r="E1598" s="27"/>
      <c r="G1598" s="27"/>
    </row>
    <row r="1599" spans="3:7" x14ac:dyDescent="0.55000000000000004">
      <c r="C1599" s="27"/>
      <c r="E1599" s="27"/>
      <c r="G1599" s="27"/>
    </row>
    <row r="1600" spans="3:7" x14ac:dyDescent="0.55000000000000004">
      <c r="C1600" s="27"/>
      <c r="E1600" s="27"/>
      <c r="G1600" s="27"/>
    </row>
    <row r="1601" spans="3:7" x14ac:dyDescent="0.55000000000000004">
      <c r="C1601" s="27"/>
      <c r="E1601" s="27"/>
      <c r="G1601" s="27"/>
    </row>
    <row r="1602" spans="3:7" x14ac:dyDescent="0.55000000000000004">
      <c r="C1602" s="27"/>
      <c r="E1602" s="27"/>
      <c r="G1602" s="27"/>
    </row>
    <row r="1603" spans="3:7" x14ac:dyDescent="0.55000000000000004">
      <c r="C1603" s="27"/>
      <c r="E1603" s="27"/>
      <c r="G1603" s="27"/>
    </row>
    <row r="1604" spans="3:7" x14ac:dyDescent="0.55000000000000004">
      <c r="C1604" s="27"/>
      <c r="E1604" s="27"/>
      <c r="G1604" s="27"/>
    </row>
    <row r="1605" spans="3:7" x14ac:dyDescent="0.55000000000000004">
      <c r="C1605" s="27"/>
      <c r="E1605" s="27"/>
      <c r="G1605" s="27"/>
    </row>
    <row r="1606" spans="3:7" x14ac:dyDescent="0.55000000000000004">
      <c r="C1606" s="27"/>
      <c r="E1606" s="27"/>
      <c r="G1606" s="27"/>
    </row>
    <row r="1607" spans="3:7" x14ac:dyDescent="0.55000000000000004">
      <c r="C1607" s="27"/>
      <c r="E1607" s="27"/>
      <c r="G1607" s="27"/>
    </row>
    <row r="1608" spans="3:7" x14ac:dyDescent="0.55000000000000004">
      <c r="C1608" s="27"/>
      <c r="E1608" s="27"/>
      <c r="G1608" s="27"/>
    </row>
    <row r="1609" spans="3:7" x14ac:dyDescent="0.55000000000000004">
      <c r="C1609" s="27"/>
      <c r="E1609" s="27"/>
      <c r="G1609" s="27"/>
    </row>
    <row r="1610" spans="3:7" x14ac:dyDescent="0.55000000000000004">
      <c r="C1610" s="27"/>
      <c r="E1610" s="27"/>
      <c r="G1610" s="27"/>
    </row>
    <row r="1611" spans="3:7" x14ac:dyDescent="0.55000000000000004">
      <c r="C1611" s="27"/>
      <c r="E1611" s="27"/>
      <c r="G1611" s="27"/>
    </row>
    <row r="1612" spans="3:7" x14ac:dyDescent="0.55000000000000004">
      <c r="C1612" s="27"/>
      <c r="E1612" s="27"/>
      <c r="G1612" s="27"/>
    </row>
    <row r="1613" spans="3:7" x14ac:dyDescent="0.55000000000000004">
      <c r="C1613" s="27"/>
      <c r="E1613" s="27"/>
      <c r="G1613" s="27"/>
    </row>
    <row r="1614" spans="3:7" x14ac:dyDescent="0.55000000000000004">
      <c r="C1614" s="27"/>
      <c r="E1614" s="27"/>
      <c r="G1614" s="27"/>
    </row>
    <row r="1615" spans="3:7" x14ac:dyDescent="0.55000000000000004">
      <c r="C1615" s="27"/>
      <c r="E1615" s="27"/>
      <c r="G1615" s="27"/>
    </row>
    <row r="1616" spans="3:7" x14ac:dyDescent="0.55000000000000004">
      <c r="C1616" s="27"/>
      <c r="E1616" s="27"/>
      <c r="G1616" s="27"/>
    </row>
    <row r="1617" spans="3:7" x14ac:dyDescent="0.55000000000000004">
      <c r="C1617" s="27"/>
      <c r="E1617" s="27"/>
      <c r="G1617" s="27"/>
    </row>
    <row r="1618" spans="3:7" x14ac:dyDescent="0.55000000000000004">
      <c r="C1618" s="27"/>
      <c r="E1618" s="27"/>
      <c r="G1618" s="27"/>
    </row>
    <row r="1619" spans="3:7" x14ac:dyDescent="0.55000000000000004">
      <c r="C1619" s="27"/>
      <c r="E1619" s="27"/>
      <c r="G1619" s="27"/>
    </row>
    <row r="1620" spans="3:7" x14ac:dyDescent="0.55000000000000004">
      <c r="C1620" s="27"/>
      <c r="E1620" s="27"/>
      <c r="G1620" s="27"/>
    </row>
    <row r="1621" spans="3:7" x14ac:dyDescent="0.55000000000000004">
      <c r="C1621" s="27"/>
      <c r="E1621" s="27"/>
      <c r="G1621" s="27"/>
    </row>
    <row r="1622" spans="3:7" x14ac:dyDescent="0.55000000000000004">
      <c r="C1622" s="27"/>
      <c r="E1622" s="27"/>
      <c r="G1622" s="27"/>
    </row>
    <row r="1623" spans="3:7" x14ac:dyDescent="0.55000000000000004">
      <c r="C1623" s="27"/>
      <c r="E1623" s="27"/>
      <c r="G1623" s="27"/>
    </row>
    <row r="1624" spans="3:7" x14ac:dyDescent="0.55000000000000004">
      <c r="C1624" s="27"/>
      <c r="E1624" s="27"/>
      <c r="G1624" s="27"/>
    </row>
    <row r="1625" spans="3:7" x14ac:dyDescent="0.55000000000000004">
      <c r="C1625" s="27"/>
      <c r="E1625" s="27"/>
      <c r="G1625" s="27"/>
    </row>
    <row r="1626" spans="3:7" x14ac:dyDescent="0.55000000000000004">
      <c r="C1626" s="27"/>
      <c r="E1626" s="27"/>
      <c r="G1626" s="27"/>
    </row>
    <row r="1627" spans="3:7" x14ac:dyDescent="0.55000000000000004">
      <c r="C1627" s="27"/>
      <c r="E1627" s="27"/>
      <c r="G1627" s="27"/>
    </row>
    <row r="1628" spans="3:7" x14ac:dyDescent="0.55000000000000004">
      <c r="C1628" s="27"/>
      <c r="E1628" s="27"/>
      <c r="G1628" s="27"/>
    </row>
    <row r="1629" spans="3:7" x14ac:dyDescent="0.55000000000000004">
      <c r="C1629" s="27"/>
      <c r="E1629" s="27"/>
      <c r="G1629" s="27"/>
    </row>
    <row r="1630" spans="3:7" x14ac:dyDescent="0.55000000000000004">
      <c r="C1630" s="27"/>
      <c r="E1630" s="27"/>
      <c r="G1630" s="27"/>
    </row>
    <row r="1631" spans="3:7" x14ac:dyDescent="0.55000000000000004">
      <c r="C1631" s="27"/>
      <c r="E1631" s="27"/>
      <c r="G1631" s="27"/>
    </row>
    <row r="1632" spans="3:7" x14ac:dyDescent="0.55000000000000004">
      <c r="C1632" s="27"/>
      <c r="E1632" s="27"/>
      <c r="G1632" s="27"/>
    </row>
    <row r="1633" spans="3:7" x14ac:dyDescent="0.55000000000000004">
      <c r="C1633" s="27"/>
      <c r="E1633" s="27"/>
      <c r="G1633" s="27"/>
    </row>
    <row r="1634" spans="3:7" x14ac:dyDescent="0.55000000000000004">
      <c r="C1634" s="27"/>
      <c r="E1634" s="27"/>
      <c r="G1634" s="27"/>
    </row>
    <row r="1635" spans="3:7" x14ac:dyDescent="0.55000000000000004">
      <c r="C1635" s="27"/>
      <c r="E1635" s="27"/>
      <c r="G1635" s="27"/>
    </row>
    <row r="1636" spans="3:7" x14ac:dyDescent="0.55000000000000004">
      <c r="C1636" s="27"/>
      <c r="E1636" s="27"/>
      <c r="G1636" s="27"/>
    </row>
    <row r="1637" spans="3:7" x14ac:dyDescent="0.55000000000000004">
      <c r="C1637" s="27"/>
      <c r="E1637" s="27"/>
      <c r="G1637" s="27"/>
    </row>
    <row r="1638" spans="3:7" x14ac:dyDescent="0.55000000000000004">
      <c r="C1638" s="27"/>
      <c r="E1638" s="27"/>
      <c r="G1638" s="27"/>
    </row>
    <row r="1639" spans="3:7" x14ac:dyDescent="0.55000000000000004">
      <c r="C1639" s="27"/>
      <c r="E1639" s="27"/>
      <c r="G1639" s="27"/>
    </row>
    <row r="1640" spans="3:7" x14ac:dyDescent="0.55000000000000004">
      <c r="C1640" s="27"/>
      <c r="E1640" s="27"/>
      <c r="G1640" s="27"/>
    </row>
    <row r="1641" spans="3:7" x14ac:dyDescent="0.55000000000000004">
      <c r="C1641" s="27"/>
      <c r="E1641" s="27"/>
      <c r="G1641" s="27"/>
    </row>
    <row r="1642" spans="3:7" x14ac:dyDescent="0.55000000000000004">
      <c r="C1642" s="27"/>
      <c r="E1642" s="27"/>
      <c r="G1642" s="27"/>
    </row>
    <row r="1643" spans="3:7" x14ac:dyDescent="0.55000000000000004">
      <c r="C1643" s="27"/>
      <c r="E1643" s="27"/>
      <c r="G1643" s="27"/>
    </row>
    <row r="1644" spans="3:7" x14ac:dyDescent="0.55000000000000004">
      <c r="C1644" s="27"/>
      <c r="E1644" s="27"/>
      <c r="G1644" s="27"/>
    </row>
    <row r="1645" spans="3:7" x14ac:dyDescent="0.55000000000000004">
      <c r="C1645" s="27"/>
      <c r="E1645" s="27"/>
      <c r="G1645" s="27"/>
    </row>
    <row r="1646" spans="3:7" x14ac:dyDescent="0.55000000000000004">
      <c r="C1646" s="27"/>
      <c r="E1646" s="27"/>
      <c r="G1646" s="27"/>
    </row>
    <row r="1647" spans="3:7" x14ac:dyDescent="0.55000000000000004">
      <c r="C1647" s="27"/>
      <c r="E1647" s="27"/>
      <c r="G1647" s="27"/>
    </row>
    <row r="1648" spans="3:7" x14ac:dyDescent="0.55000000000000004">
      <c r="C1648" s="27"/>
      <c r="E1648" s="27"/>
      <c r="G1648" s="27"/>
    </row>
    <row r="1649" spans="3:7" x14ac:dyDescent="0.55000000000000004">
      <c r="C1649" s="27"/>
      <c r="E1649" s="27"/>
      <c r="G1649" s="27"/>
    </row>
    <row r="1650" spans="3:7" x14ac:dyDescent="0.55000000000000004">
      <c r="C1650" s="27"/>
      <c r="E1650" s="27"/>
      <c r="G1650" s="27"/>
    </row>
    <row r="1651" spans="3:7" x14ac:dyDescent="0.55000000000000004">
      <c r="C1651" s="27"/>
      <c r="E1651" s="27"/>
      <c r="G1651" s="27"/>
    </row>
    <row r="1652" spans="3:7" x14ac:dyDescent="0.55000000000000004">
      <c r="C1652" s="27"/>
      <c r="E1652" s="27"/>
      <c r="G1652" s="27"/>
    </row>
    <row r="1653" spans="3:7" x14ac:dyDescent="0.55000000000000004">
      <c r="C1653" s="27"/>
      <c r="E1653" s="27"/>
      <c r="G1653" s="27"/>
    </row>
    <row r="1654" spans="3:7" x14ac:dyDescent="0.55000000000000004">
      <c r="C1654" s="27"/>
      <c r="E1654" s="27"/>
      <c r="G1654" s="27"/>
    </row>
    <row r="1655" spans="3:7" x14ac:dyDescent="0.55000000000000004">
      <c r="C1655" s="27"/>
      <c r="E1655" s="27"/>
      <c r="G1655" s="27"/>
    </row>
    <row r="1656" spans="3:7" x14ac:dyDescent="0.55000000000000004">
      <c r="C1656" s="27"/>
      <c r="E1656" s="27"/>
      <c r="G1656" s="27"/>
    </row>
    <row r="1657" spans="3:7" x14ac:dyDescent="0.55000000000000004">
      <c r="C1657" s="27"/>
      <c r="E1657" s="27"/>
      <c r="G1657" s="27"/>
    </row>
    <row r="1658" spans="3:7" x14ac:dyDescent="0.55000000000000004">
      <c r="C1658" s="27"/>
      <c r="E1658" s="27"/>
      <c r="G1658" s="27"/>
    </row>
    <row r="1659" spans="3:7" x14ac:dyDescent="0.55000000000000004">
      <c r="C1659" s="27"/>
      <c r="E1659" s="27"/>
      <c r="G1659" s="27"/>
    </row>
    <row r="1660" spans="3:7" x14ac:dyDescent="0.55000000000000004">
      <c r="C1660" s="27"/>
      <c r="E1660" s="27"/>
      <c r="G1660" s="27"/>
    </row>
    <row r="1661" spans="3:7" x14ac:dyDescent="0.55000000000000004">
      <c r="C1661" s="27"/>
      <c r="E1661" s="27"/>
      <c r="G1661" s="27"/>
    </row>
    <row r="1662" spans="3:7" x14ac:dyDescent="0.55000000000000004">
      <c r="C1662" s="27"/>
      <c r="E1662" s="27"/>
      <c r="G1662" s="27"/>
    </row>
    <row r="1663" spans="3:7" x14ac:dyDescent="0.55000000000000004">
      <c r="C1663" s="27"/>
      <c r="E1663" s="27"/>
      <c r="G1663" s="27"/>
    </row>
    <row r="1664" spans="3:7" x14ac:dyDescent="0.55000000000000004">
      <c r="C1664" s="27"/>
      <c r="E1664" s="27"/>
      <c r="G1664" s="27"/>
    </row>
    <row r="1665" spans="3:7" x14ac:dyDescent="0.55000000000000004">
      <c r="C1665" s="27"/>
      <c r="E1665" s="27"/>
      <c r="G1665" s="27"/>
    </row>
    <row r="1666" spans="3:7" x14ac:dyDescent="0.55000000000000004">
      <c r="C1666" s="27"/>
      <c r="E1666" s="27"/>
      <c r="G1666" s="27"/>
    </row>
    <row r="1667" spans="3:7" x14ac:dyDescent="0.55000000000000004">
      <c r="C1667" s="27"/>
      <c r="E1667" s="27"/>
      <c r="G1667" s="27"/>
    </row>
    <row r="1668" spans="3:7" x14ac:dyDescent="0.55000000000000004">
      <c r="C1668" s="27"/>
      <c r="E1668" s="27"/>
      <c r="G1668" s="27"/>
    </row>
    <row r="1669" spans="3:7" x14ac:dyDescent="0.55000000000000004">
      <c r="C1669" s="27"/>
      <c r="E1669" s="27"/>
      <c r="G1669" s="27"/>
    </row>
    <row r="1670" spans="3:7" x14ac:dyDescent="0.55000000000000004">
      <c r="C1670" s="27"/>
      <c r="E1670" s="27"/>
      <c r="G1670" s="27"/>
    </row>
    <row r="1671" spans="3:7" x14ac:dyDescent="0.55000000000000004">
      <c r="C1671" s="27"/>
      <c r="E1671" s="27"/>
      <c r="G1671" s="27"/>
    </row>
    <row r="1672" spans="3:7" x14ac:dyDescent="0.55000000000000004">
      <c r="C1672" s="27"/>
      <c r="E1672" s="27"/>
      <c r="G1672" s="27"/>
    </row>
    <row r="1673" spans="3:7" x14ac:dyDescent="0.55000000000000004">
      <c r="C1673" s="27"/>
      <c r="E1673" s="27"/>
      <c r="G1673" s="27"/>
    </row>
    <row r="1674" spans="3:7" x14ac:dyDescent="0.55000000000000004">
      <c r="C1674" s="27"/>
      <c r="E1674" s="27"/>
      <c r="G1674" s="27"/>
    </row>
    <row r="1675" spans="3:7" x14ac:dyDescent="0.55000000000000004">
      <c r="C1675" s="27"/>
      <c r="E1675" s="27"/>
      <c r="G1675" s="27"/>
    </row>
    <row r="1676" spans="3:7" x14ac:dyDescent="0.55000000000000004">
      <c r="C1676" s="27"/>
      <c r="E1676" s="27"/>
      <c r="G1676" s="27"/>
    </row>
    <row r="1677" spans="3:7" x14ac:dyDescent="0.55000000000000004">
      <c r="C1677" s="27"/>
      <c r="E1677" s="27"/>
      <c r="G1677" s="27"/>
    </row>
    <row r="1678" spans="3:7" x14ac:dyDescent="0.55000000000000004">
      <c r="C1678" s="27"/>
      <c r="E1678" s="27"/>
      <c r="G1678" s="27"/>
    </row>
    <row r="1679" spans="3:7" x14ac:dyDescent="0.55000000000000004">
      <c r="C1679" s="27"/>
      <c r="E1679" s="27"/>
      <c r="G1679" s="27"/>
    </row>
    <row r="1680" spans="3:7" x14ac:dyDescent="0.55000000000000004">
      <c r="C1680" s="27"/>
      <c r="E1680" s="27"/>
      <c r="G1680" s="27"/>
    </row>
    <row r="1681" spans="3:7" x14ac:dyDescent="0.55000000000000004">
      <c r="C1681" s="27"/>
      <c r="E1681" s="27"/>
      <c r="G1681" s="27"/>
    </row>
    <row r="1682" spans="3:7" x14ac:dyDescent="0.55000000000000004">
      <c r="C1682" s="27"/>
      <c r="E1682" s="27"/>
      <c r="G1682" s="27"/>
    </row>
    <row r="1683" spans="3:7" x14ac:dyDescent="0.55000000000000004">
      <c r="C1683" s="27"/>
      <c r="E1683" s="27"/>
      <c r="G1683" s="27"/>
    </row>
    <row r="1684" spans="3:7" x14ac:dyDescent="0.55000000000000004">
      <c r="C1684" s="27"/>
      <c r="E1684" s="27"/>
      <c r="G1684" s="27"/>
    </row>
    <row r="1685" spans="3:7" x14ac:dyDescent="0.55000000000000004">
      <c r="C1685" s="27"/>
      <c r="E1685" s="27"/>
      <c r="G1685" s="27"/>
    </row>
    <row r="1686" spans="3:7" x14ac:dyDescent="0.55000000000000004">
      <c r="C1686" s="27"/>
      <c r="E1686" s="27"/>
      <c r="G1686" s="27"/>
    </row>
    <row r="1687" spans="3:7" x14ac:dyDescent="0.55000000000000004">
      <c r="C1687" s="27"/>
      <c r="E1687" s="27"/>
      <c r="G1687" s="27"/>
    </row>
    <row r="1688" spans="3:7" x14ac:dyDescent="0.55000000000000004">
      <c r="C1688" s="27"/>
      <c r="E1688" s="27"/>
      <c r="G1688" s="27"/>
    </row>
    <row r="1689" spans="3:7" x14ac:dyDescent="0.55000000000000004">
      <c r="C1689" s="27"/>
      <c r="E1689" s="27"/>
      <c r="G1689" s="27"/>
    </row>
    <row r="1690" spans="3:7" x14ac:dyDescent="0.55000000000000004">
      <c r="C1690" s="27"/>
      <c r="E1690" s="27"/>
      <c r="G1690" s="27"/>
    </row>
    <row r="1691" spans="3:7" x14ac:dyDescent="0.55000000000000004">
      <c r="C1691" s="27"/>
      <c r="E1691" s="27"/>
      <c r="G1691" s="27"/>
    </row>
    <row r="1692" spans="3:7" x14ac:dyDescent="0.55000000000000004">
      <c r="C1692" s="27"/>
      <c r="E1692" s="27"/>
      <c r="G1692" s="27"/>
    </row>
    <row r="1693" spans="3:7" x14ac:dyDescent="0.55000000000000004">
      <c r="C1693" s="27"/>
      <c r="E1693" s="27"/>
      <c r="G1693" s="27"/>
    </row>
    <row r="1694" spans="3:7" x14ac:dyDescent="0.55000000000000004">
      <c r="C1694" s="27"/>
      <c r="E1694" s="27"/>
      <c r="G1694" s="27"/>
    </row>
    <row r="1695" spans="3:7" x14ac:dyDescent="0.55000000000000004">
      <c r="C1695" s="27"/>
      <c r="E1695" s="27"/>
      <c r="G1695" s="27"/>
    </row>
    <row r="1696" spans="3:7" x14ac:dyDescent="0.55000000000000004">
      <c r="C1696" s="27"/>
      <c r="E1696" s="27"/>
      <c r="G1696" s="27"/>
    </row>
    <row r="1697" spans="3:7" x14ac:dyDescent="0.55000000000000004">
      <c r="C1697" s="27"/>
      <c r="E1697" s="27"/>
      <c r="G1697" s="27"/>
    </row>
    <row r="1698" spans="3:7" x14ac:dyDescent="0.55000000000000004">
      <c r="C1698" s="27"/>
      <c r="E1698" s="27"/>
      <c r="G1698" s="27"/>
    </row>
    <row r="1699" spans="3:7" x14ac:dyDescent="0.55000000000000004">
      <c r="C1699" s="27"/>
      <c r="E1699" s="27"/>
      <c r="G1699" s="27"/>
    </row>
    <row r="1700" spans="3:7" x14ac:dyDescent="0.55000000000000004">
      <c r="C1700" s="27"/>
      <c r="E1700" s="27"/>
      <c r="G1700" s="27"/>
    </row>
    <row r="1701" spans="3:7" x14ac:dyDescent="0.55000000000000004">
      <c r="C1701" s="27"/>
      <c r="E1701" s="27"/>
      <c r="G1701" s="27"/>
    </row>
    <row r="1702" spans="3:7" x14ac:dyDescent="0.55000000000000004">
      <c r="C1702" s="27"/>
      <c r="E1702" s="27"/>
      <c r="G1702" s="27"/>
    </row>
    <row r="1703" spans="3:7" x14ac:dyDescent="0.55000000000000004">
      <c r="C1703" s="27"/>
      <c r="E1703" s="27"/>
      <c r="G1703" s="27"/>
    </row>
    <row r="1704" spans="3:7" x14ac:dyDescent="0.55000000000000004">
      <c r="C1704" s="27"/>
      <c r="E1704" s="27"/>
      <c r="G1704" s="27"/>
    </row>
    <row r="1705" spans="3:7" x14ac:dyDescent="0.55000000000000004">
      <c r="C1705" s="27"/>
      <c r="E1705" s="27"/>
      <c r="G1705" s="27"/>
    </row>
    <row r="1706" spans="3:7" x14ac:dyDescent="0.55000000000000004">
      <c r="C1706" s="27"/>
      <c r="E1706" s="27"/>
      <c r="G1706" s="27"/>
    </row>
    <row r="1707" spans="3:7" x14ac:dyDescent="0.55000000000000004">
      <c r="C1707" s="27"/>
      <c r="E1707" s="27"/>
      <c r="G1707" s="27"/>
    </row>
    <row r="1708" spans="3:7" x14ac:dyDescent="0.55000000000000004">
      <c r="C1708" s="27"/>
      <c r="E1708" s="27"/>
      <c r="G1708" s="27"/>
    </row>
    <row r="1709" spans="3:7" x14ac:dyDescent="0.55000000000000004">
      <c r="C1709" s="27"/>
      <c r="E1709" s="27"/>
      <c r="G1709" s="27"/>
    </row>
    <row r="1710" spans="3:7" x14ac:dyDescent="0.55000000000000004">
      <c r="C1710" s="27"/>
      <c r="E1710" s="27"/>
      <c r="G1710" s="27"/>
    </row>
    <row r="1711" spans="3:7" x14ac:dyDescent="0.55000000000000004">
      <c r="C1711" s="27"/>
      <c r="E1711" s="27"/>
      <c r="G1711" s="27"/>
    </row>
    <row r="1712" spans="3:7" x14ac:dyDescent="0.55000000000000004">
      <c r="C1712" s="27"/>
      <c r="E1712" s="27"/>
      <c r="G1712" s="27"/>
    </row>
    <row r="1713" spans="3:7" x14ac:dyDescent="0.55000000000000004">
      <c r="C1713" s="27"/>
      <c r="E1713" s="27"/>
      <c r="G1713" s="27"/>
    </row>
    <row r="1714" spans="3:7" x14ac:dyDescent="0.55000000000000004">
      <c r="C1714" s="27"/>
      <c r="E1714" s="27"/>
      <c r="G1714" s="27"/>
    </row>
    <row r="1715" spans="3:7" x14ac:dyDescent="0.55000000000000004">
      <c r="C1715" s="27"/>
      <c r="E1715" s="27"/>
      <c r="G1715" s="27"/>
    </row>
    <row r="1716" spans="3:7" x14ac:dyDescent="0.55000000000000004">
      <c r="C1716" s="27"/>
      <c r="E1716" s="27"/>
      <c r="G1716" s="27"/>
    </row>
    <row r="1717" spans="3:7" x14ac:dyDescent="0.55000000000000004">
      <c r="C1717" s="27"/>
      <c r="E1717" s="27"/>
      <c r="G1717" s="27"/>
    </row>
    <row r="1718" spans="3:7" x14ac:dyDescent="0.55000000000000004">
      <c r="C1718" s="27"/>
      <c r="E1718" s="27"/>
      <c r="G1718" s="27"/>
    </row>
    <row r="1719" spans="3:7" x14ac:dyDescent="0.55000000000000004">
      <c r="C1719" s="27"/>
      <c r="E1719" s="27"/>
      <c r="G1719" s="27"/>
    </row>
    <row r="1720" spans="3:7" x14ac:dyDescent="0.55000000000000004">
      <c r="C1720" s="27"/>
      <c r="E1720" s="27"/>
      <c r="G1720" s="27"/>
    </row>
    <row r="1721" spans="3:7" x14ac:dyDescent="0.55000000000000004">
      <c r="C1721" s="27"/>
      <c r="E1721" s="27"/>
      <c r="G1721" s="27"/>
    </row>
    <row r="1722" spans="3:7" x14ac:dyDescent="0.55000000000000004">
      <c r="C1722" s="27"/>
      <c r="E1722" s="27"/>
      <c r="G1722" s="27"/>
    </row>
    <row r="1723" spans="3:7" x14ac:dyDescent="0.55000000000000004">
      <c r="C1723" s="27"/>
      <c r="E1723" s="27"/>
      <c r="G1723" s="27"/>
    </row>
    <row r="1724" spans="3:7" x14ac:dyDescent="0.55000000000000004">
      <c r="C1724" s="27"/>
      <c r="E1724" s="27"/>
      <c r="G1724" s="27"/>
    </row>
    <row r="1725" spans="3:7" x14ac:dyDescent="0.55000000000000004">
      <c r="C1725" s="27"/>
      <c r="E1725" s="27"/>
      <c r="G1725" s="27"/>
    </row>
    <row r="1726" spans="3:7" x14ac:dyDescent="0.55000000000000004">
      <c r="C1726" s="27"/>
      <c r="E1726" s="27"/>
      <c r="G1726" s="27"/>
    </row>
    <row r="1727" spans="3:7" x14ac:dyDescent="0.55000000000000004">
      <c r="C1727" s="27"/>
      <c r="E1727" s="27"/>
      <c r="G1727" s="27"/>
    </row>
    <row r="1728" spans="3:7" x14ac:dyDescent="0.55000000000000004">
      <c r="C1728" s="27"/>
      <c r="E1728" s="27"/>
      <c r="G1728" s="27"/>
    </row>
    <row r="1729" spans="3:7" x14ac:dyDescent="0.55000000000000004">
      <c r="C1729" s="27"/>
      <c r="E1729" s="27"/>
      <c r="G1729" s="27"/>
    </row>
    <row r="1730" spans="3:7" x14ac:dyDescent="0.55000000000000004">
      <c r="C1730" s="27"/>
      <c r="E1730" s="27"/>
      <c r="G1730" s="27"/>
    </row>
    <row r="1731" spans="3:7" x14ac:dyDescent="0.55000000000000004">
      <c r="C1731" s="27"/>
      <c r="E1731" s="27"/>
      <c r="G1731" s="27"/>
    </row>
    <row r="1732" spans="3:7" x14ac:dyDescent="0.55000000000000004">
      <c r="C1732" s="27"/>
      <c r="E1732" s="27"/>
      <c r="G1732" s="27"/>
    </row>
    <row r="1733" spans="3:7" x14ac:dyDescent="0.55000000000000004">
      <c r="C1733" s="27"/>
      <c r="E1733" s="27"/>
      <c r="G1733" s="27"/>
    </row>
    <row r="1734" spans="3:7" x14ac:dyDescent="0.55000000000000004">
      <c r="C1734" s="27"/>
      <c r="E1734" s="27"/>
      <c r="G1734" s="27"/>
    </row>
    <row r="1735" spans="3:7" x14ac:dyDescent="0.55000000000000004">
      <c r="C1735" s="27"/>
      <c r="E1735" s="27"/>
      <c r="G1735" s="27"/>
    </row>
    <row r="1736" spans="3:7" x14ac:dyDescent="0.55000000000000004">
      <c r="C1736" s="27"/>
      <c r="E1736" s="27"/>
      <c r="G1736" s="27"/>
    </row>
    <row r="1737" spans="3:7" x14ac:dyDescent="0.55000000000000004">
      <c r="C1737" s="27"/>
      <c r="E1737" s="27"/>
      <c r="G1737" s="27"/>
    </row>
    <row r="1738" spans="3:7" x14ac:dyDescent="0.55000000000000004">
      <c r="C1738" s="27"/>
      <c r="E1738" s="27"/>
      <c r="G1738" s="27"/>
    </row>
    <row r="1739" spans="3:7" x14ac:dyDescent="0.55000000000000004">
      <c r="C1739" s="27"/>
      <c r="E1739" s="27"/>
      <c r="G1739" s="27"/>
    </row>
    <row r="1740" spans="3:7" x14ac:dyDescent="0.55000000000000004">
      <c r="C1740" s="27"/>
      <c r="E1740" s="27"/>
      <c r="G1740" s="27"/>
    </row>
    <row r="1741" spans="3:7" x14ac:dyDescent="0.55000000000000004">
      <c r="C1741" s="27"/>
      <c r="E1741" s="27"/>
      <c r="G1741" s="27"/>
    </row>
    <row r="1742" spans="3:7" x14ac:dyDescent="0.55000000000000004">
      <c r="C1742" s="27"/>
      <c r="E1742" s="27"/>
      <c r="G1742" s="27"/>
    </row>
    <row r="1743" spans="3:7" x14ac:dyDescent="0.55000000000000004">
      <c r="C1743" s="27"/>
      <c r="E1743" s="27"/>
      <c r="G1743" s="27"/>
    </row>
    <row r="1744" spans="3:7" x14ac:dyDescent="0.55000000000000004">
      <c r="C1744" s="27"/>
      <c r="E1744" s="27"/>
      <c r="G1744" s="27"/>
    </row>
    <row r="1745" spans="3:7" x14ac:dyDescent="0.55000000000000004">
      <c r="C1745" s="27"/>
      <c r="E1745" s="27"/>
      <c r="G1745" s="27"/>
    </row>
    <row r="1746" spans="3:7" x14ac:dyDescent="0.55000000000000004">
      <c r="C1746" s="27"/>
      <c r="E1746" s="27"/>
      <c r="G1746" s="27"/>
    </row>
    <row r="1747" spans="3:7" x14ac:dyDescent="0.55000000000000004">
      <c r="C1747" s="27"/>
      <c r="E1747" s="27"/>
      <c r="G1747" s="27"/>
    </row>
    <row r="1748" spans="3:7" x14ac:dyDescent="0.55000000000000004">
      <c r="C1748" s="27"/>
      <c r="E1748" s="27"/>
      <c r="G1748" s="27"/>
    </row>
    <row r="1749" spans="3:7" x14ac:dyDescent="0.55000000000000004">
      <c r="C1749" s="27"/>
      <c r="E1749" s="27"/>
      <c r="G1749" s="27"/>
    </row>
    <row r="1750" spans="3:7" x14ac:dyDescent="0.55000000000000004">
      <c r="C1750" s="27"/>
      <c r="E1750" s="27"/>
      <c r="G1750" s="27"/>
    </row>
    <row r="1751" spans="3:7" x14ac:dyDescent="0.55000000000000004">
      <c r="C1751" s="27"/>
      <c r="E1751" s="27"/>
      <c r="G1751" s="27"/>
    </row>
    <row r="1752" spans="3:7" x14ac:dyDescent="0.55000000000000004">
      <c r="C1752" s="27"/>
      <c r="E1752" s="27"/>
      <c r="G1752" s="27"/>
    </row>
    <row r="1753" spans="3:7" x14ac:dyDescent="0.55000000000000004">
      <c r="C1753" s="27"/>
      <c r="E1753" s="27"/>
      <c r="G1753" s="27"/>
    </row>
    <row r="1754" spans="3:7" x14ac:dyDescent="0.55000000000000004">
      <c r="C1754" s="27"/>
      <c r="E1754" s="27"/>
      <c r="G1754" s="27"/>
    </row>
    <row r="1755" spans="3:7" x14ac:dyDescent="0.55000000000000004">
      <c r="C1755" s="27"/>
      <c r="E1755" s="27"/>
      <c r="G1755" s="27"/>
    </row>
    <row r="1756" spans="3:7" x14ac:dyDescent="0.55000000000000004">
      <c r="C1756" s="27"/>
      <c r="E1756" s="27"/>
      <c r="G1756" s="27"/>
    </row>
    <row r="1757" spans="3:7" x14ac:dyDescent="0.55000000000000004">
      <c r="C1757" s="27"/>
      <c r="E1757" s="27"/>
      <c r="G1757" s="27"/>
    </row>
  </sheetData>
  <mergeCells count="111"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562"/>
  <sheetViews>
    <sheetView topLeftCell="A25" zoomScaleNormal="100" workbookViewId="0">
      <selection activeCell="E48" sqref="E48"/>
    </sheetView>
  </sheetViews>
  <sheetFormatPr defaultRowHeight="14.4" x14ac:dyDescent="0.55000000000000004"/>
  <cols>
    <col min="1" max="1" width="32.3125" customWidth="1"/>
    <col min="2" max="2" width="4.1015625" customWidth="1"/>
    <col min="3" max="3" width="13.1015625" customWidth="1"/>
    <col min="4" max="4" width="4.7890625" customWidth="1"/>
    <col min="5" max="5" width="13.7890625" customWidth="1"/>
    <col min="11" max="11" width="17.83984375" customWidth="1"/>
  </cols>
  <sheetData>
    <row r="1" spans="1:12" x14ac:dyDescent="0.55000000000000004">
      <c r="B1" s="79" t="s">
        <v>87</v>
      </c>
      <c r="C1" s="79"/>
      <c r="D1" s="79"/>
      <c r="E1" s="79"/>
    </row>
    <row r="2" spans="1:12" x14ac:dyDescent="0.55000000000000004">
      <c r="A2" s="2" t="s">
        <v>63</v>
      </c>
      <c r="B2" s="78" t="s">
        <v>98</v>
      </c>
      <c r="C2" s="78"/>
      <c r="D2" s="78" t="s">
        <v>99</v>
      </c>
      <c r="E2" s="78"/>
    </row>
    <row r="3" spans="1:12" x14ac:dyDescent="0.55000000000000004">
      <c r="A3" t="s">
        <v>15</v>
      </c>
      <c r="B3" s="77">
        <f>[1]All!$L$12*L17</f>
        <v>0.48314833998105799</v>
      </c>
      <c r="C3" s="77"/>
      <c r="D3" s="77">
        <f>[1]All!$L$13*L17</f>
        <v>0.5946441107459175</v>
      </c>
      <c r="E3" s="77"/>
    </row>
    <row r="4" spans="1:12" x14ac:dyDescent="0.55000000000000004">
      <c r="A4" t="s">
        <v>16</v>
      </c>
      <c r="B4" s="77">
        <f>[2]prod_herd_data!J17</f>
        <v>367.30829304581511</v>
      </c>
      <c r="C4" s="77"/>
      <c r="D4" s="77">
        <f>[2]prod_herd_data!J18</f>
        <v>1424.0802472278533</v>
      </c>
      <c r="E4" s="77"/>
    </row>
    <row r="5" spans="1:12" ht="15.6" x14ac:dyDescent="0.6">
      <c r="A5" t="s">
        <v>4</v>
      </c>
      <c r="B5" s="77">
        <f>B4*B3</f>
        <v>177.46439204636155</v>
      </c>
      <c r="C5" s="77"/>
      <c r="D5" s="77">
        <f>D4*D3</f>
        <v>846.82093224363314</v>
      </c>
      <c r="E5" s="77"/>
      <c r="K5" s="40"/>
    </row>
    <row r="6" spans="1:12" ht="15.6" x14ac:dyDescent="0.6">
      <c r="B6" s="78"/>
      <c r="C6" s="78"/>
      <c r="D6" s="77"/>
      <c r="E6" s="77"/>
      <c r="K6" s="40"/>
    </row>
    <row r="7" spans="1:12" x14ac:dyDescent="0.55000000000000004">
      <c r="A7" s="2" t="s">
        <v>59</v>
      </c>
      <c r="B7" s="77"/>
      <c r="C7" s="77"/>
      <c r="D7" s="77"/>
      <c r="E7" s="77"/>
    </row>
    <row r="8" spans="1:12" x14ac:dyDescent="0.55000000000000004">
      <c r="A8" t="s">
        <v>29</v>
      </c>
      <c r="B8" s="77">
        <f xml:space="preserve"> (([2]FEEDING_base!$J$17*L30)+([2]FEEDING_base!$J$18*L31))</f>
        <v>79.444873766804676</v>
      </c>
      <c r="C8" s="77"/>
      <c r="D8" s="77">
        <f>(([2]FEEDING_base!$J$23*L30)+([2]FEEDING_base!$J$24*L31))</f>
        <v>241.16030694690787</v>
      </c>
      <c r="E8" s="77"/>
    </row>
    <row r="9" spans="1:12" x14ac:dyDescent="0.55000000000000004">
      <c r="A9" t="s">
        <v>1</v>
      </c>
      <c r="B9" s="77">
        <f>[1]All!$P$12*L17</f>
        <v>3.7037541262095375</v>
      </c>
      <c r="C9" s="77"/>
      <c r="D9" s="77">
        <f>[1]All!$P$13*L17</f>
        <v>9.9618214429084109</v>
      </c>
      <c r="E9" s="77"/>
    </row>
    <row r="10" spans="1:12" x14ac:dyDescent="0.55000000000000004">
      <c r="A10" t="s">
        <v>60</v>
      </c>
      <c r="B10" s="77">
        <f>[1]All!$Q$12*L17</f>
        <v>9.4509588048105453</v>
      </c>
      <c r="C10" s="77"/>
      <c r="D10" s="77">
        <f>[1]All!$Q$13*L17</f>
        <v>8.9400961667126779</v>
      </c>
      <c r="E10" s="77"/>
      <c r="K10" s="2" t="str">
        <f>Dairy_Income_Roadmap!K10</f>
        <v>Basic income parameters</v>
      </c>
      <c r="L10" s="2"/>
    </row>
    <row r="11" spans="1:12" x14ac:dyDescent="0.55000000000000004">
      <c r="A11" t="s">
        <v>61</v>
      </c>
      <c r="B11" s="77">
        <f>[1]All!$R$12*L17</f>
        <v>0.12771565952446681</v>
      </c>
      <c r="C11" s="77"/>
      <c r="D11" s="77">
        <f>[1]All!$R$13*L17</f>
        <v>1.0217252761957345</v>
      </c>
      <c r="E11" s="77"/>
      <c r="K11" t="str">
        <f>Dairy_Income_Roadmap!K11</f>
        <v>Amortization period (years)</v>
      </c>
      <c r="L11">
        <v>12</v>
      </c>
    </row>
    <row r="12" spans="1:12" x14ac:dyDescent="0.55000000000000004">
      <c r="A12" t="s">
        <v>62</v>
      </c>
      <c r="B12" s="77">
        <f>0*L17</f>
        <v>0</v>
      </c>
      <c r="C12" s="77"/>
      <c r="D12" s="77">
        <f>0*L17</f>
        <v>0</v>
      </c>
      <c r="E12" s="77"/>
    </row>
    <row r="13" spans="1:12" x14ac:dyDescent="0.55000000000000004">
      <c r="B13" s="78"/>
      <c r="C13" s="78"/>
      <c r="D13" s="77"/>
      <c r="E13" s="77"/>
    </row>
    <row r="14" spans="1:12" x14ac:dyDescent="0.55000000000000004">
      <c r="A14" s="2" t="s">
        <v>92</v>
      </c>
      <c r="B14" s="77">
        <f>SUM(B8:B12)</f>
        <v>92.727302357349217</v>
      </c>
      <c r="C14" s="77"/>
      <c r="D14" s="77">
        <f>SUM(D8:D12)</f>
        <v>261.08394983272473</v>
      </c>
      <c r="E14" s="77"/>
      <c r="K14" t="str">
        <f>Dairy_Income_Roadmap!K13</f>
        <v>Price acquring new animal (USD/head)</v>
      </c>
      <c r="L14">
        <f>Dairy_Income_Roadmap!L13</f>
        <v>397.7</v>
      </c>
    </row>
    <row r="15" spans="1:12" x14ac:dyDescent="0.55000000000000004">
      <c r="B15" s="78"/>
      <c r="C15" s="78"/>
      <c r="D15" s="77"/>
      <c r="E15" s="77"/>
    </row>
    <row r="16" spans="1:12" x14ac:dyDescent="0.55000000000000004">
      <c r="B16" s="78"/>
      <c r="C16" s="78"/>
      <c r="D16" s="77"/>
      <c r="E16" s="77"/>
    </row>
    <row r="17" spans="1:12" x14ac:dyDescent="0.55000000000000004">
      <c r="B17" s="77"/>
      <c r="C17" s="77"/>
      <c r="D17" s="77"/>
      <c r="E17" s="77"/>
      <c r="K17" t="str">
        <f>Dairy_Income_Roadmap!K16</f>
        <v>Price deflator</v>
      </c>
      <c r="L17" s="18">
        <f>Dairy_Income_Roadmap!L16</f>
        <v>1.2771565952446682</v>
      </c>
    </row>
    <row r="18" spans="1:12" x14ac:dyDescent="0.55000000000000004">
      <c r="B18" s="46" t="s">
        <v>75</v>
      </c>
      <c r="C18" s="46"/>
      <c r="D18" s="84"/>
      <c r="E18" s="84"/>
    </row>
    <row r="19" spans="1:12" x14ac:dyDescent="0.55000000000000004">
      <c r="A19" t="s">
        <v>7</v>
      </c>
      <c r="B19" s="77">
        <f>L36*L17</f>
        <v>473.19051384219415</v>
      </c>
      <c r="C19" s="77"/>
      <c r="D19" s="77">
        <f>L38*L17</f>
        <v>626.19041111347224</v>
      </c>
      <c r="E19" s="77"/>
      <c r="K19" s="2"/>
    </row>
    <row r="20" spans="1:12" x14ac:dyDescent="0.55000000000000004">
      <c r="A20" t="s">
        <v>76</v>
      </c>
      <c r="B20" s="77">
        <f>( [5]Sheet1!$QH$65*[2]feeding_change_data!$J$4+      [5]Sheet1!$QH$56*[2]feeding_change_data!$K$4)/([2]feeding_change_data!$J$4+[2]feeding_change_data!$K$4)</f>
        <v>146.80537326217234</v>
      </c>
      <c r="C20" s="77"/>
      <c r="D20" s="77">
        <f>( [5]Sheet1!$QG$65*[2]feeding_change_data!$J$4+      [5]Sheet1!$QG$56*[2]feeding_change_data!$K$4)/([2]feeding_change_data!$J$4+[2]feeding_change_data!$K$4)</f>
        <v>410.46318105569441</v>
      </c>
      <c r="E20" s="77"/>
      <c r="K20" t="str">
        <f>Dairy_Income_Roadmap!K19</f>
        <v>Forage seeding cost (USD/ha/yr)</v>
      </c>
      <c r="L20">
        <f>Dairy_Income_Roadmap!L19</f>
        <v>28</v>
      </c>
    </row>
    <row r="21" spans="1:12" x14ac:dyDescent="0.55000000000000004">
      <c r="A21" t="s">
        <v>77</v>
      </c>
      <c r="B21" s="77">
        <f>(((1/1000)*(1/L24)/L33))*B20</f>
        <v>1.5056961360222804E-2</v>
      </c>
      <c r="C21" s="77"/>
      <c r="D21" s="77">
        <f>(((1/1000)*(1/L24)/L33))*D20</f>
        <v>4.2098787800584042E-2</v>
      </c>
      <c r="E21" s="77"/>
    </row>
    <row r="22" spans="1:12" x14ac:dyDescent="0.55000000000000004">
      <c r="A22" t="s">
        <v>78</v>
      </c>
      <c r="B22" s="77">
        <f>( [5]Sheet1!$QP$65*[2]feeding_change_data_pasture!$J$4+      [5]Sheet1!$QP$56*[2]feeding_change_data_pasture!$K$4)/([2]feeding_change_data_pasture!$J$4+[2]feeding_change_data_pasture!$K$4)</f>
        <v>96.509350562910655</v>
      </c>
      <c r="C22" s="77"/>
      <c r="D22" s="77">
        <f>( [5]Sheet1!$QO$65*[2]feeding_change_data_pasture!$J$4+      [5]Sheet1!$QO$56*[2]feeding_change_data_pasture!$K$4)/([2]feeding_change_data_pasture!$J$4+[2]feeding_change_data_pasture!$K$4)</f>
        <v>300.37899968817578</v>
      </c>
      <c r="E22" s="77"/>
      <c r="K22" t="s">
        <v>125</v>
      </c>
      <c r="L22">
        <v>0.24</v>
      </c>
    </row>
    <row r="23" spans="1:12" x14ac:dyDescent="0.55000000000000004">
      <c r="A23" t="s">
        <v>79</v>
      </c>
      <c r="B23" s="77">
        <f>(((1/1000)*(1/L25)/L34))*B22</f>
        <v>3.8603740225164267E-2</v>
      </c>
      <c r="C23" s="77"/>
      <c r="D23" s="77">
        <f>(((1/1000)*(1/L25)/L34))*D22</f>
        <v>0.12015159987527031</v>
      </c>
      <c r="E23" s="77"/>
      <c r="K23" t="s">
        <v>126</v>
      </c>
      <c r="L23">
        <v>0.21</v>
      </c>
    </row>
    <row r="24" spans="1:12" x14ac:dyDescent="0.55000000000000004">
      <c r="A24" t="s">
        <v>81</v>
      </c>
      <c r="B24" s="77">
        <f>B21+B23</f>
        <v>5.366070158538707E-2</v>
      </c>
      <c r="C24" s="77"/>
      <c r="D24" s="77">
        <f>D21+D23</f>
        <v>0.16225038767585437</v>
      </c>
      <c r="E24" s="77"/>
      <c r="K24" t="s">
        <v>66</v>
      </c>
      <c r="L24">
        <v>0.75</v>
      </c>
    </row>
    <row r="25" spans="1:12" x14ac:dyDescent="0.55000000000000004">
      <c r="A25" t="s">
        <v>70</v>
      </c>
      <c r="B25" s="77">
        <f>(B21+B23)*L17*L20</f>
        <v>1.9189273301865273</v>
      </c>
      <c r="C25" s="77"/>
      <c r="D25" s="77">
        <f>(D21+D23)*L17*L20</f>
        <v>5.8021362756342052</v>
      </c>
      <c r="E25" s="77"/>
      <c r="K25" t="str">
        <f>Dairy_Income_Roadmap!K24</f>
        <v>Use efficiency pasture</v>
      </c>
      <c r="L25">
        <f>Dairy_Income_Roadmap!L24</f>
        <v>0.5</v>
      </c>
    </row>
    <row r="26" spans="1:12" x14ac:dyDescent="0.55000000000000004">
      <c r="A26" t="s">
        <v>8</v>
      </c>
      <c r="B26" s="77">
        <f>(B21+B23)*B19+B25</f>
        <v>27.310662286508478</v>
      </c>
      <c r="C26" s="77"/>
      <c r="D26" s="77">
        <f>(D21+D23)*D19+D25</f>
        <v>107.40177323769771</v>
      </c>
      <c r="E26" s="77"/>
    </row>
    <row r="27" spans="1:12" x14ac:dyDescent="0.55000000000000004">
      <c r="B27" s="78"/>
      <c r="C27" s="78"/>
      <c r="D27" s="77"/>
      <c r="E27" s="77"/>
      <c r="K27" t="str">
        <f>Dairy_Income_Roadmap!K26</f>
        <v>Standard error (%) improved forage yield</v>
      </c>
      <c r="L27">
        <f>Dairy_Income_Roadmap!L26</f>
        <v>7.5</v>
      </c>
    </row>
    <row r="28" spans="1:12" x14ac:dyDescent="0.55000000000000004">
      <c r="A28" t="s">
        <v>47</v>
      </c>
      <c r="B28" s="77">
        <f>B5-B14</f>
        <v>84.737089689012336</v>
      </c>
      <c r="C28" s="77"/>
      <c r="D28" s="77">
        <f>D5-D14</f>
        <v>585.73698241090847</v>
      </c>
      <c r="E28" s="77"/>
      <c r="K28" t="str">
        <f>Dairy_Income_Roadmap!K27</f>
        <v>Standard error (%) improved forage yield</v>
      </c>
      <c r="L28">
        <f>Dairy_Income_Roadmap!L27</f>
        <v>20</v>
      </c>
    </row>
    <row r="29" spans="1:12" x14ac:dyDescent="0.55000000000000004">
      <c r="B29" s="85"/>
      <c r="C29" s="85"/>
      <c r="D29" s="6"/>
      <c r="E29" s="6"/>
    </row>
    <row r="30" spans="1:12" x14ac:dyDescent="0.55000000000000004">
      <c r="B30" s="78"/>
      <c r="C30" s="78"/>
      <c r="D30" s="18"/>
      <c r="E30" s="18"/>
      <c r="K30" t="str">
        <f>Dairy_Income_Roadmap!K29</f>
        <v>Market price Sunflower cake (USD/kg)</v>
      </c>
      <c r="L30" s="18">
        <f>Dairy_Income_Roadmap!L29</f>
        <v>0.31928914881116705</v>
      </c>
    </row>
    <row r="31" spans="1:12" x14ac:dyDescent="0.55000000000000004">
      <c r="B31" s="78"/>
      <c r="C31" s="78"/>
      <c r="D31" s="18"/>
      <c r="E31" s="18"/>
      <c r="K31" t="str">
        <f>Dairy_Income_Roadmap!K30</f>
        <v>Market price Maize bran (USD/kg)</v>
      </c>
      <c r="L31" s="18">
        <f>Dairy_Income_Roadmap!L30</f>
        <v>0.26820288500138029</v>
      </c>
    </row>
    <row r="32" spans="1:12" x14ac:dyDescent="0.55000000000000004">
      <c r="B32" s="78"/>
      <c r="C32" s="78"/>
      <c r="D32" s="18"/>
      <c r="E32" s="18"/>
    </row>
    <row r="33" spans="1:12" x14ac:dyDescent="0.55000000000000004">
      <c r="B33" s="78"/>
      <c r="C33" s="78"/>
      <c r="D33" s="18"/>
      <c r="E33" s="18"/>
      <c r="K33" t="str">
        <f>Dairy_Income_Roadmap!K32</f>
        <v>Napier yield (Mg/ha)</v>
      </c>
      <c r="L33">
        <f>Dairy_Income_Roadmap!L32</f>
        <v>13</v>
      </c>
    </row>
    <row r="34" spans="1:12" x14ac:dyDescent="0.55000000000000004">
      <c r="A34" s="79" t="s">
        <v>55</v>
      </c>
      <c r="B34" s="78"/>
      <c r="C34" s="78"/>
      <c r="D34" s="78"/>
      <c r="E34" s="78"/>
      <c r="K34" t="str">
        <f>Dairy_Income_Roadmap!K33</f>
        <v>Pasture yield (Mg/ha)</v>
      </c>
      <c r="L34">
        <f>Dairy_Income_Roadmap!L33</f>
        <v>5</v>
      </c>
    </row>
    <row r="35" spans="1:12" x14ac:dyDescent="0.55000000000000004">
      <c r="A35" s="78" t="s">
        <v>53</v>
      </c>
      <c r="B35" s="78"/>
      <c r="C35" s="78"/>
      <c r="D35" s="78"/>
      <c r="E35" s="78"/>
    </row>
    <row r="36" spans="1:12" x14ac:dyDescent="0.55000000000000004">
      <c r="A36" t="s">
        <v>17</v>
      </c>
      <c r="B36" s="77">
        <f>[1]All!$S$12*L17</f>
        <v>0.11494409357202014</v>
      </c>
      <c r="C36" s="77"/>
      <c r="D36" s="18"/>
      <c r="E36" s="6">
        <f>[1]All!$S$13*L17</f>
        <v>8.9400961667126785E-2</v>
      </c>
      <c r="K36" t="str">
        <f>Dairy_Income_Roadmap!K35</f>
        <v xml:space="preserve">Opportunity cost land strata 1 </v>
      </c>
      <c r="L36" s="18">
        <f>[1]All!$N$12*L17</f>
        <v>370.50312828047828</v>
      </c>
    </row>
    <row r="37" spans="1:12" x14ac:dyDescent="0.55000000000000004">
      <c r="B37" s="78"/>
      <c r="C37" s="78"/>
      <c r="D37" s="18"/>
      <c r="E37" s="6"/>
      <c r="K37" t="str">
        <f>Dairy_Income_Roadmap!K36</f>
        <v>SE (fraction)</v>
      </c>
      <c r="L37" s="18">
        <f>[1]All!$U$12*L17/L36</f>
        <v>0.53119613926232334</v>
      </c>
    </row>
    <row r="38" spans="1:12" x14ac:dyDescent="0.55000000000000004">
      <c r="A38" t="s">
        <v>0</v>
      </c>
      <c r="B38" s="77">
        <f>[1]All!$V$12*L17</f>
        <v>169.09553321039408</v>
      </c>
      <c r="C38" s="77"/>
      <c r="D38" s="18"/>
      <c r="E38" s="6">
        <f>[1]All!$V$13*L17</f>
        <v>107.79201663865</v>
      </c>
      <c r="K38" t="str">
        <f>Dairy_Income_Roadmap!K37</f>
        <v>Opportunity cost land strata 2</v>
      </c>
      <c r="L38" s="18">
        <f>[1]All!$N$13*L17</f>
        <v>490.30041691442807</v>
      </c>
    </row>
    <row r="39" spans="1:12" x14ac:dyDescent="0.55000000000000004">
      <c r="A39" t="s">
        <v>1</v>
      </c>
      <c r="B39" s="77">
        <f>[1]All!$W$12*L17</f>
        <v>22.09480909773276</v>
      </c>
      <c r="C39" s="77"/>
      <c r="D39" s="18"/>
      <c r="E39" s="6">
        <f>[1]All!$W$13*L17</f>
        <v>64.36869240033127</v>
      </c>
      <c r="K39" t="str">
        <f>Dairy_Income_Roadmap!K38</f>
        <v>SE (fraction)</v>
      </c>
      <c r="L39" s="18">
        <f>[1]All!$U$13*L17/L38</f>
        <v>0.4540244855431102</v>
      </c>
    </row>
    <row r="40" spans="1:12" x14ac:dyDescent="0.55000000000000004">
      <c r="A40" t="s">
        <v>2</v>
      </c>
      <c r="B40" s="77">
        <f>[1]All!$X$12*L17</f>
        <v>11.62212501672648</v>
      </c>
      <c r="C40" s="77"/>
      <c r="D40" s="18"/>
      <c r="E40" s="6">
        <f>[1]All!$X$13*L17</f>
        <v>10.472684081006278</v>
      </c>
    </row>
    <row r="41" spans="1:12" x14ac:dyDescent="0.55000000000000004">
      <c r="A41" t="s">
        <v>5</v>
      </c>
      <c r="B41" s="77">
        <f>[1]All!$Y$12*L17</f>
        <v>0.89400961667126766</v>
      </c>
      <c r="C41" s="77"/>
      <c r="D41" s="18"/>
      <c r="E41" s="6">
        <f>[1]All!$Y$13*L17</f>
        <v>4.2146167643074044</v>
      </c>
    </row>
    <row r="42" spans="1:12" x14ac:dyDescent="0.55000000000000004">
      <c r="A42" t="s">
        <v>3</v>
      </c>
      <c r="B42" s="77">
        <f>B12*L17</f>
        <v>0</v>
      </c>
      <c r="C42" s="77"/>
      <c r="D42" s="6"/>
      <c r="E42" s="6">
        <f>D12*L17</f>
        <v>0</v>
      </c>
    </row>
    <row r="43" spans="1:12" x14ac:dyDescent="0.55000000000000004">
      <c r="B43" s="78"/>
      <c r="C43" s="78"/>
      <c r="D43" s="18"/>
      <c r="E43" s="18"/>
    </row>
    <row r="44" spans="1:12" x14ac:dyDescent="0.55000000000000004">
      <c r="B44" s="78"/>
      <c r="C44" s="78"/>
      <c r="D44" s="18"/>
      <c r="E44" s="18"/>
    </row>
    <row r="45" spans="1:12" x14ac:dyDescent="0.55000000000000004">
      <c r="B45" s="84" t="s">
        <v>54</v>
      </c>
      <c r="C45" s="84"/>
      <c r="D45" s="84"/>
      <c r="E45" s="84"/>
    </row>
    <row r="46" spans="1:12" x14ac:dyDescent="0.55000000000000004">
      <c r="A46" t="s">
        <v>9</v>
      </c>
      <c r="B46" s="77">
        <f ca="1">_xlfn.NORM.INV(RAND(),B3,B36)</f>
        <v>0.46521531261409949</v>
      </c>
      <c r="C46" s="77"/>
      <c r="D46" s="6"/>
      <c r="E46" s="6">
        <f ca="1">_xlfn.NORM.INV(RAND(),D3,E36)</f>
        <v>0.68562334671178982</v>
      </c>
    </row>
    <row r="47" spans="1:12" x14ac:dyDescent="0.55000000000000004">
      <c r="A47" t="s">
        <v>95</v>
      </c>
      <c r="B47" s="77">
        <f>Dairy_Income_Baseline!B4*L22</f>
        <v>88.153990330995626</v>
      </c>
      <c r="C47" s="77"/>
      <c r="D47" s="6"/>
      <c r="E47" s="6">
        <f>D4*L23</f>
        <v>299.0568519178492</v>
      </c>
    </row>
    <row r="48" spans="1:12" x14ac:dyDescent="0.55000000000000004">
      <c r="B48" s="78"/>
      <c r="C48" s="78"/>
      <c r="D48" s="6"/>
      <c r="E48" s="6"/>
    </row>
    <row r="49" spans="1:5" x14ac:dyDescent="0.55000000000000004">
      <c r="A49" t="s">
        <v>10</v>
      </c>
      <c r="B49" s="77">
        <f ca="1">_xlfn.NORM.INV(RAND(),B8,B38)</f>
        <v>279.63578573595635</v>
      </c>
      <c r="C49" s="77"/>
      <c r="D49" s="6"/>
      <c r="E49" s="6">
        <f ca="1">_xlfn.NORM.INV(RAND(),D8,E38)</f>
        <v>294.1057946123218</v>
      </c>
    </row>
    <row r="50" spans="1:5" x14ac:dyDescent="0.55000000000000004">
      <c r="A50" t="s">
        <v>1</v>
      </c>
      <c r="B50" s="77">
        <f ca="1">_xlfn.NORM.INV(RAND(),B9,B39)</f>
        <v>28.908164015293398</v>
      </c>
      <c r="C50" s="77"/>
      <c r="D50" s="6"/>
      <c r="E50" s="6">
        <f ca="1">_xlfn.NORM.INV(RAND(),D9,E39)</f>
        <v>104.36613998985887</v>
      </c>
    </row>
    <row r="51" spans="1:5" x14ac:dyDescent="0.55000000000000004">
      <c r="A51" t="s">
        <v>2</v>
      </c>
      <c r="B51" s="77">
        <f ca="1">_xlfn.NORM.INV(RAND(),B10,B40)</f>
        <v>-8.6842916499936198</v>
      </c>
      <c r="C51" s="77"/>
      <c r="D51" s="6"/>
      <c r="E51" s="6">
        <f ca="1">_xlfn.NORM.INV(RAND(),D10,E40)</f>
        <v>5.3163136880668072</v>
      </c>
    </row>
    <row r="52" spans="1:5" x14ac:dyDescent="0.55000000000000004">
      <c r="A52" t="s">
        <v>12</v>
      </c>
      <c r="B52" s="77">
        <f ca="1">_xlfn.NORM.INV(RAND(),B11,B41)</f>
        <v>-0.67896904910769673</v>
      </c>
      <c r="C52" s="77"/>
      <c r="D52" s="6"/>
      <c r="E52" s="6">
        <f ca="1">_xlfn.NORM.INV(RAND(),D11,E41)</f>
        <v>1.129312453379228</v>
      </c>
    </row>
    <row r="53" spans="1:5" x14ac:dyDescent="0.55000000000000004">
      <c r="A53" t="s">
        <v>3</v>
      </c>
      <c r="B53" s="77">
        <v>1E-4</v>
      </c>
      <c r="C53" s="77"/>
      <c r="D53" s="6"/>
      <c r="E53" s="6">
        <v>1E-4</v>
      </c>
    </row>
    <row r="54" spans="1:5" x14ac:dyDescent="0.55000000000000004">
      <c r="B54" s="78"/>
      <c r="C54" s="78"/>
      <c r="D54" s="6"/>
      <c r="E54" s="6"/>
    </row>
    <row r="55" spans="1:5" x14ac:dyDescent="0.55000000000000004">
      <c r="A55" s="2" t="s">
        <v>73</v>
      </c>
      <c r="B55" s="77">
        <f ca="1">SUM(B49:B53)</f>
        <v>299.18078905214838</v>
      </c>
      <c r="C55" s="77"/>
      <c r="D55" s="6"/>
      <c r="E55" s="6">
        <f ca="1">SUM(E49:E53)</f>
        <v>404.9176607436267</v>
      </c>
    </row>
    <row r="56" spans="1:5" x14ac:dyDescent="0.55000000000000004">
      <c r="A56" s="2"/>
      <c r="B56" s="78"/>
      <c r="C56" s="78"/>
      <c r="D56" s="6"/>
      <c r="E56" s="6"/>
    </row>
    <row r="57" spans="1:5" x14ac:dyDescent="0.55000000000000004">
      <c r="A57" s="2" t="s">
        <v>47</v>
      </c>
      <c r="B57" s="77">
        <f ca="1">B46*B47-B55</f>
        <v>-258.17020288213394</v>
      </c>
      <c r="C57" s="77"/>
      <c r="D57" s="6"/>
      <c r="E57" s="6">
        <f ca="1">E46*E47-E55</f>
        <v>-199.8773010746188</v>
      </c>
    </row>
    <row r="58" spans="1:5" x14ac:dyDescent="0.55000000000000004">
      <c r="A58" s="2"/>
      <c r="B58" s="78"/>
      <c r="C58" s="78"/>
      <c r="D58" s="6"/>
      <c r="E58" s="6"/>
    </row>
    <row r="59" spans="1:5" x14ac:dyDescent="0.55000000000000004">
      <c r="A59" s="2" t="s">
        <v>13</v>
      </c>
      <c r="B59" s="77">
        <f ca="1">AVERAGE(C63:C562)</f>
        <v>-46.437751342937744</v>
      </c>
      <c r="C59" s="77"/>
      <c r="D59" s="6"/>
      <c r="E59" s="6">
        <f ca="1">AVERAGE(E63:E562)</f>
        <v>-88.866486916006892</v>
      </c>
    </row>
    <row r="60" spans="1:5" x14ac:dyDescent="0.55000000000000004">
      <c r="A60" s="2" t="s">
        <v>11</v>
      </c>
      <c r="B60" s="77">
        <f ca="1">STDEVA(C63:C562)</f>
        <v>159.48707855945256</v>
      </c>
      <c r="C60" s="77"/>
      <c r="D60" s="6"/>
      <c r="E60" s="6">
        <f t="shared" ref="E60" ca="1" si="0">STDEVA(E63:E562)</f>
        <v>119.89705049275518</v>
      </c>
    </row>
    <row r="61" spans="1:5" x14ac:dyDescent="0.55000000000000004">
      <c r="B61" s="78"/>
      <c r="C61" s="78"/>
    </row>
    <row r="62" spans="1:5" x14ac:dyDescent="0.55000000000000004">
      <c r="A62" s="2" t="s">
        <v>69</v>
      </c>
      <c r="B62" s="78"/>
      <c r="C62" s="78"/>
    </row>
    <row r="63" spans="1:5" x14ac:dyDescent="0.55000000000000004">
      <c r="B63">
        <v>1</v>
      </c>
      <c r="C63" s="27">
        <f ca="1">B57</f>
        <v>-258.17020288213394</v>
      </c>
      <c r="D63">
        <f>B63</f>
        <v>1</v>
      </c>
      <c r="E63" s="27">
        <f ca="1">E57</f>
        <v>-199.8773010746188</v>
      </c>
    </row>
    <row r="64" spans="1:5" x14ac:dyDescent="0.55000000000000004">
      <c r="B64">
        <v>2</v>
      </c>
      <c r="C64" s="27">
        <f t="dataTable" ref="C64:C562" dt2D="0" dtr="0" r1="C62" ca="1"/>
        <v>-216.38864346745635</v>
      </c>
      <c r="D64">
        <f>B64</f>
        <v>2</v>
      </c>
      <c r="E64" s="27">
        <f t="dataTable" ref="E64:E562" dt2D="0" dtr="0" r1="E62" ca="1"/>
        <v>-256.66361727360879</v>
      </c>
    </row>
    <row r="65" spans="2:5" x14ac:dyDescent="0.55000000000000004">
      <c r="B65">
        <v>3</v>
      </c>
      <c r="C65" s="27">
        <v>125.63437437158981</v>
      </c>
      <c r="D65">
        <f t="shared" ref="D65:D128" si="1">B65</f>
        <v>3</v>
      </c>
      <c r="E65" s="27">
        <v>63.95171229244329</v>
      </c>
    </row>
    <row r="66" spans="2:5" x14ac:dyDescent="0.55000000000000004">
      <c r="B66">
        <v>4</v>
      </c>
      <c r="C66" s="27">
        <v>4.2902783026256373</v>
      </c>
      <c r="D66">
        <f t="shared" si="1"/>
        <v>4</v>
      </c>
      <c r="E66" s="27">
        <v>-178.05027790903776</v>
      </c>
    </row>
    <row r="67" spans="2:5" x14ac:dyDescent="0.55000000000000004">
      <c r="B67">
        <v>5</v>
      </c>
      <c r="C67" s="27">
        <v>-131.07188038449962</v>
      </c>
      <c r="D67">
        <f t="shared" si="1"/>
        <v>5</v>
      </c>
      <c r="E67" s="27">
        <v>-15.772922695498025</v>
      </c>
    </row>
    <row r="68" spans="2:5" x14ac:dyDescent="0.55000000000000004">
      <c r="B68">
        <v>6</v>
      </c>
      <c r="C68" s="27">
        <v>-297.40013922290302</v>
      </c>
      <c r="D68">
        <f t="shared" si="1"/>
        <v>6</v>
      </c>
      <c r="E68" s="27">
        <v>7.1163548275609685</v>
      </c>
    </row>
    <row r="69" spans="2:5" x14ac:dyDescent="0.55000000000000004">
      <c r="B69">
        <v>7</v>
      </c>
      <c r="C69" s="27">
        <v>-108.5083924220137</v>
      </c>
      <c r="D69">
        <f t="shared" si="1"/>
        <v>7</v>
      </c>
      <c r="E69" s="27">
        <v>26.443896130942647</v>
      </c>
    </row>
    <row r="70" spans="2:5" x14ac:dyDescent="0.55000000000000004">
      <c r="B70">
        <v>8</v>
      </c>
      <c r="C70" s="27">
        <v>-169.05666079673006</v>
      </c>
      <c r="D70">
        <f t="shared" si="1"/>
        <v>8</v>
      </c>
      <c r="E70" s="27">
        <v>-178.36062186638054</v>
      </c>
    </row>
    <row r="71" spans="2:5" x14ac:dyDescent="0.55000000000000004">
      <c r="B71">
        <v>9</v>
      </c>
      <c r="C71" s="27">
        <v>-89.698715301465029</v>
      </c>
      <c r="D71">
        <f t="shared" si="1"/>
        <v>9</v>
      </c>
      <c r="E71" s="27">
        <v>-139.80861761073749</v>
      </c>
    </row>
    <row r="72" spans="2:5" x14ac:dyDescent="0.55000000000000004">
      <c r="B72">
        <v>10</v>
      </c>
      <c r="C72" s="27">
        <v>-30.993661512190272</v>
      </c>
      <c r="D72">
        <f t="shared" si="1"/>
        <v>10</v>
      </c>
      <c r="E72" s="27">
        <v>-39.469868084695946</v>
      </c>
    </row>
    <row r="73" spans="2:5" x14ac:dyDescent="0.55000000000000004">
      <c r="B73">
        <v>11</v>
      </c>
      <c r="C73" s="27">
        <v>47.786986893707564</v>
      </c>
      <c r="D73">
        <f t="shared" si="1"/>
        <v>11</v>
      </c>
      <c r="E73" s="27">
        <v>-47.836427248621618</v>
      </c>
    </row>
    <row r="74" spans="2:5" x14ac:dyDescent="0.55000000000000004">
      <c r="B74">
        <v>12</v>
      </c>
      <c r="C74" s="27">
        <v>-229.27652903033132</v>
      </c>
      <c r="D74">
        <f t="shared" si="1"/>
        <v>12</v>
      </c>
      <c r="E74" s="27">
        <v>-118.20074058750211</v>
      </c>
    </row>
    <row r="75" spans="2:5" x14ac:dyDescent="0.55000000000000004">
      <c r="B75">
        <v>13</v>
      </c>
      <c r="C75" s="27">
        <v>227.87702645504118</v>
      </c>
      <c r="D75">
        <f t="shared" si="1"/>
        <v>13</v>
      </c>
      <c r="E75" s="27">
        <v>-110.12296034465831</v>
      </c>
    </row>
    <row r="76" spans="2:5" x14ac:dyDescent="0.55000000000000004">
      <c r="B76">
        <v>14</v>
      </c>
      <c r="C76" s="27">
        <v>10.787980399418338</v>
      </c>
      <c r="D76">
        <f t="shared" si="1"/>
        <v>14</v>
      </c>
      <c r="E76" s="27">
        <v>-73.056313277354093</v>
      </c>
    </row>
    <row r="77" spans="2:5" x14ac:dyDescent="0.55000000000000004">
      <c r="B77">
        <v>15</v>
      </c>
      <c r="C77" s="27">
        <v>-14.779105609939919</v>
      </c>
      <c r="D77">
        <f t="shared" si="1"/>
        <v>15</v>
      </c>
      <c r="E77" s="27">
        <v>-5.6561966506095871</v>
      </c>
    </row>
    <row r="78" spans="2:5" x14ac:dyDescent="0.55000000000000004">
      <c r="B78">
        <v>16</v>
      </c>
      <c r="C78" s="27">
        <v>203.3254232574609</v>
      </c>
      <c r="D78">
        <f t="shared" si="1"/>
        <v>16</v>
      </c>
      <c r="E78" s="27">
        <v>-231.36746370977519</v>
      </c>
    </row>
    <row r="79" spans="2:5" x14ac:dyDescent="0.55000000000000004">
      <c r="B79">
        <v>17</v>
      </c>
      <c r="C79" s="27">
        <v>-120.52308776180732</v>
      </c>
      <c r="D79">
        <f t="shared" si="1"/>
        <v>17</v>
      </c>
      <c r="E79" s="27">
        <v>48.570706787930902</v>
      </c>
    </row>
    <row r="80" spans="2:5" x14ac:dyDescent="0.55000000000000004">
      <c r="B80">
        <v>18</v>
      </c>
      <c r="C80" s="27">
        <v>-9.9392384373388154E-2</v>
      </c>
      <c r="D80">
        <f t="shared" si="1"/>
        <v>18</v>
      </c>
      <c r="E80" s="27">
        <v>-139.0562173477056</v>
      </c>
    </row>
    <row r="81" spans="2:5" x14ac:dyDescent="0.55000000000000004">
      <c r="B81">
        <v>19</v>
      </c>
      <c r="C81" s="27">
        <v>-129.1872275842596</v>
      </c>
      <c r="D81">
        <f t="shared" si="1"/>
        <v>19</v>
      </c>
      <c r="E81" s="27">
        <v>-139.40048115250369</v>
      </c>
    </row>
    <row r="82" spans="2:5" x14ac:dyDescent="0.55000000000000004">
      <c r="B82">
        <v>20</v>
      </c>
      <c r="C82" s="27">
        <v>134.13983431828095</v>
      </c>
      <c r="D82">
        <f t="shared" si="1"/>
        <v>20</v>
      </c>
      <c r="E82" s="27">
        <v>125.73073187797144</v>
      </c>
    </row>
    <row r="83" spans="2:5" x14ac:dyDescent="0.55000000000000004">
      <c r="B83">
        <v>21</v>
      </c>
      <c r="C83" s="27">
        <v>-322.2702857229051</v>
      </c>
      <c r="D83">
        <f t="shared" si="1"/>
        <v>21</v>
      </c>
      <c r="E83" s="27">
        <v>-130.08322559482491</v>
      </c>
    </row>
    <row r="84" spans="2:5" x14ac:dyDescent="0.55000000000000004">
      <c r="B84">
        <v>22</v>
      </c>
      <c r="C84" s="27">
        <v>-133.29349294872574</v>
      </c>
      <c r="D84">
        <f t="shared" si="1"/>
        <v>22</v>
      </c>
      <c r="E84" s="27">
        <v>-109.8519761931606</v>
      </c>
    </row>
    <row r="85" spans="2:5" x14ac:dyDescent="0.55000000000000004">
      <c r="B85">
        <v>23</v>
      </c>
      <c r="C85" s="27">
        <v>-21.124799218028329</v>
      </c>
      <c r="D85">
        <f t="shared" si="1"/>
        <v>23</v>
      </c>
      <c r="E85" s="27">
        <v>-199.7858768587358</v>
      </c>
    </row>
    <row r="86" spans="2:5" x14ac:dyDescent="0.55000000000000004">
      <c r="B86">
        <v>24</v>
      </c>
      <c r="C86" s="27">
        <v>79.541107288128543</v>
      </c>
      <c r="D86">
        <f t="shared" si="1"/>
        <v>24</v>
      </c>
      <c r="E86" s="27">
        <v>-77.009697287422227</v>
      </c>
    </row>
    <row r="87" spans="2:5" x14ac:dyDescent="0.55000000000000004">
      <c r="B87">
        <v>25</v>
      </c>
      <c r="C87" s="27">
        <v>313.69885855684555</v>
      </c>
      <c r="D87">
        <f t="shared" si="1"/>
        <v>25</v>
      </c>
      <c r="E87" s="27">
        <v>-52.35799315725572</v>
      </c>
    </row>
    <row r="88" spans="2:5" x14ac:dyDescent="0.55000000000000004">
      <c r="B88">
        <v>26</v>
      </c>
      <c r="C88" s="27">
        <v>-118.6774598386844</v>
      </c>
      <c r="D88">
        <f t="shared" si="1"/>
        <v>26</v>
      </c>
      <c r="E88" s="27">
        <v>69.404284414824616</v>
      </c>
    </row>
    <row r="89" spans="2:5" x14ac:dyDescent="0.55000000000000004">
      <c r="B89">
        <v>27</v>
      </c>
      <c r="C89" s="27">
        <v>158.32714362225573</v>
      </c>
      <c r="D89">
        <f t="shared" si="1"/>
        <v>27</v>
      </c>
      <c r="E89" s="27">
        <v>-225.66957650863858</v>
      </c>
    </row>
    <row r="90" spans="2:5" x14ac:dyDescent="0.55000000000000004">
      <c r="B90">
        <v>28</v>
      </c>
      <c r="C90" s="27">
        <v>-75.278922895085771</v>
      </c>
      <c r="D90">
        <f t="shared" si="1"/>
        <v>28</v>
      </c>
      <c r="E90" s="27">
        <v>-198.44662339782755</v>
      </c>
    </row>
    <row r="91" spans="2:5" x14ac:dyDescent="0.55000000000000004">
      <c r="B91">
        <v>29</v>
      </c>
      <c r="C91" s="27">
        <v>129.6409814254406</v>
      </c>
      <c r="D91">
        <f t="shared" si="1"/>
        <v>29</v>
      </c>
      <c r="E91" s="27">
        <v>-95.260380990835046</v>
      </c>
    </row>
    <row r="92" spans="2:5" x14ac:dyDescent="0.55000000000000004">
      <c r="B92">
        <v>30</v>
      </c>
      <c r="C92" s="27">
        <v>6.0158921065723341</v>
      </c>
      <c r="D92">
        <f t="shared" si="1"/>
        <v>30</v>
      </c>
      <c r="E92" s="27">
        <v>-69.801902240111673</v>
      </c>
    </row>
    <row r="93" spans="2:5" x14ac:dyDescent="0.55000000000000004">
      <c r="B93">
        <v>31</v>
      </c>
      <c r="C93" s="27">
        <v>318.23326157666946</v>
      </c>
      <c r="D93">
        <f t="shared" si="1"/>
        <v>31</v>
      </c>
      <c r="E93" s="27">
        <v>-37.75902667702141</v>
      </c>
    </row>
    <row r="94" spans="2:5" x14ac:dyDescent="0.55000000000000004">
      <c r="B94">
        <v>32</v>
      </c>
      <c r="C94" s="27">
        <v>58.010867326242746</v>
      </c>
      <c r="D94">
        <f t="shared" si="1"/>
        <v>32</v>
      </c>
      <c r="E94" s="27">
        <v>-166.64679220201606</v>
      </c>
    </row>
    <row r="95" spans="2:5" x14ac:dyDescent="0.55000000000000004">
      <c r="B95">
        <v>33</v>
      </c>
      <c r="C95" s="27">
        <v>-11.774040858820491</v>
      </c>
      <c r="D95">
        <f t="shared" si="1"/>
        <v>33</v>
      </c>
      <c r="E95" s="27">
        <v>-87.311667921639128</v>
      </c>
    </row>
    <row r="96" spans="2:5" x14ac:dyDescent="0.55000000000000004">
      <c r="B96">
        <v>34</v>
      </c>
      <c r="C96" s="27">
        <v>-528.67391971939674</v>
      </c>
      <c r="D96">
        <f t="shared" si="1"/>
        <v>34</v>
      </c>
      <c r="E96" s="27">
        <v>-105.96535190286679</v>
      </c>
    </row>
    <row r="97" spans="2:5" x14ac:dyDescent="0.55000000000000004">
      <c r="B97">
        <v>35</v>
      </c>
      <c r="C97" s="27">
        <v>-185.86004610865314</v>
      </c>
      <c r="D97">
        <f t="shared" si="1"/>
        <v>35</v>
      </c>
      <c r="E97" s="27">
        <v>-343.27007786862833</v>
      </c>
    </row>
    <row r="98" spans="2:5" x14ac:dyDescent="0.55000000000000004">
      <c r="B98">
        <v>36</v>
      </c>
      <c r="C98" s="27">
        <v>-130.63926649892272</v>
      </c>
      <c r="D98">
        <f t="shared" si="1"/>
        <v>36</v>
      </c>
      <c r="E98" s="27">
        <v>-56.428329754240949</v>
      </c>
    </row>
    <row r="99" spans="2:5" x14ac:dyDescent="0.55000000000000004">
      <c r="B99">
        <v>37</v>
      </c>
      <c r="C99" s="27">
        <v>219.65769521885485</v>
      </c>
      <c r="D99">
        <f t="shared" si="1"/>
        <v>37</v>
      </c>
      <c r="E99" s="27">
        <v>-9.3761667624516463</v>
      </c>
    </row>
    <row r="100" spans="2:5" x14ac:dyDescent="0.55000000000000004">
      <c r="B100">
        <v>38</v>
      </c>
      <c r="C100" s="27">
        <v>-111.02640672213923</v>
      </c>
      <c r="D100">
        <f t="shared" si="1"/>
        <v>38</v>
      </c>
      <c r="E100" s="27">
        <v>-72.200828423101314</v>
      </c>
    </row>
    <row r="101" spans="2:5" x14ac:dyDescent="0.55000000000000004">
      <c r="B101">
        <v>39</v>
      </c>
      <c r="C101" s="27">
        <v>-641.30861558880554</v>
      </c>
      <c r="D101">
        <f t="shared" si="1"/>
        <v>39</v>
      </c>
      <c r="E101" s="27">
        <v>-70.700699684100925</v>
      </c>
    </row>
    <row r="102" spans="2:5" x14ac:dyDescent="0.55000000000000004">
      <c r="B102">
        <v>40</v>
      </c>
      <c r="C102" s="27">
        <v>-46.439189700195655</v>
      </c>
      <c r="D102">
        <f t="shared" si="1"/>
        <v>40</v>
      </c>
      <c r="E102" s="27">
        <v>-163.31864934451431</v>
      </c>
    </row>
    <row r="103" spans="2:5" x14ac:dyDescent="0.55000000000000004">
      <c r="B103">
        <v>41</v>
      </c>
      <c r="C103" s="27">
        <v>135.42685785324841</v>
      </c>
      <c r="D103">
        <f t="shared" si="1"/>
        <v>41</v>
      </c>
      <c r="E103" s="27">
        <v>-36.530629747749956</v>
      </c>
    </row>
    <row r="104" spans="2:5" x14ac:dyDescent="0.55000000000000004">
      <c r="B104">
        <v>42</v>
      </c>
      <c r="C104" s="27">
        <v>115.54574428473052</v>
      </c>
      <c r="D104">
        <f t="shared" si="1"/>
        <v>42</v>
      </c>
      <c r="E104" s="27">
        <v>-130.0921666538643</v>
      </c>
    </row>
    <row r="105" spans="2:5" x14ac:dyDescent="0.55000000000000004">
      <c r="B105">
        <v>43</v>
      </c>
      <c r="C105" s="27">
        <v>-175.39570692831725</v>
      </c>
      <c r="D105">
        <f t="shared" si="1"/>
        <v>43</v>
      </c>
      <c r="E105" s="27">
        <v>-50.40490981117523</v>
      </c>
    </row>
    <row r="106" spans="2:5" x14ac:dyDescent="0.55000000000000004">
      <c r="B106">
        <v>44</v>
      </c>
      <c r="C106" s="27">
        <v>-331.33958777618108</v>
      </c>
      <c r="D106">
        <f t="shared" si="1"/>
        <v>44</v>
      </c>
      <c r="E106" s="27">
        <v>-37.229865096881554</v>
      </c>
    </row>
    <row r="107" spans="2:5" x14ac:dyDescent="0.55000000000000004">
      <c r="B107">
        <v>45</v>
      </c>
      <c r="C107" s="27">
        <v>-22.056420666137669</v>
      </c>
      <c r="D107">
        <f t="shared" si="1"/>
        <v>45</v>
      </c>
      <c r="E107" s="27">
        <v>-114.16113075299143</v>
      </c>
    </row>
    <row r="108" spans="2:5" x14ac:dyDescent="0.55000000000000004">
      <c r="B108">
        <v>46</v>
      </c>
      <c r="C108" s="27">
        <v>-261.01772948940254</v>
      </c>
      <c r="D108">
        <f t="shared" si="1"/>
        <v>46</v>
      </c>
      <c r="E108" s="27">
        <v>150.93333845196949</v>
      </c>
    </row>
    <row r="109" spans="2:5" x14ac:dyDescent="0.55000000000000004">
      <c r="B109">
        <v>47</v>
      </c>
      <c r="C109" s="27">
        <v>-39.256518273793482</v>
      </c>
      <c r="D109">
        <f t="shared" si="1"/>
        <v>47</v>
      </c>
      <c r="E109" s="27">
        <v>61.593079294694192</v>
      </c>
    </row>
    <row r="110" spans="2:5" x14ac:dyDescent="0.55000000000000004">
      <c r="B110">
        <v>48</v>
      </c>
      <c r="C110" s="27">
        <v>1.1391064089208953</v>
      </c>
      <c r="D110">
        <f t="shared" si="1"/>
        <v>48</v>
      </c>
      <c r="E110" s="27">
        <v>-278.38026180112877</v>
      </c>
    </row>
    <row r="111" spans="2:5" x14ac:dyDescent="0.55000000000000004">
      <c r="B111">
        <v>49</v>
      </c>
      <c r="C111" s="27">
        <v>159.17208936287841</v>
      </c>
      <c r="D111">
        <f t="shared" si="1"/>
        <v>49</v>
      </c>
      <c r="E111" s="27">
        <v>-432.85698492600636</v>
      </c>
    </row>
    <row r="112" spans="2:5" x14ac:dyDescent="0.55000000000000004">
      <c r="B112">
        <v>50</v>
      </c>
      <c r="C112" s="27">
        <v>1.4774691493966117</v>
      </c>
      <c r="D112">
        <f t="shared" si="1"/>
        <v>50</v>
      </c>
      <c r="E112" s="27">
        <v>-269.75643938452231</v>
      </c>
    </row>
    <row r="113" spans="2:5" x14ac:dyDescent="0.55000000000000004">
      <c r="B113">
        <v>51</v>
      </c>
      <c r="C113" s="27">
        <v>-226.69924333908935</v>
      </c>
      <c r="D113">
        <f t="shared" si="1"/>
        <v>51</v>
      </c>
      <c r="E113" s="27">
        <v>-392.79150893191922</v>
      </c>
    </row>
    <row r="114" spans="2:5" x14ac:dyDescent="0.55000000000000004">
      <c r="B114">
        <v>52</v>
      </c>
      <c r="C114" s="27">
        <v>-5.0830886544680496</v>
      </c>
      <c r="D114">
        <f t="shared" si="1"/>
        <v>52</v>
      </c>
      <c r="E114" s="27">
        <v>-232.85073514746023</v>
      </c>
    </row>
    <row r="115" spans="2:5" x14ac:dyDescent="0.55000000000000004">
      <c r="B115">
        <v>53</v>
      </c>
      <c r="C115" s="27">
        <v>-142.67917388448154</v>
      </c>
      <c r="D115">
        <f t="shared" si="1"/>
        <v>53</v>
      </c>
      <c r="E115" s="27">
        <v>-57.159992119807328</v>
      </c>
    </row>
    <row r="116" spans="2:5" x14ac:dyDescent="0.55000000000000004">
      <c r="B116">
        <v>54</v>
      </c>
      <c r="C116" s="27">
        <v>-24.122410853927825</v>
      </c>
      <c r="D116">
        <f t="shared" si="1"/>
        <v>54</v>
      </c>
      <c r="E116" s="27">
        <v>-7.5494909469900904</v>
      </c>
    </row>
    <row r="117" spans="2:5" x14ac:dyDescent="0.55000000000000004">
      <c r="B117">
        <v>55</v>
      </c>
      <c r="C117" s="27">
        <v>-7.4465999761827462</v>
      </c>
      <c r="D117">
        <f t="shared" si="1"/>
        <v>55</v>
      </c>
      <c r="E117" s="27">
        <v>-217.22307074169734</v>
      </c>
    </row>
    <row r="118" spans="2:5" x14ac:dyDescent="0.55000000000000004">
      <c r="B118">
        <v>56</v>
      </c>
      <c r="C118" s="27">
        <v>-35.20990791100423</v>
      </c>
      <c r="D118">
        <f t="shared" si="1"/>
        <v>56</v>
      </c>
      <c r="E118" s="27">
        <v>-42.433223097716848</v>
      </c>
    </row>
    <row r="119" spans="2:5" x14ac:dyDescent="0.55000000000000004">
      <c r="B119">
        <v>57</v>
      </c>
      <c r="C119" s="27">
        <v>-57.069604071801223</v>
      </c>
      <c r="D119">
        <f t="shared" si="1"/>
        <v>57</v>
      </c>
      <c r="E119" s="27">
        <v>-199.67015843775565</v>
      </c>
    </row>
    <row r="120" spans="2:5" x14ac:dyDescent="0.55000000000000004">
      <c r="B120">
        <v>58</v>
      </c>
      <c r="C120" s="27">
        <v>26.391437996392991</v>
      </c>
      <c r="D120">
        <f t="shared" si="1"/>
        <v>58</v>
      </c>
      <c r="E120" s="27">
        <v>-58.807716128759523</v>
      </c>
    </row>
    <row r="121" spans="2:5" x14ac:dyDescent="0.55000000000000004">
      <c r="B121">
        <v>59</v>
      </c>
      <c r="C121" s="27">
        <v>-196.81434897180984</v>
      </c>
      <c r="D121">
        <f t="shared" si="1"/>
        <v>59</v>
      </c>
      <c r="E121" s="27">
        <v>-54.532882513657171</v>
      </c>
    </row>
    <row r="122" spans="2:5" x14ac:dyDescent="0.55000000000000004">
      <c r="B122">
        <v>60</v>
      </c>
      <c r="C122" s="27">
        <v>-120.12700841533837</v>
      </c>
      <c r="D122">
        <f t="shared" si="1"/>
        <v>60</v>
      </c>
      <c r="E122" s="27">
        <v>-155.3434639442967</v>
      </c>
    </row>
    <row r="123" spans="2:5" x14ac:dyDescent="0.55000000000000004">
      <c r="B123">
        <v>61</v>
      </c>
      <c r="C123" s="27">
        <v>-257.9146069804919</v>
      </c>
      <c r="D123">
        <f t="shared" si="1"/>
        <v>61</v>
      </c>
      <c r="E123" s="27">
        <v>162.89775831415872</v>
      </c>
    </row>
    <row r="124" spans="2:5" x14ac:dyDescent="0.55000000000000004">
      <c r="B124">
        <v>62</v>
      </c>
      <c r="C124" s="27">
        <v>189.4927055862463</v>
      </c>
      <c r="D124">
        <f t="shared" si="1"/>
        <v>62</v>
      </c>
      <c r="E124" s="27">
        <v>-40.190926122469847</v>
      </c>
    </row>
    <row r="125" spans="2:5" x14ac:dyDescent="0.55000000000000004">
      <c r="B125">
        <v>63</v>
      </c>
      <c r="C125" s="27">
        <v>202.24916069108659</v>
      </c>
      <c r="D125">
        <f t="shared" si="1"/>
        <v>63</v>
      </c>
      <c r="E125" s="27">
        <v>-136.14286540787771</v>
      </c>
    </row>
    <row r="126" spans="2:5" x14ac:dyDescent="0.55000000000000004">
      <c r="B126">
        <v>64</v>
      </c>
      <c r="C126" s="27">
        <v>-306.31859778750953</v>
      </c>
      <c r="D126">
        <f t="shared" si="1"/>
        <v>64</v>
      </c>
      <c r="E126" s="27">
        <v>-144.55695701695049</v>
      </c>
    </row>
    <row r="127" spans="2:5" x14ac:dyDescent="0.55000000000000004">
      <c r="B127">
        <v>65</v>
      </c>
      <c r="C127" s="27">
        <v>-12.588280020083701</v>
      </c>
      <c r="D127">
        <f t="shared" si="1"/>
        <v>65</v>
      </c>
      <c r="E127" s="27">
        <v>-98.703654326281992</v>
      </c>
    </row>
    <row r="128" spans="2:5" x14ac:dyDescent="0.55000000000000004">
      <c r="B128">
        <v>66</v>
      </c>
      <c r="C128" s="27">
        <v>-214.14439581954528</v>
      </c>
      <c r="D128">
        <f t="shared" si="1"/>
        <v>66</v>
      </c>
      <c r="E128" s="27">
        <v>-28.90475959185207</v>
      </c>
    </row>
    <row r="129" spans="2:5" x14ac:dyDescent="0.55000000000000004">
      <c r="B129">
        <v>67</v>
      </c>
      <c r="C129" s="27">
        <v>-49.271849164568238</v>
      </c>
      <c r="D129">
        <f t="shared" ref="D129:D192" si="2">B129</f>
        <v>67</v>
      </c>
      <c r="E129" s="27">
        <v>-268.70507505091632</v>
      </c>
    </row>
    <row r="130" spans="2:5" x14ac:dyDescent="0.55000000000000004">
      <c r="B130">
        <v>68</v>
      </c>
      <c r="C130" s="27">
        <v>-115.88055410668834</v>
      </c>
      <c r="D130">
        <f t="shared" si="2"/>
        <v>68</v>
      </c>
      <c r="E130" s="27">
        <v>-99.755250496867603</v>
      </c>
    </row>
    <row r="131" spans="2:5" x14ac:dyDescent="0.55000000000000004">
      <c r="B131">
        <v>69</v>
      </c>
      <c r="C131" s="27">
        <v>-153.14699087093001</v>
      </c>
      <c r="D131">
        <f t="shared" si="2"/>
        <v>69</v>
      </c>
      <c r="E131" s="27">
        <v>-185.20427090337063</v>
      </c>
    </row>
    <row r="132" spans="2:5" x14ac:dyDescent="0.55000000000000004">
      <c r="B132">
        <v>70</v>
      </c>
      <c r="C132" s="27">
        <v>96.010933512682314</v>
      </c>
      <c r="D132">
        <f t="shared" si="2"/>
        <v>70</v>
      </c>
      <c r="E132" s="27">
        <v>-115.97591436890906</v>
      </c>
    </row>
    <row r="133" spans="2:5" x14ac:dyDescent="0.55000000000000004">
      <c r="B133">
        <v>71</v>
      </c>
      <c r="C133" s="27">
        <v>52.065232031430909</v>
      </c>
      <c r="D133">
        <f t="shared" si="2"/>
        <v>71</v>
      </c>
      <c r="E133" s="27">
        <v>-183.02199110217308</v>
      </c>
    </row>
    <row r="134" spans="2:5" x14ac:dyDescent="0.55000000000000004">
      <c r="B134">
        <v>72</v>
      </c>
      <c r="C134" s="27">
        <v>277.01903719339998</v>
      </c>
      <c r="D134">
        <f t="shared" si="2"/>
        <v>72</v>
      </c>
      <c r="E134" s="27">
        <v>-346.90584969299181</v>
      </c>
    </row>
    <row r="135" spans="2:5" x14ac:dyDescent="0.55000000000000004">
      <c r="B135">
        <v>73</v>
      </c>
      <c r="C135" s="27">
        <v>-108.61339447920497</v>
      </c>
      <c r="D135">
        <f t="shared" si="2"/>
        <v>73</v>
      </c>
      <c r="E135" s="27">
        <v>-214.67499131914869</v>
      </c>
    </row>
    <row r="136" spans="2:5" x14ac:dyDescent="0.55000000000000004">
      <c r="B136">
        <v>74</v>
      </c>
      <c r="C136" s="27">
        <v>-59.838697167108371</v>
      </c>
      <c r="D136">
        <f t="shared" si="2"/>
        <v>74</v>
      </c>
      <c r="E136" s="27">
        <v>50.128324179686416</v>
      </c>
    </row>
    <row r="137" spans="2:5" x14ac:dyDescent="0.55000000000000004">
      <c r="B137">
        <v>75</v>
      </c>
      <c r="C137" s="27">
        <v>151.2562690866377</v>
      </c>
      <c r="D137">
        <f t="shared" si="2"/>
        <v>75</v>
      </c>
      <c r="E137" s="27">
        <v>-204.66822723257553</v>
      </c>
    </row>
    <row r="138" spans="2:5" x14ac:dyDescent="0.55000000000000004">
      <c r="B138">
        <v>76</v>
      </c>
      <c r="C138" s="27">
        <v>-133.35679794857566</v>
      </c>
      <c r="D138">
        <f t="shared" si="2"/>
        <v>76</v>
      </c>
      <c r="E138" s="27">
        <v>-282.62312668301098</v>
      </c>
    </row>
    <row r="139" spans="2:5" x14ac:dyDescent="0.55000000000000004">
      <c r="B139">
        <v>77</v>
      </c>
      <c r="C139" s="27">
        <v>-244.78519559034331</v>
      </c>
      <c r="D139">
        <f t="shared" si="2"/>
        <v>77</v>
      </c>
      <c r="E139" s="27">
        <v>-195.95123926735741</v>
      </c>
    </row>
    <row r="140" spans="2:5" x14ac:dyDescent="0.55000000000000004">
      <c r="B140">
        <v>78</v>
      </c>
      <c r="C140" s="27">
        <v>-19.056365684498758</v>
      </c>
      <c r="D140">
        <f t="shared" si="2"/>
        <v>78</v>
      </c>
      <c r="E140" s="27">
        <v>-128.71062446789378</v>
      </c>
    </row>
    <row r="141" spans="2:5" x14ac:dyDescent="0.55000000000000004">
      <c r="B141">
        <v>79</v>
      </c>
      <c r="C141" s="27">
        <v>-71.611301938314881</v>
      </c>
      <c r="D141">
        <f t="shared" si="2"/>
        <v>79</v>
      </c>
      <c r="E141" s="27">
        <v>-211.32451290613781</v>
      </c>
    </row>
    <row r="142" spans="2:5" x14ac:dyDescent="0.55000000000000004">
      <c r="B142">
        <v>80</v>
      </c>
      <c r="C142" s="27">
        <v>-13.647697267117231</v>
      </c>
      <c r="D142">
        <f t="shared" si="2"/>
        <v>80</v>
      </c>
      <c r="E142" s="27">
        <v>-208.58705723689559</v>
      </c>
    </row>
    <row r="143" spans="2:5" x14ac:dyDescent="0.55000000000000004">
      <c r="B143">
        <v>81</v>
      </c>
      <c r="C143" s="27">
        <v>-106.88926589504045</v>
      </c>
      <c r="D143">
        <f t="shared" si="2"/>
        <v>81</v>
      </c>
      <c r="E143" s="27">
        <v>-0.88822608455970453</v>
      </c>
    </row>
    <row r="144" spans="2:5" x14ac:dyDescent="0.55000000000000004">
      <c r="B144">
        <v>82</v>
      </c>
      <c r="C144" s="27">
        <v>13.906634343756025</v>
      </c>
      <c r="D144">
        <f t="shared" si="2"/>
        <v>82</v>
      </c>
      <c r="E144" s="27">
        <v>-17.808424483688327</v>
      </c>
    </row>
    <row r="145" spans="2:5" x14ac:dyDescent="0.55000000000000004">
      <c r="B145">
        <v>83</v>
      </c>
      <c r="C145" s="27">
        <v>125.24191484484216</v>
      </c>
      <c r="D145">
        <f t="shared" si="2"/>
        <v>83</v>
      </c>
      <c r="E145" s="27">
        <v>-199.02208671133215</v>
      </c>
    </row>
    <row r="146" spans="2:5" x14ac:dyDescent="0.55000000000000004">
      <c r="B146">
        <v>84</v>
      </c>
      <c r="C146" s="27">
        <v>-86.272021732231792</v>
      </c>
      <c r="D146">
        <f t="shared" si="2"/>
        <v>84</v>
      </c>
      <c r="E146" s="27">
        <v>-138.02977622779667</v>
      </c>
    </row>
    <row r="147" spans="2:5" x14ac:dyDescent="0.55000000000000004">
      <c r="B147">
        <v>85</v>
      </c>
      <c r="C147" s="27">
        <v>129.94995821687121</v>
      </c>
      <c r="D147">
        <f t="shared" si="2"/>
        <v>85</v>
      </c>
      <c r="E147" s="27">
        <v>-149.06283431029669</v>
      </c>
    </row>
    <row r="148" spans="2:5" x14ac:dyDescent="0.55000000000000004">
      <c r="B148">
        <v>86</v>
      </c>
      <c r="C148" s="27">
        <v>-40.674392506661889</v>
      </c>
      <c r="D148">
        <f t="shared" si="2"/>
        <v>86</v>
      </c>
      <c r="E148" s="27">
        <v>30.416494366211538</v>
      </c>
    </row>
    <row r="149" spans="2:5" x14ac:dyDescent="0.55000000000000004">
      <c r="B149">
        <v>87</v>
      </c>
      <c r="C149" s="27">
        <v>-160.24183502594252</v>
      </c>
      <c r="D149">
        <f t="shared" si="2"/>
        <v>87</v>
      </c>
      <c r="E149" s="27">
        <v>145.43689972822912</v>
      </c>
    </row>
    <row r="150" spans="2:5" x14ac:dyDescent="0.55000000000000004">
      <c r="B150">
        <v>88</v>
      </c>
      <c r="C150" s="27">
        <v>-77.703453688802398</v>
      </c>
      <c r="D150">
        <f t="shared" si="2"/>
        <v>88</v>
      </c>
      <c r="E150" s="27">
        <v>-115.98513225509936</v>
      </c>
    </row>
    <row r="151" spans="2:5" x14ac:dyDescent="0.55000000000000004">
      <c r="B151">
        <v>89</v>
      </c>
      <c r="C151" s="27">
        <v>-39.274931529781099</v>
      </c>
      <c r="D151">
        <f t="shared" si="2"/>
        <v>89</v>
      </c>
      <c r="E151" s="27">
        <v>-59.902254024949997</v>
      </c>
    </row>
    <row r="152" spans="2:5" x14ac:dyDescent="0.55000000000000004">
      <c r="B152">
        <v>90</v>
      </c>
      <c r="C152" s="27">
        <v>-311.44753117575056</v>
      </c>
      <c r="D152">
        <f t="shared" si="2"/>
        <v>90</v>
      </c>
      <c r="E152" s="27">
        <v>-85.900669865404268</v>
      </c>
    </row>
    <row r="153" spans="2:5" x14ac:dyDescent="0.55000000000000004">
      <c r="B153">
        <v>91</v>
      </c>
      <c r="C153" s="27">
        <v>-259.33327549102404</v>
      </c>
      <c r="D153">
        <f t="shared" si="2"/>
        <v>91</v>
      </c>
      <c r="E153" s="27">
        <v>78.655816455301604</v>
      </c>
    </row>
    <row r="154" spans="2:5" x14ac:dyDescent="0.55000000000000004">
      <c r="B154">
        <v>92</v>
      </c>
      <c r="C154" s="27">
        <v>-5.4388781598399731</v>
      </c>
      <c r="D154">
        <f t="shared" si="2"/>
        <v>92</v>
      </c>
      <c r="E154" s="27">
        <v>114.92238420119133</v>
      </c>
    </row>
    <row r="155" spans="2:5" x14ac:dyDescent="0.55000000000000004">
      <c r="B155">
        <v>93</v>
      </c>
      <c r="C155" s="27">
        <v>283.60240518663448</v>
      </c>
      <c r="D155">
        <f t="shared" si="2"/>
        <v>93</v>
      </c>
      <c r="E155" s="27">
        <v>-64.597491551740347</v>
      </c>
    </row>
    <row r="156" spans="2:5" x14ac:dyDescent="0.55000000000000004">
      <c r="B156">
        <v>94</v>
      </c>
      <c r="C156" s="27">
        <v>105.58673150700193</v>
      </c>
      <c r="D156">
        <f t="shared" si="2"/>
        <v>94</v>
      </c>
      <c r="E156" s="27">
        <v>-7.9967825794045382</v>
      </c>
    </row>
    <row r="157" spans="2:5" x14ac:dyDescent="0.55000000000000004">
      <c r="B157">
        <v>95</v>
      </c>
      <c r="C157" s="27">
        <v>47.980522225289668</v>
      </c>
      <c r="D157">
        <f t="shared" si="2"/>
        <v>95</v>
      </c>
      <c r="E157" s="27">
        <v>106.66109053528572</v>
      </c>
    </row>
    <row r="158" spans="2:5" x14ac:dyDescent="0.55000000000000004">
      <c r="B158">
        <v>96</v>
      </c>
      <c r="C158" s="27">
        <v>-71.9182037178511</v>
      </c>
      <c r="D158">
        <f t="shared" si="2"/>
        <v>96</v>
      </c>
      <c r="E158" s="27">
        <v>29.068675299675107</v>
      </c>
    </row>
    <row r="159" spans="2:5" x14ac:dyDescent="0.55000000000000004">
      <c r="B159">
        <v>97</v>
      </c>
      <c r="C159" s="27">
        <v>-308.73370573810303</v>
      </c>
      <c r="D159">
        <f t="shared" si="2"/>
        <v>97</v>
      </c>
      <c r="E159" s="27">
        <v>-3.2734850423196065</v>
      </c>
    </row>
    <row r="160" spans="2:5" x14ac:dyDescent="0.55000000000000004">
      <c r="B160">
        <v>98</v>
      </c>
      <c r="C160" s="27">
        <v>-142.23609465112582</v>
      </c>
      <c r="D160">
        <f t="shared" si="2"/>
        <v>98</v>
      </c>
      <c r="E160" s="27">
        <v>-125.17455636715201</v>
      </c>
    </row>
    <row r="161" spans="2:5" x14ac:dyDescent="0.55000000000000004">
      <c r="B161">
        <v>99</v>
      </c>
      <c r="C161" s="27">
        <v>82.812974809536314</v>
      </c>
      <c r="D161">
        <f t="shared" si="2"/>
        <v>99</v>
      </c>
      <c r="E161" s="27">
        <v>-98.274130200232207</v>
      </c>
    </row>
    <row r="162" spans="2:5" x14ac:dyDescent="0.55000000000000004">
      <c r="B162">
        <v>100</v>
      </c>
      <c r="C162" s="27">
        <v>-234.20048707999538</v>
      </c>
      <c r="D162">
        <f t="shared" si="2"/>
        <v>100</v>
      </c>
      <c r="E162" s="27">
        <v>-12.740629875893802</v>
      </c>
    </row>
    <row r="163" spans="2:5" x14ac:dyDescent="0.55000000000000004">
      <c r="B163">
        <v>101</v>
      </c>
      <c r="C163" s="27">
        <v>86.624434814257626</v>
      </c>
      <c r="D163">
        <f t="shared" si="2"/>
        <v>101</v>
      </c>
      <c r="E163" s="27">
        <v>-176.66023496238606</v>
      </c>
    </row>
    <row r="164" spans="2:5" x14ac:dyDescent="0.55000000000000004">
      <c r="B164">
        <v>102</v>
      </c>
      <c r="C164" s="27">
        <v>130.17430375779821</v>
      </c>
      <c r="D164">
        <f t="shared" si="2"/>
        <v>102</v>
      </c>
      <c r="E164" s="27">
        <v>40.532594447614485</v>
      </c>
    </row>
    <row r="165" spans="2:5" x14ac:dyDescent="0.55000000000000004">
      <c r="B165">
        <v>103</v>
      </c>
      <c r="C165" s="27">
        <v>75.494448542936482</v>
      </c>
      <c r="D165">
        <f t="shared" si="2"/>
        <v>103</v>
      </c>
      <c r="E165" s="27">
        <v>-8.1078309120616723</v>
      </c>
    </row>
    <row r="166" spans="2:5" x14ac:dyDescent="0.55000000000000004">
      <c r="B166">
        <v>104</v>
      </c>
      <c r="C166" s="27">
        <v>-26.112315128330771</v>
      </c>
      <c r="D166">
        <f t="shared" si="2"/>
        <v>104</v>
      </c>
      <c r="E166" s="27">
        <v>95.473722542345243</v>
      </c>
    </row>
    <row r="167" spans="2:5" x14ac:dyDescent="0.55000000000000004">
      <c r="B167">
        <v>105</v>
      </c>
      <c r="C167" s="27">
        <v>-206.11668665884508</v>
      </c>
      <c r="D167">
        <f t="shared" si="2"/>
        <v>105</v>
      </c>
      <c r="E167" s="27">
        <v>-121.31738092954242</v>
      </c>
    </row>
    <row r="168" spans="2:5" x14ac:dyDescent="0.55000000000000004">
      <c r="B168">
        <v>106</v>
      </c>
      <c r="C168" s="27">
        <v>-37.561911339948423</v>
      </c>
      <c r="D168">
        <f t="shared" si="2"/>
        <v>106</v>
      </c>
      <c r="E168" s="27">
        <v>-11.921927205724046</v>
      </c>
    </row>
    <row r="169" spans="2:5" x14ac:dyDescent="0.55000000000000004">
      <c r="B169">
        <v>107</v>
      </c>
      <c r="C169" s="27">
        <v>-241.43565630849167</v>
      </c>
      <c r="D169">
        <f t="shared" si="2"/>
        <v>107</v>
      </c>
      <c r="E169" s="27">
        <v>20.234528139232111</v>
      </c>
    </row>
    <row r="170" spans="2:5" x14ac:dyDescent="0.55000000000000004">
      <c r="B170">
        <v>108</v>
      </c>
      <c r="C170" s="27">
        <v>-134.79795733423794</v>
      </c>
      <c r="D170">
        <f t="shared" si="2"/>
        <v>108</v>
      </c>
      <c r="E170" s="27">
        <v>-145.58363435427853</v>
      </c>
    </row>
    <row r="171" spans="2:5" x14ac:dyDescent="0.55000000000000004">
      <c r="B171">
        <v>109</v>
      </c>
      <c r="C171" s="27">
        <v>-20.282227096681652</v>
      </c>
      <c r="D171">
        <f t="shared" si="2"/>
        <v>109</v>
      </c>
      <c r="E171" s="27">
        <v>-56.523986230715934</v>
      </c>
    </row>
    <row r="172" spans="2:5" x14ac:dyDescent="0.55000000000000004">
      <c r="B172">
        <v>110</v>
      </c>
      <c r="C172" s="27">
        <v>336.97943091011854</v>
      </c>
      <c r="D172">
        <f t="shared" si="2"/>
        <v>110</v>
      </c>
      <c r="E172" s="27">
        <v>-164.26201199242871</v>
      </c>
    </row>
    <row r="173" spans="2:5" x14ac:dyDescent="0.55000000000000004">
      <c r="B173">
        <v>111</v>
      </c>
      <c r="C173" s="27">
        <v>-341.72842426149134</v>
      </c>
      <c r="D173">
        <f t="shared" si="2"/>
        <v>111</v>
      </c>
      <c r="E173" s="27">
        <v>-147.49994024210454</v>
      </c>
    </row>
    <row r="174" spans="2:5" x14ac:dyDescent="0.55000000000000004">
      <c r="B174">
        <v>112</v>
      </c>
      <c r="C174" s="27">
        <v>187.56775424648077</v>
      </c>
      <c r="D174">
        <f t="shared" si="2"/>
        <v>112</v>
      </c>
      <c r="E174" s="27">
        <v>-209.40010526710992</v>
      </c>
    </row>
    <row r="175" spans="2:5" x14ac:dyDescent="0.55000000000000004">
      <c r="B175">
        <v>113</v>
      </c>
      <c r="C175" s="27">
        <v>-225.18514076205679</v>
      </c>
      <c r="D175">
        <f t="shared" si="2"/>
        <v>113</v>
      </c>
      <c r="E175" s="27">
        <v>84.964642309477014</v>
      </c>
    </row>
    <row r="176" spans="2:5" x14ac:dyDescent="0.55000000000000004">
      <c r="B176">
        <v>114</v>
      </c>
      <c r="C176" s="27">
        <v>-169.81530051375648</v>
      </c>
      <c r="D176">
        <f t="shared" si="2"/>
        <v>114</v>
      </c>
      <c r="E176" s="27">
        <v>-84.560399407683747</v>
      </c>
    </row>
    <row r="177" spans="2:5" x14ac:dyDescent="0.55000000000000004">
      <c r="B177">
        <v>115</v>
      </c>
      <c r="C177" s="27">
        <v>-139.06992827204178</v>
      </c>
      <c r="D177">
        <f t="shared" si="2"/>
        <v>115</v>
      </c>
      <c r="E177" s="27">
        <v>-226.20518273002477</v>
      </c>
    </row>
    <row r="178" spans="2:5" x14ac:dyDescent="0.55000000000000004">
      <c r="B178">
        <v>116</v>
      </c>
      <c r="C178" s="27">
        <v>112.80206566450835</v>
      </c>
      <c r="D178">
        <f t="shared" si="2"/>
        <v>116</v>
      </c>
      <c r="E178" s="27">
        <v>-171.29608630495912</v>
      </c>
    </row>
    <row r="179" spans="2:5" x14ac:dyDescent="0.55000000000000004">
      <c r="B179">
        <v>117</v>
      </c>
      <c r="C179" s="27">
        <v>-138.2054703514645</v>
      </c>
      <c r="D179">
        <f t="shared" si="2"/>
        <v>117</v>
      </c>
      <c r="E179" s="27">
        <v>-96.66538917336905</v>
      </c>
    </row>
    <row r="180" spans="2:5" x14ac:dyDescent="0.55000000000000004">
      <c r="B180">
        <v>118</v>
      </c>
      <c r="C180" s="27">
        <v>-160.14653659712584</v>
      </c>
      <c r="D180">
        <f t="shared" si="2"/>
        <v>118</v>
      </c>
      <c r="E180" s="27">
        <v>8.4013469850536069</v>
      </c>
    </row>
    <row r="181" spans="2:5" x14ac:dyDescent="0.55000000000000004">
      <c r="B181">
        <v>119</v>
      </c>
      <c r="C181" s="27">
        <v>-83.106593840454906</v>
      </c>
      <c r="D181">
        <f t="shared" si="2"/>
        <v>119</v>
      </c>
      <c r="E181" s="27">
        <v>-293.2631990178312</v>
      </c>
    </row>
    <row r="182" spans="2:5" x14ac:dyDescent="0.55000000000000004">
      <c r="B182">
        <v>120</v>
      </c>
      <c r="C182" s="27">
        <v>336.76147008792526</v>
      </c>
      <c r="D182">
        <f t="shared" si="2"/>
        <v>120</v>
      </c>
      <c r="E182" s="27">
        <v>-188.1813915395708</v>
      </c>
    </row>
    <row r="183" spans="2:5" x14ac:dyDescent="0.55000000000000004">
      <c r="B183">
        <v>121</v>
      </c>
      <c r="C183" s="27">
        <v>-92.810549755785388</v>
      </c>
      <c r="D183">
        <f t="shared" si="2"/>
        <v>121</v>
      </c>
      <c r="E183" s="27">
        <v>-79.708736526534381</v>
      </c>
    </row>
    <row r="184" spans="2:5" x14ac:dyDescent="0.55000000000000004">
      <c r="B184">
        <v>122</v>
      </c>
      <c r="C184" s="27">
        <v>-85.746628411535966</v>
      </c>
      <c r="D184">
        <f t="shared" si="2"/>
        <v>122</v>
      </c>
      <c r="E184" s="27">
        <v>73.268626331431108</v>
      </c>
    </row>
    <row r="185" spans="2:5" x14ac:dyDescent="0.55000000000000004">
      <c r="B185">
        <v>123</v>
      </c>
      <c r="C185" s="27">
        <v>-356.46732698145604</v>
      </c>
      <c r="D185">
        <f t="shared" si="2"/>
        <v>123</v>
      </c>
      <c r="E185" s="27">
        <v>1.3388654151626156</v>
      </c>
    </row>
    <row r="186" spans="2:5" x14ac:dyDescent="0.55000000000000004">
      <c r="B186">
        <v>124</v>
      </c>
      <c r="C186" s="27">
        <v>-8.9853535754415716</v>
      </c>
      <c r="D186">
        <f t="shared" si="2"/>
        <v>124</v>
      </c>
      <c r="E186" s="27">
        <v>25.969878704438344</v>
      </c>
    </row>
    <row r="187" spans="2:5" x14ac:dyDescent="0.55000000000000004">
      <c r="B187">
        <v>125</v>
      </c>
      <c r="C187" s="27">
        <v>-144.41152411425423</v>
      </c>
      <c r="D187">
        <f t="shared" si="2"/>
        <v>125</v>
      </c>
      <c r="E187" s="27">
        <v>-143.3382500946646</v>
      </c>
    </row>
    <row r="188" spans="2:5" x14ac:dyDescent="0.55000000000000004">
      <c r="B188">
        <v>126</v>
      </c>
      <c r="C188" s="27">
        <v>-203.21680672669723</v>
      </c>
      <c r="D188">
        <f t="shared" si="2"/>
        <v>126</v>
      </c>
      <c r="E188" s="27">
        <v>-34.629683571247227</v>
      </c>
    </row>
    <row r="189" spans="2:5" x14ac:dyDescent="0.55000000000000004">
      <c r="B189">
        <v>127</v>
      </c>
      <c r="C189" s="27">
        <v>-52.698103202862129</v>
      </c>
      <c r="D189">
        <f t="shared" si="2"/>
        <v>127</v>
      </c>
      <c r="E189" s="27">
        <v>-62.080215327281877</v>
      </c>
    </row>
    <row r="190" spans="2:5" x14ac:dyDescent="0.55000000000000004">
      <c r="B190">
        <v>128</v>
      </c>
      <c r="C190" s="27">
        <v>-269.2132673559617</v>
      </c>
      <c r="D190">
        <f t="shared" si="2"/>
        <v>128</v>
      </c>
      <c r="E190" s="27">
        <v>-42.878803883181234</v>
      </c>
    </row>
    <row r="191" spans="2:5" x14ac:dyDescent="0.55000000000000004">
      <c r="B191">
        <v>129</v>
      </c>
      <c r="C191" s="27">
        <v>263.65135591201226</v>
      </c>
      <c r="D191">
        <f t="shared" si="2"/>
        <v>129</v>
      </c>
      <c r="E191" s="27">
        <v>33.603797720973148</v>
      </c>
    </row>
    <row r="192" spans="2:5" x14ac:dyDescent="0.55000000000000004">
      <c r="B192">
        <v>130</v>
      </c>
      <c r="C192" s="27">
        <v>-180.12714818372069</v>
      </c>
      <c r="D192">
        <f t="shared" si="2"/>
        <v>130</v>
      </c>
      <c r="E192" s="27">
        <v>20.973837783076362</v>
      </c>
    </row>
    <row r="193" spans="2:5" x14ac:dyDescent="0.55000000000000004">
      <c r="B193">
        <v>131</v>
      </c>
      <c r="C193" s="27">
        <v>-46.500552943354691</v>
      </c>
      <c r="D193">
        <f t="shared" ref="D193:D256" si="3">B193</f>
        <v>131</v>
      </c>
      <c r="E193" s="27">
        <v>-232.57372125082691</v>
      </c>
    </row>
    <row r="194" spans="2:5" x14ac:dyDescent="0.55000000000000004">
      <c r="B194">
        <v>132</v>
      </c>
      <c r="C194" s="27">
        <v>85.569230996136355</v>
      </c>
      <c r="D194">
        <f t="shared" si="3"/>
        <v>132</v>
      </c>
      <c r="E194" s="27">
        <v>-75.423725906631404</v>
      </c>
    </row>
    <row r="195" spans="2:5" x14ac:dyDescent="0.55000000000000004">
      <c r="B195">
        <v>133</v>
      </c>
      <c r="C195" s="27">
        <v>95.480486472587103</v>
      </c>
      <c r="D195">
        <f t="shared" si="3"/>
        <v>133</v>
      </c>
      <c r="E195" s="27">
        <v>-24.507229090178527</v>
      </c>
    </row>
    <row r="196" spans="2:5" x14ac:dyDescent="0.55000000000000004">
      <c r="B196">
        <v>134</v>
      </c>
      <c r="C196" s="27">
        <v>220.48175535674093</v>
      </c>
      <c r="D196">
        <f t="shared" si="3"/>
        <v>134</v>
      </c>
      <c r="E196" s="27">
        <v>-39.974872889392287</v>
      </c>
    </row>
    <row r="197" spans="2:5" x14ac:dyDescent="0.55000000000000004">
      <c r="B197">
        <v>135</v>
      </c>
      <c r="C197" s="27">
        <v>-75.736844925511633</v>
      </c>
      <c r="D197">
        <f t="shared" si="3"/>
        <v>135</v>
      </c>
      <c r="E197" s="27">
        <v>-154.16552553961446</v>
      </c>
    </row>
    <row r="198" spans="2:5" x14ac:dyDescent="0.55000000000000004">
      <c r="B198">
        <v>136</v>
      </c>
      <c r="C198" s="27">
        <v>123.82891675412283</v>
      </c>
      <c r="D198">
        <f t="shared" si="3"/>
        <v>136</v>
      </c>
      <c r="E198" s="27">
        <v>-31.868359061274532</v>
      </c>
    </row>
    <row r="199" spans="2:5" x14ac:dyDescent="0.55000000000000004">
      <c r="B199">
        <v>137</v>
      </c>
      <c r="C199" s="27">
        <v>30.563407078242349</v>
      </c>
      <c r="D199">
        <f t="shared" si="3"/>
        <v>137</v>
      </c>
      <c r="E199" s="27">
        <v>71.650155680734329</v>
      </c>
    </row>
    <row r="200" spans="2:5" x14ac:dyDescent="0.55000000000000004">
      <c r="B200">
        <v>138</v>
      </c>
      <c r="C200" s="27">
        <v>-30.078967056775767</v>
      </c>
      <c r="D200">
        <f t="shared" si="3"/>
        <v>138</v>
      </c>
      <c r="E200" s="27">
        <v>-72.251540811623556</v>
      </c>
    </row>
    <row r="201" spans="2:5" x14ac:dyDescent="0.55000000000000004">
      <c r="B201">
        <v>139</v>
      </c>
      <c r="C201" s="27">
        <v>171.70050290602802</v>
      </c>
      <c r="D201">
        <f t="shared" si="3"/>
        <v>139</v>
      </c>
      <c r="E201" s="27">
        <v>-198.76469330290081</v>
      </c>
    </row>
    <row r="202" spans="2:5" x14ac:dyDescent="0.55000000000000004">
      <c r="B202">
        <v>140</v>
      </c>
      <c r="C202" s="27">
        <v>107.60050466903294</v>
      </c>
      <c r="D202">
        <f t="shared" si="3"/>
        <v>140</v>
      </c>
      <c r="E202" s="27">
        <v>-64.946892414509279</v>
      </c>
    </row>
    <row r="203" spans="2:5" x14ac:dyDescent="0.55000000000000004">
      <c r="B203">
        <v>141</v>
      </c>
      <c r="C203" s="27">
        <v>-188.13419266651186</v>
      </c>
      <c r="D203">
        <f t="shared" si="3"/>
        <v>141</v>
      </c>
      <c r="E203" s="27">
        <v>-177.65712696781279</v>
      </c>
    </row>
    <row r="204" spans="2:5" x14ac:dyDescent="0.55000000000000004">
      <c r="B204">
        <v>142</v>
      </c>
      <c r="C204" s="27">
        <v>-193.76677488323764</v>
      </c>
      <c r="D204">
        <f t="shared" si="3"/>
        <v>142</v>
      </c>
      <c r="E204" s="27">
        <v>-122.13884700537804</v>
      </c>
    </row>
    <row r="205" spans="2:5" x14ac:dyDescent="0.55000000000000004">
      <c r="B205">
        <v>143</v>
      </c>
      <c r="C205" s="27">
        <v>-32.751400737409156</v>
      </c>
      <c r="D205">
        <f t="shared" si="3"/>
        <v>143</v>
      </c>
      <c r="E205" s="27">
        <v>-57.874963173636814</v>
      </c>
    </row>
    <row r="206" spans="2:5" x14ac:dyDescent="0.55000000000000004">
      <c r="B206">
        <v>144</v>
      </c>
      <c r="C206" s="27">
        <v>-106.5752185944813</v>
      </c>
      <c r="D206">
        <f t="shared" si="3"/>
        <v>144</v>
      </c>
      <c r="E206" s="27">
        <v>-1.0334154461680214</v>
      </c>
    </row>
    <row r="207" spans="2:5" x14ac:dyDescent="0.55000000000000004">
      <c r="B207">
        <v>145</v>
      </c>
      <c r="C207" s="27">
        <v>-124.59179702804485</v>
      </c>
      <c r="D207">
        <f t="shared" si="3"/>
        <v>145</v>
      </c>
      <c r="E207" s="27">
        <v>-44.45657067894669</v>
      </c>
    </row>
    <row r="208" spans="2:5" x14ac:dyDescent="0.55000000000000004">
      <c r="B208">
        <v>146</v>
      </c>
      <c r="C208" s="27">
        <v>-313.85982730695667</v>
      </c>
      <c r="D208">
        <f t="shared" si="3"/>
        <v>146</v>
      </c>
      <c r="E208" s="27">
        <v>-152.6113442844821</v>
      </c>
    </row>
    <row r="209" spans="2:5" x14ac:dyDescent="0.55000000000000004">
      <c r="B209">
        <v>147</v>
      </c>
      <c r="C209" s="27">
        <v>120.32036121023651</v>
      </c>
      <c r="D209">
        <f t="shared" si="3"/>
        <v>147</v>
      </c>
      <c r="E209" s="27">
        <v>-173.25251052366093</v>
      </c>
    </row>
    <row r="210" spans="2:5" x14ac:dyDescent="0.55000000000000004">
      <c r="B210">
        <v>148</v>
      </c>
      <c r="C210" s="27">
        <v>-17.973869817733572</v>
      </c>
      <c r="D210">
        <f t="shared" si="3"/>
        <v>148</v>
      </c>
      <c r="E210" s="27">
        <v>-158.98596010747386</v>
      </c>
    </row>
    <row r="211" spans="2:5" x14ac:dyDescent="0.55000000000000004">
      <c r="B211">
        <v>149</v>
      </c>
      <c r="C211" s="27">
        <v>45.714193662151011</v>
      </c>
      <c r="D211">
        <f t="shared" si="3"/>
        <v>149</v>
      </c>
      <c r="E211" s="27">
        <v>-68.839914568080872</v>
      </c>
    </row>
    <row r="212" spans="2:5" x14ac:dyDescent="0.55000000000000004">
      <c r="B212">
        <v>150</v>
      </c>
      <c r="C212" s="27">
        <v>2.9353973303664489</v>
      </c>
      <c r="D212">
        <f t="shared" si="3"/>
        <v>150</v>
      </c>
      <c r="E212" s="27">
        <v>23.575670151410947</v>
      </c>
    </row>
    <row r="213" spans="2:5" x14ac:dyDescent="0.55000000000000004">
      <c r="B213">
        <v>151</v>
      </c>
      <c r="C213" s="27">
        <v>92.392250958830488</v>
      </c>
      <c r="D213">
        <f t="shared" si="3"/>
        <v>151</v>
      </c>
      <c r="E213" s="27">
        <v>-161.40894209032896</v>
      </c>
    </row>
    <row r="214" spans="2:5" x14ac:dyDescent="0.55000000000000004">
      <c r="B214">
        <v>152</v>
      </c>
      <c r="C214" s="27">
        <v>254.56664633579717</v>
      </c>
      <c r="D214">
        <f t="shared" si="3"/>
        <v>152</v>
      </c>
      <c r="E214" s="27">
        <v>-144.23391898907136</v>
      </c>
    </row>
    <row r="215" spans="2:5" x14ac:dyDescent="0.55000000000000004">
      <c r="B215">
        <v>153</v>
      </c>
      <c r="C215" s="27">
        <v>-152.95412331977738</v>
      </c>
      <c r="D215">
        <f t="shared" si="3"/>
        <v>153</v>
      </c>
      <c r="E215" s="27">
        <v>-84.348934437853586</v>
      </c>
    </row>
    <row r="216" spans="2:5" x14ac:dyDescent="0.55000000000000004">
      <c r="B216">
        <v>154</v>
      </c>
      <c r="C216" s="27">
        <v>78.23916381027189</v>
      </c>
      <c r="D216">
        <f t="shared" si="3"/>
        <v>154</v>
      </c>
      <c r="E216" s="27">
        <v>108.33383245103613</v>
      </c>
    </row>
    <row r="217" spans="2:5" x14ac:dyDescent="0.55000000000000004">
      <c r="B217">
        <v>155</v>
      </c>
      <c r="C217" s="27">
        <v>150.76878365328969</v>
      </c>
      <c r="D217">
        <f t="shared" si="3"/>
        <v>155</v>
      </c>
      <c r="E217" s="27">
        <v>-43.670501299032026</v>
      </c>
    </row>
    <row r="218" spans="2:5" x14ac:dyDescent="0.55000000000000004">
      <c r="B218">
        <v>156</v>
      </c>
      <c r="C218" s="27">
        <v>-25.769754192786749</v>
      </c>
      <c r="D218">
        <f t="shared" si="3"/>
        <v>156</v>
      </c>
      <c r="E218" s="27">
        <v>-28.462794077718144</v>
      </c>
    </row>
    <row r="219" spans="2:5" x14ac:dyDescent="0.55000000000000004">
      <c r="B219">
        <v>157</v>
      </c>
      <c r="C219" s="27">
        <v>-27.641877705292927</v>
      </c>
      <c r="D219">
        <f t="shared" si="3"/>
        <v>157</v>
      </c>
      <c r="E219" s="27">
        <v>-82.680505020315593</v>
      </c>
    </row>
    <row r="220" spans="2:5" x14ac:dyDescent="0.55000000000000004">
      <c r="B220">
        <v>158</v>
      </c>
      <c r="C220" s="27">
        <v>-8.5480116236985992</v>
      </c>
      <c r="D220">
        <f t="shared" si="3"/>
        <v>158</v>
      </c>
      <c r="E220" s="27">
        <v>150.62130399364978</v>
      </c>
    </row>
    <row r="221" spans="2:5" x14ac:dyDescent="0.55000000000000004">
      <c r="B221">
        <v>159</v>
      </c>
      <c r="C221" s="27">
        <v>-47.002914787124219</v>
      </c>
      <c r="D221">
        <f t="shared" si="3"/>
        <v>159</v>
      </c>
      <c r="E221" s="27">
        <v>-66.111138741962634</v>
      </c>
    </row>
    <row r="222" spans="2:5" x14ac:dyDescent="0.55000000000000004">
      <c r="B222">
        <v>160</v>
      </c>
      <c r="C222" s="27">
        <v>70.699529565196769</v>
      </c>
      <c r="D222">
        <f t="shared" si="3"/>
        <v>160</v>
      </c>
      <c r="E222" s="27">
        <v>194.24322074680171</v>
      </c>
    </row>
    <row r="223" spans="2:5" x14ac:dyDescent="0.55000000000000004">
      <c r="B223">
        <v>161</v>
      </c>
      <c r="C223" s="27">
        <v>-129.93277486919956</v>
      </c>
      <c r="D223">
        <f t="shared" si="3"/>
        <v>161</v>
      </c>
      <c r="E223" s="27">
        <v>83.344901529629482</v>
      </c>
    </row>
    <row r="224" spans="2:5" x14ac:dyDescent="0.55000000000000004">
      <c r="B224">
        <v>162</v>
      </c>
      <c r="C224" s="27">
        <v>5.0656877266441533</v>
      </c>
      <c r="D224">
        <f t="shared" si="3"/>
        <v>162</v>
      </c>
      <c r="E224" s="27">
        <v>-123.20923221347903</v>
      </c>
    </row>
    <row r="225" spans="2:5" x14ac:dyDescent="0.55000000000000004">
      <c r="B225">
        <v>163</v>
      </c>
      <c r="C225" s="27">
        <v>-106.3279523106701</v>
      </c>
      <c r="D225">
        <f t="shared" si="3"/>
        <v>163</v>
      </c>
      <c r="E225" s="27">
        <v>-287.3785742744758</v>
      </c>
    </row>
    <row r="226" spans="2:5" x14ac:dyDescent="0.55000000000000004">
      <c r="B226">
        <v>164</v>
      </c>
      <c r="C226" s="27">
        <v>-135.44837755563756</v>
      </c>
      <c r="D226">
        <f t="shared" si="3"/>
        <v>164</v>
      </c>
      <c r="E226" s="27">
        <v>-46.840508996144536</v>
      </c>
    </row>
    <row r="227" spans="2:5" x14ac:dyDescent="0.55000000000000004">
      <c r="B227">
        <v>165</v>
      </c>
      <c r="C227" s="27">
        <v>-31.527172878632406</v>
      </c>
      <c r="D227">
        <f t="shared" si="3"/>
        <v>165</v>
      </c>
      <c r="E227" s="27">
        <v>-119.92145714513367</v>
      </c>
    </row>
    <row r="228" spans="2:5" x14ac:dyDescent="0.55000000000000004">
      <c r="B228">
        <v>166</v>
      </c>
      <c r="C228" s="27">
        <v>-57.200993590879008</v>
      </c>
      <c r="D228">
        <f t="shared" si="3"/>
        <v>166</v>
      </c>
      <c r="E228" s="27">
        <v>-111.33329888294193</v>
      </c>
    </row>
    <row r="229" spans="2:5" x14ac:dyDescent="0.55000000000000004">
      <c r="B229">
        <v>167</v>
      </c>
      <c r="C229" s="27">
        <v>-323.90031307370572</v>
      </c>
      <c r="D229">
        <f t="shared" si="3"/>
        <v>167</v>
      </c>
      <c r="E229" s="27">
        <v>90.577985130174994</v>
      </c>
    </row>
    <row r="230" spans="2:5" x14ac:dyDescent="0.55000000000000004">
      <c r="B230">
        <v>168</v>
      </c>
      <c r="C230" s="27">
        <v>133.28488148215848</v>
      </c>
      <c r="D230">
        <f t="shared" si="3"/>
        <v>168</v>
      </c>
      <c r="E230" s="27">
        <v>-273.36130348676943</v>
      </c>
    </row>
    <row r="231" spans="2:5" x14ac:dyDescent="0.55000000000000004">
      <c r="B231">
        <v>169</v>
      </c>
      <c r="C231" s="27">
        <v>13.127667373814042</v>
      </c>
      <c r="D231">
        <f t="shared" si="3"/>
        <v>169</v>
      </c>
      <c r="E231" s="27">
        <v>-129.66184828135417</v>
      </c>
    </row>
    <row r="232" spans="2:5" x14ac:dyDescent="0.55000000000000004">
      <c r="B232">
        <v>170</v>
      </c>
      <c r="C232" s="27">
        <v>-199.89142746887674</v>
      </c>
      <c r="D232">
        <f t="shared" si="3"/>
        <v>170</v>
      </c>
      <c r="E232" s="27">
        <v>-188.09035444390628</v>
      </c>
    </row>
    <row r="233" spans="2:5" x14ac:dyDescent="0.55000000000000004">
      <c r="B233">
        <v>171</v>
      </c>
      <c r="C233" s="27">
        <v>-68.447054266959498</v>
      </c>
      <c r="D233">
        <f t="shared" si="3"/>
        <v>171</v>
      </c>
      <c r="E233" s="27">
        <v>-46.219965307795093</v>
      </c>
    </row>
    <row r="234" spans="2:5" x14ac:dyDescent="0.55000000000000004">
      <c r="B234">
        <v>172</v>
      </c>
      <c r="C234" s="27">
        <v>-57.804983726736111</v>
      </c>
      <c r="D234">
        <f t="shared" si="3"/>
        <v>172</v>
      </c>
      <c r="E234" s="27">
        <v>-170.99169913625536</v>
      </c>
    </row>
    <row r="235" spans="2:5" x14ac:dyDescent="0.55000000000000004">
      <c r="B235">
        <v>173</v>
      </c>
      <c r="C235" s="27">
        <v>59.829864750045445</v>
      </c>
      <c r="D235">
        <f t="shared" si="3"/>
        <v>173</v>
      </c>
      <c r="E235" s="27">
        <v>-112.31679961959168</v>
      </c>
    </row>
    <row r="236" spans="2:5" x14ac:dyDescent="0.55000000000000004">
      <c r="B236">
        <v>174</v>
      </c>
      <c r="C236" s="27">
        <v>-280.50678971192747</v>
      </c>
      <c r="D236">
        <f t="shared" si="3"/>
        <v>174</v>
      </c>
      <c r="E236" s="27">
        <v>-128.10706820652388</v>
      </c>
    </row>
    <row r="237" spans="2:5" x14ac:dyDescent="0.55000000000000004">
      <c r="B237">
        <v>175</v>
      </c>
      <c r="C237" s="27">
        <v>27.726702568965703</v>
      </c>
      <c r="D237">
        <f t="shared" si="3"/>
        <v>175</v>
      </c>
      <c r="E237" s="27">
        <v>156.21746946753558</v>
      </c>
    </row>
    <row r="238" spans="2:5" x14ac:dyDescent="0.55000000000000004">
      <c r="B238">
        <v>176</v>
      </c>
      <c r="C238" s="27">
        <v>185.70574392223125</v>
      </c>
      <c r="D238">
        <f t="shared" si="3"/>
        <v>176</v>
      </c>
      <c r="E238" s="27">
        <v>-267.36410681222867</v>
      </c>
    </row>
    <row r="239" spans="2:5" x14ac:dyDescent="0.55000000000000004">
      <c r="B239">
        <v>177</v>
      </c>
      <c r="C239" s="27">
        <v>-204.671599696274</v>
      </c>
      <c r="D239">
        <f t="shared" si="3"/>
        <v>177</v>
      </c>
      <c r="E239" s="27">
        <v>-53.783507467561833</v>
      </c>
    </row>
    <row r="240" spans="2:5" x14ac:dyDescent="0.55000000000000004">
      <c r="B240">
        <v>178</v>
      </c>
      <c r="C240" s="27">
        <v>21.111390856591843</v>
      </c>
      <c r="D240">
        <f t="shared" si="3"/>
        <v>178</v>
      </c>
      <c r="E240" s="27">
        <v>-180.8607308182159</v>
      </c>
    </row>
    <row r="241" spans="2:5" x14ac:dyDescent="0.55000000000000004">
      <c r="B241">
        <v>179</v>
      </c>
      <c r="C241" s="27">
        <v>-34.861206221670869</v>
      </c>
      <c r="D241">
        <f t="shared" si="3"/>
        <v>179</v>
      </c>
      <c r="E241" s="27">
        <v>-82.915651373268901</v>
      </c>
    </row>
    <row r="242" spans="2:5" x14ac:dyDescent="0.55000000000000004">
      <c r="B242">
        <v>180</v>
      </c>
      <c r="C242" s="27">
        <v>-181.0723611919372</v>
      </c>
      <c r="D242">
        <f t="shared" si="3"/>
        <v>180</v>
      </c>
      <c r="E242" s="27">
        <v>-179.98177020968615</v>
      </c>
    </row>
    <row r="243" spans="2:5" x14ac:dyDescent="0.55000000000000004">
      <c r="B243">
        <v>181</v>
      </c>
      <c r="C243" s="27">
        <v>208.85876170337735</v>
      </c>
      <c r="D243">
        <f t="shared" si="3"/>
        <v>181</v>
      </c>
      <c r="E243" s="27">
        <v>-415.42561485674503</v>
      </c>
    </row>
    <row r="244" spans="2:5" x14ac:dyDescent="0.55000000000000004">
      <c r="B244">
        <v>182</v>
      </c>
      <c r="C244" s="27">
        <v>-214.77158162106397</v>
      </c>
      <c r="D244">
        <f t="shared" si="3"/>
        <v>182</v>
      </c>
      <c r="E244" s="27">
        <v>-175.7157349021482</v>
      </c>
    </row>
    <row r="245" spans="2:5" x14ac:dyDescent="0.55000000000000004">
      <c r="B245">
        <v>183</v>
      </c>
      <c r="C245" s="27">
        <v>-86.811466781012371</v>
      </c>
      <c r="D245">
        <f t="shared" si="3"/>
        <v>183</v>
      </c>
      <c r="E245" s="27">
        <v>79.929154997956886</v>
      </c>
    </row>
    <row r="246" spans="2:5" x14ac:dyDescent="0.55000000000000004">
      <c r="B246">
        <v>184</v>
      </c>
      <c r="C246" s="27">
        <v>-104.93891903638074</v>
      </c>
      <c r="D246">
        <f t="shared" si="3"/>
        <v>184</v>
      </c>
      <c r="E246" s="27">
        <v>-195.3545078923139</v>
      </c>
    </row>
    <row r="247" spans="2:5" x14ac:dyDescent="0.55000000000000004">
      <c r="B247">
        <v>185</v>
      </c>
      <c r="C247" s="27">
        <v>69.060271427189122</v>
      </c>
      <c r="D247">
        <f t="shared" si="3"/>
        <v>185</v>
      </c>
      <c r="E247" s="27">
        <v>138.32397752458652</v>
      </c>
    </row>
    <row r="248" spans="2:5" x14ac:dyDescent="0.55000000000000004">
      <c r="B248">
        <v>186</v>
      </c>
      <c r="C248" s="27">
        <v>-269.81486274828308</v>
      </c>
      <c r="D248">
        <f t="shared" si="3"/>
        <v>186</v>
      </c>
      <c r="E248" s="27">
        <v>-130.11690120163831</v>
      </c>
    </row>
    <row r="249" spans="2:5" x14ac:dyDescent="0.55000000000000004">
      <c r="B249">
        <v>187</v>
      </c>
      <c r="C249" s="27">
        <v>-88.983498401226541</v>
      </c>
      <c r="D249">
        <f t="shared" si="3"/>
        <v>187</v>
      </c>
      <c r="E249" s="27">
        <v>-43.387989911978593</v>
      </c>
    </row>
    <row r="250" spans="2:5" x14ac:dyDescent="0.55000000000000004">
      <c r="B250">
        <v>188</v>
      </c>
      <c r="C250" s="27">
        <v>56.760079544669374</v>
      </c>
      <c r="D250">
        <f t="shared" si="3"/>
        <v>188</v>
      </c>
      <c r="E250" s="27">
        <v>-10.457154470699606</v>
      </c>
    </row>
    <row r="251" spans="2:5" x14ac:dyDescent="0.55000000000000004">
      <c r="B251">
        <v>189</v>
      </c>
      <c r="C251" s="27">
        <v>-258.05769260828197</v>
      </c>
      <c r="D251">
        <f t="shared" si="3"/>
        <v>189</v>
      </c>
      <c r="E251" s="27">
        <v>-399.882349093193</v>
      </c>
    </row>
    <row r="252" spans="2:5" x14ac:dyDescent="0.55000000000000004">
      <c r="B252">
        <v>190</v>
      </c>
      <c r="C252" s="27">
        <v>-53.738207706277763</v>
      </c>
      <c r="D252">
        <f t="shared" si="3"/>
        <v>190</v>
      </c>
      <c r="E252" s="27">
        <v>-247.41884093712193</v>
      </c>
    </row>
    <row r="253" spans="2:5" x14ac:dyDescent="0.55000000000000004">
      <c r="B253">
        <v>191</v>
      </c>
      <c r="C253" s="27">
        <v>-100.29444765995353</v>
      </c>
      <c r="D253">
        <f t="shared" si="3"/>
        <v>191</v>
      </c>
      <c r="E253" s="27">
        <v>-119.7459086106571</v>
      </c>
    </row>
    <row r="254" spans="2:5" x14ac:dyDescent="0.55000000000000004">
      <c r="B254">
        <v>192</v>
      </c>
      <c r="C254" s="27">
        <v>-262.18909399487376</v>
      </c>
      <c r="D254">
        <f t="shared" si="3"/>
        <v>192</v>
      </c>
      <c r="E254" s="27">
        <v>141.3153541967979</v>
      </c>
    </row>
    <row r="255" spans="2:5" x14ac:dyDescent="0.55000000000000004">
      <c r="B255">
        <v>193</v>
      </c>
      <c r="C255" s="27">
        <v>-60.993322038902932</v>
      </c>
      <c r="D255">
        <f t="shared" si="3"/>
        <v>193</v>
      </c>
      <c r="E255" s="27">
        <v>40.314361828519878</v>
      </c>
    </row>
    <row r="256" spans="2:5" x14ac:dyDescent="0.55000000000000004">
      <c r="B256">
        <v>194</v>
      </c>
      <c r="C256" s="27">
        <v>-1.4854915518846283</v>
      </c>
      <c r="D256">
        <f t="shared" si="3"/>
        <v>194</v>
      </c>
      <c r="E256" s="27">
        <v>164.1107181694918</v>
      </c>
    </row>
    <row r="257" spans="2:5" x14ac:dyDescent="0.55000000000000004">
      <c r="B257">
        <v>195</v>
      </c>
      <c r="C257" s="27">
        <v>-42.117028767011234</v>
      </c>
      <c r="D257">
        <f t="shared" ref="D257:D274" si="4">B257</f>
        <v>195</v>
      </c>
      <c r="E257" s="27">
        <v>-18.913699596108415</v>
      </c>
    </row>
    <row r="258" spans="2:5" x14ac:dyDescent="0.55000000000000004">
      <c r="B258">
        <v>196</v>
      </c>
      <c r="C258" s="27">
        <v>283.30254145281845</v>
      </c>
      <c r="D258">
        <f t="shared" si="4"/>
        <v>196</v>
      </c>
      <c r="E258" s="27">
        <v>-98.904465600521235</v>
      </c>
    </row>
    <row r="259" spans="2:5" x14ac:dyDescent="0.55000000000000004">
      <c r="B259">
        <v>197</v>
      </c>
      <c r="C259" s="27">
        <v>-227.91747340262901</v>
      </c>
      <c r="D259">
        <f t="shared" si="4"/>
        <v>197</v>
      </c>
      <c r="E259" s="27">
        <v>-284.83237897081216</v>
      </c>
    </row>
    <row r="260" spans="2:5" x14ac:dyDescent="0.55000000000000004">
      <c r="B260">
        <v>198</v>
      </c>
      <c r="C260" s="27">
        <v>-133.2489103896896</v>
      </c>
      <c r="D260">
        <f t="shared" si="4"/>
        <v>198</v>
      </c>
      <c r="E260" s="27">
        <v>-206.25262091210757</v>
      </c>
    </row>
    <row r="261" spans="2:5" x14ac:dyDescent="0.55000000000000004">
      <c r="B261">
        <v>199</v>
      </c>
      <c r="C261" s="27">
        <v>-140.80496490590849</v>
      </c>
      <c r="D261">
        <f t="shared" si="4"/>
        <v>199</v>
      </c>
      <c r="E261" s="27">
        <v>71.697104631193369</v>
      </c>
    </row>
    <row r="262" spans="2:5" x14ac:dyDescent="0.55000000000000004">
      <c r="B262">
        <v>200</v>
      </c>
      <c r="C262" s="27">
        <v>66.274093588917921</v>
      </c>
      <c r="D262">
        <f t="shared" si="4"/>
        <v>200</v>
      </c>
      <c r="E262" s="27">
        <v>-15.523132825646513</v>
      </c>
    </row>
    <row r="263" spans="2:5" x14ac:dyDescent="0.55000000000000004">
      <c r="B263">
        <v>201</v>
      </c>
      <c r="C263" s="27">
        <v>-94.255391540720666</v>
      </c>
      <c r="D263">
        <f t="shared" si="4"/>
        <v>201</v>
      </c>
      <c r="E263" s="27">
        <v>-4.615668128010185</v>
      </c>
    </row>
    <row r="264" spans="2:5" x14ac:dyDescent="0.55000000000000004">
      <c r="B264">
        <v>202</v>
      </c>
      <c r="C264" s="27">
        <v>51.558361513241657</v>
      </c>
      <c r="D264">
        <f t="shared" si="4"/>
        <v>202</v>
      </c>
      <c r="E264" s="27">
        <v>-132.49799256015666</v>
      </c>
    </row>
    <row r="265" spans="2:5" x14ac:dyDescent="0.55000000000000004">
      <c r="B265">
        <v>203</v>
      </c>
      <c r="C265" s="27">
        <v>-407.5454393867409</v>
      </c>
      <c r="D265">
        <f t="shared" si="4"/>
        <v>203</v>
      </c>
      <c r="E265" s="27">
        <v>-146.46993896455959</v>
      </c>
    </row>
    <row r="266" spans="2:5" x14ac:dyDescent="0.55000000000000004">
      <c r="B266">
        <v>204</v>
      </c>
      <c r="C266" s="27">
        <v>-89.814558424688784</v>
      </c>
      <c r="D266">
        <f t="shared" si="4"/>
        <v>204</v>
      </c>
      <c r="E266" s="27">
        <v>103.26702440280633</v>
      </c>
    </row>
    <row r="267" spans="2:5" x14ac:dyDescent="0.55000000000000004">
      <c r="B267">
        <v>205</v>
      </c>
      <c r="C267" s="27">
        <v>-68.57708369680401</v>
      </c>
      <c r="D267">
        <f t="shared" si="4"/>
        <v>205</v>
      </c>
      <c r="E267" s="27">
        <v>-116.86292491909663</v>
      </c>
    </row>
    <row r="268" spans="2:5" x14ac:dyDescent="0.55000000000000004">
      <c r="B268">
        <v>206</v>
      </c>
      <c r="C268" s="27">
        <v>-85.106766140633383</v>
      </c>
      <c r="D268">
        <f t="shared" si="4"/>
        <v>206</v>
      </c>
      <c r="E268" s="27">
        <v>-228.24234942972149</v>
      </c>
    </row>
    <row r="269" spans="2:5" x14ac:dyDescent="0.55000000000000004">
      <c r="B269">
        <v>207</v>
      </c>
      <c r="C269" s="27">
        <v>128.98835806833441</v>
      </c>
      <c r="D269">
        <f t="shared" si="4"/>
        <v>207</v>
      </c>
      <c r="E269" s="27">
        <v>-168.26390627545675</v>
      </c>
    </row>
    <row r="270" spans="2:5" x14ac:dyDescent="0.55000000000000004">
      <c r="B270">
        <v>208</v>
      </c>
      <c r="C270" s="27">
        <v>97.465612424517701</v>
      </c>
      <c r="D270">
        <f t="shared" si="4"/>
        <v>208</v>
      </c>
      <c r="E270" s="27">
        <v>-156.18899743607085</v>
      </c>
    </row>
    <row r="271" spans="2:5" x14ac:dyDescent="0.55000000000000004">
      <c r="B271">
        <v>209</v>
      </c>
      <c r="C271" s="27">
        <v>-202.02573493800043</v>
      </c>
      <c r="D271">
        <f t="shared" si="4"/>
        <v>209</v>
      </c>
      <c r="E271" s="27">
        <v>-118.49621839640545</v>
      </c>
    </row>
    <row r="272" spans="2:5" x14ac:dyDescent="0.55000000000000004">
      <c r="B272">
        <v>210</v>
      </c>
      <c r="C272" s="27">
        <v>63.74663070807911</v>
      </c>
      <c r="D272">
        <f t="shared" si="4"/>
        <v>210</v>
      </c>
      <c r="E272" s="27">
        <v>-84.600409080236915</v>
      </c>
    </row>
    <row r="273" spans="2:5" x14ac:dyDescent="0.55000000000000004">
      <c r="B273">
        <v>211</v>
      </c>
      <c r="C273" s="27">
        <v>-386.36629877896144</v>
      </c>
      <c r="D273">
        <f t="shared" si="4"/>
        <v>211</v>
      </c>
      <c r="E273" s="27">
        <v>-87.0043214631566</v>
      </c>
    </row>
    <row r="274" spans="2:5" x14ac:dyDescent="0.55000000000000004">
      <c r="B274">
        <v>212</v>
      </c>
      <c r="C274" s="27">
        <v>230.40093985683558</v>
      </c>
      <c r="D274">
        <f t="shared" si="4"/>
        <v>212</v>
      </c>
      <c r="E274" s="27">
        <v>-33.32804983931274</v>
      </c>
    </row>
    <row r="275" spans="2:5" x14ac:dyDescent="0.55000000000000004">
      <c r="B275">
        <v>213</v>
      </c>
      <c r="C275" s="27">
        <v>19.219630487224514</v>
      </c>
      <c r="D275">
        <f t="shared" ref="D275:D338" si="5">B275</f>
        <v>213</v>
      </c>
      <c r="E275" s="27">
        <v>-63.986441441655046</v>
      </c>
    </row>
    <row r="276" spans="2:5" x14ac:dyDescent="0.55000000000000004">
      <c r="B276">
        <v>214</v>
      </c>
      <c r="C276" s="27">
        <v>-204.47662162901085</v>
      </c>
      <c r="D276">
        <f t="shared" si="5"/>
        <v>214</v>
      </c>
      <c r="E276" s="27">
        <v>-130.71834372736564</v>
      </c>
    </row>
    <row r="277" spans="2:5" x14ac:dyDescent="0.55000000000000004">
      <c r="B277">
        <v>215</v>
      </c>
      <c r="C277" s="27">
        <v>89.822135391447546</v>
      </c>
      <c r="D277">
        <f t="shared" si="5"/>
        <v>215</v>
      </c>
      <c r="E277" s="27">
        <v>-48.919622433438988</v>
      </c>
    </row>
    <row r="278" spans="2:5" x14ac:dyDescent="0.55000000000000004">
      <c r="B278">
        <v>216</v>
      </c>
      <c r="C278" s="27">
        <v>-92.143092710782582</v>
      </c>
      <c r="D278">
        <f t="shared" si="5"/>
        <v>216</v>
      </c>
      <c r="E278" s="27">
        <v>-274.3264909634654</v>
      </c>
    </row>
    <row r="279" spans="2:5" x14ac:dyDescent="0.55000000000000004">
      <c r="B279">
        <v>217</v>
      </c>
      <c r="C279" s="27">
        <v>-90.935466132228257</v>
      </c>
      <c r="D279">
        <f t="shared" si="5"/>
        <v>217</v>
      </c>
      <c r="E279" s="27">
        <v>-23.488545271210882</v>
      </c>
    </row>
    <row r="280" spans="2:5" x14ac:dyDescent="0.55000000000000004">
      <c r="B280">
        <v>218</v>
      </c>
      <c r="C280" s="27">
        <v>-176.48844558315886</v>
      </c>
      <c r="D280">
        <f t="shared" si="5"/>
        <v>218</v>
      </c>
      <c r="E280" s="27">
        <v>-148.48815585699384</v>
      </c>
    </row>
    <row r="281" spans="2:5" x14ac:dyDescent="0.55000000000000004">
      <c r="B281">
        <v>219</v>
      </c>
      <c r="C281" s="27">
        <v>11.113262089003175</v>
      </c>
      <c r="D281">
        <f t="shared" si="5"/>
        <v>219</v>
      </c>
      <c r="E281" s="27">
        <v>-140.5974220725937</v>
      </c>
    </row>
    <row r="282" spans="2:5" x14ac:dyDescent="0.55000000000000004">
      <c r="B282">
        <v>220</v>
      </c>
      <c r="C282" s="27">
        <v>-108.41492991210393</v>
      </c>
      <c r="D282">
        <f t="shared" si="5"/>
        <v>220</v>
      </c>
      <c r="E282" s="27">
        <v>165.34541580275729</v>
      </c>
    </row>
    <row r="283" spans="2:5" x14ac:dyDescent="0.55000000000000004">
      <c r="B283">
        <v>221</v>
      </c>
      <c r="C283" s="27">
        <v>-203.72878102079659</v>
      </c>
      <c r="D283">
        <f t="shared" si="5"/>
        <v>221</v>
      </c>
      <c r="E283" s="27">
        <v>-223.52203809034964</v>
      </c>
    </row>
    <row r="284" spans="2:5" x14ac:dyDescent="0.55000000000000004">
      <c r="B284">
        <v>222</v>
      </c>
      <c r="C284" s="27">
        <v>-37.359709537314338</v>
      </c>
      <c r="D284">
        <f t="shared" si="5"/>
        <v>222</v>
      </c>
      <c r="E284" s="27">
        <v>-14.161856179174094</v>
      </c>
    </row>
    <row r="285" spans="2:5" x14ac:dyDescent="0.55000000000000004">
      <c r="B285">
        <v>223</v>
      </c>
      <c r="C285" s="27">
        <v>-159.36930141341304</v>
      </c>
      <c r="D285">
        <f t="shared" si="5"/>
        <v>223</v>
      </c>
      <c r="E285" s="27">
        <v>-154.13510299174558</v>
      </c>
    </row>
    <row r="286" spans="2:5" x14ac:dyDescent="0.55000000000000004">
      <c r="B286">
        <v>224</v>
      </c>
      <c r="C286" s="27">
        <v>-216.87841060641327</v>
      </c>
      <c r="D286">
        <f t="shared" si="5"/>
        <v>224</v>
      </c>
      <c r="E286" s="27">
        <v>-73.294555455728329</v>
      </c>
    </row>
    <row r="287" spans="2:5" x14ac:dyDescent="0.55000000000000004">
      <c r="B287">
        <v>225</v>
      </c>
      <c r="C287" s="27">
        <v>84.395190517329553</v>
      </c>
      <c r="D287">
        <f t="shared" si="5"/>
        <v>225</v>
      </c>
      <c r="E287" s="27">
        <v>-395.44780562652045</v>
      </c>
    </row>
    <row r="288" spans="2:5" x14ac:dyDescent="0.55000000000000004">
      <c r="B288">
        <v>226</v>
      </c>
      <c r="C288" s="27">
        <v>81.924203711935348</v>
      </c>
      <c r="D288">
        <f t="shared" si="5"/>
        <v>226</v>
      </c>
      <c r="E288" s="27">
        <v>-296.11426263680653</v>
      </c>
    </row>
    <row r="289" spans="2:5" x14ac:dyDescent="0.55000000000000004">
      <c r="B289">
        <v>227</v>
      </c>
      <c r="C289" s="27">
        <v>-23.023112422601997</v>
      </c>
      <c r="D289">
        <f t="shared" si="5"/>
        <v>227</v>
      </c>
      <c r="E289" s="27">
        <v>-1.2997296637941815</v>
      </c>
    </row>
    <row r="290" spans="2:5" x14ac:dyDescent="0.55000000000000004">
      <c r="B290">
        <v>228</v>
      </c>
      <c r="C290" s="27">
        <v>266.34583972125012</v>
      </c>
      <c r="D290">
        <f t="shared" si="5"/>
        <v>228</v>
      </c>
      <c r="E290" s="27">
        <v>-297.10399767908092</v>
      </c>
    </row>
    <row r="291" spans="2:5" x14ac:dyDescent="0.55000000000000004">
      <c r="B291">
        <v>229</v>
      </c>
      <c r="C291" s="27">
        <v>-74.121248317738974</v>
      </c>
      <c r="D291">
        <f t="shared" si="5"/>
        <v>229</v>
      </c>
      <c r="E291" s="27">
        <v>-156.36889701758705</v>
      </c>
    </row>
    <row r="292" spans="2:5" x14ac:dyDescent="0.55000000000000004">
      <c r="B292">
        <v>230</v>
      </c>
      <c r="C292" s="27">
        <v>73.666985723382155</v>
      </c>
      <c r="D292">
        <f t="shared" si="5"/>
        <v>230</v>
      </c>
      <c r="E292" s="27">
        <v>-216.85436449581999</v>
      </c>
    </row>
    <row r="293" spans="2:5" x14ac:dyDescent="0.55000000000000004">
      <c r="B293">
        <v>231</v>
      </c>
      <c r="C293" s="27">
        <v>12.508311124621859</v>
      </c>
      <c r="D293">
        <f t="shared" si="5"/>
        <v>231</v>
      </c>
      <c r="E293" s="27">
        <v>-70.453751145778114</v>
      </c>
    </row>
    <row r="294" spans="2:5" x14ac:dyDescent="0.55000000000000004">
      <c r="B294">
        <v>232</v>
      </c>
      <c r="C294" s="27">
        <v>-93.778024561269774</v>
      </c>
      <c r="D294">
        <f t="shared" si="5"/>
        <v>232</v>
      </c>
      <c r="E294" s="27">
        <v>-38.275618663955129</v>
      </c>
    </row>
    <row r="295" spans="2:5" x14ac:dyDescent="0.55000000000000004">
      <c r="B295">
        <v>233</v>
      </c>
      <c r="C295" s="27">
        <v>-246.39061323675551</v>
      </c>
      <c r="D295">
        <f t="shared" si="5"/>
        <v>233</v>
      </c>
      <c r="E295" s="27">
        <v>-181.5708499290175</v>
      </c>
    </row>
    <row r="296" spans="2:5" x14ac:dyDescent="0.55000000000000004">
      <c r="B296">
        <v>234</v>
      </c>
      <c r="C296" s="27">
        <v>57.256205147469416</v>
      </c>
      <c r="D296">
        <f t="shared" si="5"/>
        <v>234</v>
      </c>
      <c r="E296" s="27">
        <v>-144.10530668634664</v>
      </c>
    </row>
    <row r="297" spans="2:5" x14ac:dyDescent="0.55000000000000004">
      <c r="B297">
        <v>235</v>
      </c>
      <c r="C297" s="27">
        <v>-80.278972164393025</v>
      </c>
      <c r="D297">
        <f t="shared" si="5"/>
        <v>235</v>
      </c>
      <c r="E297" s="27">
        <v>-145.42617353952622</v>
      </c>
    </row>
    <row r="298" spans="2:5" x14ac:dyDescent="0.55000000000000004">
      <c r="B298">
        <v>236</v>
      </c>
      <c r="C298" s="27">
        <v>90.438315432013923</v>
      </c>
      <c r="D298">
        <f t="shared" si="5"/>
        <v>236</v>
      </c>
      <c r="E298" s="27">
        <v>35.800269434941669</v>
      </c>
    </row>
    <row r="299" spans="2:5" x14ac:dyDescent="0.55000000000000004">
      <c r="B299">
        <v>237</v>
      </c>
      <c r="C299" s="27">
        <v>-32.619637221451733</v>
      </c>
      <c r="D299">
        <f t="shared" si="5"/>
        <v>237</v>
      </c>
      <c r="E299" s="27">
        <v>-114.45112189125322</v>
      </c>
    </row>
    <row r="300" spans="2:5" x14ac:dyDescent="0.55000000000000004">
      <c r="B300">
        <v>238</v>
      </c>
      <c r="C300" s="27">
        <v>148.83809704746665</v>
      </c>
      <c r="D300">
        <f t="shared" si="5"/>
        <v>238</v>
      </c>
      <c r="E300" s="27">
        <v>-162.42270970589288</v>
      </c>
    </row>
    <row r="301" spans="2:5" x14ac:dyDescent="0.55000000000000004">
      <c r="B301">
        <v>239</v>
      </c>
      <c r="C301" s="27">
        <v>-164.70986931559878</v>
      </c>
      <c r="D301">
        <f t="shared" si="5"/>
        <v>239</v>
      </c>
      <c r="E301" s="27">
        <v>54.703344089906523</v>
      </c>
    </row>
    <row r="302" spans="2:5" x14ac:dyDescent="0.55000000000000004">
      <c r="B302">
        <v>240</v>
      </c>
      <c r="C302" s="27">
        <v>-52.970208208965325</v>
      </c>
      <c r="D302">
        <f t="shared" si="5"/>
        <v>240</v>
      </c>
      <c r="E302" s="27">
        <v>-7.5972292964267751</v>
      </c>
    </row>
    <row r="303" spans="2:5" x14ac:dyDescent="0.55000000000000004">
      <c r="B303">
        <v>241</v>
      </c>
      <c r="C303" s="27">
        <v>-178.1872315796742</v>
      </c>
      <c r="D303">
        <f t="shared" si="5"/>
        <v>241</v>
      </c>
      <c r="E303" s="27">
        <v>54.95956087799766</v>
      </c>
    </row>
    <row r="304" spans="2:5" x14ac:dyDescent="0.55000000000000004">
      <c r="B304">
        <v>242</v>
      </c>
      <c r="C304" s="27">
        <v>-255.59307136564831</v>
      </c>
      <c r="D304">
        <f t="shared" si="5"/>
        <v>242</v>
      </c>
      <c r="E304" s="27">
        <v>-28.300224906342805</v>
      </c>
    </row>
    <row r="305" spans="2:5" x14ac:dyDescent="0.55000000000000004">
      <c r="B305">
        <v>243</v>
      </c>
      <c r="C305" s="27">
        <v>37.479171320637725</v>
      </c>
      <c r="D305">
        <f t="shared" si="5"/>
        <v>243</v>
      </c>
      <c r="E305" s="27">
        <v>-120.10684648143376</v>
      </c>
    </row>
    <row r="306" spans="2:5" x14ac:dyDescent="0.55000000000000004">
      <c r="B306">
        <v>244</v>
      </c>
      <c r="C306" s="27">
        <v>-183.39118277878686</v>
      </c>
      <c r="D306">
        <f t="shared" si="5"/>
        <v>244</v>
      </c>
      <c r="E306" s="27">
        <v>-94.585072791967804</v>
      </c>
    </row>
    <row r="307" spans="2:5" x14ac:dyDescent="0.55000000000000004">
      <c r="B307">
        <v>245</v>
      </c>
      <c r="C307" s="27">
        <v>-58.64654865374159</v>
      </c>
      <c r="D307">
        <f t="shared" si="5"/>
        <v>245</v>
      </c>
      <c r="E307" s="27">
        <v>46.525503027504669</v>
      </c>
    </row>
    <row r="308" spans="2:5" x14ac:dyDescent="0.55000000000000004">
      <c r="B308">
        <v>246</v>
      </c>
      <c r="C308" s="27">
        <v>-119.52623837088436</v>
      </c>
      <c r="D308">
        <f t="shared" si="5"/>
        <v>246</v>
      </c>
      <c r="E308" s="27">
        <v>37.987674429551078</v>
      </c>
    </row>
    <row r="309" spans="2:5" x14ac:dyDescent="0.55000000000000004">
      <c r="B309">
        <v>247</v>
      </c>
      <c r="C309" s="27">
        <v>111.06918490844397</v>
      </c>
      <c r="D309">
        <f t="shared" si="5"/>
        <v>247</v>
      </c>
      <c r="E309" s="27">
        <v>-163.44373216960565</v>
      </c>
    </row>
    <row r="310" spans="2:5" x14ac:dyDescent="0.55000000000000004">
      <c r="B310">
        <v>248</v>
      </c>
      <c r="C310" s="27">
        <v>-102.05956116699224</v>
      </c>
      <c r="D310">
        <f t="shared" si="5"/>
        <v>248</v>
      </c>
      <c r="E310" s="27">
        <v>121.10840200307014</v>
      </c>
    </row>
    <row r="311" spans="2:5" x14ac:dyDescent="0.55000000000000004">
      <c r="B311">
        <v>249</v>
      </c>
      <c r="C311" s="27">
        <v>-60.64738053015494</v>
      </c>
      <c r="D311">
        <f t="shared" si="5"/>
        <v>249</v>
      </c>
      <c r="E311" s="27">
        <v>68.805298366194805</v>
      </c>
    </row>
    <row r="312" spans="2:5" x14ac:dyDescent="0.55000000000000004">
      <c r="B312">
        <v>250</v>
      </c>
      <c r="C312" s="27">
        <v>-12.446312227783054</v>
      </c>
      <c r="D312">
        <f t="shared" si="5"/>
        <v>250</v>
      </c>
      <c r="E312" s="27">
        <v>-148.46499575892807</v>
      </c>
    </row>
    <row r="313" spans="2:5" x14ac:dyDescent="0.55000000000000004">
      <c r="B313">
        <v>251</v>
      </c>
      <c r="C313" s="27">
        <v>65.022238257600989</v>
      </c>
      <c r="D313">
        <f t="shared" si="5"/>
        <v>251</v>
      </c>
      <c r="E313" s="27">
        <v>-221.73806709464205</v>
      </c>
    </row>
    <row r="314" spans="2:5" x14ac:dyDescent="0.55000000000000004">
      <c r="B314">
        <v>252</v>
      </c>
      <c r="C314" s="27">
        <v>213.90633717417623</v>
      </c>
      <c r="D314">
        <f t="shared" si="5"/>
        <v>252</v>
      </c>
      <c r="E314" s="27">
        <v>-180.94938334116051</v>
      </c>
    </row>
    <row r="315" spans="2:5" x14ac:dyDescent="0.55000000000000004">
      <c r="B315">
        <v>253</v>
      </c>
      <c r="C315" s="27">
        <v>206.17247357390613</v>
      </c>
      <c r="D315">
        <f t="shared" si="5"/>
        <v>253</v>
      </c>
      <c r="E315" s="27">
        <v>133.30788598975039</v>
      </c>
    </row>
    <row r="316" spans="2:5" x14ac:dyDescent="0.55000000000000004">
      <c r="B316">
        <v>254</v>
      </c>
      <c r="C316" s="27">
        <v>9.6226101949827409</v>
      </c>
      <c r="D316">
        <f t="shared" si="5"/>
        <v>254</v>
      </c>
      <c r="E316" s="27">
        <v>-133.61925465406955</v>
      </c>
    </row>
    <row r="317" spans="2:5" x14ac:dyDescent="0.55000000000000004">
      <c r="B317">
        <v>255</v>
      </c>
      <c r="C317" s="27">
        <v>208.94822850598075</v>
      </c>
      <c r="D317">
        <f t="shared" si="5"/>
        <v>255</v>
      </c>
      <c r="E317" s="27">
        <v>-9.0904155122708232</v>
      </c>
    </row>
    <row r="318" spans="2:5" x14ac:dyDescent="0.55000000000000004">
      <c r="B318">
        <v>256</v>
      </c>
      <c r="C318" s="27">
        <v>-114.7555561509954</v>
      </c>
      <c r="D318">
        <f t="shared" si="5"/>
        <v>256</v>
      </c>
      <c r="E318" s="27">
        <v>-383.66696145103799</v>
      </c>
    </row>
    <row r="319" spans="2:5" x14ac:dyDescent="0.55000000000000004">
      <c r="B319">
        <v>257</v>
      </c>
      <c r="C319" s="27">
        <v>88.218643821541747</v>
      </c>
      <c r="D319">
        <f t="shared" si="5"/>
        <v>257</v>
      </c>
      <c r="E319" s="27">
        <v>-145.86060619898436</v>
      </c>
    </row>
    <row r="320" spans="2:5" x14ac:dyDescent="0.55000000000000004">
      <c r="B320">
        <v>258</v>
      </c>
      <c r="C320" s="27">
        <v>-31.555899848779902</v>
      </c>
      <c r="D320">
        <f t="shared" si="5"/>
        <v>258</v>
      </c>
      <c r="E320" s="27">
        <v>-12.395709601417622</v>
      </c>
    </row>
    <row r="321" spans="2:5" x14ac:dyDescent="0.55000000000000004">
      <c r="B321">
        <v>259</v>
      </c>
      <c r="C321" s="27">
        <v>124.03726657930189</v>
      </c>
      <c r="D321">
        <f t="shared" si="5"/>
        <v>259</v>
      </c>
      <c r="E321" s="27">
        <v>30.533307843464485</v>
      </c>
    </row>
    <row r="322" spans="2:5" x14ac:dyDescent="0.55000000000000004">
      <c r="B322">
        <v>260</v>
      </c>
      <c r="C322" s="27">
        <v>-113.9068391040083</v>
      </c>
      <c r="D322">
        <f t="shared" si="5"/>
        <v>260</v>
      </c>
      <c r="E322" s="27">
        <v>76.058833311568037</v>
      </c>
    </row>
    <row r="323" spans="2:5" x14ac:dyDescent="0.55000000000000004">
      <c r="B323">
        <v>261</v>
      </c>
      <c r="C323" s="27">
        <v>-20.750648018934818</v>
      </c>
      <c r="D323">
        <f t="shared" si="5"/>
        <v>261</v>
      </c>
      <c r="E323" s="27">
        <v>-84.132558654328875</v>
      </c>
    </row>
    <row r="324" spans="2:5" x14ac:dyDescent="0.55000000000000004">
      <c r="B324">
        <v>262</v>
      </c>
      <c r="C324" s="27">
        <v>-66.007123550082866</v>
      </c>
      <c r="D324">
        <f t="shared" si="5"/>
        <v>262</v>
      </c>
      <c r="E324" s="27">
        <v>-177.57724433996239</v>
      </c>
    </row>
    <row r="325" spans="2:5" x14ac:dyDescent="0.55000000000000004">
      <c r="B325">
        <v>263</v>
      </c>
      <c r="C325" s="27">
        <v>187.94010929620828</v>
      </c>
      <c r="D325">
        <f t="shared" si="5"/>
        <v>263</v>
      </c>
      <c r="E325" s="27">
        <v>137.70299932289663</v>
      </c>
    </row>
    <row r="326" spans="2:5" x14ac:dyDescent="0.55000000000000004">
      <c r="B326">
        <v>264</v>
      </c>
      <c r="C326" s="27">
        <v>-105.51709472551516</v>
      </c>
      <c r="D326">
        <f t="shared" si="5"/>
        <v>264</v>
      </c>
      <c r="E326" s="27">
        <v>263.84144098755843</v>
      </c>
    </row>
    <row r="327" spans="2:5" x14ac:dyDescent="0.55000000000000004">
      <c r="B327">
        <v>265</v>
      </c>
      <c r="C327" s="27">
        <v>138.73299738759837</v>
      </c>
      <c r="D327">
        <f t="shared" si="5"/>
        <v>265</v>
      </c>
      <c r="E327" s="27">
        <v>-167.47255980093675</v>
      </c>
    </row>
    <row r="328" spans="2:5" x14ac:dyDescent="0.55000000000000004">
      <c r="B328">
        <v>266</v>
      </c>
      <c r="C328" s="27">
        <v>-127.8775699839215</v>
      </c>
      <c r="D328">
        <f t="shared" si="5"/>
        <v>266</v>
      </c>
      <c r="E328" s="27">
        <v>106.70836983443129</v>
      </c>
    </row>
    <row r="329" spans="2:5" x14ac:dyDescent="0.55000000000000004">
      <c r="B329">
        <v>267</v>
      </c>
      <c r="C329" s="27">
        <v>-142.28810184583818</v>
      </c>
      <c r="D329">
        <f t="shared" si="5"/>
        <v>267</v>
      </c>
      <c r="E329" s="27">
        <v>-207.14572415300816</v>
      </c>
    </row>
    <row r="330" spans="2:5" x14ac:dyDescent="0.55000000000000004">
      <c r="B330">
        <v>268</v>
      </c>
      <c r="C330" s="27">
        <v>-63.607878152654393</v>
      </c>
      <c r="D330">
        <f t="shared" si="5"/>
        <v>268</v>
      </c>
      <c r="E330" s="27">
        <v>-69.702251743012539</v>
      </c>
    </row>
    <row r="331" spans="2:5" x14ac:dyDescent="0.55000000000000004">
      <c r="B331">
        <v>269</v>
      </c>
      <c r="C331" s="27">
        <v>-123.08659956802444</v>
      </c>
      <c r="D331">
        <f t="shared" si="5"/>
        <v>269</v>
      </c>
      <c r="E331" s="27">
        <v>-95.430485276998553</v>
      </c>
    </row>
    <row r="332" spans="2:5" x14ac:dyDescent="0.55000000000000004">
      <c r="B332">
        <v>270</v>
      </c>
      <c r="C332" s="27">
        <v>-14.881184861208606</v>
      </c>
      <c r="D332">
        <f t="shared" si="5"/>
        <v>270</v>
      </c>
      <c r="E332" s="27">
        <v>-140.51184210082047</v>
      </c>
    </row>
    <row r="333" spans="2:5" x14ac:dyDescent="0.55000000000000004">
      <c r="B333">
        <v>271</v>
      </c>
      <c r="C333" s="27">
        <v>253.98377737039388</v>
      </c>
      <c r="D333">
        <f t="shared" si="5"/>
        <v>271</v>
      </c>
      <c r="E333" s="27">
        <v>-35.618923756781726</v>
      </c>
    </row>
    <row r="334" spans="2:5" x14ac:dyDescent="0.55000000000000004">
      <c r="B334">
        <v>272</v>
      </c>
      <c r="C334" s="27">
        <v>65.940980416100643</v>
      </c>
      <c r="D334">
        <f t="shared" si="5"/>
        <v>272</v>
      </c>
      <c r="E334" s="27">
        <v>-235.60855616333811</v>
      </c>
    </row>
    <row r="335" spans="2:5" x14ac:dyDescent="0.55000000000000004">
      <c r="B335">
        <v>273</v>
      </c>
      <c r="C335" s="27">
        <v>-129.78257579360837</v>
      </c>
      <c r="D335">
        <f t="shared" si="5"/>
        <v>273</v>
      </c>
      <c r="E335" s="27">
        <v>-21.107235378518823</v>
      </c>
    </row>
    <row r="336" spans="2:5" x14ac:dyDescent="0.55000000000000004">
      <c r="B336">
        <v>274</v>
      </c>
      <c r="C336" s="27">
        <v>-372.0717920200409</v>
      </c>
      <c r="D336">
        <f t="shared" si="5"/>
        <v>274</v>
      </c>
      <c r="E336" s="27">
        <v>-167.84516378302672</v>
      </c>
    </row>
    <row r="337" spans="2:5" x14ac:dyDescent="0.55000000000000004">
      <c r="B337">
        <v>275</v>
      </c>
      <c r="C337" s="27">
        <v>-203.6370596237085</v>
      </c>
      <c r="D337">
        <f t="shared" si="5"/>
        <v>275</v>
      </c>
      <c r="E337" s="27">
        <v>-148.90913280368454</v>
      </c>
    </row>
    <row r="338" spans="2:5" x14ac:dyDescent="0.55000000000000004">
      <c r="B338">
        <v>276</v>
      </c>
      <c r="C338" s="27">
        <v>-32.019795732764834</v>
      </c>
      <c r="D338">
        <f t="shared" si="5"/>
        <v>276</v>
      </c>
      <c r="E338" s="27">
        <v>81.638469757963037</v>
      </c>
    </row>
    <row r="339" spans="2:5" x14ac:dyDescent="0.55000000000000004">
      <c r="B339">
        <v>277</v>
      </c>
      <c r="C339" s="27">
        <v>-122.42095610467058</v>
      </c>
      <c r="D339">
        <f t="shared" ref="D339:D402" si="6">B339</f>
        <v>277</v>
      </c>
      <c r="E339" s="27">
        <v>-376.08664849516072</v>
      </c>
    </row>
    <row r="340" spans="2:5" x14ac:dyDescent="0.55000000000000004">
      <c r="B340">
        <v>278</v>
      </c>
      <c r="C340" s="27">
        <v>-213.66230723274492</v>
      </c>
      <c r="D340">
        <f t="shared" si="6"/>
        <v>278</v>
      </c>
      <c r="E340" s="27">
        <v>-146.27592243749314</v>
      </c>
    </row>
    <row r="341" spans="2:5" x14ac:dyDescent="0.55000000000000004">
      <c r="B341">
        <v>279</v>
      </c>
      <c r="C341" s="27">
        <v>89.817555625989186</v>
      </c>
      <c r="D341">
        <f t="shared" si="6"/>
        <v>279</v>
      </c>
      <c r="E341" s="27">
        <v>-134.46745668983328</v>
      </c>
    </row>
    <row r="342" spans="2:5" x14ac:dyDescent="0.55000000000000004">
      <c r="B342">
        <v>280</v>
      </c>
      <c r="C342" s="27">
        <v>-32.139615516162898</v>
      </c>
      <c r="D342">
        <f t="shared" si="6"/>
        <v>280</v>
      </c>
      <c r="E342" s="27">
        <v>-112.6786653868397</v>
      </c>
    </row>
    <row r="343" spans="2:5" x14ac:dyDescent="0.55000000000000004">
      <c r="B343">
        <v>281</v>
      </c>
      <c r="C343" s="27">
        <v>-52.101121253315469</v>
      </c>
      <c r="D343">
        <f t="shared" si="6"/>
        <v>281</v>
      </c>
      <c r="E343" s="27">
        <v>-232.13599228498521</v>
      </c>
    </row>
    <row r="344" spans="2:5" x14ac:dyDescent="0.55000000000000004">
      <c r="B344">
        <v>282</v>
      </c>
      <c r="C344" s="27">
        <v>-189.49256835006346</v>
      </c>
      <c r="D344">
        <f t="shared" si="6"/>
        <v>282</v>
      </c>
      <c r="E344" s="27">
        <v>-157.14442635904703</v>
      </c>
    </row>
    <row r="345" spans="2:5" x14ac:dyDescent="0.55000000000000004">
      <c r="B345">
        <v>283</v>
      </c>
      <c r="C345" s="27">
        <v>282.92830619476604</v>
      </c>
      <c r="D345">
        <f t="shared" si="6"/>
        <v>283</v>
      </c>
      <c r="E345" s="27">
        <v>-112.39225643129319</v>
      </c>
    </row>
    <row r="346" spans="2:5" x14ac:dyDescent="0.55000000000000004">
      <c r="B346">
        <v>284</v>
      </c>
      <c r="C346" s="27">
        <v>-92.31367575888865</v>
      </c>
      <c r="D346">
        <f t="shared" si="6"/>
        <v>284</v>
      </c>
      <c r="E346" s="27">
        <v>-13.962082537899704</v>
      </c>
    </row>
    <row r="347" spans="2:5" x14ac:dyDescent="0.55000000000000004">
      <c r="B347">
        <v>285</v>
      </c>
      <c r="C347" s="27">
        <v>368.87614434943976</v>
      </c>
      <c r="D347">
        <f t="shared" si="6"/>
        <v>285</v>
      </c>
      <c r="E347" s="27">
        <v>-65.29359257693568</v>
      </c>
    </row>
    <row r="348" spans="2:5" x14ac:dyDescent="0.55000000000000004">
      <c r="B348">
        <v>286</v>
      </c>
      <c r="C348" s="27">
        <v>-39.032263554802633</v>
      </c>
      <c r="D348">
        <f t="shared" si="6"/>
        <v>286</v>
      </c>
      <c r="E348" s="27">
        <v>-239.14505282406353</v>
      </c>
    </row>
    <row r="349" spans="2:5" x14ac:dyDescent="0.55000000000000004">
      <c r="B349">
        <v>287</v>
      </c>
      <c r="C349" s="27">
        <v>-207.54436672866066</v>
      </c>
      <c r="D349">
        <f t="shared" si="6"/>
        <v>287</v>
      </c>
      <c r="E349" s="27">
        <v>-178.08012360185407</v>
      </c>
    </row>
    <row r="350" spans="2:5" x14ac:dyDescent="0.55000000000000004">
      <c r="B350">
        <v>288</v>
      </c>
      <c r="C350" s="27">
        <v>227.48031717597763</v>
      </c>
      <c r="D350">
        <f t="shared" si="6"/>
        <v>288</v>
      </c>
      <c r="E350" s="27">
        <v>-278.19451230608769</v>
      </c>
    </row>
    <row r="351" spans="2:5" x14ac:dyDescent="0.55000000000000004">
      <c r="B351">
        <v>289</v>
      </c>
      <c r="C351" s="27">
        <v>-54.889176007541877</v>
      </c>
      <c r="D351">
        <f t="shared" si="6"/>
        <v>289</v>
      </c>
      <c r="E351" s="27">
        <v>105.51619230806193</v>
      </c>
    </row>
    <row r="352" spans="2:5" x14ac:dyDescent="0.55000000000000004">
      <c r="B352">
        <v>290</v>
      </c>
      <c r="C352" s="27">
        <v>-137.67392854157447</v>
      </c>
      <c r="D352">
        <f t="shared" si="6"/>
        <v>290</v>
      </c>
      <c r="E352" s="27">
        <v>-182.7082775836069</v>
      </c>
    </row>
    <row r="353" spans="2:5" x14ac:dyDescent="0.55000000000000004">
      <c r="B353">
        <v>291</v>
      </c>
      <c r="C353" s="27">
        <v>-284.78915910067519</v>
      </c>
      <c r="D353">
        <f t="shared" si="6"/>
        <v>291</v>
      </c>
      <c r="E353" s="27">
        <v>-54.617528393691373</v>
      </c>
    </row>
    <row r="354" spans="2:5" x14ac:dyDescent="0.55000000000000004">
      <c r="B354">
        <v>292</v>
      </c>
      <c r="C354" s="27">
        <v>194.71561922539743</v>
      </c>
      <c r="D354">
        <f t="shared" si="6"/>
        <v>292</v>
      </c>
      <c r="E354" s="27">
        <v>-213.11256986325304</v>
      </c>
    </row>
    <row r="355" spans="2:5" x14ac:dyDescent="0.55000000000000004">
      <c r="B355">
        <v>293</v>
      </c>
      <c r="C355" s="27">
        <v>-132.2557440884585</v>
      </c>
      <c r="D355">
        <f t="shared" si="6"/>
        <v>293</v>
      </c>
      <c r="E355" s="27">
        <v>-282.25599605086086</v>
      </c>
    </row>
    <row r="356" spans="2:5" x14ac:dyDescent="0.55000000000000004">
      <c r="B356">
        <v>294</v>
      </c>
      <c r="C356" s="27">
        <v>211.95629534640054</v>
      </c>
      <c r="D356">
        <f t="shared" si="6"/>
        <v>294</v>
      </c>
      <c r="E356" s="27">
        <v>-178.14374599193198</v>
      </c>
    </row>
    <row r="357" spans="2:5" x14ac:dyDescent="0.55000000000000004">
      <c r="B357">
        <v>295</v>
      </c>
      <c r="C357" s="27">
        <v>-91.070356081825963</v>
      </c>
      <c r="D357">
        <f t="shared" si="6"/>
        <v>295</v>
      </c>
      <c r="E357" s="27">
        <v>-52.496310167193826</v>
      </c>
    </row>
    <row r="358" spans="2:5" x14ac:dyDescent="0.55000000000000004">
      <c r="B358">
        <v>296</v>
      </c>
      <c r="C358" s="27">
        <v>-163.53487307894937</v>
      </c>
      <c r="D358">
        <f t="shared" si="6"/>
        <v>296</v>
      </c>
      <c r="E358" s="27">
        <v>71.327136842622778</v>
      </c>
    </row>
    <row r="359" spans="2:5" x14ac:dyDescent="0.55000000000000004">
      <c r="B359">
        <v>297</v>
      </c>
      <c r="C359" s="27">
        <v>-186.83843780188144</v>
      </c>
      <c r="D359">
        <f t="shared" si="6"/>
        <v>297</v>
      </c>
      <c r="E359" s="27">
        <v>-95.468107707915834</v>
      </c>
    </row>
    <row r="360" spans="2:5" x14ac:dyDescent="0.55000000000000004">
      <c r="B360">
        <v>298</v>
      </c>
      <c r="C360" s="27">
        <v>238.14523691560134</v>
      </c>
      <c r="D360">
        <f t="shared" si="6"/>
        <v>298</v>
      </c>
      <c r="E360" s="27">
        <v>-3.9155268203083153</v>
      </c>
    </row>
    <row r="361" spans="2:5" x14ac:dyDescent="0.55000000000000004">
      <c r="B361">
        <v>299</v>
      </c>
      <c r="C361" s="27">
        <v>162.61522153149409</v>
      </c>
      <c r="D361">
        <f t="shared" si="6"/>
        <v>299</v>
      </c>
      <c r="E361" s="27">
        <v>213.51204112665428</v>
      </c>
    </row>
    <row r="362" spans="2:5" x14ac:dyDescent="0.55000000000000004">
      <c r="B362">
        <v>300</v>
      </c>
      <c r="C362" s="27">
        <v>-91.265299363393964</v>
      </c>
      <c r="D362">
        <f t="shared" si="6"/>
        <v>300</v>
      </c>
      <c r="E362" s="27">
        <v>76.231186128749272</v>
      </c>
    </row>
    <row r="363" spans="2:5" x14ac:dyDescent="0.55000000000000004">
      <c r="B363">
        <v>301</v>
      </c>
      <c r="C363" s="27">
        <v>-159.67929621725185</v>
      </c>
      <c r="D363">
        <f t="shared" si="6"/>
        <v>301</v>
      </c>
      <c r="E363" s="27">
        <v>-174.69690271960039</v>
      </c>
    </row>
    <row r="364" spans="2:5" x14ac:dyDescent="0.55000000000000004">
      <c r="B364">
        <v>302</v>
      </c>
      <c r="C364" s="27">
        <v>-182.60224278735492</v>
      </c>
      <c r="D364">
        <f t="shared" si="6"/>
        <v>302</v>
      </c>
      <c r="E364" s="27">
        <v>-95.587648124039674</v>
      </c>
    </row>
    <row r="365" spans="2:5" x14ac:dyDescent="0.55000000000000004">
      <c r="B365">
        <v>303</v>
      </c>
      <c r="C365" s="27">
        <v>-34.511673341590779</v>
      </c>
      <c r="D365">
        <f t="shared" si="6"/>
        <v>303</v>
      </c>
      <c r="E365" s="27">
        <v>-76.756729572928663</v>
      </c>
    </row>
    <row r="366" spans="2:5" x14ac:dyDescent="0.55000000000000004">
      <c r="B366">
        <v>304</v>
      </c>
      <c r="C366" s="27">
        <v>-128.33677910864748</v>
      </c>
      <c r="D366">
        <f t="shared" si="6"/>
        <v>304</v>
      </c>
      <c r="E366" s="27">
        <v>131.78321056507653</v>
      </c>
    </row>
    <row r="367" spans="2:5" x14ac:dyDescent="0.55000000000000004">
      <c r="B367">
        <v>305</v>
      </c>
      <c r="C367" s="27">
        <v>379.37729490677287</v>
      </c>
      <c r="D367">
        <f t="shared" si="6"/>
        <v>305</v>
      </c>
      <c r="E367" s="27">
        <v>-62.426910305829836</v>
      </c>
    </row>
    <row r="368" spans="2:5" x14ac:dyDescent="0.55000000000000004">
      <c r="B368">
        <v>306</v>
      </c>
      <c r="C368" s="27">
        <v>56.849926803483797</v>
      </c>
      <c r="D368">
        <f t="shared" si="6"/>
        <v>306</v>
      </c>
      <c r="E368" s="27">
        <v>28.860288022289552</v>
      </c>
    </row>
    <row r="369" spans="2:5" x14ac:dyDescent="0.55000000000000004">
      <c r="B369">
        <v>307</v>
      </c>
      <c r="C369" s="27">
        <v>65.911669238541634</v>
      </c>
      <c r="D369">
        <f t="shared" si="6"/>
        <v>307</v>
      </c>
      <c r="E369" s="27">
        <v>-83.60528211587399</v>
      </c>
    </row>
    <row r="370" spans="2:5" x14ac:dyDescent="0.55000000000000004">
      <c r="B370">
        <v>308</v>
      </c>
      <c r="C370" s="27">
        <v>-212.02406160126526</v>
      </c>
      <c r="D370">
        <f t="shared" si="6"/>
        <v>308</v>
      </c>
      <c r="E370" s="27">
        <v>1.1252357013156313</v>
      </c>
    </row>
    <row r="371" spans="2:5" x14ac:dyDescent="0.55000000000000004">
      <c r="B371">
        <v>309</v>
      </c>
      <c r="C371" s="27">
        <v>-66.131636734451405</v>
      </c>
      <c r="D371">
        <f t="shared" si="6"/>
        <v>309</v>
      </c>
      <c r="E371" s="27">
        <v>-336.87855798352564</v>
      </c>
    </row>
    <row r="372" spans="2:5" x14ac:dyDescent="0.55000000000000004">
      <c r="B372">
        <v>310</v>
      </c>
      <c r="C372" s="27">
        <v>62.984011886178436</v>
      </c>
      <c r="D372">
        <f t="shared" si="6"/>
        <v>310</v>
      </c>
      <c r="E372" s="27">
        <v>-84.734743144187348</v>
      </c>
    </row>
    <row r="373" spans="2:5" x14ac:dyDescent="0.55000000000000004">
      <c r="B373">
        <v>311</v>
      </c>
      <c r="C373" s="27">
        <v>-175.87539295881749</v>
      </c>
      <c r="D373">
        <f t="shared" si="6"/>
        <v>311</v>
      </c>
      <c r="E373" s="27">
        <v>-126.57293875072469</v>
      </c>
    </row>
    <row r="374" spans="2:5" x14ac:dyDescent="0.55000000000000004">
      <c r="B374">
        <v>312</v>
      </c>
      <c r="C374" s="27">
        <v>-71.843969846520082</v>
      </c>
      <c r="D374">
        <f t="shared" si="6"/>
        <v>312</v>
      </c>
      <c r="E374" s="27">
        <v>-86.500124466541052</v>
      </c>
    </row>
    <row r="375" spans="2:5" x14ac:dyDescent="0.55000000000000004">
      <c r="B375">
        <v>313</v>
      </c>
      <c r="C375" s="27">
        <v>-182.53653419086748</v>
      </c>
      <c r="D375">
        <f t="shared" si="6"/>
        <v>313</v>
      </c>
      <c r="E375" s="27">
        <v>-15.702094407373465</v>
      </c>
    </row>
    <row r="376" spans="2:5" x14ac:dyDescent="0.55000000000000004">
      <c r="B376">
        <v>314</v>
      </c>
      <c r="C376" s="27">
        <v>-19.270044877860951</v>
      </c>
      <c r="D376">
        <f t="shared" si="6"/>
        <v>314</v>
      </c>
      <c r="E376" s="27">
        <v>36.655091443942524</v>
      </c>
    </row>
    <row r="377" spans="2:5" x14ac:dyDescent="0.55000000000000004">
      <c r="B377">
        <v>315</v>
      </c>
      <c r="C377" s="27">
        <v>-100.15237425381808</v>
      </c>
      <c r="D377">
        <f t="shared" si="6"/>
        <v>315</v>
      </c>
      <c r="E377" s="27">
        <v>-57.463344393446647</v>
      </c>
    </row>
    <row r="378" spans="2:5" x14ac:dyDescent="0.55000000000000004">
      <c r="B378">
        <v>316</v>
      </c>
      <c r="C378" s="27">
        <v>47.511947618132929</v>
      </c>
      <c r="D378">
        <f t="shared" si="6"/>
        <v>316</v>
      </c>
      <c r="E378" s="27">
        <v>-182.65449747006986</v>
      </c>
    </row>
    <row r="379" spans="2:5" x14ac:dyDescent="0.55000000000000004">
      <c r="B379">
        <v>317</v>
      </c>
      <c r="C379" s="27">
        <v>-205.55647235266909</v>
      </c>
      <c r="D379">
        <f t="shared" si="6"/>
        <v>317</v>
      </c>
      <c r="E379" s="27">
        <v>-157.83308168839892</v>
      </c>
    </row>
    <row r="380" spans="2:5" x14ac:dyDescent="0.55000000000000004">
      <c r="B380">
        <v>318</v>
      </c>
      <c r="C380" s="27">
        <v>-81.289570434277437</v>
      </c>
      <c r="D380">
        <f t="shared" si="6"/>
        <v>318</v>
      </c>
      <c r="E380" s="27">
        <v>159.74694193188583</v>
      </c>
    </row>
    <row r="381" spans="2:5" x14ac:dyDescent="0.55000000000000004">
      <c r="B381">
        <v>319</v>
      </c>
      <c r="C381" s="27">
        <v>-77.672248546174472</v>
      </c>
      <c r="D381">
        <f t="shared" si="6"/>
        <v>319</v>
      </c>
      <c r="E381" s="27">
        <v>129.84234269434921</v>
      </c>
    </row>
    <row r="382" spans="2:5" x14ac:dyDescent="0.55000000000000004">
      <c r="B382">
        <v>320</v>
      </c>
      <c r="C382" s="27">
        <v>-62.098684784242515</v>
      </c>
      <c r="D382">
        <f t="shared" si="6"/>
        <v>320</v>
      </c>
      <c r="E382" s="27">
        <v>11.415632259703301</v>
      </c>
    </row>
    <row r="383" spans="2:5" x14ac:dyDescent="0.55000000000000004">
      <c r="B383">
        <v>321</v>
      </c>
      <c r="C383" s="27">
        <v>-33.365838409267752</v>
      </c>
      <c r="D383">
        <f t="shared" si="6"/>
        <v>321</v>
      </c>
      <c r="E383" s="27">
        <v>270.56650044911419</v>
      </c>
    </row>
    <row r="384" spans="2:5" x14ac:dyDescent="0.55000000000000004">
      <c r="B384">
        <v>322</v>
      </c>
      <c r="C384" s="27">
        <v>-53.487583837867341</v>
      </c>
      <c r="D384">
        <f t="shared" si="6"/>
        <v>322</v>
      </c>
      <c r="E384" s="27">
        <v>-206.85283513417264</v>
      </c>
    </row>
    <row r="385" spans="2:5" x14ac:dyDescent="0.55000000000000004">
      <c r="B385">
        <v>323</v>
      </c>
      <c r="C385" s="27">
        <v>27.252994241547093</v>
      </c>
      <c r="D385">
        <f t="shared" si="6"/>
        <v>323</v>
      </c>
      <c r="E385" s="27">
        <v>18.154985368159942</v>
      </c>
    </row>
    <row r="386" spans="2:5" x14ac:dyDescent="0.55000000000000004">
      <c r="B386">
        <v>324</v>
      </c>
      <c r="C386" s="27">
        <v>-34.695131397802577</v>
      </c>
      <c r="D386">
        <f t="shared" si="6"/>
        <v>324</v>
      </c>
      <c r="E386" s="27">
        <v>-258.64778652312236</v>
      </c>
    </row>
    <row r="387" spans="2:5" x14ac:dyDescent="0.55000000000000004">
      <c r="B387">
        <v>325</v>
      </c>
      <c r="C387" s="27">
        <v>231.25774846446774</v>
      </c>
      <c r="D387">
        <f t="shared" si="6"/>
        <v>325</v>
      </c>
      <c r="E387" s="27">
        <v>-72.23667046433593</v>
      </c>
    </row>
    <row r="388" spans="2:5" x14ac:dyDescent="0.55000000000000004">
      <c r="B388">
        <v>326</v>
      </c>
      <c r="C388" s="27">
        <v>153.86187761320937</v>
      </c>
      <c r="D388">
        <f t="shared" si="6"/>
        <v>326</v>
      </c>
      <c r="E388" s="27">
        <v>-70.373122133574412</v>
      </c>
    </row>
    <row r="389" spans="2:5" x14ac:dyDescent="0.55000000000000004">
      <c r="B389">
        <v>327</v>
      </c>
      <c r="C389" s="27">
        <v>330.94608587726447</v>
      </c>
      <c r="D389">
        <f t="shared" si="6"/>
        <v>327</v>
      </c>
      <c r="E389" s="27">
        <v>-130.94395109358857</v>
      </c>
    </row>
    <row r="390" spans="2:5" x14ac:dyDescent="0.55000000000000004">
      <c r="B390">
        <v>328</v>
      </c>
      <c r="C390" s="27">
        <v>134.87685004405782</v>
      </c>
      <c r="D390">
        <f t="shared" si="6"/>
        <v>328</v>
      </c>
      <c r="E390" s="27">
        <v>-100.79130334304617</v>
      </c>
    </row>
    <row r="391" spans="2:5" x14ac:dyDescent="0.55000000000000004">
      <c r="B391">
        <v>329</v>
      </c>
      <c r="C391" s="27">
        <v>-98.743447870950803</v>
      </c>
      <c r="D391">
        <f t="shared" si="6"/>
        <v>329</v>
      </c>
      <c r="E391" s="27">
        <v>-96.589732164206339</v>
      </c>
    </row>
    <row r="392" spans="2:5" x14ac:dyDescent="0.55000000000000004">
      <c r="B392">
        <v>330</v>
      </c>
      <c r="C392" s="27">
        <v>-142.82050271416938</v>
      </c>
      <c r="D392">
        <f t="shared" si="6"/>
        <v>330</v>
      </c>
      <c r="E392" s="27">
        <v>-321.30963322240888</v>
      </c>
    </row>
    <row r="393" spans="2:5" x14ac:dyDescent="0.55000000000000004">
      <c r="B393">
        <v>331</v>
      </c>
      <c r="C393" s="27">
        <v>71.568176572907433</v>
      </c>
      <c r="D393">
        <f t="shared" si="6"/>
        <v>331</v>
      </c>
      <c r="E393" s="27">
        <v>88.715491379977337</v>
      </c>
    </row>
    <row r="394" spans="2:5" x14ac:dyDescent="0.55000000000000004">
      <c r="B394">
        <v>332</v>
      </c>
      <c r="C394" s="27">
        <v>-28.704179701097047</v>
      </c>
      <c r="D394">
        <f t="shared" si="6"/>
        <v>332</v>
      </c>
      <c r="E394" s="27">
        <v>-177.40564568837237</v>
      </c>
    </row>
    <row r="395" spans="2:5" x14ac:dyDescent="0.55000000000000004">
      <c r="B395">
        <v>333</v>
      </c>
      <c r="C395" s="27">
        <v>171.93998477791979</v>
      </c>
      <c r="D395">
        <f t="shared" si="6"/>
        <v>333</v>
      </c>
      <c r="E395" s="27">
        <v>-106.10991181148381</v>
      </c>
    </row>
    <row r="396" spans="2:5" x14ac:dyDescent="0.55000000000000004">
      <c r="B396">
        <v>334</v>
      </c>
      <c r="C396" s="27">
        <v>-86.795102896319946</v>
      </c>
      <c r="D396">
        <f t="shared" si="6"/>
        <v>334</v>
      </c>
      <c r="E396" s="27">
        <v>-24.898862696033177</v>
      </c>
    </row>
    <row r="397" spans="2:5" x14ac:dyDescent="0.55000000000000004">
      <c r="B397">
        <v>335</v>
      </c>
      <c r="C397" s="27">
        <v>-92.690314047086332</v>
      </c>
      <c r="D397">
        <f t="shared" si="6"/>
        <v>335</v>
      </c>
      <c r="E397" s="27">
        <v>-191.11227030789189</v>
      </c>
    </row>
    <row r="398" spans="2:5" x14ac:dyDescent="0.55000000000000004">
      <c r="B398">
        <v>336</v>
      </c>
      <c r="C398" s="27">
        <v>-398.58025219775601</v>
      </c>
      <c r="D398">
        <f t="shared" si="6"/>
        <v>336</v>
      </c>
      <c r="E398" s="27">
        <v>-68.466304754424783</v>
      </c>
    </row>
    <row r="399" spans="2:5" x14ac:dyDescent="0.55000000000000004">
      <c r="B399">
        <v>337</v>
      </c>
      <c r="C399" s="27">
        <v>-32.506702025684632</v>
      </c>
      <c r="D399">
        <f t="shared" si="6"/>
        <v>337</v>
      </c>
      <c r="E399" s="27">
        <v>-126.42943516931456</v>
      </c>
    </row>
    <row r="400" spans="2:5" x14ac:dyDescent="0.55000000000000004">
      <c r="B400">
        <v>338</v>
      </c>
      <c r="C400" s="27">
        <v>-154.02746787073576</v>
      </c>
      <c r="D400">
        <f t="shared" si="6"/>
        <v>338</v>
      </c>
      <c r="E400" s="27">
        <v>-306.11695061966032</v>
      </c>
    </row>
    <row r="401" spans="2:5" x14ac:dyDescent="0.55000000000000004">
      <c r="B401">
        <v>339</v>
      </c>
      <c r="C401" s="27">
        <v>-12.011548127560921</v>
      </c>
      <c r="D401">
        <f t="shared" si="6"/>
        <v>339</v>
      </c>
      <c r="E401" s="27">
        <v>-2.2515923467143182</v>
      </c>
    </row>
    <row r="402" spans="2:5" x14ac:dyDescent="0.55000000000000004">
      <c r="B402">
        <v>340</v>
      </c>
      <c r="C402" s="27">
        <v>50.32593686573027</v>
      </c>
      <c r="D402">
        <f t="shared" si="6"/>
        <v>340</v>
      </c>
      <c r="E402" s="27">
        <v>-102.2937699018093</v>
      </c>
    </row>
    <row r="403" spans="2:5" x14ac:dyDescent="0.55000000000000004">
      <c r="B403">
        <v>341</v>
      </c>
      <c r="C403" s="27">
        <v>61.806479237265577</v>
      </c>
      <c r="D403">
        <f t="shared" ref="D403:D466" si="7">B403</f>
        <v>341</v>
      </c>
      <c r="E403" s="27">
        <v>-116.52047417901491</v>
      </c>
    </row>
    <row r="404" spans="2:5" x14ac:dyDescent="0.55000000000000004">
      <c r="B404">
        <v>342</v>
      </c>
      <c r="C404" s="27">
        <v>-296.5592308727247</v>
      </c>
      <c r="D404">
        <f t="shared" si="7"/>
        <v>342</v>
      </c>
      <c r="E404" s="27">
        <v>-120.69690447383852</v>
      </c>
    </row>
    <row r="405" spans="2:5" x14ac:dyDescent="0.55000000000000004">
      <c r="B405">
        <v>343</v>
      </c>
      <c r="C405" s="27">
        <v>-153.39236089396269</v>
      </c>
      <c r="D405">
        <f t="shared" si="7"/>
        <v>343</v>
      </c>
      <c r="E405" s="27">
        <v>-57.629736981590156</v>
      </c>
    </row>
    <row r="406" spans="2:5" x14ac:dyDescent="0.55000000000000004">
      <c r="B406">
        <v>344</v>
      </c>
      <c r="C406" s="27">
        <v>-219.1120770225273</v>
      </c>
      <c r="D406">
        <f t="shared" si="7"/>
        <v>344</v>
      </c>
      <c r="E406" s="27">
        <v>-213.89113719663504</v>
      </c>
    </row>
    <row r="407" spans="2:5" x14ac:dyDescent="0.55000000000000004">
      <c r="B407">
        <v>345</v>
      </c>
      <c r="C407" s="27">
        <v>-103.71283544286712</v>
      </c>
      <c r="D407">
        <f t="shared" si="7"/>
        <v>345</v>
      </c>
      <c r="E407" s="27">
        <v>-196.25408380775846</v>
      </c>
    </row>
    <row r="408" spans="2:5" x14ac:dyDescent="0.55000000000000004">
      <c r="B408">
        <v>346</v>
      </c>
      <c r="C408" s="27">
        <v>-235.01979986233204</v>
      </c>
      <c r="D408">
        <f t="shared" si="7"/>
        <v>346</v>
      </c>
      <c r="E408" s="27">
        <v>-218.12705854344202</v>
      </c>
    </row>
    <row r="409" spans="2:5" x14ac:dyDescent="0.55000000000000004">
      <c r="B409">
        <v>347</v>
      </c>
      <c r="C409" s="27">
        <v>20.036934417512228</v>
      </c>
      <c r="D409">
        <f t="shared" si="7"/>
        <v>347</v>
      </c>
      <c r="E409" s="27">
        <v>-140.06107393477561</v>
      </c>
    </row>
    <row r="410" spans="2:5" x14ac:dyDescent="0.55000000000000004">
      <c r="B410">
        <v>348</v>
      </c>
      <c r="C410" s="27">
        <v>-47.864527124018416</v>
      </c>
      <c r="D410">
        <f t="shared" si="7"/>
        <v>348</v>
      </c>
      <c r="E410" s="27">
        <v>-54.00150122897881</v>
      </c>
    </row>
    <row r="411" spans="2:5" x14ac:dyDescent="0.55000000000000004">
      <c r="B411">
        <v>349</v>
      </c>
      <c r="C411" s="27">
        <v>-93.989746971896054</v>
      </c>
      <c r="D411">
        <f t="shared" si="7"/>
        <v>349</v>
      </c>
      <c r="E411" s="27">
        <v>75.196711402480076</v>
      </c>
    </row>
    <row r="412" spans="2:5" x14ac:dyDescent="0.55000000000000004">
      <c r="B412">
        <v>350</v>
      </c>
      <c r="C412" s="27">
        <v>-166.2933391355084</v>
      </c>
      <c r="D412">
        <f t="shared" si="7"/>
        <v>350</v>
      </c>
      <c r="E412" s="27">
        <v>-384.41485432721817</v>
      </c>
    </row>
    <row r="413" spans="2:5" x14ac:dyDescent="0.55000000000000004">
      <c r="B413">
        <v>351</v>
      </c>
      <c r="C413" s="27">
        <v>114.18224433862542</v>
      </c>
      <c r="D413">
        <f t="shared" si="7"/>
        <v>351</v>
      </c>
      <c r="E413" s="27">
        <v>25.024867943854844</v>
      </c>
    </row>
    <row r="414" spans="2:5" x14ac:dyDescent="0.55000000000000004">
      <c r="B414">
        <v>352</v>
      </c>
      <c r="C414" s="27">
        <v>36.557478780204818</v>
      </c>
      <c r="D414">
        <f t="shared" si="7"/>
        <v>352</v>
      </c>
      <c r="E414" s="27">
        <v>-217.72156561049457</v>
      </c>
    </row>
    <row r="415" spans="2:5" x14ac:dyDescent="0.55000000000000004">
      <c r="B415">
        <v>353</v>
      </c>
      <c r="C415" s="27">
        <v>302.56698613885504</v>
      </c>
      <c r="D415">
        <f t="shared" si="7"/>
        <v>353</v>
      </c>
      <c r="E415" s="27">
        <v>-133.0725229557423</v>
      </c>
    </row>
    <row r="416" spans="2:5" x14ac:dyDescent="0.55000000000000004">
      <c r="B416">
        <v>354</v>
      </c>
      <c r="C416" s="27">
        <v>26.222088186791069</v>
      </c>
      <c r="D416">
        <f t="shared" si="7"/>
        <v>354</v>
      </c>
      <c r="E416" s="27">
        <v>-215.24297262255601</v>
      </c>
    </row>
    <row r="417" spans="2:5" x14ac:dyDescent="0.55000000000000004">
      <c r="B417">
        <v>355</v>
      </c>
      <c r="C417" s="27">
        <v>8.9094527659715546</v>
      </c>
      <c r="D417">
        <f t="shared" si="7"/>
        <v>355</v>
      </c>
      <c r="E417" s="27">
        <v>-62.995026803332479</v>
      </c>
    </row>
    <row r="418" spans="2:5" x14ac:dyDescent="0.55000000000000004">
      <c r="B418">
        <v>356</v>
      </c>
      <c r="C418" s="27">
        <v>-120.68352126780931</v>
      </c>
      <c r="D418">
        <f t="shared" si="7"/>
        <v>356</v>
      </c>
      <c r="E418" s="27">
        <v>-295.47895687713623</v>
      </c>
    </row>
    <row r="419" spans="2:5" x14ac:dyDescent="0.55000000000000004">
      <c r="B419">
        <v>357</v>
      </c>
      <c r="C419" s="27">
        <v>12.912884357037129</v>
      </c>
      <c r="D419">
        <f t="shared" si="7"/>
        <v>357</v>
      </c>
      <c r="E419" s="27">
        <v>-119.16436452183748</v>
      </c>
    </row>
    <row r="420" spans="2:5" x14ac:dyDescent="0.55000000000000004">
      <c r="B420">
        <v>358</v>
      </c>
      <c r="C420" s="27">
        <v>-126.45089272720941</v>
      </c>
      <c r="D420">
        <f t="shared" si="7"/>
        <v>358</v>
      </c>
      <c r="E420" s="27">
        <v>-284.79604969587132</v>
      </c>
    </row>
    <row r="421" spans="2:5" x14ac:dyDescent="0.55000000000000004">
      <c r="B421">
        <v>359</v>
      </c>
      <c r="C421" s="27">
        <v>-182.03858580433808</v>
      </c>
      <c r="D421">
        <f t="shared" si="7"/>
        <v>359</v>
      </c>
      <c r="E421" s="27">
        <v>7.1692154209831358</v>
      </c>
    </row>
    <row r="422" spans="2:5" x14ac:dyDescent="0.55000000000000004">
      <c r="B422">
        <v>360</v>
      </c>
      <c r="C422" s="27">
        <v>-85.027018706130903</v>
      </c>
      <c r="D422">
        <f t="shared" si="7"/>
        <v>360</v>
      </c>
      <c r="E422" s="27">
        <v>-167.75311912584226</v>
      </c>
    </row>
    <row r="423" spans="2:5" x14ac:dyDescent="0.55000000000000004">
      <c r="B423">
        <v>361</v>
      </c>
      <c r="C423" s="27">
        <v>-101.35497906787188</v>
      </c>
      <c r="D423">
        <f t="shared" si="7"/>
        <v>361</v>
      </c>
      <c r="E423" s="27">
        <v>-118.86265254430444</v>
      </c>
    </row>
    <row r="424" spans="2:5" x14ac:dyDescent="0.55000000000000004">
      <c r="B424">
        <v>362</v>
      </c>
      <c r="C424" s="27">
        <v>50.931397853263995</v>
      </c>
      <c r="D424">
        <f t="shared" si="7"/>
        <v>362</v>
      </c>
      <c r="E424" s="27">
        <v>-300.652488619113</v>
      </c>
    </row>
    <row r="425" spans="2:5" x14ac:dyDescent="0.55000000000000004">
      <c r="B425">
        <v>363</v>
      </c>
      <c r="C425" s="27">
        <v>133.32705621457637</v>
      </c>
      <c r="D425">
        <f t="shared" si="7"/>
        <v>363</v>
      </c>
      <c r="E425" s="27">
        <v>-152.12996222251695</v>
      </c>
    </row>
    <row r="426" spans="2:5" x14ac:dyDescent="0.55000000000000004">
      <c r="B426">
        <v>364</v>
      </c>
      <c r="C426" s="27">
        <v>51.274726858093459</v>
      </c>
      <c r="D426">
        <f t="shared" si="7"/>
        <v>364</v>
      </c>
      <c r="E426" s="27">
        <v>-193.87737486473563</v>
      </c>
    </row>
    <row r="427" spans="2:5" x14ac:dyDescent="0.55000000000000004">
      <c r="B427">
        <v>365</v>
      </c>
      <c r="C427" s="27">
        <v>150.49905107774123</v>
      </c>
      <c r="D427">
        <f t="shared" si="7"/>
        <v>365</v>
      </c>
      <c r="E427" s="27">
        <v>-71.366960195781445</v>
      </c>
    </row>
    <row r="428" spans="2:5" x14ac:dyDescent="0.55000000000000004">
      <c r="B428">
        <v>366</v>
      </c>
      <c r="C428" s="27">
        <v>87.859730495412663</v>
      </c>
      <c r="D428">
        <f t="shared" si="7"/>
        <v>366</v>
      </c>
      <c r="E428" s="27">
        <v>-167.45598636674231</v>
      </c>
    </row>
    <row r="429" spans="2:5" x14ac:dyDescent="0.55000000000000004">
      <c r="B429">
        <v>367</v>
      </c>
      <c r="C429" s="27">
        <v>194.93091391169261</v>
      </c>
      <c r="D429">
        <f t="shared" si="7"/>
        <v>367</v>
      </c>
      <c r="E429" s="27">
        <v>-258.84525423593539</v>
      </c>
    </row>
    <row r="430" spans="2:5" x14ac:dyDescent="0.55000000000000004">
      <c r="B430">
        <v>368</v>
      </c>
      <c r="C430" s="27">
        <v>-281.74832481588669</v>
      </c>
      <c r="D430">
        <f t="shared" si="7"/>
        <v>368</v>
      </c>
      <c r="E430" s="27">
        <v>-263.79025555536907</v>
      </c>
    </row>
    <row r="431" spans="2:5" x14ac:dyDescent="0.55000000000000004">
      <c r="B431">
        <v>369</v>
      </c>
      <c r="C431" s="27">
        <v>21.449486769487091</v>
      </c>
      <c r="D431">
        <f t="shared" si="7"/>
        <v>369</v>
      </c>
      <c r="E431" s="27">
        <v>-69.019343679728223</v>
      </c>
    </row>
    <row r="432" spans="2:5" x14ac:dyDescent="0.55000000000000004">
      <c r="B432">
        <v>370</v>
      </c>
      <c r="C432" s="27">
        <v>-213.41247014498992</v>
      </c>
      <c r="D432">
        <f t="shared" si="7"/>
        <v>370</v>
      </c>
      <c r="E432" s="27">
        <v>-39.032083445741819</v>
      </c>
    </row>
    <row r="433" spans="2:5" x14ac:dyDescent="0.55000000000000004">
      <c r="B433">
        <v>371</v>
      </c>
      <c r="C433" s="27">
        <v>-124.89747721206288</v>
      </c>
      <c r="D433">
        <f t="shared" si="7"/>
        <v>371</v>
      </c>
      <c r="E433" s="27">
        <v>-102.24840858026576</v>
      </c>
    </row>
    <row r="434" spans="2:5" x14ac:dyDescent="0.55000000000000004">
      <c r="B434">
        <v>372</v>
      </c>
      <c r="C434" s="27">
        <v>108.64934980494331</v>
      </c>
      <c r="D434">
        <f t="shared" si="7"/>
        <v>372</v>
      </c>
      <c r="E434" s="27">
        <v>-21.475609015304656</v>
      </c>
    </row>
    <row r="435" spans="2:5" x14ac:dyDescent="0.55000000000000004">
      <c r="B435">
        <v>373</v>
      </c>
      <c r="C435" s="27">
        <v>-219.44239589939497</v>
      </c>
      <c r="D435">
        <f t="shared" si="7"/>
        <v>373</v>
      </c>
      <c r="E435" s="27">
        <v>-54.912930208878493</v>
      </c>
    </row>
    <row r="436" spans="2:5" x14ac:dyDescent="0.55000000000000004">
      <c r="B436">
        <v>374</v>
      </c>
      <c r="C436" s="27">
        <v>-201.68369355763625</v>
      </c>
      <c r="D436">
        <f t="shared" si="7"/>
        <v>374</v>
      </c>
      <c r="E436" s="27">
        <v>-241.28630339566499</v>
      </c>
    </row>
    <row r="437" spans="2:5" x14ac:dyDescent="0.55000000000000004">
      <c r="B437">
        <v>375</v>
      </c>
      <c r="C437" s="27">
        <v>0.35892768117815166</v>
      </c>
      <c r="D437">
        <f t="shared" si="7"/>
        <v>375</v>
      </c>
      <c r="E437" s="27">
        <v>-231.92789861917316</v>
      </c>
    </row>
    <row r="438" spans="2:5" x14ac:dyDescent="0.55000000000000004">
      <c r="B438">
        <v>376</v>
      </c>
      <c r="C438" s="27">
        <v>-164.97632778429499</v>
      </c>
      <c r="D438">
        <f t="shared" si="7"/>
        <v>376</v>
      </c>
      <c r="E438" s="27">
        <v>37.831985520262435</v>
      </c>
    </row>
    <row r="439" spans="2:5" x14ac:dyDescent="0.55000000000000004">
      <c r="B439">
        <v>377</v>
      </c>
      <c r="C439" s="27">
        <v>223.82480645694696</v>
      </c>
      <c r="D439">
        <f t="shared" si="7"/>
        <v>377</v>
      </c>
      <c r="E439" s="27">
        <v>-134.19772742554912</v>
      </c>
    </row>
    <row r="440" spans="2:5" x14ac:dyDescent="0.55000000000000004">
      <c r="B440">
        <v>378</v>
      </c>
      <c r="C440" s="27">
        <v>176.38143944099954</v>
      </c>
      <c r="D440">
        <f t="shared" si="7"/>
        <v>378</v>
      </c>
      <c r="E440" s="27">
        <v>-47.577119166944726</v>
      </c>
    </row>
    <row r="441" spans="2:5" x14ac:dyDescent="0.55000000000000004">
      <c r="B441">
        <v>379</v>
      </c>
      <c r="C441" s="27">
        <v>94.981786079641807</v>
      </c>
      <c r="D441">
        <f t="shared" si="7"/>
        <v>379</v>
      </c>
      <c r="E441" s="27">
        <v>-45.499265598004044</v>
      </c>
    </row>
    <row r="442" spans="2:5" x14ac:dyDescent="0.55000000000000004">
      <c r="B442">
        <v>380</v>
      </c>
      <c r="C442" s="27">
        <v>-257.71199298187855</v>
      </c>
      <c r="D442">
        <f t="shared" si="7"/>
        <v>380</v>
      </c>
      <c r="E442" s="27">
        <v>-4.5958188496990431</v>
      </c>
    </row>
    <row r="443" spans="2:5" x14ac:dyDescent="0.55000000000000004">
      <c r="B443">
        <v>381</v>
      </c>
      <c r="C443" s="27">
        <v>-54.505748437071887</v>
      </c>
      <c r="D443">
        <f t="shared" si="7"/>
        <v>381</v>
      </c>
      <c r="E443" s="27">
        <v>-35.692533658570255</v>
      </c>
    </row>
    <row r="444" spans="2:5" x14ac:dyDescent="0.55000000000000004">
      <c r="B444">
        <v>382</v>
      </c>
      <c r="C444" s="27">
        <v>-88.115190132975158</v>
      </c>
      <c r="D444">
        <f t="shared" si="7"/>
        <v>382</v>
      </c>
      <c r="E444" s="27">
        <v>-60.695244366203468</v>
      </c>
    </row>
    <row r="445" spans="2:5" x14ac:dyDescent="0.55000000000000004">
      <c r="B445">
        <v>383</v>
      </c>
      <c r="C445" s="27">
        <v>-163.61975355372928</v>
      </c>
      <c r="D445">
        <f t="shared" si="7"/>
        <v>383</v>
      </c>
      <c r="E445" s="27">
        <v>-133.25745364497976</v>
      </c>
    </row>
    <row r="446" spans="2:5" x14ac:dyDescent="0.55000000000000004">
      <c r="B446">
        <v>384</v>
      </c>
      <c r="C446" s="27">
        <v>-164.25348757650377</v>
      </c>
      <c r="D446">
        <f t="shared" si="7"/>
        <v>384</v>
      </c>
      <c r="E446" s="27">
        <v>-73.584454683679297</v>
      </c>
    </row>
    <row r="447" spans="2:5" x14ac:dyDescent="0.55000000000000004">
      <c r="B447">
        <v>385</v>
      </c>
      <c r="C447" s="27">
        <v>223.65278530165264</v>
      </c>
      <c r="D447">
        <f t="shared" si="7"/>
        <v>385</v>
      </c>
      <c r="E447" s="27">
        <v>-49.284709872657629</v>
      </c>
    </row>
    <row r="448" spans="2:5" x14ac:dyDescent="0.55000000000000004">
      <c r="B448">
        <v>386</v>
      </c>
      <c r="C448" s="27">
        <v>-336.11513170834678</v>
      </c>
      <c r="D448">
        <f t="shared" si="7"/>
        <v>386</v>
      </c>
      <c r="E448" s="27">
        <v>-54.478571583190984</v>
      </c>
    </row>
    <row r="449" spans="2:5" x14ac:dyDescent="0.55000000000000004">
      <c r="B449">
        <v>387</v>
      </c>
      <c r="C449" s="27">
        <v>36.530900878892389</v>
      </c>
      <c r="D449">
        <f t="shared" si="7"/>
        <v>387</v>
      </c>
      <c r="E449" s="27">
        <v>137.92223430114166</v>
      </c>
    </row>
    <row r="450" spans="2:5" x14ac:dyDescent="0.55000000000000004">
      <c r="B450">
        <v>388</v>
      </c>
      <c r="C450" s="27">
        <v>-264.08787277748263</v>
      </c>
      <c r="D450">
        <f t="shared" si="7"/>
        <v>388</v>
      </c>
      <c r="E450" s="27">
        <v>173.56144859891941</v>
      </c>
    </row>
    <row r="451" spans="2:5" x14ac:dyDescent="0.55000000000000004">
      <c r="B451">
        <v>389</v>
      </c>
      <c r="C451" s="27">
        <v>422.96944846942245</v>
      </c>
      <c r="D451">
        <f t="shared" si="7"/>
        <v>389</v>
      </c>
      <c r="E451" s="27">
        <v>-185.86699246192532</v>
      </c>
    </row>
    <row r="452" spans="2:5" x14ac:dyDescent="0.55000000000000004">
      <c r="B452">
        <v>390</v>
      </c>
      <c r="C452" s="27">
        <v>-254.05293586790131</v>
      </c>
      <c r="D452">
        <f t="shared" si="7"/>
        <v>390</v>
      </c>
      <c r="E452" s="27">
        <v>-181.67944207461082</v>
      </c>
    </row>
    <row r="453" spans="2:5" x14ac:dyDescent="0.55000000000000004">
      <c r="B453">
        <v>391</v>
      </c>
      <c r="C453" s="27">
        <v>-157.47112841415873</v>
      </c>
      <c r="D453">
        <f t="shared" si="7"/>
        <v>391</v>
      </c>
      <c r="E453" s="27">
        <v>-140.13248559720051</v>
      </c>
    </row>
    <row r="454" spans="2:5" x14ac:dyDescent="0.55000000000000004">
      <c r="B454">
        <v>392</v>
      </c>
      <c r="C454" s="27">
        <v>-68.394448857303544</v>
      </c>
      <c r="D454">
        <f t="shared" si="7"/>
        <v>392</v>
      </c>
      <c r="E454" s="27">
        <v>-43.796031843827507</v>
      </c>
    </row>
    <row r="455" spans="2:5" x14ac:dyDescent="0.55000000000000004">
      <c r="B455">
        <v>393</v>
      </c>
      <c r="C455" s="27">
        <v>411.47450841504156</v>
      </c>
      <c r="D455">
        <f t="shared" si="7"/>
        <v>393</v>
      </c>
      <c r="E455" s="27">
        <v>54.492371711574563</v>
      </c>
    </row>
    <row r="456" spans="2:5" x14ac:dyDescent="0.55000000000000004">
      <c r="B456">
        <v>394</v>
      </c>
      <c r="C456" s="27">
        <v>152.44428559136338</v>
      </c>
      <c r="D456">
        <f t="shared" si="7"/>
        <v>394</v>
      </c>
      <c r="E456" s="27">
        <v>-111.34511215033348</v>
      </c>
    </row>
    <row r="457" spans="2:5" x14ac:dyDescent="0.55000000000000004">
      <c r="B457">
        <v>395</v>
      </c>
      <c r="C457" s="27">
        <v>-356.51672755048958</v>
      </c>
      <c r="D457">
        <f t="shared" si="7"/>
        <v>395</v>
      </c>
      <c r="E457" s="27">
        <v>-228.3081073588888</v>
      </c>
    </row>
    <row r="458" spans="2:5" x14ac:dyDescent="0.55000000000000004">
      <c r="B458">
        <v>396</v>
      </c>
      <c r="C458" s="27">
        <v>-11.635722992052116</v>
      </c>
      <c r="D458">
        <f t="shared" si="7"/>
        <v>396</v>
      </c>
      <c r="E458" s="27">
        <v>-58.620968563250187</v>
      </c>
    </row>
    <row r="459" spans="2:5" x14ac:dyDescent="0.55000000000000004">
      <c r="B459">
        <v>397</v>
      </c>
      <c r="C459" s="27">
        <v>-248.49371814432862</v>
      </c>
      <c r="D459">
        <f t="shared" si="7"/>
        <v>397</v>
      </c>
      <c r="E459" s="27">
        <v>-239.51338004420623</v>
      </c>
    </row>
    <row r="460" spans="2:5" x14ac:dyDescent="0.55000000000000004">
      <c r="B460">
        <v>398</v>
      </c>
      <c r="C460" s="27">
        <v>-103.98999597832344</v>
      </c>
      <c r="D460">
        <f t="shared" si="7"/>
        <v>398</v>
      </c>
      <c r="E460" s="27">
        <v>-168.73273118144274</v>
      </c>
    </row>
    <row r="461" spans="2:5" x14ac:dyDescent="0.55000000000000004">
      <c r="B461">
        <v>399</v>
      </c>
      <c r="C461" s="27">
        <v>66.819260985682703</v>
      </c>
      <c r="D461">
        <f t="shared" si="7"/>
        <v>399</v>
      </c>
      <c r="E461" s="27">
        <v>-82.385264206091676</v>
      </c>
    </row>
    <row r="462" spans="2:5" x14ac:dyDescent="0.55000000000000004">
      <c r="B462">
        <v>400</v>
      </c>
      <c r="C462" s="27">
        <v>-84.915381973325083</v>
      </c>
      <c r="D462">
        <f t="shared" si="7"/>
        <v>400</v>
      </c>
      <c r="E462" s="27">
        <v>63.518381093047168</v>
      </c>
    </row>
    <row r="463" spans="2:5" x14ac:dyDescent="0.55000000000000004">
      <c r="B463">
        <v>401</v>
      </c>
      <c r="C463" s="27">
        <v>142.6883798623945</v>
      </c>
      <c r="D463">
        <f t="shared" si="7"/>
        <v>401</v>
      </c>
      <c r="E463" s="27">
        <v>-249.08201087445264</v>
      </c>
    </row>
    <row r="464" spans="2:5" x14ac:dyDescent="0.55000000000000004">
      <c r="B464">
        <v>402</v>
      </c>
      <c r="C464" s="27">
        <v>-32.976740905396966</v>
      </c>
      <c r="D464">
        <f t="shared" si="7"/>
        <v>402</v>
      </c>
      <c r="E464" s="27">
        <v>60.038705259918885</v>
      </c>
    </row>
    <row r="465" spans="2:5" x14ac:dyDescent="0.55000000000000004">
      <c r="B465">
        <v>403</v>
      </c>
      <c r="C465" s="27">
        <v>-147.32010977402467</v>
      </c>
      <c r="D465">
        <f t="shared" si="7"/>
        <v>403</v>
      </c>
      <c r="E465" s="27">
        <v>-5.5982941276560894</v>
      </c>
    </row>
    <row r="466" spans="2:5" x14ac:dyDescent="0.55000000000000004">
      <c r="B466">
        <v>404</v>
      </c>
      <c r="C466" s="27">
        <v>-179.24359397361962</v>
      </c>
      <c r="D466">
        <f t="shared" si="7"/>
        <v>404</v>
      </c>
      <c r="E466" s="27">
        <v>39.604575968549426</v>
      </c>
    </row>
    <row r="467" spans="2:5" x14ac:dyDescent="0.55000000000000004">
      <c r="B467">
        <v>405</v>
      </c>
      <c r="C467" s="27">
        <v>-99.872314577992626</v>
      </c>
      <c r="D467">
        <f t="shared" ref="D467:D530" si="8">B467</f>
        <v>405</v>
      </c>
      <c r="E467" s="27">
        <v>-145.91674250220169</v>
      </c>
    </row>
    <row r="468" spans="2:5" x14ac:dyDescent="0.55000000000000004">
      <c r="B468">
        <v>406</v>
      </c>
      <c r="C468" s="27">
        <v>113.00213797743045</v>
      </c>
      <c r="D468">
        <f t="shared" si="8"/>
        <v>406</v>
      </c>
      <c r="E468" s="27">
        <v>12.808747213895515</v>
      </c>
    </row>
    <row r="469" spans="2:5" x14ac:dyDescent="0.55000000000000004">
      <c r="B469">
        <v>407</v>
      </c>
      <c r="C469" s="27">
        <v>-218.12165273363996</v>
      </c>
      <c r="D469">
        <f t="shared" si="8"/>
        <v>407</v>
      </c>
      <c r="E469" s="27">
        <v>83.839725227779766</v>
      </c>
    </row>
    <row r="470" spans="2:5" x14ac:dyDescent="0.55000000000000004">
      <c r="B470">
        <v>408</v>
      </c>
      <c r="C470" s="27">
        <v>30.467805236770502</v>
      </c>
      <c r="D470">
        <f t="shared" si="8"/>
        <v>408</v>
      </c>
      <c r="E470" s="27">
        <v>-33.154736034472307</v>
      </c>
    </row>
    <row r="471" spans="2:5" x14ac:dyDescent="0.55000000000000004">
      <c r="B471">
        <v>409</v>
      </c>
      <c r="C471" s="27">
        <v>68.837162872377675</v>
      </c>
      <c r="D471">
        <f t="shared" si="8"/>
        <v>409</v>
      </c>
      <c r="E471" s="27">
        <v>-149.78580228702515</v>
      </c>
    </row>
    <row r="472" spans="2:5" x14ac:dyDescent="0.55000000000000004">
      <c r="B472">
        <v>410</v>
      </c>
      <c r="C472" s="27">
        <v>-64.761505926607015</v>
      </c>
      <c r="D472">
        <f t="shared" si="8"/>
        <v>410</v>
      </c>
      <c r="E472" s="27">
        <v>-165.32664140153335</v>
      </c>
    </row>
    <row r="473" spans="2:5" x14ac:dyDescent="0.55000000000000004">
      <c r="B473">
        <v>411</v>
      </c>
      <c r="C473" s="27">
        <v>-187.13319533177804</v>
      </c>
      <c r="D473">
        <f t="shared" si="8"/>
        <v>411</v>
      </c>
      <c r="E473" s="27">
        <v>86.261745328953197</v>
      </c>
    </row>
    <row r="474" spans="2:5" x14ac:dyDescent="0.55000000000000004">
      <c r="B474">
        <v>412</v>
      </c>
      <c r="C474" s="27">
        <v>-169.25633414291445</v>
      </c>
      <c r="D474">
        <f t="shared" si="8"/>
        <v>412</v>
      </c>
      <c r="E474" s="27">
        <v>-84.549302622815617</v>
      </c>
    </row>
    <row r="475" spans="2:5" x14ac:dyDescent="0.55000000000000004">
      <c r="B475">
        <v>413</v>
      </c>
      <c r="C475" s="27">
        <v>41.432406293172001</v>
      </c>
      <c r="D475">
        <f t="shared" si="8"/>
        <v>413</v>
      </c>
      <c r="E475" s="27">
        <v>-83.739554591237209</v>
      </c>
    </row>
    <row r="476" spans="2:5" x14ac:dyDescent="0.55000000000000004">
      <c r="B476">
        <v>414</v>
      </c>
      <c r="C476" s="27">
        <v>121.24305291046113</v>
      </c>
      <c r="D476">
        <f t="shared" si="8"/>
        <v>414</v>
      </c>
      <c r="E476" s="27">
        <v>-213.48929728943429</v>
      </c>
    </row>
    <row r="477" spans="2:5" x14ac:dyDescent="0.55000000000000004">
      <c r="B477">
        <v>415</v>
      </c>
      <c r="C477" s="27">
        <v>-203.39430043572577</v>
      </c>
      <c r="D477">
        <f t="shared" si="8"/>
        <v>415</v>
      </c>
      <c r="E477" s="27">
        <v>43.420011210649704</v>
      </c>
    </row>
    <row r="478" spans="2:5" x14ac:dyDescent="0.55000000000000004">
      <c r="B478">
        <v>416</v>
      </c>
      <c r="C478" s="27">
        <v>77.007899690745532</v>
      </c>
      <c r="D478">
        <f t="shared" si="8"/>
        <v>416</v>
      </c>
      <c r="E478" s="27">
        <v>-60.775583581756223</v>
      </c>
    </row>
    <row r="479" spans="2:5" x14ac:dyDescent="0.55000000000000004">
      <c r="B479">
        <v>417</v>
      </c>
      <c r="C479" s="27">
        <v>-74.768754975673687</v>
      </c>
      <c r="D479">
        <f t="shared" si="8"/>
        <v>417</v>
      </c>
      <c r="E479" s="27">
        <v>-59.802606410390553</v>
      </c>
    </row>
    <row r="480" spans="2:5" x14ac:dyDescent="0.55000000000000004">
      <c r="B480">
        <v>418</v>
      </c>
      <c r="C480" s="27">
        <v>19.975776951983057</v>
      </c>
      <c r="D480">
        <f t="shared" si="8"/>
        <v>418</v>
      </c>
      <c r="E480" s="27">
        <v>15.365181626519842</v>
      </c>
    </row>
    <row r="481" spans="2:5" x14ac:dyDescent="0.55000000000000004">
      <c r="B481">
        <v>419</v>
      </c>
      <c r="C481" s="27">
        <v>10.342097824960511</v>
      </c>
      <c r="D481">
        <f t="shared" si="8"/>
        <v>419</v>
      </c>
      <c r="E481" s="27">
        <v>-40.03508382810648</v>
      </c>
    </row>
    <row r="482" spans="2:5" x14ac:dyDescent="0.55000000000000004">
      <c r="B482">
        <v>420</v>
      </c>
      <c r="C482" s="27">
        <v>-107.38738480610712</v>
      </c>
      <c r="D482">
        <f t="shared" si="8"/>
        <v>420</v>
      </c>
      <c r="E482" s="27">
        <v>-159.41726588711751</v>
      </c>
    </row>
    <row r="483" spans="2:5" x14ac:dyDescent="0.55000000000000004">
      <c r="B483">
        <v>421</v>
      </c>
      <c r="C483" s="27">
        <v>-25.563690530605044</v>
      </c>
      <c r="D483">
        <f t="shared" si="8"/>
        <v>421</v>
      </c>
      <c r="E483" s="27">
        <v>104.29986307638477</v>
      </c>
    </row>
    <row r="484" spans="2:5" x14ac:dyDescent="0.55000000000000004">
      <c r="B484">
        <v>422</v>
      </c>
      <c r="C484" s="27">
        <v>-247.44311586228034</v>
      </c>
      <c r="D484">
        <f t="shared" si="8"/>
        <v>422</v>
      </c>
      <c r="E484" s="27">
        <v>-30.459121015433738</v>
      </c>
    </row>
    <row r="485" spans="2:5" x14ac:dyDescent="0.55000000000000004">
      <c r="B485">
        <v>423</v>
      </c>
      <c r="C485" s="27">
        <v>-318.53640687623425</v>
      </c>
      <c r="D485">
        <f t="shared" si="8"/>
        <v>423</v>
      </c>
      <c r="E485" s="27">
        <v>-58.0482779736449</v>
      </c>
    </row>
    <row r="486" spans="2:5" x14ac:dyDescent="0.55000000000000004">
      <c r="B486">
        <v>424</v>
      </c>
      <c r="C486" s="27">
        <v>81.099976811325234</v>
      </c>
      <c r="D486">
        <f t="shared" si="8"/>
        <v>424</v>
      </c>
      <c r="E486" s="27">
        <v>-177.93269234496714</v>
      </c>
    </row>
    <row r="487" spans="2:5" x14ac:dyDescent="0.55000000000000004">
      <c r="B487">
        <v>425</v>
      </c>
      <c r="C487" s="27">
        <v>59.995273372446221</v>
      </c>
      <c r="D487">
        <f t="shared" si="8"/>
        <v>425</v>
      </c>
      <c r="E487" s="27">
        <v>-188.91224066584883</v>
      </c>
    </row>
    <row r="488" spans="2:5" x14ac:dyDescent="0.55000000000000004">
      <c r="B488">
        <v>426</v>
      </c>
      <c r="C488" s="27">
        <v>-123.6379054667394</v>
      </c>
      <c r="D488">
        <f t="shared" si="8"/>
        <v>426</v>
      </c>
      <c r="E488" s="27">
        <v>-142.86695466548437</v>
      </c>
    </row>
    <row r="489" spans="2:5" x14ac:dyDescent="0.55000000000000004">
      <c r="B489">
        <v>427</v>
      </c>
      <c r="C489" s="27">
        <v>150.06086552695774</v>
      </c>
      <c r="D489">
        <f t="shared" si="8"/>
        <v>427</v>
      </c>
      <c r="E489" s="27">
        <v>-105.70442185745128</v>
      </c>
    </row>
    <row r="490" spans="2:5" x14ac:dyDescent="0.55000000000000004">
      <c r="B490">
        <v>428</v>
      </c>
      <c r="C490" s="27">
        <v>-72.198902693923102</v>
      </c>
      <c r="D490">
        <f t="shared" si="8"/>
        <v>428</v>
      </c>
      <c r="E490" s="27">
        <v>-281.88461595428771</v>
      </c>
    </row>
    <row r="491" spans="2:5" x14ac:dyDescent="0.55000000000000004">
      <c r="B491">
        <v>429</v>
      </c>
      <c r="C491" s="27">
        <v>113.45244759416411</v>
      </c>
      <c r="D491">
        <f t="shared" si="8"/>
        <v>429</v>
      </c>
      <c r="E491" s="27">
        <v>-18.884537968434842</v>
      </c>
    </row>
    <row r="492" spans="2:5" x14ac:dyDescent="0.55000000000000004">
      <c r="B492">
        <v>430</v>
      </c>
      <c r="C492" s="27">
        <v>-72.188658787025531</v>
      </c>
      <c r="D492">
        <f t="shared" si="8"/>
        <v>430</v>
      </c>
      <c r="E492" s="27">
        <v>-58.435974286551897</v>
      </c>
    </row>
    <row r="493" spans="2:5" x14ac:dyDescent="0.55000000000000004">
      <c r="B493">
        <v>431</v>
      </c>
      <c r="C493" s="27">
        <v>-167.54412789317419</v>
      </c>
      <c r="D493">
        <f t="shared" si="8"/>
        <v>431</v>
      </c>
      <c r="E493" s="27">
        <v>-348.05396246716737</v>
      </c>
    </row>
    <row r="494" spans="2:5" x14ac:dyDescent="0.55000000000000004">
      <c r="B494">
        <v>432</v>
      </c>
      <c r="C494" s="27">
        <v>-298.25526034774128</v>
      </c>
      <c r="D494">
        <f t="shared" si="8"/>
        <v>432</v>
      </c>
      <c r="E494" s="27">
        <v>-28.258957478938214</v>
      </c>
    </row>
    <row r="495" spans="2:5" x14ac:dyDescent="0.55000000000000004">
      <c r="B495">
        <v>433</v>
      </c>
      <c r="C495" s="27">
        <v>-187.85107692793429</v>
      </c>
      <c r="D495">
        <f t="shared" si="8"/>
        <v>433</v>
      </c>
      <c r="E495" s="27">
        <v>92.123381570831071</v>
      </c>
    </row>
    <row r="496" spans="2:5" x14ac:dyDescent="0.55000000000000004">
      <c r="B496">
        <v>434</v>
      </c>
      <c r="C496" s="27">
        <v>-369.75243886154834</v>
      </c>
      <c r="D496">
        <f t="shared" si="8"/>
        <v>434</v>
      </c>
      <c r="E496" s="27">
        <v>-51.098024146306273</v>
      </c>
    </row>
    <row r="497" spans="2:5" x14ac:dyDescent="0.55000000000000004">
      <c r="B497">
        <v>435</v>
      </c>
      <c r="C497" s="27">
        <v>-33.204293478738236</v>
      </c>
      <c r="D497">
        <f t="shared" si="8"/>
        <v>435</v>
      </c>
      <c r="E497" s="27">
        <v>-343.15381573086029</v>
      </c>
    </row>
    <row r="498" spans="2:5" x14ac:dyDescent="0.55000000000000004">
      <c r="B498">
        <v>436</v>
      </c>
      <c r="C498" s="27">
        <v>12.480534587778095</v>
      </c>
      <c r="D498">
        <f t="shared" si="8"/>
        <v>436</v>
      </c>
      <c r="E498" s="27">
        <v>-22.546080493442332</v>
      </c>
    </row>
    <row r="499" spans="2:5" x14ac:dyDescent="0.55000000000000004">
      <c r="B499">
        <v>437</v>
      </c>
      <c r="C499" s="27">
        <v>-93.356821554772893</v>
      </c>
      <c r="D499">
        <f t="shared" si="8"/>
        <v>437</v>
      </c>
      <c r="E499" s="27">
        <v>-11.740789125015397</v>
      </c>
    </row>
    <row r="500" spans="2:5" x14ac:dyDescent="0.55000000000000004">
      <c r="B500">
        <v>438</v>
      </c>
      <c r="C500" s="27">
        <v>-258.38432085676743</v>
      </c>
      <c r="D500">
        <f t="shared" si="8"/>
        <v>438</v>
      </c>
      <c r="E500" s="27">
        <v>-21.210823037259871</v>
      </c>
    </row>
    <row r="501" spans="2:5" x14ac:dyDescent="0.55000000000000004">
      <c r="B501">
        <v>439</v>
      </c>
      <c r="C501" s="27">
        <v>-53.122525197646411</v>
      </c>
      <c r="D501">
        <f t="shared" si="8"/>
        <v>439</v>
      </c>
      <c r="E501" s="27">
        <v>83.195189570138666</v>
      </c>
    </row>
    <row r="502" spans="2:5" x14ac:dyDescent="0.55000000000000004">
      <c r="B502">
        <v>440</v>
      </c>
      <c r="C502" s="27">
        <v>-224.04193587396992</v>
      </c>
      <c r="D502">
        <f t="shared" si="8"/>
        <v>440</v>
      </c>
      <c r="E502" s="27">
        <v>-100.32780047519933</v>
      </c>
    </row>
    <row r="503" spans="2:5" x14ac:dyDescent="0.55000000000000004">
      <c r="B503">
        <v>441</v>
      </c>
      <c r="C503" s="27">
        <v>-189.86496674297641</v>
      </c>
      <c r="D503">
        <f t="shared" si="8"/>
        <v>441</v>
      </c>
      <c r="E503" s="27">
        <v>-73.31051823529225</v>
      </c>
    </row>
    <row r="504" spans="2:5" x14ac:dyDescent="0.55000000000000004">
      <c r="B504">
        <v>442</v>
      </c>
      <c r="C504" s="27">
        <v>176.60514668572711</v>
      </c>
      <c r="D504">
        <f t="shared" si="8"/>
        <v>442</v>
      </c>
      <c r="E504" s="27">
        <v>-181.46649089670626</v>
      </c>
    </row>
    <row r="505" spans="2:5" x14ac:dyDescent="0.55000000000000004">
      <c r="B505">
        <v>443</v>
      </c>
      <c r="C505" s="27">
        <v>147.22837111301988</v>
      </c>
      <c r="D505">
        <f t="shared" si="8"/>
        <v>443</v>
      </c>
      <c r="E505" s="27">
        <v>-51.712957387554638</v>
      </c>
    </row>
    <row r="506" spans="2:5" x14ac:dyDescent="0.55000000000000004">
      <c r="B506">
        <v>444</v>
      </c>
      <c r="C506" s="27">
        <v>-316.25515507445402</v>
      </c>
      <c r="D506">
        <f t="shared" si="8"/>
        <v>444</v>
      </c>
      <c r="E506" s="27">
        <v>-147.17504097989314</v>
      </c>
    </row>
    <row r="507" spans="2:5" x14ac:dyDescent="0.55000000000000004">
      <c r="B507">
        <v>445</v>
      </c>
      <c r="C507" s="27">
        <v>83.665448952005733</v>
      </c>
      <c r="D507">
        <f t="shared" si="8"/>
        <v>445</v>
      </c>
      <c r="E507" s="27">
        <v>61.489352328291204</v>
      </c>
    </row>
    <row r="508" spans="2:5" x14ac:dyDescent="0.55000000000000004">
      <c r="B508">
        <v>446</v>
      </c>
      <c r="C508" s="27">
        <v>-127.02712221772612</v>
      </c>
      <c r="D508">
        <f t="shared" si="8"/>
        <v>446</v>
      </c>
      <c r="E508" s="27">
        <v>-39.99364275352616</v>
      </c>
    </row>
    <row r="509" spans="2:5" x14ac:dyDescent="0.55000000000000004">
      <c r="B509">
        <v>447</v>
      </c>
      <c r="C509" s="27">
        <v>-233.23012264639317</v>
      </c>
      <c r="D509">
        <f t="shared" si="8"/>
        <v>447</v>
      </c>
      <c r="E509" s="27">
        <v>-219.59011416121734</v>
      </c>
    </row>
    <row r="510" spans="2:5" x14ac:dyDescent="0.55000000000000004">
      <c r="B510">
        <v>448</v>
      </c>
      <c r="C510" s="27">
        <v>420.40909140837442</v>
      </c>
      <c r="D510">
        <f t="shared" si="8"/>
        <v>448</v>
      </c>
      <c r="E510" s="27">
        <v>-96.497163782231667</v>
      </c>
    </row>
    <row r="511" spans="2:5" x14ac:dyDescent="0.55000000000000004">
      <c r="B511">
        <v>449</v>
      </c>
      <c r="C511" s="27">
        <v>-149.78966852800755</v>
      </c>
      <c r="D511">
        <f t="shared" si="8"/>
        <v>449</v>
      </c>
      <c r="E511" s="27">
        <v>39.494450172314288</v>
      </c>
    </row>
    <row r="512" spans="2:5" x14ac:dyDescent="0.55000000000000004">
      <c r="B512">
        <v>450</v>
      </c>
      <c r="C512" s="27">
        <v>-207.64808893979171</v>
      </c>
      <c r="D512">
        <f t="shared" si="8"/>
        <v>450</v>
      </c>
      <c r="E512" s="27">
        <v>-224.39047406364355</v>
      </c>
    </row>
    <row r="513" spans="2:5" x14ac:dyDescent="0.55000000000000004">
      <c r="B513">
        <v>451</v>
      </c>
      <c r="C513" s="27">
        <v>-142.88012712803894</v>
      </c>
      <c r="D513">
        <f t="shared" si="8"/>
        <v>451</v>
      </c>
      <c r="E513" s="27">
        <v>-202.19096915835775</v>
      </c>
    </row>
    <row r="514" spans="2:5" x14ac:dyDescent="0.55000000000000004">
      <c r="B514">
        <v>452</v>
      </c>
      <c r="C514" s="27">
        <v>-24.801593275488173</v>
      </c>
      <c r="D514">
        <f t="shared" si="8"/>
        <v>452</v>
      </c>
      <c r="E514" s="27">
        <v>-110.54813647598922</v>
      </c>
    </row>
    <row r="515" spans="2:5" x14ac:dyDescent="0.55000000000000004">
      <c r="B515">
        <v>453</v>
      </c>
      <c r="C515" s="27">
        <v>-147.70660928155573</v>
      </c>
      <c r="D515">
        <f t="shared" si="8"/>
        <v>453</v>
      </c>
      <c r="E515" s="27">
        <v>105.30780051280829</v>
      </c>
    </row>
    <row r="516" spans="2:5" x14ac:dyDescent="0.55000000000000004">
      <c r="B516">
        <v>454</v>
      </c>
      <c r="C516" s="27">
        <v>-2.4119375762730257</v>
      </c>
      <c r="D516">
        <f t="shared" si="8"/>
        <v>454</v>
      </c>
      <c r="E516" s="27">
        <v>-322.15819688661742</v>
      </c>
    </row>
    <row r="517" spans="2:5" x14ac:dyDescent="0.55000000000000004">
      <c r="B517">
        <v>455</v>
      </c>
      <c r="C517" s="27">
        <v>-119.10628439549885</v>
      </c>
      <c r="D517">
        <f t="shared" si="8"/>
        <v>455</v>
      </c>
      <c r="E517" s="27">
        <v>-50.772488748749851</v>
      </c>
    </row>
    <row r="518" spans="2:5" x14ac:dyDescent="0.55000000000000004">
      <c r="B518">
        <v>456</v>
      </c>
      <c r="C518" s="27">
        <v>-244.40732082057281</v>
      </c>
      <c r="D518">
        <f t="shared" si="8"/>
        <v>456</v>
      </c>
      <c r="E518" s="27">
        <v>-281.28069720881092</v>
      </c>
    </row>
    <row r="519" spans="2:5" x14ac:dyDescent="0.55000000000000004">
      <c r="B519">
        <v>457</v>
      </c>
      <c r="C519" s="27">
        <v>-199.0340511170985</v>
      </c>
      <c r="D519">
        <f t="shared" si="8"/>
        <v>457</v>
      </c>
      <c r="E519" s="27">
        <v>-59.88890418846708</v>
      </c>
    </row>
    <row r="520" spans="2:5" x14ac:dyDescent="0.55000000000000004">
      <c r="B520">
        <v>458</v>
      </c>
      <c r="C520" s="27">
        <v>-212.6624156841165</v>
      </c>
      <c r="D520">
        <f t="shared" si="8"/>
        <v>458</v>
      </c>
      <c r="E520" s="27">
        <v>-34.797991370542377</v>
      </c>
    </row>
    <row r="521" spans="2:5" x14ac:dyDescent="0.55000000000000004">
      <c r="B521">
        <v>459</v>
      </c>
      <c r="C521" s="27">
        <v>12.24240748757488</v>
      </c>
      <c r="D521">
        <f t="shared" si="8"/>
        <v>459</v>
      </c>
      <c r="E521" s="27">
        <v>-83.227139888296136</v>
      </c>
    </row>
    <row r="522" spans="2:5" x14ac:dyDescent="0.55000000000000004">
      <c r="B522">
        <v>460</v>
      </c>
      <c r="C522" s="27">
        <v>-204.89511515354377</v>
      </c>
      <c r="D522">
        <f t="shared" si="8"/>
        <v>460</v>
      </c>
      <c r="E522" s="27">
        <v>-130.60597913947225</v>
      </c>
    </row>
    <row r="523" spans="2:5" x14ac:dyDescent="0.55000000000000004">
      <c r="B523">
        <v>461</v>
      </c>
      <c r="C523" s="27">
        <v>59.635991077168647</v>
      </c>
      <c r="D523">
        <f t="shared" si="8"/>
        <v>461</v>
      </c>
      <c r="E523" s="27">
        <v>-126.93757523192718</v>
      </c>
    </row>
    <row r="524" spans="2:5" x14ac:dyDescent="0.55000000000000004">
      <c r="B524">
        <v>462</v>
      </c>
      <c r="C524" s="27">
        <v>215.41452161535824</v>
      </c>
      <c r="D524">
        <f t="shared" si="8"/>
        <v>462</v>
      </c>
      <c r="E524" s="27">
        <v>-39.755371130757311</v>
      </c>
    </row>
    <row r="525" spans="2:5" x14ac:dyDescent="0.55000000000000004">
      <c r="B525">
        <v>463</v>
      </c>
      <c r="C525" s="27">
        <v>42.753025407848853</v>
      </c>
      <c r="D525">
        <f t="shared" si="8"/>
        <v>463</v>
      </c>
      <c r="E525" s="27">
        <v>-59.860267608194277</v>
      </c>
    </row>
    <row r="526" spans="2:5" x14ac:dyDescent="0.55000000000000004">
      <c r="B526">
        <v>464</v>
      </c>
      <c r="C526" s="27">
        <v>0.18631598551077388</v>
      </c>
      <c r="D526">
        <f t="shared" si="8"/>
        <v>464</v>
      </c>
      <c r="E526" s="27">
        <v>-5.5462224339404997</v>
      </c>
    </row>
    <row r="527" spans="2:5" x14ac:dyDescent="0.55000000000000004">
      <c r="B527">
        <v>465</v>
      </c>
      <c r="C527" s="27">
        <v>-247.46036705816661</v>
      </c>
      <c r="D527">
        <f t="shared" si="8"/>
        <v>465</v>
      </c>
      <c r="E527" s="27">
        <v>-112.09978860556893</v>
      </c>
    </row>
    <row r="528" spans="2:5" x14ac:dyDescent="0.55000000000000004">
      <c r="B528">
        <v>466</v>
      </c>
      <c r="C528" s="27">
        <v>-217.17489668551005</v>
      </c>
      <c r="D528">
        <f t="shared" si="8"/>
        <v>466</v>
      </c>
      <c r="E528" s="27">
        <v>51.359152756309527</v>
      </c>
    </row>
    <row r="529" spans="2:5" x14ac:dyDescent="0.55000000000000004">
      <c r="B529">
        <v>467</v>
      </c>
      <c r="C529" s="27">
        <v>-317.06192912893573</v>
      </c>
      <c r="D529">
        <f t="shared" si="8"/>
        <v>467</v>
      </c>
      <c r="E529" s="27">
        <v>79.587158983497318</v>
      </c>
    </row>
    <row r="530" spans="2:5" x14ac:dyDescent="0.55000000000000004">
      <c r="B530">
        <v>468</v>
      </c>
      <c r="C530" s="27">
        <v>-334.74667117278102</v>
      </c>
      <c r="D530">
        <f t="shared" si="8"/>
        <v>468</v>
      </c>
      <c r="E530" s="27">
        <v>-227.53599574759718</v>
      </c>
    </row>
    <row r="531" spans="2:5" x14ac:dyDescent="0.55000000000000004">
      <c r="B531">
        <v>469</v>
      </c>
      <c r="C531" s="27">
        <v>-93.813158196197278</v>
      </c>
      <c r="D531">
        <f t="shared" ref="D531:D562" si="9">B531</f>
        <v>469</v>
      </c>
      <c r="E531" s="27">
        <v>-51.644756898763006</v>
      </c>
    </row>
    <row r="532" spans="2:5" x14ac:dyDescent="0.55000000000000004">
      <c r="B532">
        <v>470</v>
      </c>
      <c r="C532" s="27">
        <v>-120.95565137323155</v>
      </c>
      <c r="D532">
        <f t="shared" si="9"/>
        <v>470</v>
      </c>
      <c r="E532" s="27">
        <v>-148.10461275679398</v>
      </c>
    </row>
    <row r="533" spans="2:5" x14ac:dyDescent="0.55000000000000004">
      <c r="B533">
        <v>471</v>
      </c>
      <c r="C533" s="27">
        <v>73.218239959177822</v>
      </c>
      <c r="D533">
        <f t="shared" si="9"/>
        <v>471</v>
      </c>
      <c r="E533" s="27">
        <v>-225.37900840012637</v>
      </c>
    </row>
    <row r="534" spans="2:5" x14ac:dyDescent="0.55000000000000004">
      <c r="B534">
        <v>472</v>
      </c>
      <c r="C534" s="27">
        <v>-288.70319587608844</v>
      </c>
      <c r="D534">
        <f t="shared" si="9"/>
        <v>472</v>
      </c>
      <c r="E534" s="27">
        <v>-70.512914236544475</v>
      </c>
    </row>
    <row r="535" spans="2:5" x14ac:dyDescent="0.55000000000000004">
      <c r="B535">
        <v>473</v>
      </c>
      <c r="C535" s="27">
        <v>-25.091242174031507</v>
      </c>
      <c r="D535">
        <f t="shared" si="9"/>
        <v>473</v>
      </c>
      <c r="E535" s="27">
        <v>65.520057293317748</v>
      </c>
    </row>
    <row r="536" spans="2:5" x14ac:dyDescent="0.55000000000000004">
      <c r="B536">
        <v>474</v>
      </c>
      <c r="C536" s="27">
        <v>106.44874854664184</v>
      </c>
      <c r="D536">
        <f t="shared" si="9"/>
        <v>474</v>
      </c>
      <c r="E536" s="27">
        <v>-176.61883893946415</v>
      </c>
    </row>
    <row r="537" spans="2:5" x14ac:dyDescent="0.55000000000000004">
      <c r="B537">
        <v>475</v>
      </c>
      <c r="C537" s="27">
        <v>12.955577772603597</v>
      </c>
      <c r="D537">
        <f t="shared" si="9"/>
        <v>475</v>
      </c>
      <c r="E537" s="27">
        <v>-297.02279302898364</v>
      </c>
    </row>
    <row r="538" spans="2:5" x14ac:dyDescent="0.55000000000000004">
      <c r="B538">
        <v>476</v>
      </c>
      <c r="C538" s="27">
        <v>-109.93222336409735</v>
      </c>
      <c r="D538">
        <f t="shared" si="9"/>
        <v>476</v>
      </c>
      <c r="E538" s="27">
        <v>33.03048514113695</v>
      </c>
    </row>
    <row r="539" spans="2:5" x14ac:dyDescent="0.55000000000000004">
      <c r="B539">
        <v>477</v>
      </c>
      <c r="C539" s="27">
        <v>27.873583996318033</v>
      </c>
      <c r="D539">
        <f t="shared" si="9"/>
        <v>477</v>
      </c>
      <c r="E539" s="27">
        <v>-170.16495699871373</v>
      </c>
    </row>
    <row r="540" spans="2:5" x14ac:dyDescent="0.55000000000000004">
      <c r="B540">
        <v>478</v>
      </c>
      <c r="C540" s="27">
        <v>171.27589507014852</v>
      </c>
      <c r="D540">
        <f t="shared" si="9"/>
        <v>478</v>
      </c>
      <c r="E540" s="27">
        <v>-229.66585005017623</v>
      </c>
    </row>
    <row r="541" spans="2:5" x14ac:dyDescent="0.55000000000000004">
      <c r="B541">
        <v>479</v>
      </c>
      <c r="C541" s="27">
        <v>-118.08844903655435</v>
      </c>
      <c r="D541">
        <f t="shared" si="9"/>
        <v>479</v>
      </c>
      <c r="E541" s="27">
        <v>44.106733586267239</v>
      </c>
    </row>
    <row r="542" spans="2:5" x14ac:dyDescent="0.55000000000000004">
      <c r="B542">
        <v>480</v>
      </c>
      <c r="C542" s="27">
        <v>7.8935280840104198</v>
      </c>
      <c r="D542">
        <f t="shared" si="9"/>
        <v>480</v>
      </c>
      <c r="E542" s="27">
        <v>-161.32487384362844</v>
      </c>
    </row>
    <row r="543" spans="2:5" x14ac:dyDescent="0.55000000000000004">
      <c r="B543">
        <v>481</v>
      </c>
      <c r="C543" s="27">
        <v>-39.498772391495471</v>
      </c>
      <c r="D543">
        <f t="shared" si="9"/>
        <v>481</v>
      </c>
      <c r="E543" s="27">
        <v>-119.55461159557967</v>
      </c>
    </row>
    <row r="544" spans="2:5" x14ac:dyDescent="0.55000000000000004">
      <c r="B544">
        <v>482</v>
      </c>
      <c r="C544" s="27">
        <v>-100.78671267618112</v>
      </c>
      <c r="D544">
        <f t="shared" si="9"/>
        <v>482</v>
      </c>
      <c r="E544" s="27">
        <v>157.08284702835232</v>
      </c>
    </row>
    <row r="545" spans="2:5" x14ac:dyDescent="0.55000000000000004">
      <c r="B545">
        <v>483</v>
      </c>
      <c r="C545" s="27">
        <v>-265.10373671297316</v>
      </c>
      <c r="D545">
        <f t="shared" si="9"/>
        <v>483</v>
      </c>
      <c r="E545" s="27">
        <v>67.257058110877097</v>
      </c>
    </row>
    <row r="546" spans="2:5" x14ac:dyDescent="0.55000000000000004">
      <c r="B546">
        <v>484</v>
      </c>
      <c r="C546" s="27">
        <v>-96.651245824631872</v>
      </c>
      <c r="D546">
        <f t="shared" si="9"/>
        <v>484</v>
      </c>
      <c r="E546" s="27">
        <v>95.805805141571639</v>
      </c>
    </row>
    <row r="547" spans="2:5" x14ac:dyDescent="0.55000000000000004">
      <c r="B547">
        <v>485</v>
      </c>
      <c r="C547" s="27">
        <v>35.641495194343122</v>
      </c>
      <c r="D547">
        <f t="shared" si="9"/>
        <v>485</v>
      </c>
      <c r="E547" s="27">
        <v>-209.45556581788182</v>
      </c>
    </row>
    <row r="548" spans="2:5" x14ac:dyDescent="0.55000000000000004">
      <c r="B548">
        <v>486</v>
      </c>
      <c r="C548" s="27">
        <v>62.216379529124467</v>
      </c>
      <c r="D548">
        <f t="shared" si="9"/>
        <v>486</v>
      </c>
      <c r="E548" s="27">
        <v>-7.0293294674837341</v>
      </c>
    </row>
    <row r="549" spans="2:5" x14ac:dyDescent="0.55000000000000004">
      <c r="B549">
        <v>487</v>
      </c>
      <c r="C549" s="27">
        <v>43.957428526236988</v>
      </c>
      <c r="D549">
        <f t="shared" si="9"/>
        <v>487</v>
      </c>
      <c r="E549" s="27">
        <v>-143.52865600821633</v>
      </c>
    </row>
    <row r="550" spans="2:5" x14ac:dyDescent="0.55000000000000004">
      <c r="B550">
        <v>488</v>
      </c>
      <c r="C550" s="27">
        <v>15.587101081967834</v>
      </c>
      <c r="D550">
        <f t="shared" si="9"/>
        <v>488</v>
      </c>
      <c r="E550" s="27">
        <v>-42.176223767174008</v>
      </c>
    </row>
    <row r="551" spans="2:5" x14ac:dyDescent="0.55000000000000004">
      <c r="B551">
        <v>489</v>
      </c>
      <c r="C551" s="27">
        <v>-244.19701146156387</v>
      </c>
      <c r="D551">
        <f t="shared" si="9"/>
        <v>489</v>
      </c>
      <c r="E551" s="27">
        <v>-252.58365844066037</v>
      </c>
    </row>
    <row r="552" spans="2:5" x14ac:dyDescent="0.55000000000000004">
      <c r="B552">
        <v>490</v>
      </c>
      <c r="C552" s="27">
        <v>-304.23751110656428</v>
      </c>
      <c r="D552">
        <f t="shared" si="9"/>
        <v>490</v>
      </c>
      <c r="E552" s="27">
        <v>-115.51052848008513</v>
      </c>
    </row>
    <row r="553" spans="2:5" x14ac:dyDescent="0.55000000000000004">
      <c r="B553">
        <v>491</v>
      </c>
      <c r="C553" s="27">
        <v>-301.78399682003902</v>
      </c>
      <c r="D553">
        <f t="shared" si="9"/>
        <v>491</v>
      </c>
      <c r="E553" s="27">
        <v>-135.53823681280747</v>
      </c>
    </row>
    <row r="554" spans="2:5" x14ac:dyDescent="0.55000000000000004">
      <c r="B554">
        <v>492</v>
      </c>
      <c r="C554" s="27">
        <v>-193.35343307961784</v>
      </c>
      <c r="D554">
        <f t="shared" si="9"/>
        <v>492</v>
      </c>
      <c r="E554" s="27">
        <v>-134.71331920156877</v>
      </c>
    </row>
    <row r="555" spans="2:5" x14ac:dyDescent="0.55000000000000004">
      <c r="B555">
        <v>493</v>
      </c>
      <c r="C555" s="27">
        <v>-277.1585462266878</v>
      </c>
      <c r="D555">
        <f t="shared" si="9"/>
        <v>493</v>
      </c>
      <c r="E555" s="27">
        <v>-245.99743760473962</v>
      </c>
    </row>
    <row r="556" spans="2:5" x14ac:dyDescent="0.55000000000000004">
      <c r="B556">
        <v>494</v>
      </c>
      <c r="C556" s="27">
        <v>55.078014857404575</v>
      </c>
      <c r="D556">
        <f t="shared" si="9"/>
        <v>494</v>
      </c>
      <c r="E556" s="27">
        <v>-19.015827399446749</v>
      </c>
    </row>
    <row r="557" spans="2:5" x14ac:dyDescent="0.55000000000000004">
      <c r="B557">
        <v>495</v>
      </c>
      <c r="C557" s="27">
        <v>238.85071321075048</v>
      </c>
      <c r="D557">
        <f t="shared" si="9"/>
        <v>495</v>
      </c>
      <c r="E557" s="27">
        <v>-13.467164084413383</v>
      </c>
    </row>
    <row r="558" spans="2:5" x14ac:dyDescent="0.55000000000000004">
      <c r="B558">
        <v>496</v>
      </c>
      <c r="C558" s="27">
        <v>-0.1538022523090703</v>
      </c>
      <c r="D558">
        <f t="shared" si="9"/>
        <v>496</v>
      </c>
      <c r="E558" s="27">
        <v>-126.61607567400478</v>
      </c>
    </row>
    <row r="559" spans="2:5" x14ac:dyDescent="0.55000000000000004">
      <c r="B559">
        <v>497</v>
      </c>
      <c r="C559" s="27">
        <v>-22.761481637934587</v>
      </c>
      <c r="D559">
        <f t="shared" si="9"/>
        <v>497</v>
      </c>
      <c r="E559" s="27">
        <v>41.915077505447357</v>
      </c>
    </row>
    <row r="560" spans="2:5" x14ac:dyDescent="0.55000000000000004">
      <c r="B560">
        <v>498</v>
      </c>
      <c r="C560" s="27">
        <v>90.454528160317707</v>
      </c>
      <c r="D560">
        <f t="shared" si="9"/>
        <v>498</v>
      </c>
      <c r="E560" s="27">
        <v>92.28003789101983</v>
      </c>
    </row>
    <row r="561" spans="2:5" x14ac:dyDescent="0.55000000000000004">
      <c r="B561">
        <v>499</v>
      </c>
      <c r="C561" s="27">
        <v>124.5900772615183</v>
      </c>
      <c r="D561">
        <f t="shared" si="9"/>
        <v>499</v>
      </c>
      <c r="E561" s="27">
        <v>73.365661357378627</v>
      </c>
    </row>
    <row r="562" spans="2:5" x14ac:dyDescent="0.55000000000000004">
      <c r="B562">
        <v>500</v>
      </c>
      <c r="C562" s="27">
        <v>0.23006826422600568</v>
      </c>
      <c r="D562">
        <f t="shared" si="9"/>
        <v>500</v>
      </c>
      <c r="E562" s="27">
        <v>-26.724115850728197</v>
      </c>
    </row>
  </sheetData>
  <mergeCells count="88"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  <mergeCell ref="B13:C13"/>
    <mergeCell ref="B12:C12"/>
    <mergeCell ref="B11:C11"/>
    <mergeCell ref="B10:C10"/>
    <mergeCell ref="B9:C9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29:C29"/>
    <mergeCell ref="B33:C33"/>
    <mergeCell ref="B28:C28"/>
    <mergeCell ref="B30:C30"/>
    <mergeCell ref="B31:C31"/>
    <mergeCell ref="B32:C32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62:C62"/>
    <mergeCell ref="B61:C61"/>
    <mergeCell ref="B60:C60"/>
    <mergeCell ref="B59:C59"/>
    <mergeCell ref="B58:C58"/>
    <mergeCell ref="D23:E23"/>
    <mergeCell ref="D25:E25"/>
    <mergeCell ref="D27:E27"/>
    <mergeCell ref="D28:E28"/>
    <mergeCell ref="D22:E22"/>
    <mergeCell ref="D26:E26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13:E13"/>
    <mergeCell ref="D12:E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Y93"/>
  <sheetViews>
    <sheetView tabSelected="1" topLeftCell="E12" workbookViewId="0">
      <selection activeCell="X2" sqref="X2"/>
    </sheetView>
  </sheetViews>
  <sheetFormatPr defaultRowHeight="14.4" x14ac:dyDescent="0.55000000000000004"/>
  <cols>
    <col min="1" max="1" width="21.3125" customWidth="1"/>
    <col min="2" max="2" width="44" customWidth="1"/>
    <col min="3" max="3" width="11.1015625" customWidth="1"/>
    <col min="4" max="4" width="13.89453125" customWidth="1"/>
    <col min="5" max="5" width="11.1015625" customWidth="1"/>
    <col min="6" max="8" width="12.89453125" customWidth="1"/>
    <col min="9" max="9" width="13.68359375" bestFit="1" customWidth="1"/>
    <col min="10" max="10" width="17.5234375" customWidth="1"/>
    <col min="11" max="11" width="12.5234375" bestFit="1" customWidth="1"/>
    <col min="12" max="12" width="12.5234375" customWidth="1"/>
    <col min="13" max="13" width="12.41796875" customWidth="1"/>
    <col min="14" max="14" width="12.5234375" bestFit="1" customWidth="1"/>
    <col min="15" max="18" width="16" customWidth="1"/>
    <col min="19" max="20" width="16.5234375" customWidth="1"/>
    <col min="21" max="21" width="12.5234375" bestFit="1" customWidth="1"/>
    <col min="22" max="22" width="10.5234375" bestFit="1" customWidth="1"/>
    <col min="23" max="23" width="14.5234375" customWidth="1"/>
    <col min="24" max="24" width="9" customWidth="1"/>
    <col min="25" max="25" width="9.5234375" bestFit="1" customWidth="1"/>
  </cols>
  <sheetData>
    <row r="1" spans="1:25" ht="15.6" x14ac:dyDescent="0.6"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 t="s">
        <v>117</v>
      </c>
      <c r="O1" s="75"/>
      <c r="P1" s="75"/>
      <c r="Q1" s="75"/>
      <c r="R1" s="75"/>
      <c r="S1" s="75"/>
      <c r="T1" s="75"/>
      <c r="U1" s="75"/>
      <c r="V1" s="75" t="s">
        <v>128</v>
      </c>
      <c r="W1" s="75"/>
    </row>
    <row r="2" spans="1:25" ht="15.6" x14ac:dyDescent="0.6">
      <c r="A2" s="13" t="s">
        <v>19</v>
      </c>
      <c r="B2" s="2" t="s">
        <v>21</v>
      </c>
      <c r="C2" t="s">
        <v>96</v>
      </c>
      <c r="D2" t="s">
        <v>109</v>
      </c>
      <c r="E2" t="s">
        <v>30</v>
      </c>
      <c r="F2" t="s">
        <v>110</v>
      </c>
      <c r="G2" t="s">
        <v>118</v>
      </c>
      <c r="H2" t="s">
        <v>35</v>
      </c>
      <c r="I2" t="s">
        <v>36</v>
      </c>
      <c r="J2" s="1" t="s">
        <v>111</v>
      </c>
      <c r="K2" s="9" t="s">
        <v>37</v>
      </c>
      <c r="L2" s="9" t="s">
        <v>33</v>
      </c>
      <c r="M2" t="s">
        <v>45</v>
      </c>
      <c r="N2" t="s">
        <v>112</v>
      </c>
      <c r="O2" t="s">
        <v>113</v>
      </c>
      <c r="P2" t="s">
        <v>90</v>
      </c>
      <c r="Q2" t="s">
        <v>88</v>
      </c>
      <c r="R2" t="s">
        <v>91</v>
      </c>
      <c r="S2" s="2" t="s">
        <v>114</v>
      </c>
      <c r="T2" s="2" t="s">
        <v>115</v>
      </c>
      <c r="U2" t="s">
        <v>46</v>
      </c>
      <c r="V2" t="s">
        <v>116</v>
      </c>
      <c r="W2" t="s">
        <v>129</v>
      </c>
      <c r="X2" t="s">
        <v>131</v>
      </c>
      <c r="Y2" t="s">
        <v>130</v>
      </c>
    </row>
    <row r="3" spans="1:25" ht="15.6" x14ac:dyDescent="0.6">
      <c r="A3" s="13" t="s">
        <v>80</v>
      </c>
      <c r="B3" t="s">
        <v>98</v>
      </c>
      <c r="C3" s="58">
        <f>D3/SUM(D3:D4)</f>
        <v>0.4443954277550034</v>
      </c>
      <c r="D3" s="28">
        <f>L3/F3</f>
        <v>65609.668138328911</v>
      </c>
      <c r="E3" s="4">
        <f>[1]All!$H$12</f>
        <v>0.67</v>
      </c>
      <c r="F3" s="59">
        <f>[1]All!$G$12</f>
        <v>4.8</v>
      </c>
      <c r="G3" s="51">
        <f>M3/D3</f>
        <v>7.0436462426640478</v>
      </c>
      <c r="H3" s="57">
        <f>[1]All!$J$12</f>
        <v>5.7</v>
      </c>
      <c r="I3" s="70">
        <f>[1]All!$I$12</f>
        <v>0.44</v>
      </c>
      <c r="J3" s="43">
        <f>D3*F3</f>
        <v>314926.40706397878</v>
      </c>
      <c r="K3" s="18">
        <v>1</v>
      </c>
      <c r="L3" s="44">
        <f>([2]prod_herd_data!$J$8+[2]prod_herd_data!$K$8)*(1-[2]prod_herd_data!$J$3)*(C26)</f>
        <v>314926.40706397872</v>
      </c>
      <c r="M3" s="69">
        <f>SUM([2]prod_herd_data!$J$10:$K$10)*C26</f>
        <v>462131.2924649755</v>
      </c>
      <c r="N3" s="41">
        <f>Dairy_Income_Baseline!B28</f>
        <v>84.737089689012336</v>
      </c>
      <c r="O3" s="41">
        <f ca="1">Dairy_Income_Baseline!B60</f>
        <v>159.48707855945256</v>
      </c>
      <c r="P3" s="41">
        <f>(G3-F3)*(Dairy_Income_Baseline!B24)</f>
        <v>0.12039563149077043</v>
      </c>
      <c r="Q3" s="42">
        <f>P3*Dairy_Income_Baseline!L36</f>
        <v>44.606958098634109</v>
      </c>
      <c r="R3" s="42">
        <f>IF(P3&gt;0, P3*Dairy_Income_Roadmap!L19/12, 0)</f>
        <v>0.28092314014513103</v>
      </c>
      <c r="S3" s="38">
        <f>G3*I3*N3</f>
        <v>262.6175566970112</v>
      </c>
      <c r="T3" s="38">
        <f ca="1">F3*O3*I3</f>
        <v>336.83670991756384</v>
      </c>
      <c r="U3" s="56">
        <f>N3*(M3*K3)/(D3)</f>
        <v>596.85808340229812</v>
      </c>
      <c r="V3" s="30">
        <f>SQRT(C3*(1-C3)/N23)</f>
        <v>2.9433727613268908E-2</v>
      </c>
      <c r="W3" s="39">
        <f>D3*(S3-Q3)</f>
        <v>14303603.024677955</v>
      </c>
      <c r="X3" s="1"/>
    </row>
    <row r="4" spans="1:25" ht="15.6" x14ac:dyDescent="0.6">
      <c r="A4" s="14"/>
      <c r="B4" t="s">
        <v>99</v>
      </c>
      <c r="C4" s="58">
        <f>1-C3</f>
        <v>0.5556045722449966</v>
      </c>
      <c r="D4" s="28">
        <f>L4/F4</f>
        <v>82028.367810366151</v>
      </c>
      <c r="E4" s="4">
        <v>0.27</v>
      </c>
      <c r="F4" s="59">
        <f>[1]All!$G$13</f>
        <v>2.6601940000000002</v>
      </c>
      <c r="G4" s="51">
        <f>M4/D4</f>
        <v>3.8141720088080677</v>
      </c>
      <c r="H4" s="57">
        <f>[1]All!$J$13</f>
        <v>5.4</v>
      </c>
      <c r="I4" s="70">
        <f>[1]All!$I$13</f>
        <v>0.55710000000000004</v>
      </c>
      <c r="J4" s="43">
        <f>D4*F4</f>
        <v>218211.37187892917</v>
      </c>
      <c r="K4" s="18">
        <v>1</v>
      </c>
      <c r="L4" s="44">
        <f>([2]prod_herd_data!$J$8+[2]prod_herd_data!$K$8)*([2]prod_herd_data!$J$3)*(1-C24)</f>
        <v>218211.3718789292</v>
      </c>
      <c r="M4" s="44">
        <f>SUM([2]prod_herd_data!$J$9:$K$9)*(1-C25)</f>
        <v>312870.30443051131</v>
      </c>
      <c r="N4" s="41">
        <f>Dairy_Income_Baseline!D28</f>
        <v>585.73698241090847</v>
      </c>
      <c r="O4" s="41">
        <f ca="1">Dairy_Income_Baseline!E60</f>
        <v>119.89705049275518</v>
      </c>
      <c r="P4" s="41">
        <f>(G4-F4)*(Dairy_Income_Baseline!B24)</f>
        <v>6.1923269566748887E-2</v>
      </c>
      <c r="Q4" s="42">
        <f>P4*Dairy_Income_Baseline!L38</f>
        <v>30.361004885281496</v>
      </c>
      <c r="R4" s="42">
        <f>IF(P4&gt;0, P4*Dairy_Income_Roadmap!L19/12, 0)</f>
        <v>0.14448762898908074</v>
      </c>
      <c r="S4" s="38">
        <f>G4*I4*N4</f>
        <v>1244.6180029395962</v>
      </c>
      <c r="T4" s="38">
        <f ca="1">F4*O4*I4</f>
        <v>177.68671872799194</v>
      </c>
      <c r="U4" s="56">
        <f>N4*(M4*K4)/(D4)</f>
        <v>2234.1016028353906</v>
      </c>
      <c r="V4" s="30">
        <f>SQRT(C4*(1-C4)/N23)</f>
        <v>2.9433727613268908E-2</v>
      </c>
      <c r="W4" s="39">
        <f>D4*(S4-Q4)</f>
        <v>99603519.652710378</v>
      </c>
      <c r="X4" s="1"/>
      <c r="Y4" s="18">
        <f ca="1">MC_Baseline!H17</f>
        <v>32.971195396572647</v>
      </c>
    </row>
    <row r="5" spans="1:25" ht="15.6" x14ac:dyDescent="0.6">
      <c r="A5" s="14"/>
      <c r="C5" s="31"/>
      <c r="D5" s="28"/>
      <c r="E5" s="4"/>
      <c r="F5" s="59"/>
      <c r="G5" s="4"/>
      <c r="H5" s="4"/>
      <c r="I5" s="71"/>
      <c r="J5" s="43"/>
      <c r="K5" s="18"/>
      <c r="L5" s="12"/>
      <c r="M5" s="45"/>
      <c r="N5" s="41"/>
      <c r="O5" s="41"/>
      <c r="P5" s="41"/>
      <c r="Q5" s="65"/>
      <c r="R5" s="65"/>
      <c r="S5" s="38"/>
      <c r="T5" s="38"/>
      <c r="U5" s="39"/>
      <c r="V5" s="30"/>
      <c r="W5" s="39"/>
      <c r="X5" s="1"/>
      <c r="Y5" s="18"/>
    </row>
    <row r="6" spans="1:25" ht="15.6" x14ac:dyDescent="0.6">
      <c r="A6" s="13" t="s">
        <v>100</v>
      </c>
      <c r="B6" t="s">
        <v>97</v>
      </c>
      <c r="C6" s="49">
        <f>D6/SUM(D6:D8)</f>
        <v>6.6659314163250508E-2</v>
      </c>
      <c r="D6" s="50">
        <f>D3*C31</f>
        <v>9841.4502207493369</v>
      </c>
      <c r="E6" s="51">
        <f>E4</f>
        <v>0.27</v>
      </c>
      <c r="F6" s="50">
        <f>J6*(1/D6)</f>
        <v>1.2251856561396255</v>
      </c>
      <c r="G6" s="52"/>
      <c r="H6" s="51">
        <f>H3</f>
        <v>5.7</v>
      </c>
      <c r="I6" s="72">
        <f>I3</f>
        <v>0.44</v>
      </c>
      <c r="J6" s="53">
        <f>M6*K6</f>
        <v>12057.60364607424</v>
      </c>
      <c r="K6" s="54">
        <f>C27</f>
        <v>0.05</v>
      </c>
      <c r="L6" s="11"/>
      <c r="M6" s="45">
        <f>([2]prod_herd_data!J25*[2]prod_herd_data!J31+[2]prod_herd_data!K25*[2]prod_herd_data!K31)*(1-C25)</f>
        <v>241152.07292148477</v>
      </c>
      <c r="N6" s="41">
        <f>Dairy_Income_Roadmap!C27</f>
        <v>1495.1172015495711</v>
      </c>
      <c r="O6" s="41">
        <f ca="1">Dairy_Income_Roadmap!C55</f>
        <v>81.388033811893607</v>
      </c>
      <c r="P6" s="41">
        <f>(F6*(Dairy_Income_Roadmap!C22 + Dairy_Income_Baseline!B24)  -   F3*Dairy_Income_Baseline!B24)</f>
        <v>0.15705628993927817</v>
      </c>
      <c r="Q6" s="42">
        <f>(P6*(Dairy_Income_Roadmap!C19))</f>
        <v>74.317546538515671</v>
      </c>
      <c r="R6" s="42">
        <f>IF(P6&gt;0, P6*Dairy_Income_Roadmap!L19/12, 0)</f>
        <v>0.36646467652498238</v>
      </c>
      <c r="S6" s="38">
        <f>F6*I6*N6</f>
        <v>805.99030581790691</v>
      </c>
      <c r="T6" s="38">
        <f ca="1">F6*O6*I6</f>
        <v>43.874798707405112</v>
      </c>
      <c r="U6" s="39">
        <f>U3</f>
        <v>596.85808340229812</v>
      </c>
      <c r="V6" s="30">
        <f>V3</f>
        <v>2.9433727613268908E-2</v>
      </c>
      <c r="W6" s="39">
        <f>D6*(S6-Q6)</f>
        <v>7200721.0383264413</v>
      </c>
      <c r="X6" s="1"/>
      <c r="Y6" s="18"/>
    </row>
    <row r="7" spans="1:25" ht="15.6" x14ac:dyDescent="0.6">
      <c r="A7" s="13"/>
      <c r="B7" t="s">
        <v>98</v>
      </c>
      <c r="C7" s="49">
        <f>D7/SUM(D6:D8)</f>
        <v>0.37773611359175291</v>
      </c>
      <c r="D7" s="50">
        <f>D3-D6</f>
        <v>55768.217917579575</v>
      </c>
      <c r="E7" s="51">
        <f>E3</f>
        <v>0.67</v>
      </c>
      <c r="F7" s="50">
        <f>J7*(1/D7)</f>
        <v>5.2215390286849646</v>
      </c>
      <c r="G7" s="52"/>
      <c r="H7" s="51">
        <f>H3</f>
        <v>5.7</v>
      </c>
      <c r="I7" s="72">
        <f>I3</f>
        <v>0.44</v>
      </c>
      <c r="J7" s="53">
        <f>M7*K7</f>
        <v>291195.92641684989</v>
      </c>
      <c r="K7" s="54">
        <v>1</v>
      </c>
      <c r="L7" s="11"/>
      <c r="M7" s="45">
        <f>([2]prod_herd_data!J26*[2]prod_herd_data!J31+[2]prod_herd_data!K26*[2]prod_herd_data!K31)*C26</f>
        <v>291195.92641684989</v>
      </c>
      <c r="N7" s="41">
        <f>Dairy_Income_Roadmap!E27</f>
        <v>340.3171855089804</v>
      </c>
      <c r="O7" s="41">
        <f ca="1">Dairy_Income_Roadmap!E55</f>
        <v>30.775819769492379</v>
      </c>
      <c r="P7" s="41">
        <f>(F7*(Dairy_Income_Roadmap!E22 + Dairy_Income_Baseline!B24)  -   F3*Dairy_Income_Baseline!B24)</f>
        <v>1.0547462411083355</v>
      </c>
      <c r="Q7" s="42">
        <f>(P7*(Dairy_Income_Roadmap!E19))</f>
        <v>499.09591580317607</v>
      </c>
      <c r="R7" s="42">
        <f>IF(P7&gt;0, P7*Dairy_Income_Roadmap!L19/12, 0)</f>
        <v>2.4610745625861159</v>
      </c>
      <c r="S7" s="38">
        <f>F7*I7*N7</f>
        <v>781.87096515763949</v>
      </c>
      <c r="T7" s="38">
        <f ca="1">F7*O7*I7</f>
        <v>70.706743389118657</v>
      </c>
      <c r="U7" s="39">
        <f>U3</f>
        <v>596.85808340229812</v>
      </c>
      <c r="V7" s="30">
        <f>V3</f>
        <v>2.9433727613268908E-2</v>
      </c>
      <c r="W7" s="39">
        <f>D7*(S7-Q7)</f>
        <v>15769860.574054036</v>
      </c>
      <c r="X7" s="1"/>
      <c r="Y7" s="18"/>
    </row>
    <row r="8" spans="1:25" ht="15.6" x14ac:dyDescent="0.6">
      <c r="A8" s="14"/>
      <c r="B8" t="s">
        <v>99</v>
      </c>
      <c r="C8" s="49">
        <f>D8/SUM(D6:D8)</f>
        <v>0.5556045722449966</v>
      </c>
      <c r="D8" s="50">
        <f>D4</f>
        <v>82028.367810366151</v>
      </c>
      <c r="E8" s="51">
        <f>E4</f>
        <v>0.27</v>
      </c>
      <c r="F8" s="50">
        <f>J8*(1/D8)</f>
        <v>2.7928688012546221</v>
      </c>
      <c r="G8" s="52"/>
      <c r="H8" s="51">
        <f>H4</f>
        <v>5.4</v>
      </c>
      <c r="I8" s="72">
        <f>I4</f>
        <v>0.55710000000000004</v>
      </c>
      <c r="J8" s="53">
        <f t="shared" ref="J8" si="0">M8*K8</f>
        <v>229094.46927541052</v>
      </c>
      <c r="K8" s="54">
        <f>K4*(1-C27)</f>
        <v>0.95</v>
      </c>
      <c r="L8" s="11"/>
      <c r="M8" s="45">
        <f>([2]prod_herd_data!J25*[2]prod_herd_data!J31+[2]prod_herd_data!K25*[2]prod_herd_data!K31)*(1-C25)</f>
        <v>241152.07292148477</v>
      </c>
      <c r="N8" s="41">
        <f>Dairy_Income_Roadmap!G27</f>
        <v>1662.110376985115</v>
      </c>
      <c r="O8" s="41">
        <f ca="1">Dairy_Income_Roadmap!G55</f>
        <v>82.826543138729107</v>
      </c>
      <c r="P8" s="41">
        <f>(F8*(Dairy_Income_Roadmap!G22 + Dairy_Income_Baseline!D24)  -   F5*Dairy_Income_Baseline!D24)</f>
        <v>0.92376754193251132</v>
      </c>
      <c r="Q8" s="42">
        <f>(P8*(Dairy_Income_Roadmap!G19))</f>
        <v>578.45437685600098</v>
      </c>
      <c r="R8" s="42">
        <f>IF(P8&gt;0, P8*Dairy_Income_Roadmap!L19/12, 0)</f>
        <v>2.1554575978425263</v>
      </c>
      <c r="S8" s="38">
        <f>F8*I8*N8</f>
        <v>2586.0895180022831</v>
      </c>
      <c r="T8" s="38">
        <f ca="1">F8*O8*I8</f>
        <v>128.87041558091991</v>
      </c>
      <c r="U8" s="39">
        <f t="shared" ref="U8" si="1">U4</f>
        <v>2234.1016028353906</v>
      </c>
      <c r="V8" s="30">
        <f>V4</f>
        <v>2.9433727613268908E-2</v>
      </c>
      <c r="W8" s="39">
        <f>D8*(S8-Q8)</f>
        <v>164683033.78696358</v>
      </c>
      <c r="X8" s="74">
        <f>-1+SUM(W6:W8)/SUM(W3:W4)</f>
        <v>0.64742652600244388</v>
      </c>
      <c r="Y8" s="18">
        <f ca="1">MC_High_ambition!I18</f>
        <v>16.320325038575472</v>
      </c>
    </row>
    <row r="9" spans="1:25" ht="15.6" x14ac:dyDescent="0.6">
      <c r="A9" s="14"/>
      <c r="C9" s="49"/>
      <c r="D9" s="50"/>
      <c r="E9" s="51"/>
      <c r="F9" s="50"/>
      <c r="G9" s="52"/>
      <c r="H9" s="23"/>
      <c r="I9" s="72"/>
      <c r="J9" s="53"/>
      <c r="K9" s="54"/>
      <c r="L9" s="11"/>
      <c r="M9" s="45"/>
      <c r="N9" s="41"/>
      <c r="O9" s="41"/>
      <c r="P9" s="41"/>
      <c r="Q9" s="42"/>
      <c r="R9" s="42"/>
      <c r="S9" s="38"/>
      <c r="T9" s="38"/>
      <c r="U9" s="39"/>
      <c r="V9" s="30"/>
      <c r="W9" s="39"/>
      <c r="X9" s="74"/>
      <c r="Y9" s="18"/>
    </row>
    <row r="10" spans="1:25" ht="15.6" x14ac:dyDescent="0.6">
      <c r="A10" s="13" t="s">
        <v>101</v>
      </c>
      <c r="B10" t="str">
        <f>B6</f>
        <v>New-improved</v>
      </c>
      <c r="C10" s="49">
        <f>D10/SUM(D10:D12)</f>
        <v>3.7773611359175292E-2</v>
      </c>
      <c r="D10" s="50">
        <f>D3*C32</f>
        <v>5576.8217917579577</v>
      </c>
      <c r="E10" s="51">
        <f>E6</f>
        <v>0.27</v>
      </c>
      <c r="F10" s="50">
        <f>J10*(1/D10)</f>
        <v>1.2820105372710859</v>
      </c>
      <c r="G10" s="52"/>
      <c r="H10" s="51">
        <f>H6</f>
        <v>5.7</v>
      </c>
      <c r="I10" s="72">
        <f>I6</f>
        <v>0.44</v>
      </c>
      <c r="J10" s="53">
        <f>M10*K10</f>
        <v>7149.5443015167193</v>
      </c>
      <c r="K10" s="54">
        <f>C28</f>
        <v>0.03</v>
      </c>
      <c r="L10" s="11"/>
      <c r="M10" s="45">
        <f>([2]prod_herd_data!J34*[2]prod_herd_data!J40+[2]prod_herd_data!K34*[2]prod_herd_data!K40)*(1-C25)</f>
        <v>238318.14338389065</v>
      </c>
      <c r="N10" s="41">
        <f>Dairy_Income_Roadmap!C27</f>
        <v>1495.1172015495711</v>
      </c>
      <c r="O10" s="41">
        <f ca="1">Dairy_Income_Roadmap!C55</f>
        <v>81.388033811893607</v>
      </c>
      <c r="P10" s="41">
        <f>(F10*(Dairy_Income_Roadmap!C22+Dairy_Income_Baseline!B24)-F3*Dairy_Income_Baseline!B24)</f>
        <v>0.17628698141528126</v>
      </c>
      <c r="Q10" s="42">
        <f>(P10*(Dairy_Income_Roadmap!C19))</f>
        <v>83.417327319586278</v>
      </c>
      <c r="R10" s="42">
        <f>IF(P10&gt;0, P10*Dairy_Income_Roadmap!L19/12, 0)</f>
        <v>0.41133628996898963</v>
      </c>
      <c r="S10" s="38">
        <f>F10*I10*N10</f>
        <v>843.37264301039568</v>
      </c>
      <c r="T10" s="38">
        <f ca="1">F10*O10*I10</f>
        <v>45.909739460034139</v>
      </c>
      <c r="U10" s="39">
        <f t="shared" ref="U10:U12" si="2">U6</f>
        <v>596.85808340229812</v>
      </c>
      <c r="V10" s="30">
        <f>V6</f>
        <v>2.9433727613268908E-2</v>
      </c>
      <c r="W10" s="39">
        <f>D10*(S10-Q10)</f>
        <v>4238135.365306804</v>
      </c>
      <c r="X10" s="74"/>
      <c r="Y10" s="18"/>
    </row>
    <row r="11" spans="1:25" ht="15.6" x14ac:dyDescent="0.6">
      <c r="A11" s="15"/>
      <c r="B11" t="str">
        <f t="shared" ref="B11:B20" si="3">B7</f>
        <v>Local-only</v>
      </c>
      <c r="C11" s="49">
        <f>D11/SUM(D10:D12)</f>
        <v>0.40662181639582812</v>
      </c>
      <c r="D11" s="50">
        <f>D3*(1-C32)</f>
        <v>60032.846346570957</v>
      </c>
      <c r="E11" s="51">
        <f>E7</f>
        <v>0.67</v>
      </c>
      <c r="F11" s="50">
        <f>J11*(1/D11)</f>
        <v>5.677991189887404</v>
      </c>
      <c r="G11" s="52"/>
      <c r="H11" s="51">
        <f t="shared" ref="H11:H20" si="4">H7</f>
        <v>5.7</v>
      </c>
      <c r="I11" s="72">
        <f>I6</f>
        <v>0.44</v>
      </c>
      <c r="J11" s="53">
        <f>M11*K11</f>
        <v>340865.97265969415</v>
      </c>
      <c r="K11" s="54">
        <v>1</v>
      </c>
      <c r="L11" s="11"/>
      <c r="M11" s="45">
        <f>([2]prod_herd_data!J35*[2]prod_herd_data!J40+[2]prod_herd_data!K35*[2]prod_herd_data!K40)*C26</f>
        <v>340865.97265969415</v>
      </c>
      <c r="N11" s="41">
        <f>Dairy_Income_Roadmap!E27</f>
        <v>340.3171855089804</v>
      </c>
      <c r="O11" s="41">
        <f ca="1">Dairy_Income_Roadmap!E55</f>
        <v>30.775819769492379</v>
      </c>
      <c r="P11" s="41">
        <f>(F11*(Dairy_Income_Roadmap!E22 + Dairy_Income_Baseline!B24)  -   F3*Dairy_Income_Baseline!B24)</f>
        <v>1.169465331666258</v>
      </c>
      <c r="Q11" s="42">
        <f>(P11*(Dairy_Income_Roadmap!E19))</f>
        <v>553.37990121178859</v>
      </c>
      <c r="R11" s="42">
        <f>IF(P11&gt;0, P11*Dairy_Income_Roadmap!L19/12, 0)</f>
        <v>2.7287524405546022</v>
      </c>
      <c r="S11" s="38">
        <f>F11*I11*N11</f>
        <v>850.21991167839792</v>
      </c>
      <c r="T11" s="38">
        <f ca="1">F11*O11*I11</f>
        <v>76.887726745605733</v>
      </c>
      <c r="U11" s="39">
        <f t="shared" si="2"/>
        <v>596.85808340229812</v>
      </c>
      <c r="V11" s="30">
        <f>V3</f>
        <v>2.9433727613268908E-2</v>
      </c>
      <c r="W11" s="39">
        <f>D11*(S11-Q11)</f>
        <v>17820150.737856474</v>
      </c>
      <c r="X11" s="74"/>
      <c r="Y11" s="18"/>
    </row>
    <row r="12" spans="1:25" ht="15.6" x14ac:dyDescent="0.6">
      <c r="A12" s="13"/>
      <c r="B12" t="str">
        <f t="shared" si="3"/>
        <v>Extant-improved</v>
      </c>
      <c r="C12" s="49">
        <f>D12/SUM(D10:D12)</f>
        <v>0.5556045722449966</v>
      </c>
      <c r="D12" s="50">
        <f>D8</f>
        <v>82028.367810366151</v>
      </c>
      <c r="E12" s="51">
        <f>E8</f>
        <v>0.27</v>
      </c>
      <c r="F12" s="50">
        <f>J12*(1/D12)</f>
        <v>2.818154319695735</v>
      </c>
      <c r="G12" s="52"/>
      <c r="H12" s="51">
        <f t="shared" si="4"/>
        <v>5.4</v>
      </c>
      <c r="I12" s="72">
        <f>I8</f>
        <v>0.55710000000000004</v>
      </c>
      <c r="J12" s="53">
        <f t="shared" ref="J12" si="5">M12*K12</f>
        <v>231168.59908237393</v>
      </c>
      <c r="K12" s="54">
        <f>K4*(1-C28)</f>
        <v>0.97</v>
      </c>
      <c r="L12" s="11"/>
      <c r="M12" s="45">
        <f>M10</f>
        <v>238318.14338389065</v>
      </c>
      <c r="N12" s="41">
        <f>Dairy_Income_Roadmap!G27</f>
        <v>1662.110376985115</v>
      </c>
      <c r="O12" s="41">
        <f ca="1">Dairy_Income_Roadmap!G55</f>
        <v>82.826543138729107</v>
      </c>
      <c r="P12" s="41">
        <f>(F12*(Dairy_Income_Roadmap!G22 + Dairy_Income_Baseline!D24)  -   F4*Dairy_Income_Baseline!D24)</f>
        <v>0.5005134564407645</v>
      </c>
      <c r="Q12" s="42">
        <f>(P12*(Dairy_Income_Roadmap!G19))</f>
        <v>313.41672705646732</v>
      </c>
      <c r="R12" s="42">
        <f>IF(P12&gt;0, P12*Dairy_Income_Roadmap!L19/12, 0)</f>
        <v>1.1678647316951172</v>
      </c>
      <c r="S12" s="38">
        <f>F12*I12*N12</f>
        <v>2609.502939416293</v>
      </c>
      <c r="T12" s="38">
        <f ca="1">F12*O12*I12</f>
        <v>130.03715684288736</v>
      </c>
      <c r="U12" s="39">
        <f t="shared" si="2"/>
        <v>2234.1016028353906</v>
      </c>
      <c r="V12" s="30">
        <f>V8</f>
        <v>2.9433727613268908E-2</v>
      </c>
      <c r="W12" s="39">
        <f>D12*(S12-Q12)</f>
        <v>188344204.35176226</v>
      </c>
      <c r="X12" s="74">
        <f>-1+SUM(W10:W12)/SUM(W3:W4)</f>
        <v>0.84714077144091049</v>
      </c>
      <c r="Y12" s="18">
        <f ca="1">MC_Middle_road!I18</f>
        <v>11.465319441421029</v>
      </c>
    </row>
    <row r="13" spans="1:25" ht="15.6" x14ac:dyDescent="0.6">
      <c r="A13" s="13"/>
      <c r="C13" s="49"/>
      <c r="D13" s="50"/>
      <c r="E13" s="51"/>
      <c r="F13" s="50"/>
      <c r="G13" s="52"/>
      <c r="H13" s="51"/>
      <c r="I13" s="72"/>
      <c r="J13" s="53"/>
      <c r="K13" s="54"/>
      <c r="L13" s="11"/>
      <c r="M13" s="45"/>
      <c r="N13" s="41"/>
      <c r="O13" s="41"/>
      <c r="P13" s="41"/>
      <c r="Q13" s="42"/>
      <c r="R13" s="42"/>
      <c r="S13" s="38"/>
      <c r="T13" s="38"/>
      <c r="U13" s="39"/>
      <c r="V13" s="30"/>
      <c r="W13" s="39"/>
      <c r="X13" s="74"/>
      <c r="Y13" s="18"/>
    </row>
    <row r="14" spans="1:25" ht="15.6" x14ac:dyDescent="0.6">
      <c r="A14" s="13" t="s">
        <v>127</v>
      </c>
      <c r="B14" t="str">
        <f t="shared" si="3"/>
        <v>New-improved</v>
      </c>
      <c r="C14" s="49">
        <f>D14/SUM(D14:D16)</f>
        <v>8.8879085551000683E-3</v>
      </c>
      <c r="D14" s="50">
        <f>D3*C33</f>
        <v>1312.1933627665783</v>
      </c>
      <c r="E14" s="51">
        <f>E10</f>
        <v>0.27</v>
      </c>
      <c r="F14" s="50">
        <f>J14*(1/D14)</f>
        <v>1.9644155201899163</v>
      </c>
      <c r="G14" s="52"/>
      <c r="H14" s="51">
        <f t="shared" si="4"/>
        <v>5.7</v>
      </c>
      <c r="I14" s="72">
        <f>I11</f>
        <v>0.44</v>
      </c>
      <c r="J14" s="53">
        <f>M14*K14</f>
        <v>2577.6930073088633</v>
      </c>
      <c r="K14" s="54">
        <f>C29</f>
        <v>0.01</v>
      </c>
      <c r="L14" s="11"/>
      <c r="M14" s="45">
        <f>([2]prod_herd_data!J43*[2]prod_herd_data!J49+[2]prod_herd_data!K43*[2]prod_herd_data!K49)*(1-C25)</f>
        <v>257769.30073088632</v>
      </c>
      <c r="N14" s="41">
        <f>Dairy_Income_Roadmap!C27</f>
        <v>1495.1172015495711</v>
      </c>
      <c r="O14" s="41">
        <f ca="1">Dairy_Income_Roadmap!C55</f>
        <v>81.388033811893607</v>
      </c>
      <c r="P14" s="41">
        <f>(F14*(Dairy_Income_Roadmap!C22+ Dairy_Income_Baseline!B24)  -   F3*Dairy_Income_Baseline!B24)</f>
        <v>0.40722665831209254</v>
      </c>
      <c r="Q14" s="42">
        <f>(P14*(Dairy_Income_Roadmap!C19))</f>
        <v>192.6957916969387</v>
      </c>
      <c r="R14" s="42">
        <f>IF(P14&gt;0, P14*Dairy_Income_Roadmap!L19/12, 0)</f>
        <v>0.95019553606154927</v>
      </c>
      <c r="S14" s="38">
        <f>F14*I14*N14</f>
        <v>1292.2938314998328</v>
      </c>
      <c r="T14" s="38">
        <f ca="1">F14*O14*I14</f>
        <v>70.34716338224321</v>
      </c>
      <c r="U14" s="39">
        <f t="shared" ref="U14:U16" si="6">U10</f>
        <v>596.85808340229812</v>
      </c>
      <c r="V14" s="30">
        <f>V10</f>
        <v>2.9433727613268908E-2</v>
      </c>
      <c r="W14" s="39">
        <f>D14*(S14-Q14)</f>
        <v>1442885.2495404975</v>
      </c>
      <c r="X14" s="74"/>
      <c r="Y14" s="18"/>
    </row>
    <row r="15" spans="1:25" ht="15.6" x14ac:dyDescent="0.6">
      <c r="A15" s="13"/>
      <c r="B15" t="str">
        <f t="shared" si="3"/>
        <v>Local-only</v>
      </c>
      <c r="C15" s="49">
        <f>D15/SUM(D14:D16)</f>
        <v>0.43550751919990333</v>
      </c>
      <c r="D15" s="50">
        <f>D3*(1-C33)</f>
        <v>64297.474775562332</v>
      </c>
      <c r="E15" s="51">
        <f>E11</f>
        <v>0.67</v>
      </c>
      <c r="F15" s="50">
        <f>J15*(1/D15)</f>
        <v>6.7135715843459556</v>
      </c>
      <c r="G15" s="52"/>
      <c r="H15" s="51">
        <f t="shared" si="4"/>
        <v>5.7</v>
      </c>
      <c r="I15" s="72">
        <f>I3</f>
        <v>0.44</v>
      </c>
      <c r="J15" s="53">
        <f>M15*K15</f>
        <v>431665.6995984161</v>
      </c>
      <c r="K15" s="54">
        <v>1</v>
      </c>
      <c r="L15" s="11"/>
      <c r="M15" s="45">
        <f>([2]prod_herd_data!J44*[2]prod_herd_data!J49+[2]prod_herd_data!K44*[2]prod_herd_data!K49)*C26</f>
        <v>431665.6995984161</v>
      </c>
      <c r="N15" s="41">
        <f>Dairy_Income_Roadmap!E27</f>
        <v>340.3171855089804</v>
      </c>
      <c r="O15" s="41">
        <f ca="1">Dairy_Income_Roadmap!E55</f>
        <v>30.775819769492379</v>
      </c>
      <c r="P15" s="41">
        <f>(F15*(Dairy_Income_Roadmap!E22 + Dairy_Income_Baseline!B24)  -   F3*Dairy_Income_Baseline!B24)</f>
        <v>1.4297354128483484</v>
      </c>
      <c r="Q15" s="42">
        <f>(P15*(Dairy_Income_Roadmap!E19))</f>
        <v>676.53723466409156</v>
      </c>
      <c r="R15" s="42">
        <f>IF(P15&gt;0, P15*Dairy_Income_Roadmap!L19/12, 0)</f>
        <v>3.3360492966461464</v>
      </c>
      <c r="S15" s="38">
        <f>F15*I15*N15</f>
        <v>1005.2872659709801</v>
      </c>
      <c r="T15" s="38">
        <f ca="1">F15*O15*I15</f>
        <v>90.910894399343277</v>
      </c>
      <c r="U15" s="39">
        <f t="shared" si="6"/>
        <v>596.85808340229812</v>
      </c>
      <c r="V15" s="30">
        <f>V11</f>
        <v>2.9433727613268908E-2</v>
      </c>
      <c r="W15" s="39">
        <f>D15*(S15-Q15)</f>
        <v>21137796.845419995</v>
      </c>
      <c r="X15" s="74"/>
      <c r="Y15" s="18"/>
    </row>
    <row r="16" spans="1:25" ht="15.6" x14ac:dyDescent="0.6">
      <c r="A16" s="14"/>
      <c r="B16" t="str">
        <f t="shared" si="3"/>
        <v>Extant-improved</v>
      </c>
      <c r="C16" s="49">
        <f>D16/SUM(D14:D16)</f>
        <v>0.5556045722449966</v>
      </c>
      <c r="D16" s="50">
        <f>D12</f>
        <v>82028.367810366151</v>
      </c>
      <c r="E16" s="51">
        <f>E12</f>
        <v>0.27</v>
      </c>
      <c r="F16" s="50">
        <f>J16*(1/D16)</f>
        <v>3.1110165243508381</v>
      </c>
      <c r="G16" s="52"/>
      <c r="H16" s="51">
        <f t="shared" si="4"/>
        <v>5.4</v>
      </c>
      <c r="I16" s="72">
        <f>I12</f>
        <v>0.55710000000000004</v>
      </c>
      <c r="J16" s="53">
        <f>M16*K16</f>
        <v>255191.60772357744</v>
      </c>
      <c r="K16" s="54">
        <f>K4*(1-C29)</f>
        <v>0.99</v>
      </c>
      <c r="L16" s="11"/>
      <c r="M16" s="45">
        <f>M14</f>
        <v>257769.30073088632</v>
      </c>
      <c r="N16" s="41">
        <f>Dairy_Income_Roadmap!G27</f>
        <v>1662.110376985115</v>
      </c>
      <c r="O16" s="41">
        <f ca="1">Dairy_Income_Roadmap!G55</f>
        <v>82.826543138729107</v>
      </c>
      <c r="P16" s="41">
        <f>(F16*(Dairy_Income_Roadmap!G22 + Dairy_Income_Baseline!D24)  -   F4*Dairy_Income_Baseline!D24)</f>
        <v>0.59738037650433817</v>
      </c>
      <c r="Q16" s="42">
        <f>(P16*(Dairy_Income_Roadmap!G19))</f>
        <v>374.07386355437234</v>
      </c>
      <c r="R16" s="42">
        <f>IF(P16&gt;0, P16*Dairy_Income_Roadmap!L19/12, 0)</f>
        <v>1.3938875451767891</v>
      </c>
      <c r="S16" s="38">
        <f>F16*I16*N16</f>
        <v>2880.6821216741109</v>
      </c>
      <c r="T16" s="38">
        <f ca="1">F16*O16*I16</f>
        <v>143.55060008264613</v>
      </c>
      <c r="U16" s="39">
        <f t="shared" si="6"/>
        <v>2234.1016028353906</v>
      </c>
      <c r="V16" s="30">
        <f>V12</f>
        <v>2.9433727613268908E-2</v>
      </c>
      <c r="W16" s="39">
        <f>D16*(S16-Q16)</f>
        <v>205612984.15354717</v>
      </c>
      <c r="X16" s="74">
        <f>-1+SUM(W14:W16)/SUM(W3:W4)</f>
        <v>1.0033309672372779</v>
      </c>
      <c r="Y16" s="18">
        <f ca="1">MC_Meagre!I18</f>
        <v>14.312015702427038</v>
      </c>
    </row>
    <row r="17" spans="1:25" ht="15.6" x14ac:dyDescent="0.6">
      <c r="A17" s="14"/>
      <c r="C17" s="49"/>
      <c r="D17" s="50"/>
      <c r="E17" s="51"/>
      <c r="F17" s="50"/>
      <c r="G17" s="52"/>
      <c r="H17" s="51"/>
      <c r="I17" s="72"/>
      <c r="J17" s="53"/>
      <c r="K17" s="54"/>
      <c r="L17" s="11"/>
      <c r="M17" s="45"/>
      <c r="N17" s="41"/>
      <c r="O17" s="41"/>
      <c r="P17" s="41"/>
      <c r="Q17" s="42"/>
      <c r="R17" s="42"/>
      <c r="S17" s="38"/>
      <c r="T17" s="38"/>
      <c r="U17" s="39"/>
      <c r="V17" s="30"/>
      <c r="W17" s="39"/>
      <c r="X17" s="74"/>
      <c r="Y17" s="18"/>
    </row>
    <row r="18" spans="1:25" ht="15.6" x14ac:dyDescent="0.6">
      <c r="A18" s="13" t="s">
        <v>102</v>
      </c>
      <c r="B18" t="str">
        <f t="shared" si="3"/>
        <v>New-improved</v>
      </c>
      <c r="C18" s="49">
        <f>D18/SUM(D18:D20)</f>
        <v>6.6659314163250508E-2</v>
      </c>
      <c r="D18" s="50">
        <f>D3*C34</f>
        <v>9841.4502207493369</v>
      </c>
      <c r="E18" s="51">
        <f>E14</f>
        <v>0.27</v>
      </c>
      <c r="F18" s="50">
        <f>J18*(1/D18)</f>
        <v>1.5512206563708677</v>
      </c>
      <c r="G18" s="52"/>
      <c r="H18" s="51">
        <f t="shared" si="4"/>
        <v>5.7</v>
      </c>
      <c r="I18" s="72">
        <f>I14</f>
        <v>0.44</v>
      </c>
      <c r="J18" s="53">
        <f>M18*K18</f>
        <v>15266.260871072009</v>
      </c>
      <c r="K18" s="54">
        <f>C30</f>
        <v>0.05</v>
      </c>
      <c r="L18" s="11"/>
      <c r="M18" s="45">
        <f>([2]prod_herd_data!J58*[2]prod_herd_data!J52+[2]prod_herd_data!K58*[2]prod_herd_data!K52)*(1-C25)</f>
        <v>305325.21742144017</v>
      </c>
      <c r="N18" s="41">
        <f>Dairy_Income_Roadmap!C27</f>
        <v>1495.1172015495711</v>
      </c>
      <c r="O18" s="41">
        <f ca="1">Dairy_Income_Roadmap!C55</f>
        <v>81.388033811893607</v>
      </c>
      <c r="P18" s="41">
        <f>(F18*(Dairy_Income_Roadmap!C22 + Dairy_Income_Baseline!B24)  -   F3*Dairy_Income_Baseline!B24)</f>
        <v>0.26739314194818403</v>
      </c>
      <c r="Q18" s="42">
        <f>(P18*(Dairy_Income_Roadmap!C19))</f>
        <v>126.52789823633996</v>
      </c>
      <c r="R18" s="42">
        <f>IF(P18&gt;0, P18*Dairy_Income_Roadmap!L19/12, 0)</f>
        <v>0.62391733121242943</v>
      </c>
      <c r="S18" s="38">
        <f>F18*I18*N18</f>
        <v>1020.4729421652041</v>
      </c>
      <c r="T18" s="38">
        <f ca="1">F18*O18*I18</f>
        <v>55.550351661384788</v>
      </c>
      <c r="U18" s="39">
        <f t="shared" ref="U18:U20" si="7">U14</f>
        <v>596.85808340229812</v>
      </c>
      <c r="V18" s="30">
        <f>V14</f>
        <v>2.9433727613268908E-2</v>
      </c>
      <c r="W18" s="39">
        <f>D18*(S18-Q18)</f>
        <v>8797715.6499114949</v>
      </c>
      <c r="X18" s="74"/>
      <c r="Y18" s="18"/>
    </row>
    <row r="19" spans="1:25" ht="15.6" x14ac:dyDescent="0.6">
      <c r="A19" s="13"/>
      <c r="B19" t="str">
        <f t="shared" si="3"/>
        <v>Local-only</v>
      </c>
      <c r="C19" s="49">
        <f>D19/SUM(D18:D20)</f>
        <v>0.37773611359175291</v>
      </c>
      <c r="D19" s="50">
        <f>D3*(1-C34)</f>
        <v>55768.217917579575</v>
      </c>
      <c r="E19" s="51">
        <f>E15</f>
        <v>0.67</v>
      </c>
      <c r="F19" s="50">
        <f>J19*(1/D19)</f>
        <v>6.6110463820347922</v>
      </c>
      <c r="G19" s="52"/>
      <c r="H19" s="51">
        <f t="shared" si="4"/>
        <v>5.7</v>
      </c>
      <c r="I19" s="72">
        <f>I15</f>
        <v>0.44</v>
      </c>
      <c r="J19" s="53">
        <f t="shared" ref="J19" si="8">M19*K19</f>
        <v>368686.27529654233</v>
      </c>
      <c r="K19" s="54">
        <v>1</v>
      </c>
      <c r="L19" s="11"/>
      <c r="M19" s="45">
        <f>([2]prod_herd_data!J58*[2]prod_herd_data!J53+[2]prod_herd_data!K58*[2]prod_herd_data!K53)*C26</f>
        <v>368686.27529654233</v>
      </c>
      <c r="N19" s="41">
        <f>Dairy_Income_Roadmap!E27</f>
        <v>340.3171855089804</v>
      </c>
      <c r="O19" s="41">
        <f ca="1">Dairy_Income_Roadmap!E55</f>
        <v>30.775819769492379</v>
      </c>
      <c r="P19" s="41">
        <f>(F19*(Dairy_Income_Roadmap!E22 + Dairy_Income_Baseline!B24)  -   F3*Dairy_Income_Baseline!B24)</f>
        <v>1.4039679853540412</v>
      </c>
      <c r="Q19" s="42">
        <f>(P19*(Dairy_Income_Roadmap!E19))</f>
        <v>664.34433240766884</v>
      </c>
      <c r="R19" s="42">
        <f>IF(P19&gt;0, P19*Dairy_Income_Roadmap!L19/12, 0)</f>
        <v>3.2759252991594292</v>
      </c>
      <c r="S19" s="38">
        <f>F19*I19*N19</f>
        <v>989.93518712149955</v>
      </c>
      <c r="T19" s="38">
        <f ca="1">F19*O19*I19</f>
        <v>89.522563654153259</v>
      </c>
      <c r="U19" s="39">
        <f t="shared" si="7"/>
        <v>596.85808340229812</v>
      </c>
      <c r="V19" s="30">
        <f>V15</f>
        <v>2.9433727613268908E-2</v>
      </c>
      <c r="W19" s="39">
        <f>D19*(S19-Q19)</f>
        <v>18157621.737651903</v>
      </c>
      <c r="X19" s="74"/>
      <c r="Y19" s="18"/>
    </row>
    <row r="20" spans="1:25" ht="15.6" x14ac:dyDescent="0.6">
      <c r="A20" s="15"/>
      <c r="B20" t="str">
        <f t="shared" si="3"/>
        <v>Extant-improved</v>
      </c>
      <c r="C20" s="49">
        <f>D20/SUM(D18:D20)</f>
        <v>0.5556045722449966</v>
      </c>
      <c r="D20" s="50">
        <f>D16</f>
        <v>82028.367810366151</v>
      </c>
      <c r="E20" s="51">
        <f>E16</f>
        <v>0.27</v>
      </c>
      <c r="F20" s="50">
        <f>J20*(1/D20)</f>
        <v>3.5360810448030473</v>
      </c>
      <c r="G20" s="52"/>
      <c r="H20" s="51">
        <f t="shared" si="4"/>
        <v>5.4</v>
      </c>
      <c r="I20" s="72">
        <f>I16</f>
        <v>0.55710000000000004</v>
      </c>
      <c r="J20" s="53">
        <f>M20*K20</f>
        <v>290058.95655036817</v>
      </c>
      <c r="K20" s="54">
        <f>K4*(1-C30)</f>
        <v>0.95</v>
      </c>
      <c r="L20" s="11"/>
      <c r="M20" s="45">
        <f>M18</f>
        <v>305325.21742144017</v>
      </c>
      <c r="N20" s="41">
        <f>Dairy_Income_Roadmap!G27</f>
        <v>1662.110376985115</v>
      </c>
      <c r="O20" s="41">
        <f ca="1">Dairy_Income_Roadmap!G55</f>
        <v>82.826543138729107</v>
      </c>
      <c r="P20" s="41">
        <f>(F20*(Dairy_Income_Roadmap!G22+ Dairy_Income_Baseline!D24)  -   F4*Dairy_Income_Baseline!D24)</f>
        <v>0.73797445204575518</v>
      </c>
      <c r="Q20" s="42">
        <f>(P20*(Dairy_Income_Roadmap!G19))</f>
        <v>462.11252551777085</v>
      </c>
      <c r="R20" s="42">
        <f>IF(P20&gt;0, P20*Dairy_Income_Roadmap!L19/12, 0)</f>
        <v>1.7219403881067621</v>
      </c>
      <c r="S20" s="38">
        <f>F20*I20*N20</f>
        <v>3274.2755838239673</v>
      </c>
      <c r="T20" s="38">
        <f ca="1">F20*O20*I20</f>
        <v>163.16421078099796</v>
      </c>
      <c r="U20" s="39">
        <f t="shared" si="7"/>
        <v>2234.1016028353906</v>
      </c>
      <c r="V20" s="30">
        <f>V16</f>
        <v>2.9433727613268908E-2</v>
      </c>
      <c r="W20" s="39">
        <f>D20*(S20-Q20)</f>
        <v>230677145.68946484</v>
      </c>
      <c r="X20" s="74">
        <f>-1+SUM(W18:W20)/SUM(W3:W4)</f>
        <v>1.2617767618158857</v>
      </c>
      <c r="Y20" s="18">
        <f ca="1">MC_High_ambition_plus!I18</f>
        <v>24.604561135246094</v>
      </c>
    </row>
    <row r="21" spans="1:25" ht="15.6" x14ac:dyDescent="0.6">
      <c r="A21" s="15"/>
      <c r="C21" s="49"/>
      <c r="D21" s="50"/>
      <c r="E21" s="51"/>
      <c r="F21" s="50"/>
      <c r="G21" s="52"/>
      <c r="H21" s="51"/>
      <c r="I21" s="72"/>
      <c r="J21" s="53"/>
      <c r="K21" s="54"/>
      <c r="L21" s="11"/>
      <c r="M21" s="45"/>
      <c r="N21" s="41"/>
      <c r="O21" s="41"/>
      <c r="P21" s="41"/>
      <c r="Q21" s="42"/>
      <c r="R21" s="42"/>
      <c r="S21" s="38"/>
      <c r="T21" s="38"/>
      <c r="U21" s="39"/>
      <c r="V21" s="30"/>
      <c r="W21" s="39"/>
      <c r="X21" s="63"/>
      <c r="Y21" s="18"/>
    </row>
    <row r="22" spans="1:25" x14ac:dyDescent="0.55000000000000004">
      <c r="M22" s="61" t="s">
        <v>83</v>
      </c>
      <c r="N22" s="62">
        <f>([2]prod_herd_data!J8+[2]prod_herd_data!K8)</f>
        <v>996179.17784934677</v>
      </c>
    </row>
    <row r="23" spans="1:25" ht="15.6" x14ac:dyDescent="0.6">
      <c r="A23" s="86" t="s">
        <v>120</v>
      </c>
      <c r="B23" s="86"/>
      <c r="C23" s="47"/>
      <c r="D23" s="47"/>
      <c r="E23" s="47"/>
      <c r="F23" s="47"/>
      <c r="M23" s="55" t="s">
        <v>22</v>
      </c>
      <c r="N23" s="55">
        <f>[1]All!$B$12</f>
        <v>285</v>
      </c>
    </row>
    <row r="24" spans="1:25" x14ac:dyDescent="0.55000000000000004">
      <c r="A24" s="64" t="s">
        <v>122</v>
      </c>
      <c r="B24" s="47"/>
      <c r="C24" s="73">
        <f>532194/(250800+532194)</f>
        <v>0.67969103211518866</v>
      </c>
      <c r="D24" s="47"/>
      <c r="E24" s="47"/>
      <c r="F24" s="47"/>
    </row>
    <row r="25" spans="1:25" x14ac:dyDescent="0.55000000000000004">
      <c r="A25" s="64" t="s">
        <v>121</v>
      </c>
      <c r="B25" s="47"/>
      <c r="C25" s="73">
        <f>9226165/(9226165+3518000)</f>
        <v>0.723952098862499</v>
      </c>
      <c r="D25" s="47"/>
      <c r="E25" s="47"/>
      <c r="F25" s="47"/>
      <c r="M25" s="2" t="s">
        <v>82</v>
      </c>
    </row>
    <row r="26" spans="1:25" x14ac:dyDescent="0.55000000000000004">
      <c r="A26" s="64" t="s">
        <v>34</v>
      </c>
      <c r="B26" s="47"/>
      <c r="C26" s="73">
        <f>1-0</f>
        <v>1</v>
      </c>
      <c r="D26" s="47"/>
      <c r="E26" s="47"/>
      <c r="F26" s="47"/>
      <c r="M26" s="55" t="s">
        <v>20</v>
      </c>
    </row>
    <row r="27" spans="1:25" x14ac:dyDescent="0.55000000000000004">
      <c r="A27" s="67" t="s">
        <v>119</v>
      </c>
      <c r="B27" s="47" t="str">
        <f>A6</f>
        <v>High ambition</v>
      </c>
      <c r="C27" s="48">
        <f>0.05</f>
        <v>0.05</v>
      </c>
      <c r="D27" s="47"/>
      <c r="E27" s="47"/>
      <c r="F27" s="47"/>
      <c r="M27" s="47" t="s">
        <v>24</v>
      </c>
      <c r="P27" s="2"/>
    </row>
    <row r="28" spans="1:25" x14ac:dyDescent="0.55000000000000004">
      <c r="A28" s="67"/>
      <c r="B28" s="47" t="str">
        <f>A10</f>
        <v>Middle road</v>
      </c>
      <c r="C28" s="48">
        <f>0.5*(C27-C29)+C29</f>
        <v>0.03</v>
      </c>
      <c r="D28" s="47"/>
      <c r="E28" s="47"/>
      <c r="F28" s="47"/>
      <c r="M28" s="60" t="s">
        <v>14</v>
      </c>
      <c r="P28" s="55"/>
      <c r="Q28" s="16"/>
      <c r="R28" s="16"/>
      <c r="S28" s="8"/>
      <c r="T28" s="8"/>
    </row>
    <row r="29" spans="1:25" x14ac:dyDescent="0.55000000000000004">
      <c r="A29" s="67"/>
      <c r="B29" s="47" t="str">
        <f>A14</f>
        <v>Meagre</v>
      </c>
      <c r="C29" s="48">
        <f>0.01</f>
        <v>0.01</v>
      </c>
      <c r="D29" s="47"/>
      <c r="E29" s="47"/>
      <c r="F29" s="47"/>
      <c r="M29" s="16"/>
      <c r="P29" s="47"/>
      <c r="Q29" s="19"/>
      <c r="R29" s="19"/>
    </row>
    <row r="30" spans="1:25" x14ac:dyDescent="0.55000000000000004">
      <c r="A30" s="67"/>
      <c r="B30" s="47" t="str">
        <f>A18</f>
        <v>High ambition ++</v>
      </c>
      <c r="C30" s="48">
        <f>C27</f>
        <v>0.05</v>
      </c>
      <c r="D30" s="47"/>
      <c r="E30" s="47"/>
      <c r="F30" s="47"/>
      <c r="M30" s="16"/>
      <c r="P30" s="60"/>
      <c r="Q30" s="19"/>
      <c r="R30" s="19"/>
    </row>
    <row r="31" spans="1:25" x14ac:dyDescent="0.55000000000000004">
      <c r="A31" s="68" t="s">
        <v>124</v>
      </c>
      <c r="B31" s="47" t="str">
        <f>A6</f>
        <v>High ambition</v>
      </c>
      <c r="C31" s="48">
        <f>0.15</f>
        <v>0.15</v>
      </c>
      <c r="D31" s="48"/>
      <c r="E31" s="35"/>
      <c r="F31" s="48"/>
      <c r="M31" s="19"/>
      <c r="O31" s="17"/>
      <c r="P31" s="17"/>
      <c r="Q31" s="17"/>
      <c r="R31" s="17"/>
    </row>
    <row r="32" spans="1:25" x14ac:dyDescent="0.55000000000000004">
      <c r="A32" s="68"/>
      <c r="B32" s="47" t="str">
        <f>B28</f>
        <v>Middle road</v>
      </c>
      <c r="C32" s="48">
        <f>C33+(C31-C33)*0.5</f>
        <v>8.5000000000000006E-2</v>
      </c>
      <c r="D32" s="48"/>
      <c r="E32" s="35"/>
      <c r="F32" s="47"/>
      <c r="M32" s="17"/>
      <c r="O32" s="20"/>
      <c r="P32" s="20"/>
      <c r="Q32" s="20"/>
      <c r="R32" s="20"/>
    </row>
    <row r="33" spans="1:18" x14ac:dyDescent="0.55000000000000004">
      <c r="A33" s="68"/>
      <c r="B33" s="47" t="str">
        <f>B29</f>
        <v>Meagre</v>
      </c>
      <c r="C33" s="48">
        <f>0.02</f>
        <v>0.02</v>
      </c>
      <c r="D33" s="48"/>
      <c r="E33" s="35"/>
      <c r="F33" s="47"/>
      <c r="M33" s="17"/>
      <c r="O33" s="20"/>
      <c r="P33" s="20"/>
      <c r="Q33" s="20"/>
      <c r="R33" s="20"/>
    </row>
    <row r="34" spans="1:18" x14ac:dyDescent="0.55000000000000004">
      <c r="A34" s="47"/>
      <c r="B34" s="47" t="str">
        <f>B30</f>
        <v>High ambition ++</v>
      </c>
      <c r="C34" s="48">
        <f>C31</f>
        <v>0.15</v>
      </c>
      <c r="D34" s="48"/>
      <c r="E34" s="35"/>
      <c r="F34" s="47"/>
      <c r="M34" s="20"/>
      <c r="O34" s="21"/>
      <c r="P34" s="21"/>
      <c r="Q34" s="21"/>
      <c r="R34" s="21"/>
    </row>
    <row r="35" spans="1:18" x14ac:dyDescent="0.55000000000000004">
      <c r="A35" s="68" t="s">
        <v>123</v>
      </c>
      <c r="B35" s="47" t="str">
        <f>A10</f>
        <v>Middle road</v>
      </c>
      <c r="C35" s="48">
        <f>(C6+C8)/SUM(C6,C7,C8)</f>
        <v>0.62226388640824715</v>
      </c>
      <c r="M35" s="21"/>
      <c r="O35" s="22"/>
      <c r="P35" s="22"/>
      <c r="Q35" s="22"/>
      <c r="R35" s="22"/>
    </row>
    <row r="36" spans="1:18" x14ac:dyDescent="0.55000000000000004">
      <c r="B36" s="47" t="str">
        <f>B32</f>
        <v>Middle road</v>
      </c>
      <c r="C36" s="48">
        <f>(C10+C12)/SUM(C10,C11,C12)</f>
        <v>0.59337818360417194</v>
      </c>
      <c r="M36" s="22"/>
      <c r="N36" s="16"/>
      <c r="P36" s="16"/>
      <c r="Q36" s="16"/>
      <c r="R36" s="16"/>
    </row>
    <row r="37" spans="1:18" x14ac:dyDescent="0.55000000000000004">
      <c r="B37" s="47" t="str">
        <f>B33</f>
        <v>Meagre</v>
      </c>
      <c r="C37" s="48">
        <f>(C14+C16)/SUM(C14,C15,C16)</f>
        <v>0.56449248080009662</v>
      </c>
    </row>
    <row r="38" spans="1:18" x14ac:dyDescent="0.55000000000000004">
      <c r="B38" s="47" t="str">
        <f>B34</f>
        <v>High ambition ++</v>
      </c>
      <c r="C38" s="48">
        <f>(C18+C20)/SUM(C18,C19,C20)</f>
        <v>0.62226388640824715</v>
      </c>
      <c r="E38" s="30"/>
      <c r="F38" s="30"/>
      <c r="G38" s="30"/>
      <c r="H38" s="30"/>
      <c r="I38" s="30"/>
    </row>
    <row r="39" spans="1:18" ht="15.3" x14ac:dyDescent="0.55000000000000004">
      <c r="E39" s="30"/>
      <c r="F39" s="30"/>
      <c r="G39" s="30"/>
      <c r="H39" s="30"/>
      <c r="I39" s="30"/>
      <c r="N39" s="32"/>
    </row>
    <row r="40" spans="1:18" x14ac:dyDescent="0.55000000000000004">
      <c r="E40" s="30"/>
      <c r="F40" s="30"/>
      <c r="G40" s="30"/>
      <c r="H40" s="30"/>
      <c r="I40" s="30"/>
    </row>
    <row r="42" spans="1:18" x14ac:dyDescent="0.55000000000000004">
      <c r="E42" s="27"/>
      <c r="F42" s="27"/>
      <c r="G42" s="27"/>
      <c r="H42" s="27"/>
      <c r="I42" s="27"/>
    </row>
    <row r="43" spans="1:18" x14ac:dyDescent="0.55000000000000004">
      <c r="E43" s="27"/>
      <c r="F43" s="27"/>
      <c r="G43" s="27"/>
      <c r="H43" s="27"/>
      <c r="I43" s="27"/>
    </row>
    <row r="44" spans="1:18" x14ac:dyDescent="0.55000000000000004">
      <c r="E44" s="27"/>
      <c r="F44" s="27"/>
      <c r="G44" s="27"/>
      <c r="H44" s="27"/>
      <c r="I44" s="27"/>
    </row>
    <row r="46" spans="1:18" x14ac:dyDescent="0.55000000000000004">
      <c r="H46" s="30"/>
    </row>
    <row r="50" spans="4:8" x14ac:dyDescent="0.55000000000000004">
      <c r="H50" s="30"/>
    </row>
    <row r="53" spans="4:8" x14ac:dyDescent="0.55000000000000004">
      <c r="D53" s="29"/>
      <c r="E53" s="29"/>
      <c r="F53" s="29"/>
      <c r="G53" s="29"/>
      <c r="H53" s="29"/>
    </row>
    <row r="54" spans="4:8" x14ac:dyDescent="0.55000000000000004">
      <c r="D54" s="29"/>
      <c r="E54" s="29"/>
      <c r="F54" s="29"/>
      <c r="G54" s="29"/>
      <c r="H54" s="29"/>
    </row>
    <row r="55" spans="4:8" x14ac:dyDescent="0.55000000000000004">
      <c r="D55" s="29"/>
      <c r="E55" s="29"/>
      <c r="F55" s="29"/>
      <c r="G55" s="29"/>
      <c r="H55" s="29"/>
    </row>
    <row r="57" spans="4:8" x14ac:dyDescent="0.55000000000000004">
      <c r="F57" s="29"/>
      <c r="G57" s="29"/>
    </row>
    <row r="58" spans="4:8" x14ac:dyDescent="0.55000000000000004">
      <c r="D58" s="28"/>
      <c r="E58" s="28"/>
      <c r="F58" s="28"/>
      <c r="G58" s="28"/>
      <c r="H58" s="28"/>
    </row>
    <row r="59" spans="4:8" x14ac:dyDescent="0.55000000000000004">
      <c r="D59" s="28"/>
      <c r="E59" s="28"/>
      <c r="F59" s="28"/>
      <c r="G59" s="28"/>
      <c r="H59" s="28"/>
    </row>
    <row r="60" spans="4:8" x14ac:dyDescent="0.55000000000000004">
      <c r="D60" s="28"/>
      <c r="E60" s="28"/>
      <c r="F60" s="28"/>
      <c r="G60" s="28"/>
      <c r="H60" s="28"/>
    </row>
    <row r="61" spans="4:8" x14ac:dyDescent="0.55000000000000004">
      <c r="F61" s="29"/>
      <c r="G61" s="29"/>
    </row>
    <row r="65" spans="4:10" x14ac:dyDescent="0.55000000000000004">
      <c r="F65" s="29"/>
      <c r="G65" s="29"/>
      <c r="H65" s="27"/>
      <c r="I65" s="27"/>
      <c r="J65" s="27"/>
    </row>
    <row r="66" spans="4:10" x14ac:dyDescent="0.55000000000000004">
      <c r="H66" s="27"/>
      <c r="I66" s="27"/>
      <c r="J66" s="27"/>
    </row>
    <row r="67" spans="4:10" x14ac:dyDescent="0.55000000000000004">
      <c r="H67" s="27"/>
      <c r="I67" s="27"/>
      <c r="J67" s="27"/>
    </row>
    <row r="73" spans="4:10" x14ac:dyDescent="0.55000000000000004">
      <c r="D73" s="6"/>
      <c r="E73" s="6"/>
      <c r="F73" s="6"/>
      <c r="G73" s="6"/>
      <c r="H73" s="6"/>
    </row>
    <row r="74" spans="4:10" x14ac:dyDescent="0.55000000000000004">
      <c r="D74" s="6"/>
      <c r="E74" s="6"/>
      <c r="F74" s="6"/>
      <c r="G74" s="6"/>
      <c r="H74" s="6"/>
    </row>
    <row r="75" spans="4:10" x14ac:dyDescent="0.55000000000000004">
      <c r="D75" s="6"/>
      <c r="E75" s="6"/>
      <c r="F75" s="6"/>
      <c r="G75" s="6"/>
      <c r="H75" s="6"/>
    </row>
    <row r="76" spans="4:10" x14ac:dyDescent="0.55000000000000004">
      <c r="F76" s="6"/>
      <c r="G76" s="6"/>
    </row>
    <row r="80" spans="4:10" x14ac:dyDescent="0.55000000000000004">
      <c r="F80" s="6"/>
      <c r="G80" s="6"/>
    </row>
    <row r="82" spans="3:9" x14ac:dyDescent="0.55000000000000004">
      <c r="C82" s="12"/>
      <c r="D82" s="12"/>
      <c r="E82" s="3"/>
      <c r="F82" s="3"/>
      <c r="G82" s="3"/>
      <c r="H82" s="3"/>
      <c r="I82" s="3"/>
    </row>
    <row r="83" spans="3:9" x14ac:dyDescent="0.55000000000000004">
      <c r="C83" s="12"/>
      <c r="D83" s="12"/>
      <c r="E83" s="3"/>
      <c r="F83" s="3"/>
      <c r="G83" s="3"/>
      <c r="H83" s="25"/>
      <c r="I83" s="3"/>
    </row>
    <row r="84" spans="3:9" x14ac:dyDescent="0.55000000000000004">
      <c r="C84" s="12"/>
      <c r="D84" s="12"/>
      <c r="E84" s="3"/>
      <c r="F84" s="3"/>
      <c r="G84" s="3"/>
      <c r="H84" s="3"/>
      <c r="I84" s="3"/>
    </row>
    <row r="85" spans="3:9" x14ac:dyDescent="0.55000000000000004">
      <c r="H85" s="3"/>
    </row>
    <row r="86" spans="3:9" x14ac:dyDescent="0.55000000000000004">
      <c r="E86" s="28"/>
      <c r="F86" s="28"/>
      <c r="G86" s="28"/>
      <c r="H86" s="28"/>
      <c r="I86" s="28"/>
    </row>
    <row r="87" spans="3:9" x14ac:dyDescent="0.55000000000000004">
      <c r="E87" s="28"/>
      <c r="F87" s="28"/>
      <c r="G87" s="28"/>
      <c r="H87" s="28"/>
      <c r="I87" s="28"/>
    </row>
    <row r="88" spans="3:9" x14ac:dyDescent="0.55000000000000004">
      <c r="C88" s="27"/>
      <c r="D88" s="27"/>
      <c r="E88" s="28"/>
      <c r="F88" s="28"/>
      <c r="G88" s="28"/>
      <c r="H88" s="28"/>
      <c r="I88" s="28"/>
    </row>
    <row r="89" spans="3:9" x14ac:dyDescent="0.55000000000000004">
      <c r="C89" s="27"/>
      <c r="D89" s="27"/>
    </row>
    <row r="90" spans="3:9" x14ac:dyDescent="0.55000000000000004">
      <c r="C90" s="27"/>
      <c r="D90" s="27"/>
      <c r="E90" s="27"/>
    </row>
    <row r="93" spans="3:9" x14ac:dyDescent="0.55000000000000004">
      <c r="H93" s="3"/>
    </row>
  </sheetData>
  <mergeCells count="4">
    <mergeCell ref="V1:W1"/>
    <mergeCell ref="C1:M1"/>
    <mergeCell ref="A23:B23"/>
    <mergeCell ref="N1:U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6"/>
  <sheetViews>
    <sheetView workbookViewId="0">
      <selection activeCell="C13" sqref="C13"/>
    </sheetView>
  </sheetViews>
  <sheetFormatPr defaultRowHeight="14.4" x14ac:dyDescent="0.55000000000000004"/>
  <cols>
    <col min="1" max="1" width="37" customWidth="1"/>
    <col min="2" max="2" width="15" customWidth="1"/>
    <col min="3" max="3" width="17.7890625" customWidth="1"/>
    <col min="5" max="5" width="19.7890625" bestFit="1" customWidth="1"/>
    <col min="6" max="6" width="8.89453125" customWidth="1"/>
    <col min="7" max="7" width="31.5234375" customWidth="1"/>
  </cols>
  <sheetData>
    <row r="1" spans="1:7" x14ac:dyDescent="0.55000000000000004">
      <c r="B1" s="36" t="s">
        <v>98</v>
      </c>
      <c r="C1" s="36" t="s">
        <v>99</v>
      </c>
      <c r="E1" s="2" t="s">
        <v>38</v>
      </c>
      <c r="F1" s="2"/>
      <c r="G1" s="2"/>
    </row>
    <row r="2" spans="1:7" x14ac:dyDescent="0.55000000000000004">
      <c r="A2" t="s">
        <v>104</v>
      </c>
      <c r="B2" s="27">
        <f>Mappings!N3</f>
        <v>84.737089689012336</v>
      </c>
      <c r="C2" s="27">
        <f>Mappings!N4</f>
        <v>585.73698241090847</v>
      </c>
      <c r="D2" s="27"/>
      <c r="E2" s="27"/>
      <c r="F2" s="27"/>
      <c r="G2" s="27"/>
    </row>
    <row r="3" spans="1:7" x14ac:dyDescent="0.55000000000000004">
      <c r="A3" t="s">
        <v>105</v>
      </c>
      <c r="B3" s="27">
        <f ca="1">_xlfn.NORM.INV(RAND(),Mappings!N3,Mappings!O3)</f>
        <v>126.12049217198069</v>
      </c>
      <c r="C3" s="27">
        <f ca="1">_xlfn.NORM.INV(RAND(),Mappings!N4,Mappings!O4)</f>
        <v>526.88275895476806</v>
      </c>
      <c r="D3" s="27"/>
      <c r="E3" s="27"/>
      <c r="F3" s="27"/>
      <c r="G3" s="27"/>
    </row>
    <row r="4" spans="1:7" x14ac:dyDescent="0.55000000000000004">
      <c r="A4" t="s">
        <v>106</v>
      </c>
      <c r="B4" s="27">
        <f>Mappings!F3*Mappings!I3</f>
        <v>2.1120000000000001</v>
      </c>
      <c r="C4" s="27">
        <f>Mappings!F4*Mappings!I4</f>
        <v>1.4819940774000002</v>
      </c>
      <c r="D4" s="27"/>
      <c r="E4" s="27"/>
      <c r="F4" s="27"/>
      <c r="G4" s="27"/>
    </row>
    <row r="5" spans="1:7" x14ac:dyDescent="0.55000000000000004">
      <c r="A5" t="s">
        <v>39</v>
      </c>
      <c r="B5" s="27">
        <f ca="1">_xlfn.NORM.INV(RAND(),B4,B4*Mappings!E3)*0+B4</f>
        <v>2.1120000000000001</v>
      </c>
      <c r="C5" s="27">
        <f ca="1">_xlfn.NORM.INV(RAND(),C4,C4*Mappings!E4)*0+C4</f>
        <v>1.4819940774000002</v>
      </c>
      <c r="D5" s="27"/>
      <c r="E5" s="27"/>
      <c r="F5" s="27"/>
      <c r="G5" s="27"/>
    </row>
    <row r="6" spans="1:7" x14ac:dyDescent="0.55000000000000004">
      <c r="A6" t="s">
        <v>94</v>
      </c>
      <c r="B6" s="27">
        <f>Mappings!Q3</f>
        <v>44.606958098634109</v>
      </c>
      <c r="C6" s="27">
        <f>Mappings!Q4</f>
        <v>30.361004885281496</v>
      </c>
      <c r="D6" s="27"/>
      <c r="E6" s="27"/>
      <c r="F6" s="27"/>
      <c r="G6" s="27"/>
    </row>
    <row r="7" spans="1:7" x14ac:dyDescent="0.55000000000000004">
      <c r="A7" t="s">
        <v>107</v>
      </c>
      <c r="B7" s="27">
        <f ca="1">IF(B6&gt;0,_xlfn.NORM.INV(RAND(),B6,B6*Dairy_Income_Roadmap!L38),_xlfn.NORM.INV(RAND(),ABS(B6),ABS(B6)*Dairy_Income_Roadmap!L38))</f>
        <v>47.384770530590934</v>
      </c>
      <c r="C7" s="27">
        <f ca="1">IF(C6&gt;0,_xlfn.NORM.INV(RAND(),C6,C6*Dairy_Income_Roadmap!L38),_xlfn.NORM.INV(RAND(),ABS(C6),ABS(C6)*Dairy_Income_Roadmap!L38))</f>
        <v>47.243216907836924</v>
      </c>
      <c r="D7" s="27"/>
      <c r="E7" s="27"/>
      <c r="F7" s="27"/>
      <c r="G7" s="27"/>
    </row>
    <row r="8" spans="1:7" x14ac:dyDescent="0.55000000000000004">
      <c r="A8" t="s">
        <v>40</v>
      </c>
      <c r="B8" s="27">
        <f>Mappings!D3</f>
        <v>65609.668138328911</v>
      </c>
      <c r="C8" s="27">
        <f>Mappings!D4</f>
        <v>82028.367810366151</v>
      </c>
      <c r="D8" s="27"/>
      <c r="E8" s="27"/>
      <c r="F8" s="27"/>
      <c r="G8" s="27"/>
    </row>
    <row r="9" spans="1:7" x14ac:dyDescent="0.55000000000000004">
      <c r="A9" t="s">
        <v>108</v>
      </c>
      <c r="B9" s="27">
        <f>Mappings!V3*B8</f>
        <v>1931.137100780541</v>
      </c>
      <c r="C9" s="27">
        <f>Mappings!V4*C8</f>
        <v>2414.4006346913525</v>
      </c>
      <c r="D9" s="27"/>
      <c r="E9" s="27"/>
      <c r="F9" s="27"/>
      <c r="G9" s="27"/>
    </row>
    <row r="10" spans="1:7" x14ac:dyDescent="0.55000000000000004">
      <c r="B10" s="27"/>
      <c r="C10" s="27"/>
      <c r="D10" s="27"/>
      <c r="E10" s="27"/>
      <c r="F10" s="27"/>
      <c r="G10" s="27"/>
    </row>
    <row r="11" spans="1:7" x14ac:dyDescent="0.55000000000000004">
      <c r="A11" t="s">
        <v>41</v>
      </c>
      <c r="B11" s="27">
        <f ca="1">B3*B5</f>
        <v>266.3664794672232</v>
      </c>
      <c r="C11" s="27">
        <f ca="1">C3*C5</f>
        <v>780.83712825513817</v>
      </c>
      <c r="D11" s="27"/>
      <c r="E11" s="27"/>
      <c r="F11" s="27"/>
      <c r="G11" s="27"/>
    </row>
    <row r="12" spans="1:7" x14ac:dyDescent="0.55000000000000004">
      <c r="A12" t="s">
        <v>42</v>
      </c>
      <c r="B12" s="27">
        <f ca="1">-IF(B6&gt;0,B7,    -B7)</f>
        <v>-47.384770530590934</v>
      </c>
      <c r="C12" s="27">
        <f ca="1">-IF(C6&gt;0,C7,(-1)*C7)</f>
        <v>-47.243216907836924</v>
      </c>
      <c r="D12" s="27"/>
      <c r="E12" s="27"/>
      <c r="F12" s="27"/>
      <c r="G12" s="27"/>
    </row>
    <row r="13" spans="1:7" x14ac:dyDescent="0.55000000000000004">
      <c r="A13" t="s">
        <v>40</v>
      </c>
      <c r="B13" s="27">
        <f ca="1">_xlfn.NORM.INV(RAND(),B8,B9)</f>
        <v>66789.967618027804</v>
      </c>
      <c r="C13" s="27">
        <f t="shared" ref="C13" ca="1" si="0">_xlfn.NORM.INV(RAND(),C8,C9)</f>
        <v>81640.023464955433</v>
      </c>
      <c r="D13" s="27"/>
      <c r="E13" s="27"/>
      <c r="F13" s="27"/>
      <c r="G13" s="27"/>
    </row>
    <row r="14" spans="1:7" x14ac:dyDescent="0.55000000000000004">
      <c r="B14" s="27"/>
      <c r="C14" s="27"/>
      <c r="D14" s="27"/>
      <c r="E14" s="27"/>
      <c r="F14" s="27"/>
      <c r="G14" s="27"/>
    </row>
    <row r="15" spans="1:7" x14ac:dyDescent="0.55000000000000004">
      <c r="A15" t="s">
        <v>43</v>
      </c>
      <c r="B15" s="27">
        <f ca="1">(B11+B12)*B13</f>
        <v>14625781.248818059</v>
      </c>
      <c r="C15" s="27">
        <f ca="1">(C11+C12)*C13</f>
        <v>59890624.136142112</v>
      </c>
      <c r="D15" s="27"/>
      <c r="E15" s="27">
        <f ca="1">B15+C15</f>
        <v>74516405.384960175</v>
      </c>
      <c r="F15" s="27"/>
      <c r="G15" s="27"/>
    </row>
    <row r="16" spans="1:7" x14ac:dyDescent="0.55000000000000004">
      <c r="A16" t="s">
        <v>52</v>
      </c>
      <c r="B16" s="27" t="s">
        <v>48</v>
      </c>
      <c r="C16" s="27" t="s">
        <v>48</v>
      </c>
      <c r="D16" s="27"/>
      <c r="E16" s="27">
        <f ca="1">STDEVA(E19:E126)</f>
        <v>25516455.330504306</v>
      </c>
      <c r="F16" s="27"/>
      <c r="G16" s="87" t="s">
        <v>51</v>
      </c>
    </row>
    <row r="17" spans="1:8" x14ac:dyDescent="0.55000000000000004">
      <c r="A17" t="s">
        <v>44</v>
      </c>
      <c r="B17" s="27" t="s">
        <v>48</v>
      </c>
      <c r="C17" s="27" t="s">
        <v>48</v>
      </c>
      <c r="D17" s="27"/>
      <c r="E17" s="27">
        <f ca="1">AVERAGE(E19:E126)</f>
        <v>77390143.194980249</v>
      </c>
      <c r="F17" s="27"/>
      <c r="G17" s="87"/>
      <c r="H17" s="46">
        <f ca="1">100*E16/E17</f>
        <v>32.971195396572647</v>
      </c>
    </row>
    <row r="19" spans="1:8" x14ac:dyDescent="0.55000000000000004">
      <c r="D19">
        <v>1</v>
      </c>
      <c r="E19">
        <f ca="1">E15</f>
        <v>74516405.384960175</v>
      </c>
    </row>
    <row r="20" spans="1:8" x14ac:dyDescent="0.55000000000000004">
      <c r="D20">
        <v>2</v>
      </c>
      <c r="E20">
        <f t="dataTable" ref="E20:E126" dt2D="0" dtr="0" r1="E18" ca="1"/>
        <v>133030048.19844323</v>
      </c>
    </row>
    <row r="21" spans="1:8" x14ac:dyDescent="0.55000000000000004">
      <c r="D21">
        <v>3</v>
      </c>
      <c r="E21">
        <v>79190206.37223649</v>
      </c>
    </row>
    <row r="22" spans="1:8" x14ac:dyDescent="0.55000000000000004">
      <c r="D22">
        <v>4</v>
      </c>
      <c r="E22">
        <v>61972289.07335598</v>
      </c>
    </row>
    <row r="23" spans="1:8" x14ac:dyDescent="0.55000000000000004">
      <c r="D23">
        <v>5</v>
      </c>
      <c r="E23">
        <v>87833965.0409832</v>
      </c>
    </row>
    <row r="24" spans="1:8" x14ac:dyDescent="0.55000000000000004">
      <c r="D24">
        <v>6</v>
      </c>
      <c r="E24">
        <v>109015822.79546382</v>
      </c>
    </row>
    <row r="25" spans="1:8" x14ac:dyDescent="0.55000000000000004">
      <c r="D25">
        <v>7</v>
      </c>
      <c r="E25">
        <v>88521656.258614391</v>
      </c>
    </row>
    <row r="26" spans="1:8" x14ac:dyDescent="0.55000000000000004">
      <c r="D26">
        <v>8</v>
      </c>
      <c r="E26">
        <v>37988550.63477461</v>
      </c>
    </row>
    <row r="27" spans="1:8" x14ac:dyDescent="0.55000000000000004">
      <c r="D27">
        <v>9</v>
      </c>
      <c r="E27">
        <v>72085749.218329772</v>
      </c>
    </row>
    <row r="28" spans="1:8" x14ac:dyDescent="0.55000000000000004">
      <c r="D28">
        <v>10</v>
      </c>
      <c r="E28">
        <v>83467494.657251388</v>
      </c>
    </row>
    <row r="29" spans="1:8" x14ac:dyDescent="0.55000000000000004">
      <c r="D29">
        <v>11</v>
      </c>
      <c r="E29">
        <v>54607458.717626497</v>
      </c>
    </row>
    <row r="30" spans="1:8" x14ac:dyDescent="0.55000000000000004">
      <c r="D30">
        <v>12</v>
      </c>
      <c r="E30">
        <v>72149803.243468851</v>
      </c>
    </row>
    <row r="31" spans="1:8" x14ac:dyDescent="0.55000000000000004">
      <c r="D31">
        <v>13</v>
      </c>
      <c r="E31">
        <v>35294046.5744192</v>
      </c>
    </row>
    <row r="32" spans="1:8" x14ac:dyDescent="0.55000000000000004">
      <c r="D32">
        <v>14</v>
      </c>
      <c r="E32">
        <v>109629654.29634967</v>
      </c>
    </row>
    <row r="33" spans="4:5" x14ac:dyDescent="0.55000000000000004">
      <c r="D33">
        <v>15</v>
      </c>
      <c r="E33">
        <v>101575036.19836891</v>
      </c>
    </row>
    <row r="34" spans="4:5" x14ac:dyDescent="0.55000000000000004">
      <c r="D34">
        <v>16</v>
      </c>
      <c r="E34">
        <v>78987507.12622118</v>
      </c>
    </row>
    <row r="35" spans="4:5" x14ac:dyDescent="0.55000000000000004">
      <c r="D35">
        <v>17</v>
      </c>
      <c r="E35">
        <v>80909137.351713628</v>
      </c>
    </row>
    <row r="36" spans="4:5" x14ac:dyDescent="0.55000000000000004">
      <c r="D36">
        <v>18</v>
      </c>
      <c r="E36">
        <v>54432280.455824651</v>
      </c>
    </row>
    <row r="37" spans="4:5" x14ac:dyDescent="0.55000000000000004">
      <c r="D37">
        <v>19</v>
      </c>
      <c r="E37">
        <v>114855439.55916667</v>
      </c>
    </row>
    <row r="38" spans="4:5" x14ac:dyDescent="0.55000000000000004">
      <c r="D38">
        <v>20</v>
      </c>
      <c r="E38">
        <v>126711989.63392642</v>
      </c>
    </row>
    <row r="39" spans="4:5" x14ac:dyDescent="0.55000000000000004">
      <c r="D39">
        <v>21</v>
      </c>
      <c r="E39">
        <v>80072041.43771562</v>
      </c>
    </row>
    <row r="40" spans="4:5" x14ac:dyDescent="0.55000000000000004">
      <c r="D40">
        <v>22</v>
      </c>
      <c r="E40">
        <v>55650785.247654445</v>
      </c>
    </row>
    <row r="41" spans="4:5" x14ac:dyDescent="0.55000000000000004">
      <c r="D41">
        <v>23</v>
      </c>
      <c r="E41">
        <v>63269081.133273512</v>
      </c>
    </row>
    <row r="42" spans="4:5" x14ac:dyDescent="0.55000000000000004">
      <c r="D42">
        <v>24</v>
      </c>
      <c r="E42">
        <v>47385381.670433737</v>
      </c>
    </row>
    <row r="43" spans="4:5" x14ac:dyDescent="0.55000000000000004">
      <c r="D43">
        <v>25</v>
      </c>
      <c r="E43">
        <v>93688746.766822726</v>
      </c>
    </row>
    <row r="44" spans="4:5" x14ac:dyDescent="0.55000000000000004">
      <c r="D44">
        <v>26</v>
      </c>
      <c r="E44">
        <v>65541249.055315472</v>
      </c>
    </row>
    <row r="45" spans="4:5" x14ac:dyDescent="0.55000000000000004">
      <c r="D45">
        <v>27</v>
      </c>
      <c r="E45">
        <v>66565547.535242334</v>
      </c>
    </row>
    <row r="46" spans="4:5" x14ac:dyDescent="0.55000000000000004">
      <c r="D46">
        <v>28</v>
      </c>
      <c r="E46">
        <v>88938295.505432367</v>
      </c>
    </row>
    <row r="47" spans="4:5" x14ac:dyDescent="0.55000000000000004">
      <c r="D47">
        <v>29</v>
      </c>
      <c r="E47">
        <v>60233669.269488499</v>
      </c>
    </row>
    <row r="48" spans="4:5" x14ac:dyDescent="0.55000000000000004">
      <c r="D48">
        <v>30</v>
      </c>
      <c r="E48">
        <v>107267286.71533345</v>
      </c>
    </row>
    <row r="49" spans="4:5" x14ac:dyDescent="0.55000000000000004">
      <c r="D49">
        <v>31</v>
      </c>
      <c r="E49">
        <v>54223317.733952776</v>
      </c>
    </row>
    <row r="50" spans="4:5" x14ac:dyDescent="0.55000000000000004">
      <c r="D50">
        <v>32</v>
      </c>
      <c r="E50">
        <v>58605095.597648561</v>
      </c>
    </row>
    <row r="51" spans="4:5" x14ac:dyDescent="0.55000000000000004">
      <c r="D51">
        <v>33</v>
      </c>
      <c r="E51">
        <v>88202392.256324917</v>
      </c>
    </row>
    <row r="52" spans="4:5" x14ac:dyDescent="0.55000000000000004">
      <c r="D52">
        <v>34</v>
      </c>
      <c r="E52">
        <v>52174212.331802122</v>
      </c>
    </row>
    <row r="53" spans="4:5" x14ac:dyDescent="0.55000000000000004">
      <c r="D53">
        <v>35</v>
      </c>
      <c r="E53">
        <v>43578352.723661751</v>
      </c>
    </row>
    <row r="54" spans="4:5" x14ac:dyDescent="0.55000000000000004">
      <c r="D54">
        <v>36</v>
      </c>
      <c r="E54">
        <v>54146083.259535357</v>
      </c>
    </row>
    <row r="55" spans="4:5" x14ac:dyDescent="0.55000000000000004">
      <c r="D55">
        <v>37</v>
      </c>
      <c r="E55">
        <v>74918299.430024385</v>
      </c>
    </row>
    <row r="56" spans="4:5" x14ac:dyDescent="0.55000000000000004">
      <c r="D56">
        <v>38</v>
      </c>
      <c r="E56">
        <v>69418772.551681191</v>
      </c>
    </row>
    <row r="57" spans="4:5" x14ac:dyDescent="0.55000000000000004">
      <c r="D57">
        <v>39</v>
      </c>
      <c r="E57">
        <v>66284072.608836062</v>
      </c>
    </row>
    <row r="58" spans="4:5" x14ac:dyDescent="0.55000000000000004">
      <c r="D58">
        <v>40</v>
      </c>
      <c r="E58">
        <v>87835183.738761529</v>
      </c>
    </row>
    <row r="59" spans="4:5" x14ac:dyDescent="0.55000000000000004">
      <c r="D59">
        <v>41</v>
      </c>
      <c r="E59">
        <v>61559325.109086469</v>
      </c>
    </row>
    <row r="60" spans="4:5" x14ac:dyDescent="0.55000000000000004">
      <c r="D60">
        <v>42</v>
      </c>
      <c r="E60">
        <v>101868477.44693278</v>
      </c>
    </row>
    <row r="61" spans="4:5" x14ac:dyDescent="0.55000000000000004">
      <c r="D61">
        <v>43</v>
      </c>
      <c r="E61">
        <v>21836488.152591161</v>
      </c>
    </row>
    <row r="62" spans="4:5" x14ac:dyDescent="0.55000000000000004">
      <c r="D62">
        <v>44</v>
      </c>
      <c r="E62">
        <v>54764813.084108099</v>
      </c>
    </row>
    <row r="63" spans="4:5" x14ac:dyDescent="0.55000000000000004">
      <c r="D63">
        <v>45</v>
      </c>
      <c r="E63">
        <v>102711975.11752915</v>
      </c>
    </row>
    <row r="64" spans="4:5" x14ac:dyDescent="0.55000000000000004">
      <c r="D64">
        <v>46</v>
      </c>
      <c r="E64">
        <v>83447201.296612203</v>
      </c>
    </row>
    <row r="65" spans="4:5" x14ac:dyDescent="0.55000000000000004">
      <c r="D65">
        <v>47</v>
      </c>
      <c r="E65">
        <v>131075999.61423874</v>
      </c>
    </row>
    <row r="66" spans="4:5" x14ac:dyDescent="0.55000000000000004">
      <c r="D66">
        <v>48</v>
      </c>
      <c r="E66">
        <v>99757329.557116017</v>
      </c>
    </row>
    <row r="67" spans="4:5" x14ac:dyDescent="0.55000000000000004">
      <c r="D67">
        <v>49</v>
      </c>
      <c r="E67">
        <v>100663554.50206031</v>
      </c>
    </row>
    <row r="68" spans="4:5" x14ac:dyDescent="0.55000000000000004">
      <c r="D68">
        <v>50</v>
      </c>
      <c r="E68">
        <v>54953625.931829989</v>
      </c>
    </row>
    <row r="69" spans="4:5" x14ac:dyDescent="0.55000000000000004">
      <c r="D69">
        <v>51</v>
      </c>
      <c r="E69">
        <v>85817968.540524662</v>
      </c>
    </row>
    <row r="70" spans="4:5" x14ac:dyDescent="0.55000000000000004">
      <c r="D70">
        <v>52</v>
      </c>
      <c r="E70">
        <v>107180132.88507028</v>
      </c>
    </row>
    <row r="71" spans="4:5" x14ac:dyDescent="0.55000000000000004">
      <c r="D71">
        <v>53</v>
      </c>
      <c r="E71">
        <v>93937752.444440305</v>
      </c>
    </row>
    <row r="72" spans="4:5" x14ac:dyDescent="0.55000000000000004">
      <c r="D72">
        <v>54</v>
      </c>
      <c r="E72">
        <v>56497087.395436428</v>
      </c>
    </row>
    <row r="73" spans="4:5" x14ac:dyDescent="0.55000000000000004">
      <c r="D73">
        <v>55</v>
      </c>
      <c r="E73">
        <v>91091597.569971561</v>
      </c>
    </row>
    <row r="74" spans="4:5" x14ac:dyDescent="0.55000000000000004">
      <c r="D74">
        <v>56</v>
      </c>
      <c r="E74">
        <v>93775195.836686701</v>
      </c>
    </row>
    <row r="75" spans="4:5" x14ac:dyDescent="0.55000000000000004">
      <c r="D75">
        <v>57</v>
      </c>
      <c r="E75">
        <v>29943858.978999197</v>
      </c>
    </row>
    <row r="76" spans="4:5" x14ac:dyDescent="0.55000000000000004">
      <c r="D76">
        <v>58</v>
      </c>
      <c r="E76">
        <v>78641416.406195909</v>
      </c>
    </row>
    <row r="77" spans="4:5" x14ac:dyDescent="0.55000000000000004">
      <c r="D77">
        <v>59</v>
      </c>
      <c r="E77">
        <v>79860633.197546855</v>
      </c>
    </row>
    <row r="78" spans="4:5" x14ac:dyDescent="0.55000000000000004">
      <c r="D78">
        <v>60</v>
      </c>
      <c r="E78">
        <v>79644008.189567178</v>
      </c>
    </row>
    <row r="79" spans="4:5" x14ac:dyDescent="0.55000000000000004">
      <c r="D79">
        <v>61</v>
      </c>
      <c r="E79">
        <v>27351280.114060029</v>
      </c>
    </row>
    <row r="80" spans="4:5" x14ac:dyDescent="0.55000000000000004">
      <c r="D80">
        <v>62</v>
      </c>
      <c r="E80">
        <v>73648830.266363978</v>
      </c>
    </row>
    <row r="81" spans="4:5" x14ac:dyDescent="0.55000000000000004">
      <c r="D81">
        <v>63</v>
      </c>
      <c r="E81">
        <v>33496472.772326022</v>
      </c>
    </row>
    <row r="82" spans="4:5" x14ac:dyDescent="0.55000000000000004">
      <c r="D82">
        <v>64</v>
      </c>
      <c r="E82">
        <v>68116221.999866173</v>
      </c>
    </row>
    <row r="83" spans="4:5" x14ac:dyDescent="0.55000000000000004">
      <c r="D83">
        <v>65</v>
      </c>
      <c r="E83">
        <v>70300635.173142031</v>
      </c>
    </row>
    <row r="84" spans="4:5" x14ac:dyDescent="0.55000000000000004">
      <c r="D84">
        <v>66</v>
      </c>
      <c r="E84">
        <v>69191240.690121248</v>
      </c>
    </row>
    <row r="85" spans="4:5" x14ac:dyDescent="0.55000000000000004">
      <c r="D85">
        <v>67</v>
      </c>
      <c r="E85">
        <v>84743158.549126625</v>
      </c>
    </row>
    <row r="86" spans="4:5" x14ac:dyDescent="0.55000000000000004">
      <c r="D86">
        <v>68</v>
      </c>
      <c r="E86">
        <v>88329340.495150164</v>
      </c>
    </row>
    <row r="87" spans="4:5" x14ac:dyDescent="0.55000000000000004">
      <c r="D87">
        <v>69</v>
      </c>
      <c r="E87">
        <v>88031464.58305043</v>
      </c>
    </row>
    <row r="88" spans="4:5" x14ac:dyDescent="0.55000000000000004">
      <c r="D88">
        <v>70</v>
      </c>
      <c r="E88">
        <v>105664334.86009037</v>
      </c>
    </row>
    <row r="89" spans="4:5" x14ac:dyDescent="0.55000000000000004">
      <c r="D89">
        <v>71</v>
      </c>
      <c r="E89">
        <v>92111014.527693421</v>
      </c>
    </row>
    <row r="90" spans="4:5" x14ac:dyDescent="0.55000000000000004">
      <c r="D90">
        <v>72</v>
      </c>
      <c r="E90">
        <v>112614934.36735427</v>
      </c>
    </row>
    <row r="91" spans="4:5" x14ac:dyDescent="0.55000000000000004">
      <c r="D91">
        <v>73</v>
      </c>
      <c r="E91">
        <v>82632796.870026752</v>
      </c>
    </row>
    <row r="92" spans="4:5" x14ac:dyDescent="0.55000000000000004">
      <c r="D92">
        <v>74</v>
      </c>
      <c r="E92">
        <v>102772072.0047846</v>
      </c>
    </row>
    <row r="93" spans="4:5" x14ac:dyDescent="0.55000000000000004">
      <c r="D93">
        <v>75</v>
      </c>
      <c r="E93">
        <v>111347269.64626926</v>
      </c>
    </row>
    <row r="94" spans="4:5" x14ac:dyDescent="0.55000000000000004">
      <c r="D94">
        <v>76</v>
      </c>
      <c r="E94">
        <v>84665838.257289693</v>
      </c>
    </row>
    <row r="95" spans="4:5" x14ac:dyDescent="0.55000000000000004">
      <c r="D95">
        <v>77</v>
      </c>
      <c r="E95">
        <v>70835594.13511157</v>
      </c>
    </row>
    <row r="96" spans="4:5" x14ac:dyDescent="0.55000000000000004">
      <c r="D96">
        <v>78</v>
      </c>
      <c r="E96">
        <v>39374990.991740085</v>
      </c>
    </row>
    <row r="97" spans="4:5" x14ac:dyDescent="0.55000000000000004">
      <c r="D97">
        <v>79</v>
      </c>
      <c r="E97">
        <v>94286558.249134004</v>
      </c>
    </row>
    <row r="98" spans="4:5" x14ac:dyDescent="0.55000000000000004">
      <c r="D98">
        <v>80</v>
      </c>
      <c r="E98">
        <v>110936683.36412781</v>
      </c>
    </row>
    <row r="99" spans="4:5" x14ac:dyDescent="0.55000000000000004">
      <c r="D99">
        <v>81</v>
      </c>
      <c r="E99">
        <v>36866188.973653778</v>
      </c>
    </row>
    <row r="100" spans="4:5" x14ac:dyDescent="0.55000000000000004">
      <c r="D100">
        <v>82</v>
      </c>
      <c r="E100">
        <v>33158985.633742128</v>
      </c>
    </row>
    <row r="101" spans="4:5" x14ac:dyDescent="0.55000000000000004">
      <c r="D101">
        <v>83</v>
      </c>
      <c r="E101">
        <v>74949953.948316514</v>
      </c>
    </row>
    <row r="102" spans="4:5" x14ac:dyDescent="0.55000000000000004">
      <c r="D102">
        <v>84</v>
      </c>
      <c r="E102">
        <v>34492532.143314555</v>
      </c>
    </row>
    <row r="103" spans="4:5" x14ac:dyDescent="0.55000000000000004">
      <c r="D103">
        <v>85</v>
      </c>
      <c r="E103">
        <v>116485371.8081651</v>
      </c>
    </row>
    <row r="104" spans="4:5" x14ac:dyDescent="0.55000000000000004">
      <c r="D104">
        <v>86</v>
      </c>
      <c r="E104">
        <v>103084647.49686143</v>
      </c>
    </row>
    <row r="105" spans="4:5" x14ac:dyDescent="0.55000000000000004">
      <c r="D105">
        <v>87</v>
      </c>
      <c r="E105">
        <v>52525334.072680943</v>
      </c>
    </row>
    <row r="106" spans="4:5" x14ac:dyDescent="0.55000000000000004">
      <c r="D106">
        <v>88</v>
      </c>
      <c r="E106">
        <v>74662501.127634704</v>
      </c>
    </row>
    <row r="107" spans="4:5" x14ac:dyDescent="0.55000000000000004">
      <c r="D107">
        <v>89</v>
      </c>
      <c r="E107">
        <v>95217851.378515586</v>
      </c>
    </row>
    <row r="108" spans="4:5" x14ac:dyDescent="0.55000000000000004">
      <c r="D108">
        <v>90</v>
      </c>
      <c r="E108">
        <v>93280372.806226239</v>
      </c>
    </row>
    <row r="109" spans="4:5" x14ac:dyDescent="0.55000000000000004">
      <c r="D109">
        <v>91</v>
      </c>
      <c r="E109">
        <v>34361442.016382031</v>
      </c>
    </row>
    <row r="110" spans="4:5" x14ac:dyDescent="0.55000000000000004">
      <c r="D110">
        <v>92</v>
      </c>
      <c r="E110">
        <v>73153466.645596638</v>
      </c>
    </row>
    <row r="111" spans="4:5" x14ac:dyDescent="0.55000000000000004">
      <c r="D111">
        <v>93</v>
      </c>
      <c r="E111">
        <v>61805710.164822921</v>
      </c>
    </row>
    <row r="112" spans="4:5" x14ac:dyDescent="0.55000000000000004">
      <c r="D112">
        <v>94</v>
      </c>
      <c r="E112">
        <v>67333485.481429547</v>
      </c>
    </row>
    <row r="113" spans="4:5" x14ac:dyDescent="0.55000000000000004">
      <c r="D113">
        <v>95</v>
      </c>
      <c r="E113">
        <v>64457235.259336054</v>
      </c>
    </row>
    <row r="114" spans="4:5" x14ac:dyDescent="0.55000000000000004">
      <c r="D114">
        <v>96</v>
      </c>
      <c r="E114">
        <v>104658072.86686835</v>
      </c>
    </row>
    <row r="115" spans="4:5" x14ac:dyDescent="0.55000000000000004">
      <c r="D115">
        <v>97</v>
      </c>
      <c r="E115">
        <v>121115212.24638435</v>
      </c>
    </row>
    <row r="116" spans="4:5" x14ac:dyDescent="0.55000000000000004">
      <c r="D116">
        <v>98</v>
      </c>
      <c r="E116">
        <v>71626700.489928022</v>
      </c>
    </row>
    <row r="117" spans="4:5" x14ac:dyDescent="0.55000000000000004">
      <c r="D117">
        <v>99</v>
      </c>
      <c r="E117">
        <v>66467677.900477201</v>
      </c>
    </row>
    <row r="118" spans="4:5" x14ac:dyDescent="0.55000000000000004">
      <c r="D118">
        <v>100</v>
      </c>
      <c r="E118">
        <v>81040798.979962662</v>
      </c>
    </row>
    <row r="119" spans="4:5" x14ac:dyDescent="0.55000000000000004">
      <c r="D119">
        <v>101</v>
      </c>
      <c r="E119">
        <v>34698572.507046767</v>
      </c>
    </row>
    <row r="120" spans="4:5" x14ac:dyDescent="0.55000000000000004">
      <c r="D120">
        <v>102</v>
      </c>
      <c r="E120">
        <v>125015541.17457011</v>
      </c>
    </row>
    <row r="121" spans="4:5" x14ac:dyDescent="0.55000000000000004">
      <c r="D121">
        <v>103</v>
      </c>
      <c r="E121">
        <v>121367172.12424456</v>
      </c>
    </row>
    <row r="122" spans="4:5" x14ac:dyDescent="0.55000000000000004">
      <c r="D122">
        <v>104</v>
      </c>
      <c r="E122">
        <v>53130876.041966274</v>
      </c>
    </row>
    <row r="123" spans="4:5" x14ac:dyDescent="0.55000000000000004">
      <c r="D123">
        <v>105</v>
      </c>
      <c r="E123">
        <v>96989897.992757529</v>
      </c>
    </row>
    <row r="124" spans="4:5" x14ac:dyDescent="0.55000000000000004">
      <c r="D124">
        <v>106</v>
      </c>
      <c r="E124">
        <v>85419981.396432832</v>
      </c>
    </row>
    <row r="125" spans="4:5" x14ac:dyDescent="0.55000000000000004">
      <c r="D125">
        <v>107</v>
      </c>
      <c r="E125">
        <v>81903133.314838648</v>
      </c>
    </row>
    <row r="126" spans="4:5" x14ac:dyDescent="0.55000000000000004">
      <c r="D126">
        <v>108</v>
      </c>
      <c r="E126">
        <v>44615168.531895354</v>
      </c>
    </row>
  </sheetData>
  <mergeCells count="1">
    <mergeCell ref="G16:G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7"/>
  <sheetViews>
    <sheetView workbookViewId="0">
      <selection activeCell="E19" sqref="E19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0.3125" customWidth="1"/>
    <col min="6" max="7" width="18.68359375" customWidth="1"/>
    <col min="8" max="8" width="32.5234375" customWidth="1"/>
  </cols>
  <sheetData>
    <row r="1" spans="1:8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55000000000000004">
      <c r="A3" t="str">
        <f>MC_High_ambition!A3</f>
        <v>Income per cow (USD/yr)</v>
      </c>
      <c r="B3" s="18">
        <f>Mappings!N14</f>
        <v>1495.1172015495711</v>
      </c>
      <c r="C3" s="18">
        <f>Mappings!N15</f>
        <v>340.3171855089804</v>
      </c>
      <c r="D3" s="33">
        <f>Mappings!N16</f>
        <v>1662.110376985115</v>
      </c>
    </row>
    <row r="4" spans="1:8" x14ac:dyDescent="0.55000000000000004">
      <c r="A4" t="str">
        <f>MC_High_ambition!A4</f>
        <v>Random value income per cow (USD/yr)</v>
      </c>
      <c r="B4" s="18">
        <f ca="1">_xlfn.NORM.INV(RAND(),Mappings!N14,Mappings!O14)</f>
        <v>1669.8934720727968</v>
      </c>
      <c r="C4" s="18">
        <f ca="1">_xlfn.NORM.INV(RAND(),Mappings!N15,Mappings!O15)</f>
        <v>350.58008677777156</v>
      </c>
      <c r="D4" s="18">
        <f ca="1">_xlfn.NORM.INV(RAND(),Mappings!N16,Mappings!O16)</f>
        <v>1569.5268267624213</v>
      </c>
    </row>
    <row r="5" spans="1:8" x14ac:dyDescent="0.55000000000000004">
      <c r="A5" t="str">
        <f>MC_High_ambition!A5</f>
        <v>Cows per household (head)</v>
      </c>
      <c r="B5" s="18">
        <f>Mappings!F14*Mappings!I14</f>
        <v>0.86434282888356317</v>
      </c>
      <c r="C5" s="18">
        <f>Mappings!F15*Mappings!I15</f>
        <v>2.9539714971122204</v>
      </c>
      <c r="D5" s="18">
        <f>Mappings!F16*Mappings!I16</f>
        <v>1.733147305715852</v>
      </c>
    </row>
    <row r="6" spans="1:8" x14ac:dyDescent="0.55000000000000004">
      <c r="A6" t="str">
        <f>MC_High_ambition!A6</f>
        <v>Random value cows per household (head)</v>
      </c>
      <c r="B6" s="18">
        <f ca="1">_xlfn.NORM.INV(RAND(),B5,B5*Mappings!E4)*0+B5</f>
        <v>0.86434282888356317</v>
      </c>
      <c r="C6" s="18">
        <f ca="1">_xlfn.NORM.INV(RAND(),C5,C5*Mappings!E3)*0+C5</f>
        <v>2.9539714971122204</v>
      </c>
      <c r="D6" s="18">
        <f ca="1">_xlfn.NORM.INV(RAND(),D5,D5*Mappings!E4)*0+D5</f>
        <v>1.733147305715852</v>
      </c>
    </row>
    <row r="7" spans="1:8" x14ac:dyDescent="0.55000000000000004">
      <c r="A7" t="str">
        <f>MC_High_ambition!A7</f>
        <v>Reduction in non-dairy income through crop area change</v>
      </c>
      <c r="B7" s="18">
        <f>Mappings!Q14</f>
        <v>192.6957916969387</v>
      </c>
      <c r="C7" s="18">
        <f>Mappings!Q15</f>
        <v>676.53723466409156</v>
      </c>
      <c r="D7" s="18">
        <f>Mappings!Q16</f>
        <v>374.07386355437234</v>
      </c>
    </row>
    <row r="8" spans="1:8" x14ac:dyDescent="0.55000000000000004">
      <c r="A8" t="str">
        <f>MC_High_ambition!A8</f>
        <v>Random value reduction/increase in non-dairy income (USD/yr)</v>
      </c>
      <c r="B8" s="18">
        <f ca="1">IF(B7&gt;0,_xlfn.NORM.INV(RAND(),B7,B7*Dairy_Income_Roadmap!L36),_xlfn.NORM.INV(RAND(),ABS(B7),ABS(B7)*Dairy_Income_Roadmap!L36))</f>
        <v>0.27940763887613684</v>
      </c>
      <c r="C8" s="18">
        <f ca="1">IF(C7&gt;0,_xlfn.NORM.INV(RAND(),C7,C7*Dairy_Income_Roadmap!L36),_xlfn.NORM.INV(RAND(),ABS(C7),ABS(C7)*Dairy_Income_Roadmap!L36))</f>
        <v>293.011755493956</v>
      </c>
      <c r="D8" s="18">
        <f ca="1">IF(D7&gt;0,_xlfn.NORM.INV(RAND(),D7,D7*Dairy_Income_Roadmap!L38),_xlfn.NORM.INV(RAND(),ABS(D7),ABS(D7)*Dairy_Income_Roadmap!L38))</f>
        <v>289.58839195008665</v>
      </c>
    </row>
    <row r="9" spans="1:8" x14ac:dyDescent="0.55000000000000004">
      <c r="A9" t="str">
        <f>MC_High_ambition!A9</f>
        <v>Quantity households</v>
      </c>
      <c r="B9" s="18">
        <f>Mappings!D14</f>
        <v>1312.1933627665783</v>
      </c>
      <c r="C9" s="4">
        <f>Mappings!D15</f>
        <v>64297.474775562332</v>
      </c>
      <c r="D9" s="4">
        <f>Mappings!D16</f>
        <v>82028.367810366151</v>
      </c>
    </row>
    <row r="10" spans="1:8" x14ac:dyDescent="0.55000000000000004">
      <c r="A10" t="str">
        <f>MC_High_ambition!A10</f>
        <v>SE quantity households</v>
      </c>
      <c r="B10" s="18">
        <f>Mappings!V14*Mappings!D14</f>
        <v>38.622742015610818</v>
      </c>
      <c r="C10" s="18">
        <f>Mappings!V15*Mappings!D15</f>
        <v>1892.51435876493</v>
      </c>
      <c r="D10" s="4">
        <f>Mappings!V16*Mappings!D16</f>
        <v>2414.4006346913525</v>
      </c>
    </row>
    <row r="11" spans="1:8" x14ac:dyDescent="0.55000000000000004">
      <c r="B11" s="18"/>
    </row>
    <row r="12" spans="1:8" x14ac:dyDescent="0.55000000000000004">
      <c r="A12" t="str">
        <f>MC_High_ambition!A12</f>
        <v>Dairy Income (USD/household/year)</v>
      </c>
      <c r="B12" s="18">
        <f ca="1">B4*B6</f>
        <v>1443.3604475855966</v>
      </c>
      <c r="C12" s="18">
        <f ca="1">C4*C6</f>
        <v>1035.603583796666</v>
      </c>
      <c r="D12" s="18">
        <f ca="1">D4*D6</f>
        <v>2720.2211910520409</v>
      </c>
    </row>
    <row r="13" spans="1:8" x14ac:dyDescent="0.55000000000000004">
      <c r="A13" t="str">
        <f>MC_High_ambition!A13</f>
        <v>Non dairy income (USD/household/year)</v>
      </c>
      <c r="B13" s="18">
        <f ca="1">-IF(B7&gt;0,B8,-B8)</f>
        <v>-0.27940763887613684</v>
      </c>
      <c r="C13" s="18">
        <f ca="1">-IF(C7&gt;0,C8,-C8)</f>
        <v>-293.011755493956</v>
      </c>
      <c r="D13" s="18">
        <f ca="1">-IF(D7&gt;0,D8,-D8)</f>
        <v>-289.58839195008665</v>
      </c>
    </row>
    <row r="14" spans="1:8" x14ac:dyDescent="0.55000000000000004">
      <c r="A14" t="str">
        <f>MC_High_ambition!A14</f>
        <v>Quantity households</v>
      </c>
      <c r="B14" s="18">
        <f ca="1">_xlfn.NORM.INV(RAND(),B9,B10)</f>
        <v>1285.2477051782696</v>
      </c>
      <c r="C14" s="18">
        <f ca="1">_xlfn.NORM.INV(RAND(),C9,C10)</f>
        <v>61642.399329151194</v>
      </c>
      <c r="D14" s="18">
        <f t="shared" ref="D14" ca="1" si="0">_xlfn.NORM.INV(RAND(),D9,D10)</f>
        <v>79242.344557165663</v>
      </c>
    </row>
    <row r="16" spans="1:8" x14ac:dyDescent="0.55000000000000004">
      <c r="A16" t="str">
        <f>MC_High_ambition!A16</f>
        <v>Estimated population income (USD/yr)</v>
      </c>
      <c r="B16" s="10">
        <f ca="1">(B12+B13)*B14</f>
        <v>1854716.5949777933</v>
      </c>
      <c r="C16" s="10">
        <f ca="1">(C12+C13)*C14</f>
        <v>45775142.018800132</v>
      </c>
      <c r="D16" s="10">
        <f ca="1">(D12+D13)*D14</f>
        <v>192609041.75838509</v>
      </c>
      <c r="F16">
        <f ca="1">B16+C16+D16</f>
        <v>240238900.37216303</v>
      </c>
    </row>
    <row r="17" spans="1:10" x14ac:dyDescent="0.55000000000000004">
      <c r="A17" t="str">
        <f>MC_High_ambition!A17</f>
        <v>SE population income (USD/yr)</v>
      </c>
      <c r="B17" t="s">
        <v>48</v>
      </c>
      <c r="C17" t="s">
        <v>48</v>
      </c>
      <c r="D17" t="s">
        <v>48</v>
      </c>
      <c r="F17">
        <f ca="1">STDEV(F20:F127)</f>
        <v>32471233.693100404</v>
      </c>
    </row>
    <row r="18" spans="1:10" x14ac:dyDescent="0.55000000000000004">
      <c r="A18" t="str">
        <f>MC_High_ambition!A18</f>
        <v>Mean population income (USD/yr)</v>
      </c>
      <c r="B18" s="4" t="s">
        <v>48</v>
      </c>
      <c r="C18" s="4" t="s">
        <v>48</v>
      </c>
      <c r="D18" s="4" t="s">
        <v>48</v>
      </c>
      <c r="E18" s="4"/>
      <c r="F18" s="4">
        <f ca="1">AVERAGE(F20:F127)</f>
        <v>226880925.56797516</v>
      </c>
      <c r="G18" s="4"/>
      <c r="H18" s="88" t="s">
        <v>51</v>
      </c>
      <c r="I18" s="37">
        <f ca="1">100*F17/F18</f>
        <v>14.312015702427038</v>
      </c>
    </row>
    <row r="19" spans="1:10" x14ac:dyDescent="0.55000000000000004">
      <c r="F19" s="4"/>
      <c r="G19" s="4"/>
      <c r="H19" s="88"/>
    </row>
    <row r="20" spans="1:10" x14ac:dyDescent="0.55000000000000004">
      <c r="B20" s="4"/>
      <c r="E20">
        <v>1</v>
      </c>
      <c r="F20" s="28">
        <f ca="1">F16</f>
        <v>240238900.37216303</v>
      </c>
      <c r="G20" s="4"/>
      <c r="H20" s="4"/>
    </row>
    <row r="21" spans="1:10" x14ac:dyDescent="0.55000000000000004">
      <c r="E21">
        <v>2</v>
      </c>
      <c r="F21" s="28">
        <f t="dataTable" ref="F21:F127" dt2D="0" dtr="0" r1="F19" ca="1"/>
        <v>197374983.3169086</v>
      </c>
      <c r="G21" s="4"/>
      <c r="H21" s="4"/>
      <c r="I21" s="87"/>
    </row>
    <row r="22" spans="1:10" x14ac:dyDescent="0.55000000000000004">
      <c r="E22">
        <v>3</v>
      </c>
      <c r="F22" s="28">
        <v>231575676.41576937</v>
      </c>
      <c r="G22" s="4"/>
      <c r="H22" s="4"/>
      <c r="I22" s="87"/>
      <c r="J22" s="37"/>
    </row>
    <row r="23" spans="1:10" x14ac:dyDescent="0.55000000000000004">
      <c r="E23">
        <v>4</v>
      </c>
      <c r="F23" s="28">
        <v>227554797.27117383</v>
      </c>
      <c r="G23" s="4"/>
      <c r="H23" s="4"/>
    </row>
    <row r="24" spans="1:10" x14ac:dyDescent="0.55000000000000004">
      <c r="E24">
        <v>5</v>
      </c>
      <c r="F24" s="28">
        <v>219664137.14702863</v>
      </c>
      <c r="G24" s="4"/>
      <c r="H24" s="4"/>
    </row>
    <row r="25" spans="1:10" x14ac:dyDescent="0.55000000000000004">
      <c r="E25">
        <v>6</v>
      </c>
      <c r="F25" s="28">
        <v>250594321.15178287</v>
      </c>
      <c r="G25" s="4"/>
      <c r="H25" s="4"/>
    </row>
    <row r="26" spans="1:10" x14ac:dyDescent="0.55000000000000004">
      <c r="E26">
        <v>7</v>
      </c>
      <c r="F26" s="28">
        <v>200962098.57099211</v>
      </c>
      <c r="G26" s="4"/>
      <c r="H26" s="4"/>
    </row>
    <row r="27" spans="1:10" x14ac:dyDescent="0.55000000000000004">
      <c r="E27">
        <v>8</v>
      </c>
      <c r="F27" s="28">
        <v>188683755.39485943</v>
      </c>
      <c r="G27" s="4"/>
      <c r="H27" s="4"/>
    </row>
    <row r="28" spans="1:10" x14ac:dyDescent="0.55000000000000004">
      <c r="E28">
        <v>9</v>
      </c>
      <c r="F28" s="28">
        <v>257470450.22670054</v>
      </c>
      <c r="G28" s="4"/>
      <c r="H28" s="4"/>
    </row>
    <row r="29" spans="1:10" x14ac:dyDescent="0.55000000000000004">
      <c r="E29">
        <v>10</v>
      </c>
      <c r="F29" s="28">
        <v>243172419.02087042</v>
      </c>
      <c r="G29" s="4"/>
      <c r="H29" s="4"/>
    </row>
    <row r="30" spans="1:10" x14ac:dyDescent="0.55000000000000004">
      <c r="E30">
        <v>11</v>
      </c>
      <c r="F30" s="28">
        <v>183302134.13030389</v>
      </c>
      <c r="G30" s="4"/>
      <c r="H30" s="4"/>
    </row>
    <row r="31" spans="1:10" x14ac:dyDescent="0.55000000000000004">
      <c r="E31">
        <v>12</v>
      </c>
      <c r="F31" s="28">
        <v>225726292.93471685</v>
      </c>
      <c r="G31" s="4"/>
      <c r="H31" s="4"/>
    </row>
    <row r="32" spans="1:10" x14ac:dyDescent="0.55000000000000004">
      <c r="E32">
        <v>13</v>
      </c>
      <c r="F32" s="28">
        <v>222007190.09075466</v>
      </c>
      <c r="G32" s="4"/>
      <c r="H32" s="4"/>
    </row>
    <row r="33" spans="5:8" x14ac:dyDescent="0.55000000000000004">
      <c r="E33">
        <v>14</v>
      </c>
      <c r="F33" s="28">
        <v>198696643.13117138</v>
      </c>
      <c r="G33" s="4"/>
      <c r="H33" s="4"/>
    </row>
    <row r="34" spans="5:8" x14ac:dyDescent="0.55000000000000004">
      <c r="E34">
        <v>15</v>
      </c>
      <c r="F34" s="28">
        <v>220369588.0659031</v>
      </c>
      <c r="G34" s="4"/>
      <c r="H34" s="4"/>
    </row>
    <row r="35" spans="5:8" x14ac:dyDescent="0.55000000000000004">
      <c r="E35">
        <v>16</v>
      </c>
      <c r="F35" s="28">
        <v>159111827.15106589</v>
      </c>
      <c r="G35" s="4"/>
      <c r="H35" s="4"/>
    </row>
    <row r="36" spans="5:8" x14ac:dyDescent="0.55000000000000004">
      <c r="E36">
        <v>17</v>
      </c>
      <c r="F36" s="28">
        <v>223544518.44075418</v>
      </c>
      <c r="G36" s="4"/>
      <c r="H36" s="4"/>
    </row>
    <row r="37" spans="5:8" x14ac:dyDescent="0.55000000000000004">
      <c r="E37">
        <v>18</v>
      </c>
      <c r="F37" s="28">
        <v>226829013.7762073</v>
      </c>
      <c r="G37" s="4"/>
      <c r="H37" s="4"/>
    </row>
    <row r="38" spans="5:8" x14ac:dyDescent="0.55000000000000004">
      <c r="E38">
        <v>19</v>
      </c>
      <c r="F38" s="28">
        <v>196389168.80449724</v>
      </c>
      <c r="G38" s="4"/>
      <c r="H38" s="4"/>
    </row>
    <row r="39" spans="5:8" x14ac:dyDescent="0.55000000000000004">
      <c r="E39">
        <v>20</v>
      </c>
      <c r="F39" s="28">
        <v>273048462.27701056</v>
      </c>
      <c r="G39" s="4"/>
      <c r="H39" s="4"/>
    </row>
    <row r="40" spans="5:8" x14ac:dyDescent="0.55000000000000004">
      <c r="E40">
        <v>21</v>
      </c>
      <c r="F40" s="28">
        <v>229848815.68064582</v>
      </c>
      <c r="G40" s="4"/>
      <c r="H40" s="4"/>
    </row>
    <row r="41" spans="5:8" x14ac:dyDescent="0.55000000000000004">
      <c r="E41">
        <v>22</v>
      </c>
      <c r="F41" s="28">
        <v>238932658.25252566</v>
      </c>
      <c r="G41" s="4"/>
      <c r="H41" s="4"/>
    </row>
    <row r="42" spans="5:8" x14ac:dyDescent="0.55000000000000004">
      <c r="E42">
        <v>23</v>
      </c>
      <c r="F42" s="28">
        <v>205112544.63142961</v>
      </c>
      <c r="G42" s="4"/>
      <c r="H42" s="4"/>
    </row>
    <row r="43" spans="5:8" x14ac:dyDescent="0.55000000000000004">
      <c r="E43">
        <v>24</v>
      </c>
      <c r="F43" s="28">
        <v>234545643.87963134</v>
      </c>
      <c r="G43" s="4"/>
      <c r="H43" s="4"/>
    </row>
    <row r="44" spans="5:8" x14ac:dyDescent="0.55000000000000004">
      <c r="E44">
        <v>25</v>
      </c>
      <c r="F44" s="28">
        <v>209681991.41331503</v>
      </c>
      <c r="G44" s="4"/>
      <c r="H44" s="4"/>
    </row>
    <row r="45" spans="5:8" x14ac:dyDescent="0.55000000000000004">
      <c r="E45">
        <v>26</v>
      </c>
      <c r="F45" s="28">
        <v>188436635.88188994</v>
      </c>
      <c r="G45" s="4"/>
      <c r="H45" s="4"/>
    </row>
    <row r="46" spans="5:8" x14ac:dyDescent="0.55000000000000004">
      <c r="E46">
        <v>27</v>
      </c>
      <c r="F46" s="28">
        <v>253986741.44810766</v>
      </c>
      <c r="G46" s="4"/>
      <c r="H46" s="4"/>
    </row>
    <row r="47" spans="5:8" x14ac:dyDescent="0.55000000000000004">
      <c r="E47">
        <v>28</v>
      </c>
      <c r="F47" s="28">
        <v>296034297.49253839</v>
      </c>
      <c r="G47" s="4"/>
      <c r="H47" s="4"/>
    </row>
    <row r="48" spans="5:8" x14ac:dyDescent="0.55000000000000004">
      <c r="E48">
        <v>29</v>
      </c>
      <c r="F48" s="28">
        <v>259910764.27343106</v>
      </c>
      <c r="G48" s="4"/>
      <c r="H48" s="4"/>
    </row>
    <row r="49" spans="5:8" x14ac:dyDescent="0.55000000000000004">
      <c r="E49">
        <v>30</v>
      </c>
      <c r="F49" s="28">
        <v>283791362.15865082</v>
      </c>
      <c r="G49" s="4"/>
      <c r="H49" s="4"/>
    </row>
    <row r="50" spans="5:8" x14ac:dyDescent="0.55000000000000004">
      <c r="E50">
        <v>31</v>
      </c>
      <c r="F50" s="28">
        <v>251054809.73504472</v>
      </c>
      <c r="G50" s="4"/>
      <c r="H50" s="4"/>
    </row>
    <row r="51" spans="5:8" x14ac:dyDescent="0.55000000000000004">
      <c r="E51">
        <v>32</v>
      </c>
      <c r="F51" s="28">
        <v>236015624.64943749</v>
      </c>
      <c r="G51" s="4"/>
      <c r="H51" s="4"/>
    </row>
    <row r="52" spans="5:8" x14ac:dyDescent="0.55000000000000004">
      <c r="E52">
        <v>33</v>
      </c>
      <c r="F52" s="28">
        <v>198485690.18000033</v>
      </c>
      <c r="G52" s="4"/>
      <c r="H52" s="4"/>
    </row>
    <row r="53" spans="5:8" x14ac:dyDescent="0.55000000000000004">
      <c r="E53">
        <v>34</v>
      </c>
      <c r="F53" s="28">
        <v>262139675.55942273</v>
      </c>
      <c r="G53" s="4"/>
      <c r="H53" s="4"/>
    </row>
    <row r="54" spans="5:8" x14ac:dyDescent="0.55000000000000004">
      <c r="E54">
        <v>35</v>
      </c>
      <c r="F54" s="28">
        <v>279667137.78623569</v>
      </c>
      <c r="G54" s="4"/>
      <c r="H54" s="4"/>
    </row>
    <row r="55" spans="5:8" x14ac:dyDescent="0.55000000000000004">
      <c r="E55">
        <v>36</v>
      </c>
      <c r="F55" s="28">
        <v>258085232.93912989</v>
      </c>
      <c r="G55" s="4"/>
      <c r="H55" s="4"/>
    </row>
    <row r="56" spans="5:8" x14ac:dyDescent="0.55000000000000004">
      <c r="E56">
        <v>37</v>
      </c>
      <c r="F56" s="28">
        <v>247345475.17399269</v>
      </c>
      <c r="G56" s="4"/>
      <c r="H56" s="4"/>
    </row>
    <row r="57" spans="5:8" x14ac:dyDescent="0.55000000000000004">
      <c r="E57">
        <v>38</v>
      </c>
      <c r="F57" s="28">
        <v>223085599.20469141</v>
      </c>
      <c r="G57" s="4"/>
      <c r="H57" s="4"/>
    </row>
    <row r="58" spans="5:8" x14ac:dyDescent="0.55000000000000004">
      <c r="E58">
        <v>39</v>
      </c>
      <c r="F58" s="28">
        <v>229397586.99153224</v>
      </c>
      <c r="G58" s="4"/>
      <c r="H58" s="4"/>
    </row>
    <row r="59" spans="5:8" x14ac:dyDescent="0.55000000000000004">
      <c r="E59">
        <v>40</v>
      </c>
      <c r="F59" s="28">
        <v>263666670.04451311</v>
      </c>
      <c r="G59" s="4"/>
      <c r="H59" s="4"/>
    </row>
    <row r="60" spans="5:8" x14ac:dyDescent="0.55000000000000004">
      <c r="E60">
        <v>41</v>
      </c>
      <c r="F60" s="28">
        <v>207945048.17972618</v>
      </c>
      <c r="G60" s="4"/>
      <c r="H60" s="4"/>
    </row>
    <row r="61" spans="5:8" x14ac:dyDescent="0.55000000000000004">
      <c r="E61">
        <v>42</v>
      </c>
      <c r="F61" s="28">
        <v>250947523.9971832</v>
      </c>
      <c r="G61" s="4"/>
      <c r="H61" s="4"/>
    </row>
    <row r="62" spans="5:8" x14ac:dyDescent="0.55000000000000004">
      <c r="E62">
        <v>43</v>
      </c>
      <c r="F62" s="28">
        <v>181855524.2708104</v>
      </c>
      <c r="G62" s="4"/>
      <c r="H62" s="4"/>
    </row>
    <row r="63" spans="5:8" x14ac:dyDescent="0.55000000000000004">
      <c r="E63">
        <v>44</v>
      </c>
      <c r="F63" s="28">
        <v>194194383.14312375</v>
      </c>
      <c r="G63" s="4"/>
      <c r="H63" s="4"/>
    </row>
    <row r="64" spans="5:8" x14ac:dyDescent="0.55000000000000004">
      <c r="E64">
        <v>45</v>
      </c>
      <c r="F64" s="28">
        <v>166447277.90802351</v>
      </c>
      <c r="G64" s="4"/>
      <c r="H64" s="4"/>
    </row>
    <row r="65" spans="5:8" x14ac:dyDescent="0.55000000000000004">
      <c r="E65">
        <v>46</v>
      </c>
      <c r="F65" s="28">
        <v>190635161.66483289</v>
      </c>
      <c r="G65" s="4"/>
      <c r="H65" s="4"/>
    </row>
    <row r="66" spans="5:8" x14ac:dyDescent="0.55000000000000004">
      <c r="E66">
        <v>47</v>
      </c>
      <c r="F66" s="28">
        <v>219834123.01030654</v>
      </c>
      <c r="G66" s="4"/>
      <c r="H66" s="4"/>
    </row>
    <row r="67" spans="5:8" x14ac:dyDescent="0.55000000000000004">
      <c r="E67">
        <v>48</v>
      </c>
      <c r="F67" s="28">
        <v>233161625.93023923</v>
      </c>
      <c r="G67" s="4"/>
      <c r="H67" s="4"/>
    </row>
    <row r="68" spans="5:8" x14ac:dyDescent="0.55000000000000004">
      <c r="E68">
        <v>49</v>
      </c>
      <c r="F68" s="28">
        <v>190158836.09067699</v>
      </c>
      <c r="G68" s="4"/>
      <c r="H68" s="4"/>
    </row>
    <row r="69" spans="5:8" x14ac:dyDescent="0.55000000000000004">
      <c r="E69">
        <v>50</v>
      </c>
      <c r="F69" s="28">
        <v>230219121.89521119</v>
      </c>
      <c r="G69" s="4"/>
      <c r="H69" s="4"/>
    </row>
    <row r="70" spans="5:8" x14ac:dyDescent="0.55000000000000004">
      <c r="E70">
        <v>51</v>
      </c>
      <c r="F70" s="28">
        <v>267459496.60862648</v>
      </c>
      <c r="G70" s="4"/>
      <c r="H70" s="4"/>
    </row>
    <row r="71" spans="5:8" x14ac:dyDescent="0.55000000000000004">
      <c r="E71">
        <v>52</v>
      </c>
      <c r="F71" s="28">
        <v>280924936.83918184</v>
      </c>
      <c r="G71" s="4"/>
      <c r="H71" s="4"/>
    </row>
    <row r="72" spans="5:8" x14ac:dyDescent="0.55000000000000004">
      <c r="E72">
        <v>53</v>
      </c>
      <c r="F72" s="28">
        <v>294575816.69395751</v>
      </c>
      <c r="G72" s="4"/>
      <c r="H72" s="4"/>
    </row>
    <row r="73" spans="5:8" x14ac:dyDescent="0.55000000000000004">
      <c r="E73">
        <v>54</v>
      </c>
      <c r="F73" s="28">
        <v>206793440.60562459</v>
      </c>
      <c r="G73" s="4"/>
      <c r="H73" s="4"/>
    </row>
    <row r="74" spans="5:8" x14ac:dyDescent="0.55000000000000004">
      <c r="E74">
        <v>55</v>
      </c>
      <c r="F74" s="28">
        <v>240420717.03416735</v>
      </c>
      <c r="G74" s="4"/>
      <c r="H74" s="4"/>
    </row>
    <row r="75" spans="5:8" x14ac:dyDescent="0.55000000000000004">
      <c r="E75">
        <v>56</v>
      </c>
      <c r="F75" s="28">
        <v>227631513.1464093</v>
      </c>
      <c r="G75" s="4"/>
      <c r="H75" s="4"/>
    </row>
    <row r="76" spans="5:8" x14ac:dyDescent="0.55000000000000004">
      <c r="E76">
        <v>57</v>
      </c>
      <c r="F76" s="28">
        <v>239624345.55619618</v>
      </c>
      <c r="G76" s="4"/>
      <c r="H76" s="4"/>
    </row>
    <row r="77" spans="5:8" x14ac:dyDescent="0.55000000000000004">
      <c r="E77">
        <v>58</v>
      </c>
      <c r="F77" s="28">
        <v>195285873.63080236</v>
      </c>
      <c r="G77" s="4"/>
      <c r="H77" s="4"/>
    </row>
    <row r="78" spans="5:8" x14ac:dyDescent="0.55000000000000004">
      <c r="E78">
        <v>59</v>
      </c>
      <c r="F78" s="28">
        <v>239163920.39874631</v>
      </c>
      <c r="G78" s="4"/>
      <c r="H78" s="4"/>
    </row>
    <row r="79" spans="5:8" x14ac:dyDescent="0.55000000000000004">
      <c r="E79">
        <v>60</v>
      </c>
      <c r="F79" s="28">
        <v>269469114.19590306</v>
      </c>
      <c r="G79" s="4"/>
      <c r="H79" s="4"/>
    </row>
    <row r="80" spans="5:8" x14ac:dyDescent="0.55000000000000004">
      <c r="E80">
        <v>61</v>
      </c>
      <c r="F80" s="28">
        <v>218170827.34477705</v>
      </c>
      <c r="G80" s="4"/>
      <c r="H80" s="4"/>
    </row>
    <row r="81" spans="5:8" x14ac:dyDescent="0.55000000000000004">
      <c r="E81">
        <v>62</v>
      </c>
      <c r="F81" s="28">
        <v>266679772.13372239</v>
      </c>
      <c r="G81" s="4"/>
      <c r="H81" s="4"/>
    </row>
    <row r="82" spans="5:8" x14ac:dyDescent="0.55000000000000004">
      <c r="E82">
        <v>63</v>
      </c>
      <c r="F82" s="28">
        <v>198551270.32584101</v>
      </c>
      <c r="G82" s="4"/>
      <c r="H82" s="4"/>
    </row>
    <row r="83" spans="5:8" x14ac:dyDescent="0.55000000000000004">
      <c r="E83">
        <v>64</v>
      </c>
      <c r="F83" s="28">
        <v>257825596.76583758</v>
      </c>
      <c r="G83" s="4"/>
      <c r="H83" s="4"/>
    </row>
    <row r="84" spans="5:8" x14ac:dyDescent="0.55000000000000004">
      <c r="E84">
        <v>65</v>
      </c>
      <c r="F84" s="28">
        <v>256125573.19714522</v>
      </c>
      <c r="G84" s="4"/>
      <c r="H84" s="4"/>
    </row>
    <row r="85" spans="5:8" x14ac:dyDescent="0.55000000000000004">
      <c r="E85">
        <v>66</v>
      </c>
      <c r="F85" s="28">
        <v>245835172.91506335</v>
      </c>
      <c r="G85" s="4"/>
      <c r="H85" s="4"/>
    </row>
    <row r="86" spans="5:8" x14ac:dyDescent="0.55000000000000004">
      <c r="E86">
        <v>67</v>
      </c>
      <c r="F86" s="28">
        <v>195537809.42380664</v>
      </c>
      <c r="G86" s="4"/>
      <c r="H86" s="4"/>
    </row>
    <row r="87" spans="5:8" x14ac:dyDescent="0.55000000000000004">
      <c r="E87">
        <v>68</v>
      </c>
      <c r="F87" s="28">
        <v>243968870.58607739</v>
      </c>
      <c r="G87" s="4"/>
      <c r="H87" s="4"/>
    </row>
    <row r="88" spans="5:8" x14ac:dyDescent="0.55000000000000004">
      <c r="E88">
        <v>69</v>
      </c>
      <c r="F88" s="28">
        <v>197769196.95266172</v>
      </c>
      <c r="G88" s="4"/>
      <c r="H88" s="4"/>
    </row>
    <row r="89" spans="5:8" x14ac:dyDescent="0.55000000000000004">
      <c r="E89">
        <v>70</v>
      </c>
      <c r="F89" s="28">
        <v>278095060.44853789</v>
      </c>
      <c r="G89" s="4"/>
      <c r="H89" s="4"/>
    </row>
    <row r="90" spans="5:8" x14ac:dyDescent="0.55000000000000004">
      <c r="E90">
        <v>71</v>
      </c>
      <c r="F90" s="28">
        <v>228293374.90379357</v>
      </c>
      <c r="G90" s="4"/>
      <c r="H90" s="4"/>
    </row>
    <row r="91" spans="5:8" x14ac:dyDescent="0.55000000000000004">
      <c r="E91">
        <v>72</v>
      </c>
      <c r="F91" s="28">
        <v>223884408.86701339</v>
      </c>
      <c r="G91" s="4"/>
      <c r="H91" s="4"/>
    </row>
    <row r="92" spans="5:8" x14ac:dyDescent="0.55000000000000004">
      <c r="E92">
        <v>73</v>
      </c>
      <c r="F92" s="28">
        <v>225650098.87830842</v>
      </c>
      <c r="G92" s="4"/>
      <c r="H92" s="4"/>
    </row>
    <row r="93" spans="5:8" x14ac:dyDescent="0.55000000000000004">
      <c r="E93">
        <v>74</v>
      </c>
      <c r="F93" s="28">
        <v>286990404.29551309</v>
      </c>
      <c r="G93" s="4"/>
      <c r="H93" s="4"/>
    </row>
    <row r="94" spans="5:8" x14ac:dyDescent="0.55000000000000004">
      <c r="E94">
        <v>75</v>
      </c>
      <c r="F94" s="28">
        <v>266353254.17325732</v>
      </c>
      <c r="G94" s="4"/>
      <c r="H94" s="4"/>
    </row>
    <row r="95" spans="5:8" x14ac:dyDescent="0.55000000000000004">
      <c r="E95">
        <v>76</v>
      </c>
      <c r="F95" s="28">
        <v>194730279.55632296</v>
      </c>
      <c r="G95" s="4"/>
      <c r="H95" s="4"/>
    </row>
    <row r="96" spans="5:8" x14ac:dyDescent="0.55000000000000004">
      <c r="E96">
        <v>77</v>
      </c>
      <c r="F96" s="28">
        <v>231003902.57747579</v>
      </c>
      <c r="G96" s="4"/>
      <c r="H96" s="4"/>
    </row>
    <row r="97" spans="5:8" x14ac:dyDescent="0.55000000000000004">
      <c r="E97">
        <v>78</v>
      </c>
      <c r="F97" s="28">
        <v>240794484.78168419</v>
      </c>
      <c r="G97" s="4"/>
      <c r="H97" s="4"/>
    </row>
    <row r="98" spans="5:8" x14ac:dyDescent="0.55000000000000004">
      <c r="E98">
        <v>79</v>
      </c>
      <c r="F98" s="28">
        <v>240663020.97914261</v>
      </c>
      <c r="G98" s="4"/>
      <c r="H98" s="4"/>
    </row>
    <row r="99" spans="5:8" x14ac:dyDescent="0.55000000000000004">
      <c r="E99">
        <v>80</v>
      </c>
      <c r="F99" s="28">
        <v>238220516.47444275</v>
      </c>
      <c r="G99" s="4"/>
      <c r="H99" s="4"/>
    </row>
    <row r="100" spans="5:8" x14ac:dyDescent="0.55000000000000004">
      <c r="E100">
        <v>81</v>
      </c>
      <c r="F100" s="28">
        <v>239208092.04422832</v>
      </c>
      <c r="G100" s="4"/>
      <c r="H100" s="4"/>
    </row>
    <row r="101" spans="5:8" x14ac:dyDescent="0.55000000000000004">
      <c r="E101">
        <v>82</v>
      </c>
      <c r="F101" s="28">
        <v>217454075.97564551</v>
      </c>
      <c r="G101" s="4"/>
      <c r="H101" s="4"/>
    </row>
    <row r="102" spans="5:8" x14ac:dyDescent="0.55000000000000004">
      <c r="E102">
        <v>83</v>
      </c>
      <c r="F102" s="28">
        <v>270906955.74627763</v>
      </c>
      <c r="G102" s="4"/>
      <c r="H102" s="4"/>
    </row>
    <row r="103" spans="5:8" x14ac:dyDescent="0.55000000000000004">
      <c r="E103">
        <v>84</v>
      </c>
      <c r="F103" s="28">
        <v>216834565.25863457</v>
      </c>
      <c r="G103" s="4"/>
      <c r="H103" s="4"/>
    </row>
    <row r="104" spans="5:8" x14ac:dyDescent="0.55000000000000004">
      <c r="E104">
        <v>85</v>
      </c>
      <c r="F104" s="28">
        <v>264741397.66514069</v>
      </c>
      <c r="G104" s="4"/>
      <c r="H104" s="4"/>
    </row>
    <row r="105" spans="5:8" x14ac:dyDescent="0.55000000000000004">
      <c r="E105">
        <v>86</v>
      </c>
      <c r="F105" s="28">
        <v>240748913.15840563</v>
      </c>
      <c r="G105" s="4"/>
      <c r="H105" s="4"/>
    </row>
    <row r="106" spans="5:8" x14ac:dyDescent="0.55000000000000004">
      <c r="E106">
        <v>87</v>
      </c>
      <c r="F106" s="28">
        <v>237088942.91171116</v>
      </c>
      <c r="G106" s="4"/>
      <c r="H106" s="4"/>
    </row>
    <row r="107" spans="5:8" x14ac:dyDescent="0.55000000000000004">
      <c r="E107">
        <v>88</v>
      </c>
      <c r="F107" s="28">
        <v>237495201.01505905</v>
      </c>
      <c r="G107" s="4"/>
      <c r="H107" s="4"/>
    </row>
    <row r="108" spans="5:8" x14ac:dyDescent="0.55000000000000004">
      <c r="E108">
        <v>89</v>
      </c>
      <c r="F108" s="28">
        <v>217442927.00642288</v>
      </c>
      <c r="G108" s="4"/>
      <c r="H108" s="4"/>
    </row>
    <row r="109" spans="5:8" x14ac:dyDescent="0.55000000000000004">
      <c r="E109">
        <v>90</v>
      </c>
      <c r="F109" s="28">
        <v>182791472.44879127</v>
      </c>
      <c r="G109" s="4"/>
      <c r="H109" s="4"/>
    </row>
    <row r="110" spans="5:8" x14ac:dyDescent="0.55000000000000004">
      <c r="E110">
        <v>91</v>
      </c>
      <c r="F110" s="28">
        <v>184987033.53634471</v>
      </c>
      <c r="G110" s="4"/>
      <c r="H110" s="4"/>
    </row>
    <row r="111" spans="5:8" x14ac:dyDescent="0.55000000000000004">
      <c r="E111">
        <v>92</v>
      </c>
      <c r="F111" s="28">
        <v>118801110.80388823</v>
      </c>
      <c r="G111" s="4"/>
      <c r="H111" s="4"/>
    </row>
    <row r="112" spans="5:8" x14ac:dyDescent="0.55000000000000004">
      <c r="E112">
        <v>93</v>
      </c>
      <c r="F112" s="28">
        <v>197048844.57298768</v>
      </c>
      <c r="G112" s="4"/>
      <c r="H112" s="4"/>
    </row>
    <row r="113" spans="5:8" x14ac:dyDescent="0.55000000000000004">
      <c r="E113">
        <v>94</v>
      </c>
      <c r="F113" s="28">
        <v>275068131.95172536</v>
      </c>
      <c r="G113" s="4"/>
      <c r="H113" s="4"/>
    </row>
    <row r="114" spans="5:8" x14ac:dyDescent="0.55000000000000004">
      <c r="E114">
        <v>95</v>
      </c>
      <c r="F114" s="28">
        <v>213094868.54266509</v>
      </c>
      <c r="G114" s="4"/>
      <c r="H114" s="4"/>
    </row>
    <row r="115" spans="5:8" x14ac:dyDescent="0.55000000000000004">
      <c r="E115">
        <v>96</v>
      </c>
      <c r="F115" s="28">
        <v>175299620.78180656</v>
      </c>
      <c r="G115" s="4"/>
      <c r="H115" s="4"/>
    </row>
    <row r="116" spans="5:8" x14ac:dyDescent="0.55000000000000004">
      <c r="E116">
        <v>97</v>
      </c>
      <c r="F116" s="28">
        <v>209651922.53593895</v>
      </c>
      <c r="G116" s="4"/>
      <c r="H116" s="4"/>
    </row>
    <row r="117" spans="5:8" x14ac:dyDescent="0.55000000000000004">
      <c r="E117">
        <v>98</v>
      </c>
      <c r="F117" s="28">
        <v>201335707.81345177</v>
      </c>
      <c r="G117" s="4"/>
      <c r="H117" s="4"/>
    </row>
    <row r="118" spans="5:8" x14ac:dyDescent="0.55000000000000004">
      <c r="E118">
        <v>99</v>
      </c>
      <c r="F118" s="28">
        <v>221039256.09849486</v>
      </c>
      <c r="G118" s="4"/>
      <c r="H118" s="4"/>
    </row>
    <row r="119" spans="5:8" x14ac:dyDescent="0.55000000000000004">
      <c r="E119">
        <v>100</v>
      </c>
      <c r="F119" s="28">
        <v>197537392.16296983</v>
      </c>
      <c r="G119" s="4"/>
      <c r="H119" s="4"/>
    </row>
    <row r="120" spans="5:8" x14ac:dyDescent="0.55000000000000004">
      <c r="E120">
        <v>101</v>
      </c>
      <c r="F120" s="28">
        <v>255663496.04992926</v>
      </c>
      <c r="G120" s="4"/>
      <c r="H120" s="4"/>
    </row>
    <row r="121" spans="5:8" x14ac:dyDescent="0.55000000000000004">
      <c r="E121">
        <v>102</v>
      </c>
      <c r="F121" s="28">
        <v>176833595.94231862</v>
      </c>
      <c r="G121" s="4"/>
      <c r="H121" s="4"/>
    </row>
    <row r="122" spans="5:8" x14ac:dyDescent="0.55000000000000004">
      <c r="E122">
        <v>103</v>
      </c>
      <c r="F122" s="28">
        <v>200649966.42882532</v>
      </c>
      <c r="G122" s="4"/>
      <c r="H122" s="4"/>
    </row>
    <row r="123" spans="5:8" x14ac:dyDescent="0.55000000000000004">
      <c r="E123">
        <v>104</v>
      </c>
      <c r="F123" s="28">
        <v>205848632.20429513</v>
      </c>
      <c r="G123" s="4"/>
      <c r="H123" s="4"/>
    </row>
    <row r="124" spans="5:8" x14ac:dyDescent="0.55000000000000004">
      <c r="E124">
        <v>105</v>
      </c>
      <c r="F124" s="28">
        <v>231704214.35465798</v>
      </c>
      <c r="G124" s="4"/>
      <c r="H124" s="4"/>
    </row>
    <row r="125" spans="5:8" x14ac:dyDescent="0.55000000000000004">
      <c r="E125">
        <v>106</v>
      </c>
      <c r="F125" s="28">
        <v>154005477.95653337</v>
      </c>
      <c r="G125" s="4"/>
      <c r="H125" s="4"/>
    </row>
    <row r="126" spans="5:8" x14ac:dyDescent="0.55000000000000004">
      <c r="E126">
        <v>107</v>
      </c>
      <c r="F126" s="28">
        <v>234873473.67051178</v>
      </c>
      <c r="G126" s="4"/>
      <c r="H126" s="4"/>
    </row>
    <row r="127" spans="5:8" x14ac:dyDescent="0.55000000000000004">
      <c r="E127">
        <v>108</v>
      </c>
      <c r="F127" s="28">
        <v>227552641.25667542</v>
      </c>
      <c r="G127" s="4"/>
      <c r="H127" s="4"/>
    </row>
  </sheetData>
  <mergeCells count="2">
    <mergeCell ref="I21:I22"/>
    <mergeCell ref="H18:H19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7"/>
  <sheetViews>
    <sheetView workbookViewId="0">
      <selection activeCell="D13" sqref="D13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17.41796875" customWidth="1"/>
    <col min="6" max="6" width="16.1015625" bestFit="1" customWidth="1"/>
    <col min="7" max="7" width="16.1015625" customWidth="1"/>
    <col min="8" max="8" width="31.1015625" customWidth="1"/>
  </cols>
  <sheetData>
    <row r="1" spans="1:8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55000000000000004">
      <c r="A3" t="str">
        <f>MC_High_ambition!A3</f>
        <v>Income per cow (USD/yr)</v>
      </c>
      <c r="B3" s="18">
        <f>Mappings!N10</f>
        <v>1495.1172015495711</v>
      </c>
      <c r="C3" s="18">
        <f>Mappings!N11</f>
        <v>340.3171855089804</v>
      </c>
      <c r="D3" s="33">
        <f>Mappings!N12</f>
        <v>1662.110376985115</v>
      </c>
    </row>
    <row r="4" spans="1:8" x14ac:dyDescent="0.55000000000000004">
      <c r="A4" t="str">
        <f>MC_High_ambition!A4</f>
        <v>Random value income per cow (USD/yr)</v>
      </c>
      <c r="B4" s="18">
        <f ca="1">_xlfn.NORM.INV(RAND(),Mappings!N10,Mappings!O10)</f>
        <v>1467.5726222796559</v>
      </c>
      <c r="C4" s="18">
        <f ca="1">_xlfn.NORM.INV(RAND(),Mappings!N11,Mappings!O11)</f>
        <v>328.82978622320735</v>
      </c>
      <c r="D4" s="18">
        <f ca="1">_xlfn.NORM.INV(RAND(),Mappings!N12,Mappings!O12)</f>
        <v>1572.2018814407083</v>
      </c>
    </row>
    <row r="5" spans="1:8" x14ac:dyDescent="0.55000000000000004">
      <c r="A5" t="str">
        <f>MC_High_ambition!A5</f>
        <v>Cows per household (head)</v>
      </c>
      <c r="B5" s="18">
        <f>Mappings!F10*Mappings!I10</f>
        <v>0.56408463639927786</v>
      </c>
      <c r="C5" s="18">
        <f>Mappings!F11*Mappings!I11</f>
        <v>2.4983161235504578</v>
      </c>
      <c r="D5" s="18">
        <f>Mappings!F12*Mappings!I12</f>
        <v>1.5699937715024941</v>
      </c>
    </row>
    <row r="6" spans="1:8" x14ac:dyDescent="0.55000000000000004">
      <c r="A6" t="str">
        <f>MC_High_ambition!A6</f>
        <v>Random value cows per household (head)</v>
      </c>
      <c r="B6" s="18">
        <f ca="1">_xlfn.NORM.INV(RAND(),B5,B5*Mappings!E4)*0+B5</f>
        <v>0.56408463639927786</v>
      </c>
      <c r="C6" s="18">
        <f ca="1">_xlfn.NORM.INV(RAND(),C5,C5*Mappings!E3)*0+C5</f>
        <v>2.4983161235504578</v>
      </c>
      <c r="D6" s="18">
        <f ca="1">_xlfn.NORM.INV(RAND(),D5,D5*Mappings!E4)*0+D5</f>
        <v>1.5699937715024941</v>
      </c>
    </row>
    <row r="7" spans="1:8" x14ac:dyDescent="0.55000000000000004">
      <c r="A7" t="str">
        <f>MC_Baseline!A6</f>
        <v>Reduction in non-dairy income through crop area change</v>
      </c>
      <c r="B7" s="18">
        <f>Mappings!Q10</f>
        <v>83.417327319586278</v>
      </c>
      <c r="C7" s="18">
        <f>Mappings!Q11</f>
        <v>553.37990121178859</v>
      </c>
      <c r="D7" s="18">
        <f>Mappings!Q12</f>
        <v>313.41672705646732</v>
      </c>
    </row>
    <row r="8" spans="1:8" x14ac:dyDescent="0.55000000000000004">
      <c r="A8" t="str">
        <f>MC_Baseline!A7</f>
        <v>Random value reduction/increase in non-dairy income (USD/yr)</v>
      </c>
      <c r="B8" s="18">
        <f ca="1">IF(B7&gt;0,_xlfn.NORM.INV(RAND(),B7,B7*Dairy_Income_Roadmap!L36),_xlfn.NORM.INV(RAND(),ABS(B7),ABS(B7)*Dairy_Income_Roadmap!L36))</f>
        <v>65.398416388305961</v>
      </c>
      <c r="C8" s="18">
        <f ca="1">IF(C7&gt;0,_xlfn.NORM.INV(RAND(),C7,C7*Dairy_Income_Roadmap!L36),_xlfn.NORM.INV(RAND(),ABS(C7),ABS(C7)*Dairy_Income_Roadmap!L36))</f>
        <v>952.27089374641957</v>
      </c>
      <c r="D8" s="18">
        <f ca="1">IF(D7&gt;0,_xlfn.NORM.INV(RAND(),D7,D7*Dairy_Income_Roadmap!L38),_xlfn.NORM.INV(RAND(),ABS(D7),ABS(D7)*Dairy_Income_Roadmap!L38))</f>
        <v>175.48394889460056</v>
      </c>
    </row>
    <row r="9" spans="1:8" x14ac:dyDescent="0.55000000000000004">
      <c r="A9" t="str">
        <f>MC_High_ambition!A9</f>
        <v>Quantity households</v>
      </c>
      <c r="B9" s="18">
        <f>Mappings!D10</f>
        <v>5576.8217917579577</v>
      </c>
      <c r="C9" s="4">
        <f>Mappings!D11</f>
        <v>60032.846346570957</v>
      </c>
      <c r="D9" s="4">
        <f>Mappings!D12</f>
        <v>82028.367810366151</v>
      </c>
    </row>
    <row r="10" spans="1:8" x14ac:dyDescent="0.55000000000000004">
      <c r="A10" t="str">
        <f>MC_High_ambition!A10</f>
        <v>SE quantity households</v>
      </c>
      <c r="B10" s="18">
        <f>Mappings!V10*B9</f>
        <v>164.14665356634598</v>
      </c>
      <c r="C10" s="18">
        <f>Mappings!V11*C9</f>
        <v>1766.990447214195</v>
      </c>
      <c r="D10" s="4">
        <f>Mappings!V12*D9</f>
        <v>2414.4006346913525</v>
      </c>
    </row>
    <row r="11" spans="1:8" x14ac:dyDescent="0.55000000000000004">
      <c r="B11" s="18"/>
    </row>
    <row r="12" spans="1:8" x14ac:dyDescent="0.55000000000000004">
      <c r="A12" t="str">
        <f>MC_High_ambition!A12</f>
        <v>Dairy Income (USD/household/year)</v>
      </c>
      <c r="B12" s="18">
        <f ca="1">B4*B6</f>
        <v>827.8351690281545</v>
      </c>
      <c r="C12" s="18">
        <f ca="1">C4*C6</f>
        <v>821.52075682508917</v>
      </c>
      <c r="D12" s="18">
        <f ca="1">D4*D6</f>
        <v>2468.3471614064147</v>
      </c>
    </row>
    <row r="13" spans="1:8" x14ac:dyDescent="0.55000000000000004">
      <c r="A13" t="str">
        <f>MC_High_ambition!A13</f>
        <v>Non dairy income (USD/household/year)</v>
      </c>
      <c r="B13" s="18">
        <f ca="1">-IF(B7&gt;0,B8,-B8)</f>
        <v>-65.398416388305961</v>
      </c>
      <c r="C13" s="18">
        <f ca="1">-IF(C7&gt;0,C8,-C8)</f>
        <v>-952.27089374641957</v>
      </c>
      <c r="D13" s="18">
        <f ca="1">-IF(D7&gt;0,D8,-D8)</f>
        <v>-175.48394889460056</v>
      </c>
    </row>
    <row r="14" spans="1:8" x14ac:dyDescent="0.55000000000000004">
      <c r="A14" t="str">
        <f>MC_High_ambition!A14</f>
        <v>Quantity households</v>
      </c>
      <c r="B14" s="18">
        <f ca="1">_xlfn.NORM.INV(RAND(),B9,B10)</f>
        <v>5528.790056140333</v>
      </c>
      <c r="C14" s="18">
        <f ca="1">_xlfn.NORM.INV(RAND(),C9,C10)</f>
        <v>60666.436908981079</v>
      </c>
      <c r="D14" s="18">
        <f t="shared" ref="D14" ca="1" si="0">_xlfn.NORM.INV(RAND(),D9,D10)</f>
        <v>80759.69815981701</v>
      </c>
    </row>
    <row r="16" spans="1:8" x14ac:dyDescent="0.55000000000000004">
      <c r="A16" t="str">
        <f>MC_High_ambition!A16</f>
        <v>Estimated population income (USD/yr)</v>
      </c>
      <c r="B16" s="10">
        <f ca="1">(B12+B13)*B14</f>
        <v>4215352.7364311218</v>
      </c>
      <c r="C16" s="10">
        <f ca="1">(C12+C13)*C14</f>
        <v>-7932144.9323785286</v>
      </c>
      <c r="D16" s="10">
        <f ca="1">(D12+D13)*D14</f>
        <v>185170940.96420249</v>
      </c>
      <c r="F16" s="4">
        <f ca="1">B16+C16+D16</f>
        <v>181454148.76825508</v>
      </c>
    </row>
    <row r="17" spans="1:9" x14ac:dyDescent="0.55000000000000004">
      <c r="A17" t="str">
        <f>MC_High_ambition!A17</f>
        <v>SE population income (USD/yr)</v>
      </c>
      <c r="B17" t="s">
        <v>48</v>
      </c>
      <c r="C17" t="s">
        <v>48</v>
      </c>
      <c r="D17" t="s">
        <v>48</v>
      </c>
      <c r="F17">
        <f ca="1">STDEV(F20:F127)</f>
        <v>24108521.421679523</v>
      </c>
      <c r="H17" s="87" t="s">
        <v>51</v>
      </c>
    </row>
    <row r="18" spans="1:9" x14ac:dyDescent="0.55000000000000004">
      <c r="A18" t="str">
        <f>MC_High_ambition!A18</f>
        <v>Mean population income (USD/yr)</v>
      </c>
      <c r="B18" s="4" t="s">
        <v>48</v>
      </c>
      <c r="C18" s="4" t="s">
        <v>48</v>
      </c>
      <c r="D18" s="4" t="s">
        <v>48</v>
      </c>
      <c r="E18" s="4"/>
      <c r="F18" s="4">
        <f ca="1">AVERAGE(F20:F127)</f>
        <v>210273438.47553083</v>
      </c>
      <c r="G18" s="4"/>
      <c r="H18" s="87"/>
      <c r="I18" s="37">
        <f ca="1">100*F17/F18</f>
        <v>11.465319441421029</v>
      </c>
    </row>
    <row r="19" spans="1:9" x14ac:dyDescent="0.55000000000000004">
      <c r="F19" s="4"/>
      <c r="G19" s="4"/>
      <c r="H19" s="4"/>
    </row>
    <row r="20" spans="1:9" x14ac:dyDescent="0.55000000000000004">
      <c r="B20" s="4"/>
      <c r="E20">
        <v>1</v>
      </c>
      <c r="F20" s="28">
        <f ca="1">F16</f>
        <v>181454148.76825508</v>
      </c>
      <c r="G20" s="4"/>
      <c r="H20" s="4"/>
      <c r="I20" s="87"/>
    </row>
    <row r="21" spans="1:9" x14ac:dyDescent="0.55000000000000004">
      <c r="E21">
        <v>2</v>
      </c>
      <c r="F21" s="28">
        <f t="dataTable" ref="F21:F127" dt2D="0" dtr="0" r1="F19" ca="1"/>
        <v>203732629.24814659</v>
      </c>
      <c r="G21" s="4"/>
      <c r="H21" s="4"/>
      <c r="I21" s="87"/>
    </row>
    <row r="22" spans="1:9" x14ac:dyDescent="0.55000000000000004">
      <c r="E22">
        <v>3</v>
      </c>
      <c r="F22" s="28">
        <v>206939905.84275144</v>
      </c>
      <c r="G22" s="4"/>
      <c r="H22" s="4"/>
    </row>
    <row r="23" spans="1:9" x14ac:dyDescent="0.55000000000000004">
      <c r="E23">
        <v>4</v>
      </c>
      <c r="F23" s="28">
        <v>254596972.65955761</v>
      </c>
      <c r="G23" s="4"/>
      <c r="H23" s="4"/>
    </row>
    <row r="24" spans="1:9" x14ac:dyDescent="0.55000000000000004">
      <c r="E24">
        <v>5</v>
      </c>
      <c r="F24" s="28">
        <v>230379549.26933813</v>
      </c>
      <c r="G24" s="4"/>
      <c r="H24" s="4"/>
    </row>
    <row r="25" spans="1:9" x14ac:dyDescent="0.55000000000000004">
      <c r="E25">
        <v>6</v>
      </c>
      <c r="F25" s="28">
        <v>238079812.16760293</v>
      </c>
      <c r="G25" s="4"/>
      <c r="H25" s="4"/>
    </row>
    <row r="26" spans="1:9" x14ac:dyDescent="0.55000000000000004">
      <c r="E26">
        <v>7</v>
      </c>
      <c r="F26" s="28">
        <v>207610950.70439902</v>
      </c>
      <c r="G26" s="4"/>
      <c r="H26" s="4"/>
    </row>
    <row r="27" spans="1:9" x14ac:dyDescent="0.55000000000000004">
      <c r="E27">
        <v>8</v>
      </c>
      <c r="F27" s="28">
        <v>151390350.99573153</v>
      </c>
      <c r="G27" s="4"/>
      <c r="H27" s="4"/>
    </row>
    <row r="28" spans="1:9" x14ac:dyDescent="0.55000000000000004">
      <c r="E28">
        <v>9</v>
      </c>
      <c r="F28" s="28">
        <v>189082467.63572663</v>
      </c>
      <c r="G28" s="4"/>
      <c r="H28" s="4"/>
    </row>
    <row r="29" spans="1:9" x14ac:dyDescent="0.55000000000000004">
      <c r="E29">
        <v>10</v>
      </c>
      <c r="F29" s="28">
        <v>260278439.54237109</v>
      </c>
      <c r="G29" s="4"/>
      <c r="H29" s="4"/>
    </row>
    <row r="30" spans="1:9" x14ac:dyDescent="0.55000000000000004">
      <c r="E30">
        <v>11</v>
      </c>
      <c r="F30" s="28">
        <v>186592110.22887409</v>
      </c>
      <c r="G30" s="4"/>
      <c r="H30" s="4"/>
    </row>
    <row r="31" spans="1:9" x14ac:dyDescent="0.55000000000000004">
      <c r="E31">
        <v>12</v>
      </c>
      <c r="F31" s="28">
        <v>202553519.274865</v>
      </c>
      <c r="G31" s="4"/>
      <c r="H31" s="4"/>
    </row>
    <row r="32" spans="1:9" x14ac:dyDescent="0.55000000000000004">
      <c r="E32">
        <v>13</v>
      </c>
      <c r="F32" s="28">
        <v>164696906.90638223</v>
      </c>
      <c r="G32" s="4"/>
      <c r="H32" s="4"/>
    </row>
    <row r="33" spans="5:8" x14ac:dyDescent="0.55000000000000004">
      <c r="E33">
        <v>14</v>
      </c>
      <c r="F33" s="28">
        <v>191157451.36386076</v>
      </c>
      <c r="G33" s="4"/>
      <c r="H33" s="4"/>
    </row>
    <row r="34" spans="5:8" x14ac:dyDescent="0.55000000000000004">
      <c r="E34">
        <v>15</v>
      </c>
      <c r="F34" s="28">
        <v>240453150.92947906</v>
      </c>
      <c r="G34" s="4"/>
      <c r="H34" s="4"/>
    </row>
    <row r="35" spans="5:8" x14ac:dyDescent="0.55000000000000004">
      <c r="E35">
        <v>16</v>
      </c>
      <c r="F35" s="28">
        <v>217840436.92471945</v>
      </c>
      <c r="G35" s="4"/>
      <c r="H35" s="4"/>
    </row>
    <row r="36" spans="5:8" x14ac:dyDescent="0.55000000000000004">
      <c r="E36">
        <v>17</v>
      </c>
      <c r="F36" s="28">
        <v>180833101.52253622</v>
      </c>
      <c r="G36" s="4"/>
      <c r="H36" s="4"/>
    </row>
    <row r="37" spans="5:8" x14ac:dyDescent="0.55000000000000004">
      <c r="E37">
        <v>18</v>
      </c>
      <c r="F37" s="28">
        <v>238059037.87578356</v>
      </c>
      <c r="G37" s="4"/>
      <c r="H37" s="4"/>
    </row>
    <row r="38" spans="5:8" x14ac:dyDescent="0.55000000000000004">
      <c r="E38">
        <v>19</v>
      </c>
      <c r="F38" s="28">
        <v>190454552.58686462</v>
      </c>
      <c r="G38" s="4"/>
      <c r="H38" s="4"/>
    </row>
    <row r="39" spans="5:8" x14ac:dyDescent="0.55000000000000004">
      <c r="E39">
        <v>20</v>
      </c>
      <c r="F39" s="28">
        <v>239938671.41733623</v>
      </c>
      <c r="G39" s="4"/>
      <c r="H39" s="4"/>
    </row>
    <row r="40" spans="5:8" x14ac:dyDescent="0.55000000000000004">
      <c r="E40">
        <v>21</v>
      </c>
      <c r="F40" s="28">
        <v>220238973.8088389</v>
      </c>
      <c r="G40" s="4"/>
      <c r="H40" s="4"/>
    </row>
    <row r="41" spans="5:8" x14ac:dyDescent="0.55000000000000004">
      <c r="E41">
        <v>22</v>
      </c>
      <c r="F41" s="28">
        <v>208812804.62295848</v>
      </c>
      <c r="G41" s="4"/>
      <c r="H41" s="4"/>
    </row>
    <row r="42" spans="5:8" x14ac:dyDescent="0.55000000000000004">
      <c r="E42">
        <v>23</v>
      </c>
      <c r="F42" s="28">
        <v>176025689.2992816</v>
      </c>
      <c r="G42" s="4"/>
      <c r="H42" s="4"/>
    </row>
    <row r="43" spans="5:8" x14ac:dyDescent="0.55000000000000004">
      <c r="E43">
        <v>24</v>
      </c>
      <c r="F43" s="28">
        <v>226570792.11686605</v>
      </c>
      <c r="G43" s="4"/>
      <c r="H43" s="4"/>
    </row>
    <row r="44" spans="5:8" x14ac:dyDescent="0.55000000000000004">
      <c r="E44">
        <v>25</v>
      </c>
      <c r="F44" s="28">
        <v>183509715.03044209</v>
      </c>
      <c r="G44" s="4"/>
      <c r="H44" s="4"/>
    </row>
    <row r="45" spans="5:8" x14ac:dyDescent="0.55000000000000004">
      <c r="E45">
        <v>26</v>
      </c>
      <c r="F45" s="28">
        <v>233481030.73992062</v>
      </c>
      <c r="G45" s="4"/>
      <c r="H45" s="4"/>
    </row>
    <row r="46" spans="5:8" x14ac:dyDescent="0.55000000000000004">
      <c r="E46">
        <v>27</v>
      </c>
      <c r="F46" s="28">
        <v>176898467.3935439</v>
      </c>
      <c r="G46" s="4"/>
      <c r="H46" s="4"/>
    </row>
    <row r="47" spans="5:8" x14ac:dyDescent="0.55000000000000004">
      <c r="E47">
        <v>28</v>
      </c>
      <c r="F47" s="28">
        <v>231781447.14489871</v>
      </c>
      <c r="G47" s="4"/>
      <c r="H47" s="4"/>
    </row>
    <row r="48" spans="5:8" x14ac:dyDescent="0.55000000000000004">
      <c r="E48">
        <v>29</v>
      </c>
      <c r="F48" s="28">
        <v>214492934.32516876</v>
      </c>
      <c r="G48" s="4"/>
      <c r="H48" s="4"/>
    </row>
    <row r="49" spans="5:8" x14ac:dyDescent="0.55000000000000004">
      <c r="E49">
        <v>30</v>
      </c>
      <c r="F49" s="28">
        <v>208402261.32653114</v>
      </c>
      <c r="G49" s="4"/>
      <c r="H49" s="4"/>
    </row>
    <row r="50" spans="5:8" x14ac:dyDescent="0.55000000000000004">
      <c r="E50">
        <v>31</v>
      </c>
      <c r="F50" s="28">
        <v>152589283.08715522</v>
      </c>
      <c r="G50" s="4"/>
      <c r="H50" s="4"/>
    </row>
    <row r="51" spans="5:8" x14ac:dyDescent="0.55000000000000004">
      <c r="E51">
        <v>32</v>
      </c>
      <c r="F51" s="28">
        <v>193889296.50701413</v>
      </c>
      <c r="G51" s="4"/>
      <c r="H51" s="4"/>
    </row>
    <row r="52" spans="5:8" x14ac:dyDescent="0.55000000000000004">
      <c r="E52">
        <v>33</v>
      </c>
      <c r="F52" s="28">
        <v>262851485.41676164</v>
      </c>
      <c r="G52" s="4"/>
      <c r="H52" s="4"/>
    </row>
    <row r="53" spans="5:8" x14ac:dyDescent="0.55000000000000004">
      <c r="E53">
        <v>34</v>
      </c>
      <c r="F53" s="28">
        <v>235304066.47828072</v>
      </c>
      <c r="G53" s="4"/>
      <c r="H53" s="4"/>
    </row>
    <row r="54" spans="5:8" x14ac:dyDescent="0.55000000000000004">
      <c r="E54">
        <v>35</v>
      </c>
      <c r="F54" s="28">
        <v>238278507.42901266</v>
      </c>
      <c r="G54" s="4"/>
      <c r="H54" s="4"/>
    </row>
    <row r="55" spans="5:8" x14ac:dyDescent="0.55000000000000004">
      <c r="E55">
        <v>36</v>
      </c>
      <c r="F55" s="28">
        <v>204177841.82656085</v>
      </c>
      <c r="G55" s="4"/>
      <c r="H55" s="4"/>
    </row>
    <row r="56" spans="5:8" x14ac:dyDescent="0.55000000000000004">
      <c r="E56">
        <v>37</v>
      </c>
      <c r="F56" s="28">
        <v>201482730.24147677</v>
      </c>
      <c r="G56" s="4"/>
      <c r="H56" s="4"/>
    </row>
    <row r="57" spans="5:8" x14ac:dyDescent="0.55000000000000004">
      <c r="E57">
        <v>38</v>
      </c>
      <c r="F57" s="28">
        <v>178328208.11369708</v>
      </c>
      <c r="G57" s="4"/>
      <c r="H57" s="4"/>
    </row>
    <row r="58" spans="5:8" x14ac:dyDescent="0.55000000000000004">
      <c r="E58">
        <v>39</v>
      </c>
      <c r="F58" s="28">
        <v>191121543.60323718</v>
      </c>
      <c r="G58" s="4"/>
      <c r="H58" s="4"/>
    </row>
    <row r="59" spans="5:8" x14ac:dyDescent="0.55000000000000004">
      <c r="E59">
        <v>40</v>
      </c>
      <c r="F59" s="28">
        <v>231851300.68067837</v>
      </c>
      <c r="G59" s="4"/>
      <c r="H59" s="4"/>
    </row>
    <row r="60" spans="5:8" x14ac:dyDescent="0.55000000000000004">
      <c r="E60">
        <v>41</v>
      </c>
      <c r="F60" s="28">
        <v>199725872.50331211</v>
      </c>
      <c r="G60" s="4"/>
      <c r="H60" s="4"/>
    </row>
    <row r="61" spans="5:8" x14ac:dyDescent="0.55000000000000004">
      <c r="E61">
        <v>42</v>
      </c>
      <c r="F61" s="28">
        <v>223605323.97514635</v>
      </c>
      <c r="G61" s="4"/>
      <c r="H61" s="4"/>
    </row>
    <row r="62" spans="5:8" x14ac:dyDescent="0.55000000000000004">
      <c r="E62">
        <v>43</v>
      </c>
      <c r="F62" s="28">
        <v>212060845.87341988</v>
      </c>
      <c r="G62" s="4"/>
      <c r="H62" s="4"/>
    </row>
    <row r="63" spans="5:8" x14ac:dyDescent="0.55000000000000004">
      <c r="E63">
        <v>44</v>
      </c>
      <c r="F63" s="28">
        <v>263708127.59509873</v>
      </c>
      <c r="G63" s="4"/>
      <c r="H63" s="4"/>
    </row>
    <row r="64" spans="5:8" x14ac:dyDescent="0.55000000000000004">
      <c r="E64">
        <v>45</v>
      </c>
      <c r="F64" s="28">
        <v>192647007.2572282</v>
      </c>
      <c r="G64" s="4"/>
      <c r="H64" s="4"/>
    </row>
    <row r="65" spans="5:8" x14ac:dyDescent="0.55000000000000004">
      <c r="E65">
        <v>46</v>
      </c>
      <c r="F65" s="28">
        <v>217442405.20763281</v>
      </c>
      <c r="G65" s="4"/>
      <c r="H65" s="4"/>
    </row>
    <row r="66" spans="5:8" x14ac:dyDescent="0.55000000000000004">
      <c r="E66">
        <v>47</v>
      </c>
      <c r="F66" s="28">
        <v>207360001.09040871</v>
      </c>
      <c r="G66" s="4"/>
      <c r="H66" s="4"/>
    </row>
    <row r="67" spans="5:8" x14ac:dyDescent="0.55000000000000004">
      <c r="E67">
        <v>48</v>
      </c>
      <c r="F67" s="28">
        <v>220632666.09459814</v>
      </c>
      <c r="G67" s="4"/>
      <c r="H67" s="4"/>
    </row>
    <row r="68" spans="5:8" x14ac:dyDescent="0.55000000000000004">
      <c r="E68">
        <v>49</v>
      </c>
      <c r="F68" s="28">
        <v>215181453.94346231</v>
      </c>
      <c r="G68" s="4"/>
      <c r="H68" s="4"/>
    </row>
    <row r="69" spans="5:8" x14ac:dyDescent="0.55000000000000004">
      <c r="E69">
        <v>50</v>
      </c>
      <c r="F69" s="28">
        <v>216538935.45195451</v>
      </c>
      <c r="G69" s="4"/>
      <c r="H69" s="4"/>
    </row>
    <row r="70" spans="5:8" x14ac:dyDescent="0.55000000000000004">
      <c r="E70">
        <v>51</v>
      </c>
      <c r="F70" s="28">
        <v>223517970.87160781</v>
      </c>
      <c r="G70" s="4"/>
      <c r="H70" s="4"/>
    </row>
    <row r="71" spans="5:8" x14ac:dyDescent="0.55000000000000004">
      <c r="E71">
        <v>52</v>
      </c>
      <c r="F71" s="28">
        <v>221126464.65619618</v>
      </c>
      <c r="G71" s="4"/>
      <c r="H71" s="4"/>
    </row>
    <row r="72" spans="5:8" x14ac:dyDescent="0.55000000000000004">
      <c r="E72">
        <v>53</v>
      </c>
      <c r="F72" s="28">
        <v>234022406.39230034</v>
      </c>
      <c r="G72" s="4"/>
      <c r="H72" s="4"/>
    </row>
    <row r="73" spans="5:8" x14ac:dyDescent="0.55000000000000004">
      <c r="E73">
        <v>54</v>
      </c>
      <c r="F73" s="28">
        <v>185276470.51037294</v>
      </c>
      <c r="G73" s="4"/>
      <c r="H73" s="4"/>
    </row>
    <row r="74" spans="5:8" x14ac:dyDescent="0.55000000000000004">
      <c r="E74">
        <v>55</v>
      </c>
      <c r="F74" s="28">
        <v>188394163.37268519</v>
      </c>
      <c r="G74" s="4"/>
      <c r="H74" s="4"/>
    </row>
    <row r="75" spans="5:8" x14ac:dyDescent="0.55000000000000004">
      <c r="E75">
        <v>56</v>
      </c>
      <c r="F75" s="28">
        <v>204482064.81775576</v>
      </c>
      <c r="G75" s="4"/>
      <c r="H75" s="4"/>
    </row>
    <row r="76" spans="5:8" x14ac:dyDescent="0.55000000000000004">
      <c r="E76">
        <v>57</v>
      </c>
      <c r="F76" s="28">
        <v>189596219.32045156</v>
      </c>
      <c r="G76" s="4"/>
      <c r="H76" s="4"/>
    </row>
    <row r="77" spans="5:8" x14ac:dyDescent="0.55000000000000004">
      <c r="E77">
        <v>58</v>
      </c>
      <c r="F77" s="28">
        <v>212767784.51647913</v>
      </c>
      <c r="G77" s="4"/>
      <c r="H77" s="4"/>
    </row>
    <row r="78" spans="5:8" x14ac:dyDescent="0.55000000000000004">
      <c r="E78">
        <v>59</v>
      </c>
      <c r="F78" s="28">
        <v>226496188.81934002</v>
      </c>
      <c r="G78" s="4"/>
      <c r="H78" s="4"/>
    </row>
    <row r="79" spans="5:8" x14ac:dyDescent="0.55000000000000004">
      <c r="E79">
        <v>60</v>
      </c>
      <c r="F79" s="28">
        <v>177345855.57074854</v>
      </c>
      <c r="G79" s="4"/>
      <c r="H79" s="4"/>
    </row>
    <row r="80" spans="5:8" x14ac:dyDescent="0.55000000000000004">
      <c r="E80">
        <v>61</v>
      </c>
      <c r="F80" s="28">
        <v>192432967.21207577</v>
      </c>
      <c r="G80" s="4"/>
      <c r="H80" s="4"/>
    </row>
    <row r="81" spans="5:8" x14ac:dyDescent="0.55000000000000004">
      <c r="E81">
        <v>62</v>
      </c>
      <c r="F81" s="28">
        <v>213655675.78990734</v>
      </c>
      <c r="G81" s="4"/>
      <c r="H81" s="4"/>
    </row>
    <row r="82" spans="5:8" x14ac:dyDescent="0.55000000000000004">
      <c r="E82">
        <v>63</v>
      </c>
      <c r="F82" s="28">
        <v>224726808.75687915</v>
      </c>
      <c r="G82" s="4"/>
      <c r="H82" s="4"/>
    </row>
    <row r="83" spans="5:8" x14ac:dyDescent="0.55000000000000004">
      <c r="E83">
        <v>64</v>
      </c>
      <c r="F83" s="28">
        <v>206651462.32558098</v>
      </c>
      <c r="G83" s="4"/>
      <c r="H83" s="4"/>
    </row>
    <row r="84" spans="5:8" x14ac:dyDescent="0.55000000000000004">
      <c r="E84">
        <v>65</v>
      </c>
      <c r="F84" s="28">
        <v>183005240.89808419</v>
      </c>
      <c r="G84" s="4"/>
      <c r="H84" s="4"/>
    </row>
    <row r="85" spans="5:8" x14ac:dyDescent="0.55000000000000004">
      <c r="E85">
        <v>66</v>
      </c>
      <c r="F85" s="28">
        <v>186117166.37332407</v>
      </c>
      <c r="G85" s="4"/>
      <c r="H85" s="4"/>
    </row>
    <row r="86" spans="5:8" x14ac:dyDescent="0.55000000000000004">
      <c r="E86">
        <v>67</v>
      </c>
      <c r="F86" s="28">
        <v>217972948.17236871</v>
      </c>
      <c r="G86" s="4"/>
      <c r="H86" s="4"/>
    </row>
    <row r="87" spans="5:8" x14ac:dyDescent="0.55000000000000004">
      <c r="E87">
        <v>68</v>
      </c>
      <c r="F87" s="28">
        <v>183442522.92447305</v>
      </c>
      <c r="G87" s="4"/>
      <c r="H87" s="4"/>
    </row>
    <row r="88" spans="5:8" x14ac:dyDescent="0.55000000000000004">
      <c r="E88">
        <v>69</v>
      </c>
      <c r="F88" s="28">
        <v>155996242.20773053</v>
      </c>
      <c r="G88" s="4"/>
      <c r="H88" s="4"/>
    </row>
    <row r="89" spans="5:8" x14ac:dyDescent="0.55000000000000004">
      <c r="E89">
        <v>70</v>
      </c>
      <c r="F89" s="28">
        <v>221897612.18012965</v>
      </c>
      <c r="G89" s="4"/>
      <c r="H89" s="4"/>
    </row>
    <row r="90" spans="5:8" x14ac:dyDescent="0.55000000000000004">
      <c r="E90">
        <v>71</v>
      </c>
      <c r="F90" s="28">
        <v>213900196.82782727</v>
      </c>
      <c r="G90" s="4"/>
      <c r="H90" s="4"/>
    </row>
    <row r="91" spans="5:8" x14ac:dyDescent="0.55000000000000004">
      <c r="E91">
        <v>72</v>
      </c>
      <c r="F91" s="28">
        <v>229564080.6103012</v>
      </c>
      <c r="G91" s="4"/>
      <c r="H91" s="4"/>
    </row>
    <row r="92" spans="5:8" x14ac:dyDescent="0.55000000000000004">
      <c r="E92">
        <v>73</v>
      </c>
      <c r="F92" s="28">
        <v>253328695.3632355</v>
      </c>
      <c r="G92" s="4"/>
      <c r="H92" s="4"/>
    </row>
    <row r="93" spans="5:8" x14ac:dyDescent="0.55000000000000004">
      <c r="E93">
        <v>74</v>
      </c>
      <c r="F93" s="28">
        <v>237455506.75839302</v>
      </c>
      <c r="G93" s="4"/>
      <c r="H93" s="4"/>
    </row>
    <row r="94" spans="5:8" x14ac:dyDescent="0.55000000000000004">
      <c r="E94">
        <v>75</v>
      </c>
      <c r="F94" s="28">
        <v>189321192.6847662</v>
      </c>
      <c r="G94" s="4"/>
      <c r="H94" s="4"/>
    </row>
    <row r="95" spans="5:8" x14ac:dyDescent="0.55000000000000004">
      <c r="E95">
        <v>76</v>
      </c>
      <c r="F95" s="28">
        <v>180735961.5366683</v>
      </c>
      <c r="G95" s="4"/>
      <c r="H95" s="4"/>
    </row>
    <row r="96" spans="5:8" x14ac:dyDescent="0.55000000000000004">
      <c r="E96">
        <v>77</v>
      </c>
      <c r="F96" s="28">
        <v>233507153.25177866</v>
      </c>
      <c r="G96" s="4"/>
      <c r="H96" s="4"/>
    </row>
    <row r="97" spans="5:8" x14ac:dyDescent="0.55000000000000004">
      <c r="E97">
        <v>78</v>
      </c>
      <c r="F97" s="28">
        <v>202631765.71394992</v>
      </c>
      <c r="G97" s="4"/>
      <c r="H97" s="4"/>
    </row>
    <row r="98" spans="5:8" x14ac:dyDescent="0.55000000000000004">
      <c r="E98">
        <v>79</v>
      </c>
      <c r="F98" s="28">
        <v>218847638.60935986</v>
      </c>
      <c r="G98" s="4"/>
      <c r="H98" s="4"/>
    </row>
    <row r="99" spans="5:8" x14ac:dyDescent="0.55000000000000004">
      <c r="E99">
        <v>80</v>
      </c>
      <c r="F99" s="28">
        <v>210777215.80149892</v>
      </c>
      <c r="G99" s="4"/>
      <c r="H99" s="4"/>
    </row>
    <row r="100" spans="5:8" x14ac:dyDescent="0.55000000000000004">
      <c r="E100">
        <v>81</v>
      </c>
      <c r="F100" s="28">
        <v>260536933.71730095</v>
      </c>
      <c r="G100" s="4"/>
      <c r="H100" s="4"/>
    </row>
    <row r="101" spans="5:8" x14ac:dyDescent="0.55000000000000004">
      <c r="E101">
        <v>82</v>
      </c>
      <c r="F101" s="28">
        <v>199977653.82445109</v>
      </c>
      <c r="G101" s="4"/>
      <c r="H101" s="4"/>
    </row>
    <row r="102" spans="5:8" x14ac:dyDescent="0.55000000000000004">
      <c r="E102">
        <v>83</v>
      </c>
      <c r="F102" s="28">
        <v>214560009.41419426</v>
      </c>
      <c r="G102" s="4"/>
      <c r="H102" s="4"/>
    </row>
    <row r="103" spans="5:8" x14ac:dyDescent="0.55000000000000004">
      <c r="E103">
        <v>84</v>
      </c>
      <c r="F103" s="28">
        <v>190416236.29643419</v>
      </c>
      <c r="G103" s="4"/>
      <c r="H103" s="4"/>
    </row>
    <row r="104" spans="5:8" x14ac:dyDescent="0.55000000000000004">
      <c r="E104">
        <v>85</v>
      </c>
      <c r="F104" s="28">
        <v>210177060.09386599</v>
      </c>
      <c r="G104" s="4"/>
      <c r="H104" s="4"/>
    </row>
    <row r="105" spans="5:8" x14ac:dyDescent="0.55000000000000004">
      <c r="E105">
        <v>86</v>
      </c>
      <c r="F105" s="28">
        <v>197476697.96039912</v>
      </c>
      <c r="G105" s="4"/>
      <c r="H105" s="4"/>
    </row>
    <row r="106" spans="5:8" x14ac:dyDescent="0.55000000000000004">
      <c r="E106">
        <v>87</v>
      </c>
      <c r="F106" s="28">
        <v>170127677.2473112</v>
      </c>
      <c r="G106" s="4"/>
      <c r="H106" s="4"/>
    </row>
    <row r="107" spans="5:8" x14ac:dyDescent="0.55000000000000004">
      <c r="E107">
        <v>88</v>
      </c>
      <c r="F107" s="28">
        <v>241713065.48374814</v>
      </c>
      <c r="G107" s="4"/>
      <c r="H107" s="4"/>
    </row>
    <row r="108" spans="5:8" x14ac:dyDescent="0.55000000000000004">
      <c r="E108">
        <v>89</v>
      </c>
      <c r="F108" s="28">
        <v>202793467.79783675</v>
      </c>
      <c r="G108" s="4"/>
      <c r="H108" s="4"/>
    </row>
    <row r="109" spans="5:8" x14ac:dyDescent="0.55000000000000004">
      <c r="E109">
        <v>90</v>
      </c>
      <c r="F109" s="28">
        <v>198628424.09588623</v>
      </c>
      <c r="G109" s="4"/>
      <c r="H109" s="4"/>
    </row>
    <row r="110" spans="5:8" x14ac:dyDescent="0.55000000000000004">
      <c r="E110">
        <v>91</v>
      </c>
      <c r="F110" s="28">
        <v>205027639.68087035</v>
      </c>
      <c r="G110" s="4"/>
      <c r="H110" s="4"/>
    </row>
    <row r="111" spans="5:8" x14ac:dyDescent="0.55000000000000004">
      <c r="E111">
        <v>92</v>
      </c>
      <c r="F111" s="28">
        <v>207681905.31609496</v>
      </c>
      <c r="G111" s="4"/>
      <c r="H111" s="4"/>
    </row>
    <row r="112" spans="5:8" x14ac:dyDescent="0.55000000000000004">
      <c r="E112">
        <v>93</v>
      </c>
      <c r="F112" s="28">
        <v>206902198.20801443</v>
      </c>
      <c r="G112" s="4"/>
      <c r="H112" s="4"/>
    </row>
    <row r="113" spans="5:8" x14ac:dyDescent="0.55000000000000004">
      <c r="E113">
        <v>94</v>
      </c>
      <c r="F113" s="28">
        <v>240422880.95077163</v>
      </c>
      <c r="G113" s="4"/>
      <c r="H113" s="4"/>
    </row>
    <row r="114" spans="5:8" x14ac:dyDescent="0.55000000000000004">
      <c r="E114">
        <v>95</v>
      </c>
      <c r="F114" s="28">
        <v>194291290.94895738</v>
      </c>
      <c r="G114" s="4"/>
      <c r="H114" s="4"/>
    </row>
    <row r="115" spans="5:8" x14ac:dyDescent="0.55000000000000004">
      <c r="E115">
        <v>96</v>
      </c>
      <c r="F115" s="28">
        <v>190633362.93497184</v>
      </c>
      <c r="G115" s="4"/>
      <c r="H115" s="4"/>
    </row>
    <row r="116" spans="5:8" x14ac:dyDescent="0.55000000000000004">
      <c r="E116">
        <v>97</v>
      </c>
      <c r="F116" s="28">
        <v>197374815.84482491</v>
      </c>
      <c r="G116" s="4"/>
      <c r="H116" s="4"/>
    </row>
    <row r="117" spans="5:8" x14ac:dyDescent="0.55000000000000004">
      <c r="E117">
        <v>98</v>
      </c>
      <c r="F117" s="28">
        <v>213278185.47114372</v>
      </c>
      <c r="G117" s="4"/>
      <c r="H117" s="4"/>
    </row>
    <row r="118" spans="5:8" x14ac:dyDescent="0.55000000000000004">
      <c r="E118">
        <v>99</v>
      </c>
      <c r="F118" s="28">
        <v>205615999.91328526</v>
      </c>
      <c r="G118" s="4"/>
      <c r="H118" s="4"/>
    </row>
    <row r="119" spans="5:8" x14ac:dyDescent="0.55000000000000004">
      <c r="E119">
        <v>100</v>
      </c>
      <c r="F119" s="28">
        <v>225110977.13919428</v>
      </c>
      <c r="G119" s="4"/>
      <c r="H119" s="4"/>
    </row>
    <row r="120" spans="5:8" x14ac:dyDescent="0.55000000000000004">
      <c r="E120">
        <v>101</v>
      </c>
      <c r="F120" s="28">
        <v>255794267.62724826</v>
      </c>
      <c r="G120" s="4"/>
      <c r="H120" s="4"/>
    </row>
    <row r="121" spans="5:8" x14ac:dyDescent="0.55000000000000004">
      <c r="E121">
        <v>102</v>
      </c>
      <c r="F121" s="28">
        <v>214706142.43783942</v>
      </c>
      <c r="G121" s="4"/>
      <c r="H121" s="4"/>
    </row>
    <row r="122" spans="5:8" x14ac:dyDescent="0.55000000000000004">
      <c r="E122">
        <v>103</v>
      </c>
      <c r="F122" s="28">
        <v>241649187.01426762</v>
      </c>
      <c r="G122" s="4"/>
      <c r="H122" s="4"/>
    </row>
    <row r="123" spans="5:8" x14ac:dyDescent="0.55000000000000004">
      <c r="E123">
        <v>104</v>
      </c>
      <c r="F123" s="28">
        <v>213469687.18556368</v>
      </c>
      <c r="G123" s="4"/>
      <c r="H123" s="4"/>
    </row>
    <row r="124" spans="5:8" x14ac:dyDescent="0.55000000000000004">
      <c r="E124">
        <v>105</v>
      </c>
      <c r="F124" s="28">
        <v>237164860.60372466</v>
      </c>
      <c r="G124" s="4"/>
      <c r="H124" s="4"/>
    </row>
    <row r="125" spans="5:8" x14ac:dyDescent="0.55000000000000004">
      <c r="E125">
        <v>106</v>
      </c>
      <c r="F125" s="28">
        <v>230646575.58328012</v>
      </c>
      <c r="G125" s="4"/>
      <c r="H125" s="4"/>
    </row>
    <row r="126" spans="5:8" x14ac:dyDescent="0.55000000000000004">
      <c r="E126">
        <v>107</v>
      </c>
      <c r="F126" s="28">
        <v>194629320.69782794</v>
      </c>
      <c r="G126" s="4"/>
      <c r="H126" s="4"/>
    </row>
    <row r="127" spans="5:8" x14ac:dyDescent="0.55000000000000004">
      <c r="E127">
        <v>108</v>
      </c>
      <c r="F127" s="28">
        <v>214616004.9725951</v>
      </c>
      <c r="G127" s="4"/>
      <c r="H127" s="4"/>
    </row>
  </sheetData>
  <mergeCells count="2">
    <mergeCell ref="I20:I21"/>
    <mergeCell ref="H17:H18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7"/>
  <sheetViews>
    <sheetView workbookViewId="0">
      <selection activeCell="B8" sqref="B8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17.41796875" customWidth="1"/>
    <col min="6" max="6" width="16.1015625" bestFit="1" customWidth="1"/>
    <col min="7" max="7" width="16.1015625" customWidth="1"/>
    <col min="8" max="8" width="30" customWidth="1"/>
  </cols>
  <sheetData>
    <row r="1" spans="1:8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">
        <v>103</v>
      </c>
      <c r="G1" s="2"/>
      <c r="H1" s="2"/>
    </row>
    <row r="3" spans="1:8" x14ac:dyDescent="0.55000000000000004">
      <c r="A3" t="str">
        <f>MC_Baseline!A2</f>
        <v>Income per cow (USD/yr)</v>
      </c>
      <c r="B3" s="27">
        <f>Mappings!N6</f>
        <v>1495.1172015495711</v>
      </c>
      <c r="C3" s="27">
        <f>Mappings!N7</f>
        <v>340.3171855089804</v>
      </c>
      <c r="D3" s="27">
        <f>Mappings!N8</f>
        <v>1662.110376985115</v>
      </c>
    </row>
    <row r="4" spans="1:8" x14ac:dyDescent="0.55000000000000004">
      <c r="A4" t="str">
        <f>MC_Baseline!A3</f>
        <v>Random value income per cow (USD/yr)</v>
      </c>
      <c r="B4" s="27">
        <f ca="1">_xlfn.NORM.INV(RAND(),Mappings!N6,Mappings!O6)</f>
        <v>1460.5960024637861</v>
      </c>
      <c r="C4" s="27">
        <f ca="1">_xlfn.NORM.INV(RAND(),Mappings!N7,Mappings!O7)</f>
        <v>300.18677327682013</v>
      </c>
      <c r="D4" s="27">
        <f ca="1">_xlfn.NORM.INV(RAND(),Mappings!N8,Mappings!O8)</f>
        <v>1629.670376495679</v>
      </c>
    </row>
    <row r="5" spans="1:8" x14ac:dyDescent="0.55000000000000004">
      <c r="A5" t="str">
        <f>MC_Baseline!A4</f>
        <v>Cows per household (head)</v>
      </c>
      <c r="B5" s="27">
        <f>Mappings!F6*Mappings!I6</f>
        <v>0.53908168870143525</v>
      </c>
      <c r="C5" s="27">
        <f>Mappings!F7*Mappings!I7</f>
        <v>2.2974771726213845</v>
      </c>
      <c r="D5" s="27">
        <f>Mappings!F8*Mappings!I8</f>
        <v>1.5559072091789501</v>
      </c>
    </row>
    <row r="6" spans="1:8" x14ac:dyDescent="0.55000000000000004">
      <c r="A6" t="str">
        <f>MC_Baseline!A5</f>
        <v>Random value cows per household (head)</v>
      </c>
      <c r="B6" s="27">
        <f ca="1">_xlfn.NORM.INV(RAND(),B5,B5*Mappings!E4)*0+B5</f>
        <v>0.53908168870143525</v>
      </c>
      <c r="C6" s="27">
        <f ca="1">_xlfn.NORM.INV(RAND(),C5,C5*Mappings!E3)*0+C5</f>
        <v>2.2974771726213845</v>
      </c>
      <c r="D6" s="27">
        <f ca="1">_xlfn.NORM.INV(RAND(),D5,D5*Mappings!E4)*0+D5</f>
        <v>1.5559072091789501</v>
      </c>
    </row>
    <row r="7" spans="1:8" x14ac:dyDescent="0.55000000000000004">
      <c r="A7" t="str">
        <f>MC_Baseline!A6</f>
        <v>Reduction in non-dairy income through crop area change</v>
      </c>
      <c r="B7" s="27">
        <f>Mappings!Q6</f>
        <v>74.317546538515671</v>
      </c>
      <c r="C7" s="27">
        <f>Mappings!Q7</f>
        <v>499.09591580317607</v>
      </c>
      <c r="D7" s="27">
        <f>Mappings!Q8</f>
        <v>578.45437685600098</v>
      </c>
    </row>
    <row r="8" spans="1:8" x14ac:dyDescent="0.55000000000000004">
      <c r="A8" t="str">
        <f>MC_Baseline!A7</f>
        <v>Random value reduction/increase in non-dairy income (USD/yr)</v>
      </c>
      <c r="B8" s="27">
        <f ca="1">IF(B7&gt;0,_xlfn.NORM.INV(RAND(),B7,B7*Dairy_Income_Roadmap!L36),_xlfn.NORM.INV(RAND(),ABS(B7),ABS(B7)*Dairy_Income_Roadmap!L36))</f>
        <v>139.49817221759611</v>
      </c>
      <c r="C8" s="27">
        <f ca="1">IF(C7&gt;0,_xlfn.NORM.INV(RAND(),C7,C7*Dairy_Income_Roadmap!L36),_xlfn.NORM.INV(RAND(),ABS(C7),ABS(C7)*Dairy_Income_Roadmap!L36))</f>
        <v>77.80256749222383</v>
      </c>
      <c r="D8" s="27">
        <f ca="1">IF(D7&gt;0,_xlfn.NORM.INV(RAND(),D7,D7*Dairy_Income_Roadmap!L38),_xlfn.NORM.INV(RAND(),ABS(D7),ABS(D7)*Dairy_Income_Roadmap!L38))</f>
        <v>584.89450347796253</v>
      </c>
    </row>
    <row r="9" spans="1:8" x14ac:dyDescent="0.55000000000000004">
      <c r="A9" t="str">
        <f>MC_Baseline!A8</f>
        <v>Quantity households</v>
      </c>
      <c r="B9" s="27">
        <f>Mappings!D6</f>
        <v>9841.4502207493369</v>
      </c>
      <c r="C9" s="27">
        <f>Mappings!D7</f>
        <v>55768.217917579575</v>
      </c>
      <c r="D9" s="27">
        <f>Mappings!D8</f>
        <v>82028.367810366151</v>
      </c>
    </row>
    <row r="10" spans="1:8" x14ac:dyDescent="0.55000000000000004">
      <c r="A10" t="str">
        <f>MC_Baseline!A9</f>
        <v>SE quantity households</v>
      </c>
      <c r="B10" s="27">
        <f>Mappings!V6*B9</f>
        <v>289.67056511708114</v>
      </c>
      <c r="C10" s="27">
        <f>Mappings!V7*C9</f>
        <v>1641.4665356634598</v>
      </c>
      <c r="D10" s="27">
        <f>Mappings!V8*D9</f>
        <v>2414.4006346913525</v>
      </c>
    </row>
    <row r="11" spans="1:8" x14ac:dyDescent="0.55000000000000004">
      <c r="B11" s="27"/>
      <c r="C11" s="27"/>
      <c r="D11" s="27"/>
    </row>
    <row r="12" spans="1:8" x14ac:dyDescent="0.55000000000000004">
      <c r="A12" t="str">
        <f>MC_Baseline!A11</f>
        <v>Dairy Income (USD/household/year)</v>
      </c>
      <c r="B12" s="27">
        <f ca="1">B4*B6</f>
        <v>787.38055951874355</v>
      </c>
      <c r="C12" s="27">
        <f ca="1">C4*C6</f>
        <v>689.67225912636536</v>
      </c>
      <c r="D12" s="27">
        <f ca="1">D4*D6</f>
        <v>2535.6158873750005</v>
      </c>
    </row>
    <row r="13" spans="1:8" x14ac:dyDescent="0.55000000000000004">
      <c r="A13" t="str">
        <f>MC_Baseline!A12</f>
        <v>Non dairy income (USD/household/year)</v>
      </c>
      <c r="B13" s="27">
        <f ca="1">-IF(B7&gt;0,B8,-B8)</f>
        <v>-139.49817221759611</v>
      </c>
      <c r="C13" s="27">
        <f ca="1">-IF(C7&gt;0,C8,-C8)</f>
        <v>-77.80256749222383</v>
      </c>
      <c r="D13" s="27">
        <f ca="1">-IF(D7&gt;0,D8,-D8)</f>
        <v>-584.89450347796253</v>
      </c>
    </row>
    <row r="14" spans="1:8" x14ac:dyDescent="0.55000000000000004">
      <c r="A14" t="str">
        <f>MC_Baseline!A13</f>
        <v>Quantity households</v>
      </c>
      <c r="B14" s="27">
        <f ca="1">_xlfn.NORM.INV(RAND(),B9,B10)</f>
        <v>9455.7864331057317</v>
      </c>
      <c r="C14" s="27">
        <f ca="1">_xlfn.NORM.INV(RAND(),C9,C10)</f>
        <v>55294.839933435498</v>
      </c>
      <c r="D14" s="27">
        <f t="shared" ref="D14" ca="1" si="0">_xlfn.NORM.INV(RAND(),D9,D10)</f>
        <v>80185.369533936944</v>
      </c>
    </row>
    <row r="15" spans="1:8" x14ac:dyDescent="0.55000000000000004">
      <c r="B15" s="27"/>
      <c r="C15" s="27"/>
      <c r="D15" s="27"/>
    </row>
    <row r="16" spans="1:8" x14ac:dyDescent="0.55000000000000004">
      <c r="A16" t="str">
        <f>MC_Baseline!A15</f>
        <v>Estimated population income (USD/yr)</v>
      </c>
      <c r="B16" s="34">
        <f ca="1">(B12+B13)*B14</f>
        <v>6126237.4880903428</v>
      </c>
      <c r="C16" s="34">
        <f ca="1">(C12+C13)*C14</f>
        <v>33833236.659030393</v>
      </c>
      <c r="D16" s="34">
        <f ca="1">(D12+D13)*D14</f>
        <v>156419315.02553686</v>
      </c>
      <c r="F16" s="4">
        <f ca="1">B16+C16+D16</f>
        <v>196378789.17265761</v>
      </c>
      <c r="G16" s="4"/>
      <c r="H16" s="4"/>
    </row>
    <row r="17" spans="1:9" x14ac:dyDescent="0.55000000000000004">
      <c r="A17" t="str">
        <f>MC_Baseline!A16</f>
        <v>SE population income (USD/yr)</v>
      </c>
      <c r="B17" t="s">
        <v>48</v>
      </c>
      <c r="C17" t="s">
        <v>48</v>
      </c>
      <c r="D17" t="s">
        <v>48</v>
      </c>
      <c r="F17">
        <f ca="1">STDEV(F20:F127)</f>
        <v>31382116.758456305</v>
      </c>
      <c r="H17" s="87" t="s">
        <v>51</v>
      </c>
    </row>
    <row r="18" spans="1:9" x14ac:dyDescent="0.55000000000000004">
      <c r="A18" t="str">
        <f>MC_Baseline!A17</f>
        <v>Mean population income (USD/yr)</v>
      </c>
      <c r="B18" s="4" t="s">
        <v>48</v>
      </c>
      <c r="C18" s="4" t="s">
        <v>48</v>
      </c>
      <c r="D18" s="4" t="s">
        <v>48</v>
      </c>
      <c r="E18" s="4"/>
      <c r="F18" s="4">
        <f ca="1">AVERAGE(F20:F127)</f>
        <v>192288552.36816725</v>
      </c>
      <c r="G18" s="4"/>
      <c r="H18" s="87"/>
      <c r="I18" s="37">
        <f ca="1">100*F17/F18</f>
        <v>16.320325038575472</v>
      </c>
    </row>
    <row r="19" spans="1:9" x14ac:dyDescent="0.55000000000000004">
      <c r="F19" s="4"/>
      <c r="G19" s="4"/>
      <c r="H19" s="4"/>
    </row>
    <row r="20" spans="1:9" x14ac:dyDescent="0.55000000000000004">
      <c r="B20" s="4"/>
      <c r="E20">
        <v>1</v>
      </c>
      <c r="F20" s="28">
        <f ca="1">F16</f>
        <v>196378789.17265761</v>
      </c>
      <c r="G20" s="4"/>
      <c r="H20" s="4"/>
    </row>
    <row r="21" spans="1:9" x14ac:dyDescent="0.55000000000000004">
      <c r="E21">
        <v>2</v>
      </c>
      <c r="F21" s="28">
        <f t="dataTable" ref="F21:F127" dt2D="0" dtr="0" r1="F19" ca="1"/>
        <v>217435052.44473767</v>
      </c>
      <c r="G21" s="4"/>
      <c r="H21" s="4"/>
    </row>
    <row r="22" spans="1:9" x14ac:dyDescent="0.55000000000000004">
      <c r="E22">
        <v>3</v>
      </c>
      <c r="F22" s="28">
        <v>292679596.22703242</v>
      </c>
      <c r="G22" s="4"/>
      <c r="H22" s="4"/>
    </row>
    <row r="23" spans="1:9" x14ac:dyDescent="0.55000000000000004">
      <c r="E23">
        <v>4</v>
      </c>
      <c r="F23" s="28">
        <v>198030626.61541256</v>
      </c>
      <c r="G23" s="4"/>
      <c r="H23" s="4"/>
    </row>
    <row r="24" spans="1:9" x14ac:dyDescent="0.55000000000000004">
      <c r="E24">
        <v>5</v>
      </c>
      <c r="F24" s="28">
        <v>220945947.44399923</v>
      </c>
      <c r="G24" s="4"/>
      <c r="H24" s="4"/>
    </row>
    <row r="25" spans="1:9" x14ac:dyDescent="0.55000000000000004">
      <c r="E25">
        <v>6</v>
      </c>
      <c r="F25" s="28">
        <v>143806011.29257521</v>
      </c>
      <c r="G25" s="4"/>
      <c r="H25" s="4"/>
    </row>
    <row r="26" spans="1:9" x14ac:dyDescent="0.55000000000000004">
      <c r="E26">
        <v>7</v>
      </c>
      <c r="F26" s="28">
        <v>194108481.45464647</v>
      </c>
      <c r="G26" s="4"/>
      <c r="H26" s="4"/>
    </row>
    <row r="27" spans="1:9" x14ac:dyDescent="0.55000000000000004">
      <c r="E27">
        <v>8</v>
      </c>
      <c r="F27" s="28">
        <v>237890991.18657067</v>
      </c>
      <c r="G27" s="4"/>
      <c r="H27" s="4"/>
    </row>
    <row r="28" spans="1:9" x14ac:dyDescent="0.55000000000000004">
      <c r="E28">
        <v>9</v>
      </c>
      <c r="F28" s="28">
        <v>173806645.71130756</v>
      </c>
      <c r="G28" s="4"/>
      <c r="H28" s="4"/>
    </row>
    <row r="29" spans="1:9" x14ac:dyDescent="0.55000000000000004">
      <c r="E29">
        <v>10</v>
      </c>
      <c r="F29" s="28">
        <v>175591786.80775252</v>
      </c>
      <c r="G29" s="4"/>
      <c r="H29" s="4"/>
    </row>
    <row r="30" spans="1:9" x14ac:dyDescent="0.55000000000000004">
      <c r="E30">
        <v>11</v>
      </c>
      <c r="F30" s="28">
        <v>224361770.47674266</v>
      </c>
      <c r="G30" s="4"/>
      <c r="H30" s="4"/>
    </row>
    <row r="31" spans="1:9" x14ac:dyDescent="0.55000000000000004">
      <c r="E31">
        <v>12</v>
      </c>
      <c r="F31" s="28">
        <v>251715171.99486572</v>
      </c>
      <c r="G31" s="4"/>
      <c r="H31" s="4"/>
    </row>
    <row r="32" spans="1:9" x14ac:dyDescent="0.55000000000000004">
      <c r="E32">
        <v>13</v>
      </c>
      <c r="F32" s="28">
        <v>192262464.02900279</v>
      </c>
      <c r="G32" s="4"/>
      <c r="H32" s="4"/>
    </row>
    <row r="33" spans="5:8" x14ac:dyDescent="0.55000000000000004">
      <c r="E33">
        <v>14</v>
      </c>
      <c r="F33" s="28">
        <v>220202453.6041207</v>
      </c>
      <c r="G33" s="4"/>
      <c r="H33" s="4"/>
    </row>
    <row r="34" spans="5:8" x14ac:dyDescent="0.55000000000000004">
      <c r="E34">
        <v>15</v>
      </c>
      <c r="F34" s="28">
        <v>188955537.50891441</v>
      </c>
      <c r="G34" s="4"/>
      <c r="H34" s="4"/>
    </row>
    <row r="35" spans="5:8" x14ac:dyDescent="0.55000000000000004">
      <c r="E35">
        <v>16</v>
      </c>
      <c r="F35" s="28">
        <v>165875945.45185727</v>
      </c>
      <c r="G35" s="4"/>
      <c r="H35" s="4"/>
    </row>
    <row r="36" spans="5:8" x14ac:dyDescent="0.55000000000000004">
      <c r="E36">
        <v>17</v>
      </c>
      <c r="F36" s="28">
        <v>192781482.28020135</v>
      </c>
      <c r="G36" s="4"/>
      <c r="H36" s="4"/>
    </row>
    <row r="37" spans="5:8" x14ac:dyDescent="0.55000000000000004">
      <c r="E37">
        <v>18</v>
      </c>
      <c r="F37" s="28">
        <v>192702888.96374661</v>
      </c>
      <c r="G37" s="4"/>
      <c r="H37" s="4"/>
    </row>
    <row r="38" spans="5:8" x14ac:dyDescent="0.55000000000000004">
      <c r="E38">
        <v>19</v>
      </c>
      <c r="F38" s="28">
        <v>171520356.74454859</v>
      </c>
      <c r="G38" s="4"/>
      <c r="H38" s="4"/>
    </row>
    <row r="39" spans="5:8" x14ac:dyDescent="0.55000000000000004">
      <c r="E39">
        <v>20</v>
      </c>
      <c r="F39" s="28">
        <v>190652935.36517823</v>
      </c>
      <c r="G39" s="4"/>
      <c r="H39" s="4"/>
    </row>
    <row r="40" spans="5:8" x14ac:dyDescent="0.55000000000000004">
      <c r="E40">
        <v>21</v>
      </c>
      <c r="F40" s="28">
        <v>186850795.56047136</v>
      </c>
      <c r="G40" s="4"/>
      <c r="H40" s="4"/>
    </row>
    <row r="41" spans="5:8" x14ac:dyDescent="0.55000000000000004">
      <c r="E41">
        <v>22</v>
      </c>
      <c r="F41" s="28">
        <v>194727673.81815511</v>
      </c>
      <c r="G41" s="4"/>
      <c r="H41" s="4"/>
    </row>
    <row r="42" spans="5:8" x14ac:dyDescent="0.55000000000000004">
      <c r="E42">
        <v>23</v>
      </c>
      <c r="F42" s="28">
        <v>173392042.45140043</v>
      </c>
      <c r="G42" s="4"/>
      <c r="H42" s="4"/>
    </row>
    <row r="43" spans="5:8" x14ac:dyDescent="0.55000000000000004">
      <c r="E43">
        <v>24</v>
      </c>
      <c r="F43" s="28">
        <v>226671010.44771484</v>
      </c>
      <c r="G43" s="4"/>
      <c r="H43" s="4"/>
    </row>
    <row r="44" spans="5:8" x14ac:dyDescent="0.55000000000000004">
      <c r="E44">
        <v>25</v>
      </c>
      <c r="F44" s="28">
        <v>168938762.47838274</v>
      </c>
      <c r="G44" s="4"/>
      <c r="H44" s="4"/>
    </row>
    <row r="45" spans="5:8" x14ac:dyDescent="0.55000000000000004">
      <c r="E45">
        <v>26</v>
      </c>
      <c r="F45" s="28">
        <v>165249522.11071369</v>
      </c>
      <c r="G45" s="4"/>
      <c r="H45" s="4"/>
    </row>
    <row r="46" spans="5:8" x14ac:dyDescent="0.55000000000000004">
      <c r="E46">
        <v>27</v>
      </c>
      <c r="F46" s="28">
        <v>139710871.03009275</v>
      </c>
      <c r="G46" s="4"/>
      <c r="H46" s="4"/>
    </row>
    <row r="47" spans="5:8" x14ac:dyDescent="0.55000000000000004">
      <c r="E47">
        <v>28</v>
      </c>
      <c r="F47" s="28">
        <v>236712336.28095496</v>
      </c>
      <c r="G47" s="4"/>
      <c r="H47" s="4"/>
    </row>
    <row r="48" spans="5:8" x14ac:dyDescent="0.55000000000000004">
      <c r="E48">
        <v>29</v>
      </c>
      <c r="F48" s="28">
        <v>241565426.66610026</v>
      </c>
      <c r="G48" s="4"/>
      <c r="H48" s="4"/>
    </row>
    <row r="49" spans="5:8" x14ac:dyDescent="0.55000000000000004">
      <c r="E49">
        <v>30</v>
      </c>
      <c r="F49" s="28">
        <v>189254924.97017676</v>
      </c>
      <c r="G49" s="4"/>
      <c r="H49" s="4"/>
    </row>
    <row r="50" spans="5:8" x14ac:dyDescent="0.55000000000000004">
      <c r="E50">
        <v>31</v>
      </c>
      <c r="F50" s="28">
        <v>160329502.44747368</v>
      </c>
      <c r="G50" s="4"/>
      <c r="H50" s="4"/>
    </row>
    <row r="51" spans="5:8" x14ac:dyDescent="0.55000000000000004">
      <c r="E51">
        <v>32</v>
      </c>
      <c r="F51" s="28">
        <v>196947578.31535113</v>
      </c>
      <c r="G51" s="4"/>
      <c r="H51" s="4"/>
    </row>
    <row r="52" spans="5:8" x14ac:dyDescent="0.55000000000000004">
      <c r="E52">
        <v>33</v>
      </c>
      <c r="F52" s="28">
        <v>204325517.15599909</v>
      </c>
      <c r="G52" s="4"/>
      <c r="H52" s="4"/>
    </row>
    <row r="53" spans="5:8" x14ac:dyDescent="0.55000000000000004">
      <c r="E53">
        <v>34</v>
      </c>
      <c r="F53" s="28">
        <v>180081782.1815908</v>
      </c>
      <c r="G53" s="4"/>
      <c r="H53" s="4"/>
    </row>
    <row r="54" spans="5:8" x14ac:dyDescent="0.55000000000000004">
      <c r="E54">
        <v>35</v>
      </c>
      <c r="F54" s="28">
        <v>203493853.78221473</v>
      </c>
      <c r="G54" s="4"/>
      <c r="H54" s="4"/>
    </row>
    <row r="55" spans="5:8" x14ac:dyDescent="0.55000000000000004">
      <c r="E55">
        <v>36</v>
      </c>
      <c r="F55" s="28">
        <v>212397692.36183906</v>
      </c>
      <c r="G55" s="4"/>
      <c r="H55" s="4"/>
    </row>
    <row r="56" spans="5:8" x14ac:dyDescent="0.55000000000000004">
      <c r="E56">
        <v>37</v>
      </c>
      <c r="F56" s="28">
        <v>204993103.84485662</v>
      </c>
      <c r="G56" s="4"/>
      <c r="H56" s="4"/>
    </row>
    <row r="57" spans="5:8" x14ac:dyDescent="0.55000000000000004">
      <c r="E57">
        <v>38</v>
      </c>
      <c r="F57" s="28">
        <v>207182648.89025563</v>
      </c>
      <c r="G57" s="4"/>
      <c r="H57" s="4"/>
    </row>
    <row r="58" spans="5:8" x14ac:dyDescent="0.55000000000000004">
      <c r="E58">
        <v>39</v>
      </c>
      <c r="F58" s="28">
        <v>123226609.14156702</v>
      </c>
      <c r="G58" s="4"/>
      <c r="H58" s="4"/>
    </row>
    <row r="59" spans="5:8" x14ac:dyDescent="0.55000000000000004">
      <c r="E59">
        <v>40</v>
      </c>
      <c r="F59" s="28">
        <v>254917627.15056404</v>
      </c>
      <c r="G59" s="4"/>
      <c r="H59" s="4"/>
    </row>
    <row r="60" spans="5:8" x14ac:dyDescent="0.55000000000000004">
      <c r="E60">
        <v>41</v>
      </c>
      <c r="F60" s="28">
        <v>204199580.1278393</v>
      </c>
      <c r="G60" s="4"/>
      <c r="H60" s="4"/>
    </row>
    <row r="61" spans="5:8" x14ac:dyDescent="0.55000000000000004">
      <c r="E61">
        <v>42</v>
      </c>
      <c r="F61" s="28">
        <v>191908484.48048571</v>
      </c>
      <c r="G61" s="4"/>
      <c r="H61" s="4"/>
    </row>
    <row r="62" spans="5:8" x14ac:dyDescent="0.55000000000000004">
      <c r="E62">
        <v>43</v>
      </c>
      <c r="F62" s="28">
        <v>161277299.84031177</v>
      </c>
      <c r="G62" s="4"/>
      <c r="H62" s="4"/>
    </row>
    <row r="63" spans="5:8" x14ac:dyDescent="0.55000000000000004">
      <c r="E63">
        <v>44</v>
      </c>
      <c r="F63" s="28">
        <v>139250645.1218859</v>
      </c>
      <c r="G63" s="4"/>
      <c r="H63" s="4"/>
    </row>
    <row r="64" spans="5:8" x14ac:dyDescent="0.55000000000000004">
      <c r="E64">
        <v>45</v>
      </c>
      <c r="F64" s="28">
        <v>155505791.48900142</v>
      </c>
      <c r="G64" s="4"/>
      <c r="H64" s="4"/>
    </row>
    <row r="65" spans="5:8" x14ac:dyDescent="0.55000000000000004">
      <c r="E65">
        <v>46</v>
      </c>
      <c r="F65" s="28">
        <v>164174900.41307276</v>
      </c>
      <c r="G65" s="4"/>
      <c r="H65" s="4"/>
    </row>
    <row r="66" spans="5:8" x14ac:dyDescent="0.55000000000000004">
      <c r="E66">
        <v>47</v>
      </c>
      <c r="F66" s="28">
        <v>155186573.40263873</v>
      </c>
      <c r="G66" s="4"/>
      <c r="H66" s="4"/>
    </row>
    <row r="67" spans="5:8" x14ac:dyDescent="0.55000000000000004">
      <c r="E67">
        <v>48</v>
      </c>
      <c r="F67" s="28">
        <v>208606434.07067618</v>
      </c>
      <c r="G67" s="4"/>
      <c r="H67" s="4"/>
    </row>
    <row r="68" spans="5:8" x14ac:dyDescent="0.55000000000000004">
      <c r="E68">
        <v>49</v>
      </c>
      <c r="F68" s="28">
        <v>188266323.02345124</v>
      </c>
      <c r="G68" s="4"/>
      <c r="H68" s="4"/>
    </row>
    <row r="69" spans="5:8" x14ac:dyDescent="0.55000000000000004">
      <c r="E69">
        <v>50</v>
      </c>
      <c r="F69" s="28">
        <v>225865558.32289875</v>
      </c>
      <c r="G69" s="4"/>
      <c r="H69" s="4"/>
    </row>
    <row r="70" spans="5:8" x14ac:dyDescent="0.55000000000000004">
      <c r="E70">
        <v>51</v>
      </c>
      <c r="F70" s="28">
        <v>194712466.85204515</v>
      </c>
      <c r="G70" s="4"/>
      <c r="H70" s="4"/>
    </row>
    <row r="71" spans="5:8" x14ac:dyDescent="0.55000000000000004">
      <c r="E71">
        <v>52</v>
      </c>
      <c r="F71" s="28">
        <v>221004202.47938874</v>
      </c>
      <c r="G71" s="4"/>
      <c r="H71" s="4"/>
    </row>
    <row r="72" spans="5:8" x14ac:dyDescent="0.55000000000000004">
      <c r="E72">
        <v>53</v>
      </c>
      <c r="F72" s="28">
        <v>193360907.25371617</v>
      </c>
      <c r="G72" s="4"/>
      <c r="H72" s="4"/>
    </row>
    <row r="73" spans="5:8" x14ac:dyDescent="0.55000000000000004">
      <c r="E73">
        <v>54</v>
      </c>
      <c r="F73" s="28">
        <v>210107720.40205517</v>
      </c>
      <c r="G73" s="4"/>
      <c r="H73" s="4"/>
    </row>
    <row r="74" spans="5:8" x14ac:dyDescent="0.55000000000000004">
      <c r="E74">
        <v>55</v>
      </c>
      <c r="F74" s="28">
        <v>211762342.07703078</v>
      </c>
      <c r="G74" s="4"/>
      <c r="H74" s="4"/>
    </row>
    <row r="75" spans="5:8" x14ac:dyDescent="0.55000000000000004">
      <c r="E75">
        <v>56</v>
      </c>
      <c r="F75" s="28">
        <v>233354941.42262781</v>
      </c>
      <c r="G75" s="4"/>
      <c r="H75" s="4"/>
    </row>
    <row r="76" spans="5:8" x14ac:dyDescent="0.55000000000000004">
      <c r="E76">
        <v>57</v>
      </c>
      <c r="F76" s="28">
        <v>193941528.08040372</v>
      </c>
      <c r="G76" s="4"/>
      <c r="H76" s="4"/>
    </row>
    <row r="77" spans="5:8" x14ac:dyDescent="0.55000000000000004">
      <c r="E77">
        <v>58</v>
      </c>
      <c r="F77" s="28">
        <v>215804981.98531458</v>
      </c>
      <c r="G77" s="4"/>
      <c r="H77" s="4"/>
    </row>
    <row r="78" spans="5:8" x14ac:dyDescent="0.55000000000000004">
      <c r="E78">
        <v>59</v>
      </c>
      <c r="F78" s="28">
        <v>214437583.08404255</v>
      </c>
      <c r="G78" s="4"/>
      <c r="H78" s="4"/>
    </row>
    <row r="79" spans="5:8" x14ac:dyDescent="0.55000000000000004">
      <c r="E79">
        <v>60</v>
      </c>
      <c r="F79" s="28">
        <v>221398181.85795265</v>
      </c>
      <c r="G79" s="4"/>
      <c r="H79" s="4"/>
    </row>
    <row r="80" spans="5:8" x14ac:dyDescent="0.55000000000000004">
      <c r="E80">
        <v>61</v>
      </c>
      <c r="F80" s="28">
        <v>132811215.61145256</v>
      </c>
      <c r="G80" s="4"/>
      <c r="H80" s="4"/>
    </row>
    <row r="81" spans="5:8" x14ac:dyDescent="0.55000000000000004">
      <c r="E81">
        <v>62</v>
      </c>
      <c r="F81" s="28">
        <v>138992828.56153205</v>
      </c>
      <c r="G81" s="4"/>
      <c r="H81" s="4"/>
    </row>
    <row r="82" spans="5:8" x14ac:dyDescent="0.55000000000000004">
      <c r="E82">
        <v>63</v>
      </c>
      <c r="F82" s="28">
        <v>219937195.55971271</v>
      </c>
      <c r="G82" s="4"/>
      <c r="H82" s="4"/>
    </row>
    <row r="83" spans="5:8" x14ac:dyDescent="0.55000000000000004">
      <c r="E83">
        <v>64</v>
      </c>
      <c r="F83" s="28">
        <v>183440230.99641201</v>
      </c>
      <c r="G83" s="4"/>
      <c r="H83" s="4"/>
    </row>
    <row r="84" spans="5:8" x14ac:dyDescent="0.55000000000000004">
      <c r="E84">
        <v>65</v>
      </c>
      <c r="F84" s="28">
        <v>166381257.91418293</v>
      </c>
      <c r="G84" s="4"/>
      <c r="H84" s="4"/>
    </row>
    <row r="85" spans="5:8" x14ac:dyDescent="0.55000000000000004">
      <c r="E85">
        <v>66</v>
      </c>
      <c r="F85" s="28">
        <v>191531140.68389073</v>
      </c>
      <c r="G85" s="4"/>
      <c r="H85" s="4"/>
    </row>
    <row r="86" spans="5:8" x14ac:dyDescent="0.55000000000000004">
      <c r="E86">
        <v>67</v>
      </c>
      <c r="F86" s="28">
        <v>126646559.1256704</v>
      </c>
      <c r="G86" s="4"/>
      <c r="H86" s="4"/>
    </row>
    <row r="87" spans="5:8" x14ac:dyDescent="0.55000000000000004">
      <c r="E87">
        <v>68</v>
      </c>
      <c r="F87" s="28">
        <v>136966481.85546866</v>
      </c>
      <c r="G87" s="4"/>
      <c r="H87" s="4"/>
    </row>
    <row r="88" spans="5:8" x14ac:dyDescent="0.55000000000000004">
      <c r="E88">
        <v>69</v>
      </c>
      <c r="F88" s="28">
        <v>169137361.44340259</v>
      </c>
      <c r="G88" s="4"/>
      <c r="H88" s="4"/>
    </row>
    <row r="89" spans="5:8" x14ac:dyDescent="0.55000000000000004">
      <c r="E89">
        <v>70</v>
      </c>
      <c r="F89" s="28">
        <v>175428995.68841603</v>
      </c>
      <c r="G89" s="4"/>
      <c r="H89" s="4"/>
    </row>
    <row r="90" spans="5:8" x14ac:dyDescent="0.55000000000000004">
      <c r="E90">
        <v>71</v>
      </c>
      <c r="F90" s="28">
        <v>181746199.55727252</v>
      </c>
      <c r="G90" s="4"/>
      <c r="H90" s="4"/>
    </row>
    <row r="91" spans="5:8" x14ac:dyDescent="0.55000000000000004">
      <c r="E91">
        <v>72</v>
      </c>
      <c r="F91" s="28">
        <v>209652092.12646592</v>
      </c>
      <c r="G91" s="4"/>
      <c r="H91" s="4"/>
    </row>
    <row r="92" spans="5:8" x14ac:dyDescent="0.55000000000000004">
      <c r="E92">
        <v>73</v>
      </c>
      <c r="F92" s="28">
        <v>172855278.83556488</v>
      </c>
      <c r="G92" s="4"/>
      <c r="H92" s="4"/>
    </row>
    <row r="93" spans="5:8" x14ac:dyDescent="0.55000000000000004">
      <c r="E93">
        <v>74</v>
      </c>
      <c r="F93" s="28">
        <v>179941174.78440276</v>
      </c>
      <c r="G93" s="4"/>
      <c r="H93" s="4"/>
    </row>
    <row r="94" spans="5:8" x14ac:dyDescent="0.55000000000000004">
      <c r="E94">
        <v>75</v>
      </c>
      <c r="F94" s="28">
        <v>145462904.10124379</v>
      </c>
      <c r="G94" s="4"/>
      <c r="H94" s="4"/>
    </row>
    <row r="95" spans="5:8" x14ac:dyDescent="0.55000000000000004">
      <c r="E95">
        <v>76</v>
      </c>
      <c r="F95" s="28">
        <v>201292335.75783616</v>
      </c>
      <c r="G95" s="4"/>
      <c r="H95" s="4"/>
    </row>
    <row r="96" spans="5:8" x14ac:dyDescent="0.55000000000000004">
      <c r="E96">
        <v>77</v>
      </c>
      <c r="F96" s="28">
        <v>224895562.2968215</v>
      </c>
      <c r="G96" s="4"/>
      <c r="H96" s="4"/>
    </row>
    <row r="97" spans="5:8" x14ac:dyDescent="0.55000000000000004">
      <c r="E97">
        <v>78</v>
      </c>
      <c r="F97" s="28">
        <v>205942864.95603165</v>
      </c>
      <c r="G97" s="4"/>
      <c r="H97" s="4"/>
    </row>
    <row r="98" spans="5:8" x14ac:dyDescent="0.55000000000000004">
      <c r="E98">
        <v>79</v>
      </c>
      <c r="F98" s="28">
        <v>185882202.3117049</v>
      </c>
      <c r="G98" s="4"/>
      <c r="H98" s="4"/>
    </row>
    <row r="99" spans="5:8" x14ac:dyDescent="0.55000000000000004">
      <c r="E99">
        <v>80</v>
      </c>
      <c r="F99" s="28">
        <v>193901205.50887465</v>
      </c>
      <c r="G99" s="4"/>
      <c r="H99" s="4"/>
    </row>
    <row r="100" spans="5:8" x14ac:dyDescent="0.55000000000000004">
      <c r="E100">
        <v>81</v>
      </c>
      <c r="F100" s="28">
        <v>206450548.8518064</v>
      </c>
      <c r="G100" s="4"/>
      <c r="H100" s="4"/>
    </row>
    <row r="101" spans="5:8" x14ac:dyDescent="0.55000000000000004">
      <c r="E101">
        <v>82</v>
      </c>
      <c r="F101" s="28">
        <v>216525729.09306982</v>
      </c>
      <c r="G101" s="4"/>
      <c r="H101" s="4"/>
    </row>
    <row r="102" spans="5:8" x14ac:dyDescent="0.55000000000000004">
      <c r="E102">
        <v>83</v>
      </c>
      <c r="F102" s="28">
        <v>196857095.06396151</v>
      </c>
      <c r="G102" s="4"/>
      <c r="H102" s="4"/>
    </row>
    <row r="103" spans="5:8" x14ac:dyDescent="0.55000000000000004">
      <c r="E103">
        <v>84</v>
      </c>
      <c r="F103" s="28">
        <v>159190141.05562258</v>
      </c>
      <c r="G103" s="4"/>
      <c r="H103" s="4"/>
    </row>
    <row r="104" spans="5:8" x14ac:dyDescent="0.55000000000000004">
      <c r="E104">
        <v>85</v>
      </c>
      <c r="F104" s="28">
        <v>207315461.00294209</v>
      </c>
      <c r="G104" s="4"/>
      <c r="H104" s="4"/>
    </row>
    <row r="105" spans="5:8" x14ac:dyDescent="0.55000000000000004">
      <c r="E105">
        <v>86</v>
      </c>
      <c r="F105" s="28">
        <v>158093273.68905461</v>
      </c>
      <c r="G105" s="4"/>
      <c r="H105" s="4"/>
    </row>
    <row r="106" spans="5:8" x14ac:dyDescent="0.55000000000000004">
      <c r="E106">
        <v>87</v>
      </c>
      <c r="F106" s="28">
        <v>200153613.32300839</v>
      </c>
      <c r="G106" s="4"/>
      <c r="H106" s="4"/>
    </row>
    <row r="107" spans="5:8" x14ac:dyDescent="0.55000000000000004">
      <c r="E107">
        <v>88</v>
      </c>
      <c r="F107" s="28">
        <v>216505632.56556129</v>
      </c>
      <c r="G107" s="4"/>
      <c r="H107" s="4"/>
    </row>
    <row r="108" spans="5:8" x14ac:dyDescent="0.55000000000000004">
      <c r="E108">
        <v>89</v>
      </c>
      <c r="F108" s="28">
        <v>217567853.56743643</v>
      </c>
      <c r="G108" s="4"/>
      <c r="H108" s="4"/>
    </row>
    <row r="109" spans="5:8" x14ac:dyDescent="0.55000000000000004">
      <c r="E109">
        <v>90</v>
      </c>
      <c r="F109" s="28">
        <v>201676133.07900915</v>
      </c>
      <c r="G109" s="4"/>
      <c r="H109" s="4"/>
    </row>
    <row r="110" spans="5:8" x14ac:dyDescent="0.55000000000000004">
      <c r="E110">
        <v>91</v>
      </c>
      <c r="F110" s="28">
        <v>117086905.26731598</v>
      </c>
      <c r="G110" s="4"/>
      <c r="H110" s="4"/>
    </row>
    <row r="111" spans="5:8" x14ac:dyDescent="0.55000000000000004">
      <c r="E111">
        <v>92</v>
      </c>
      <c r="F111" s="28">
        <v>229089931.26532909</v>
      </c>
      <c r="G111" s="4"/>
      <c r="H111" s="4"/>
    </row>
    <row r="112" spans="5:8" x14ac:dyDescent="0.55000000000000004">
      <c r="E112">
        <v>93</v>
      </c>
      <c r="F112" s="28">
        <v>181786286.75682801</v>
      </c>
      <c r="G112" s="4"/>
      <c r="H112" s="4"/>
    </row>
    <row r="113" spans="5:8" x14ac:dyDescent="0.55000000000000004">
      <c r="E113">
        <v>94</v>
      </c>
      <c r="F113" s="28">
        <v>191343191.1314792</v>
      </c>
      <c r="G113" s="4"/>
      <c r="H113" s="4"/>
    </row>
    <row r="114" spans="5:8" x14ac:dyDescent="0.55000000000000004">
      <c r="E114">
        <v>95</v>
      </c>
      <c r="F114" s="28">
        <v>168196163.62083104</v>
      </c>
      <c r="G114" s="4"/>
      <c r="H114" s="4"/>
    </row>
    <row r="115" spans="5:8" x14ac:dyDescent="0.55000000000000004">
      <c r="E115">
        <v>96</v>
      </c>
      <c r="F115" s="28">
        <v>205445149.16762954</v>
      </c>
      <c r="G115" s="4"/>
      <c r="H115" s="4"/>
    </row>
    <row r="116" spans="5:8" x14ac:dyDescent="0.55000000000000004">
      <c r="E116">
        <v>97</v>
      </c>
      <c r="F116" s="28">
        <v>217320223.53021091</v>
      </c>
      <c r="G116" s="4"/>
      <c r="H116" s="4"/>
    </row>
    <row r="117" spans="5:8" x14ac:dyDescent="0.55000000000000004">
      <c r="E117">
        <v>98</v>
      </c>
      <c r="F117" s="28">
        <v>137915396.71526578</v>
      </c>
      <c r="G117" s="4"/>
      <c r="H117" s="4"/>
    </row>
    <row r="118" spans="5:8" x14ac:dyDescent="0.55000000000000004">
      <c r="E118">
        <v>99</v>
      </c>
      <c r="F118" s="28">
        <v>168986382.92323732</v>
      </c>
      <c r="G118" s="4"/>
      <c r="H118" s="4"/>
    </row>
    <row r="119" spans="5:8" x14ac:dyDescent="0.55000000000000004">
      <c r="E119">
        <v>100</v>
      </c>
      <c r="F119" s="28">
        <v>196036928.6801973</v>
      </c>
      <c r="G119" s="4"/>
      <c r="H119" s="4"/>
    </row>
    <row r="120" spans="5:8" x14ac:dyDescent="0.55000000000000004">
      <c r="E120">
        <v>101</v>
      </c>
      <c r="F120" s="28">
        <v>217299728.13556695</v>
      </c>
      <c r="G120" s="4"/>
      <c r="H120" s="4"/>
    </row>
    <row r="121" spans="5:8" x14ac:dyDescent="0.55000000000000004">
      <c r="E121">
        <v>102</v>
      </c>
      <c r="F121" s="28">
        <v>196520107.4015052</v>
      </c>
      <c r="G121" s="4"/>
      <c r="H121" s="4"/>
    </row>
    <row r="122" spans="5:8" x14ac:dyDescent="0.55000000000000004">
      <c r="E122">
        <v>103</v>
      </c>
      <c r="F122" s="28">
        <v>269842250.12845969</v>
      </c>
      <c r="G122" s="4"/>
      <c r="H122" s="4"/>
    </row>
    <row r="123" spans="5:8" x14ac:dyDescent="0.55000000000000004">
      <c r="E123">
        <v>104</v>
      </c>
      <c r="F123" s="28">
        <v>187902069.80514839</v>
      </c>
      <c r="G123" s="4"/>
      <c r="H123" s="4"/>
    </row>
    <row r="124" spans="5:8" x14ac:dyDescent="0.55000000000000004">
      <c r="E124">
        <v>105</v>
      </c>
      <c r="F124" s="28">
        <v>219895129.45312211</v>
      </c>
      <c r="G124" s="4"/>
      <c r="H124" s="4"/>
    </row>
    <row r="125" spans="5:8" x14ac:dyDescent="0.55000000000000004">
      <c r="E125">
        <v>106</v>
      </c>
      <c r="F125" s="28">
        <v>180231373.41634712</v>
      </c>
      <c r="G125" s="4"/>
      <c r="H125" s="4"/>
    </row>
    <row r="126" spans="5:8" x14ac:dyDescent="0.55000000000000004">
      <c r="E126">
        <v>107</v>
      </c>
      <c r="F126" s="28">
        <v>143074025.66954133</v>
      </c>
      <c r="G126" s="4"/>
      <c r="H126" s="4"/>
    </row>
    <row r="127" spans="5:8" x14ac:dyDescent="0.55000000000000004">
      <c r="E127">
        <v>108</v>
      </c>
      <c r="F127" s="28">
        <v>199211182.07762915</v>
      </c>
      <c r="G127" s="4"/>
      <c r="H127" s="4"/>
    </row>
  </sheetData>
  <mergeCells count="1">
    <mergeCell ref="H17:H18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7"/>
  <sheetViews>
    <sheetView workbookViewId="0">
      <selection activeCell="D13" sqref="D13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21" customWidth="1"/>
    <col min="4" max="4" width="22.5234375" customWidth="1"/>
    <col min="6" max="7" width="18.68359375" customWidth="1"/>
    <col min="8" max="8" width="30.3125" customWidth="1"/>
  </cols>
  <sheetData>
    <row r="1" spans="1:9" ht="18" customHeight="1" x14ac:dyDescent="0.55000000000000004">
      <c r="B1" s="26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2" t="str">
        <f>MC_High_ambition!F1</f>
        <v>All dairy households</v>
      </c>
      <c r="G1" s="2"/>
      <c r="H1" s="2"/>
    </row>
    <row r="3" spans="1:9" x14ac:dyDescent="0.55000000000000004">
      <c r="A3" t="str">
        <f>MC_High_ambition!A3</f>
        <v>Income per cow (USD/yr)</v>
      </c>
      <c r="B3" s="18">
        <f>Mappings!N18</f>
        <v>1495.1172015495711</v>
      </c>
      <c r="C3" s="18">
        <f>Mappings!N19</f>
        <v>340.3171855089804</v>
      </c>
      <c r="D3" s="33">
        <f>Mappings!N20</f>
        <v>1662.110376985115</v>
      </c>
    </row>
    <row r="4" spans="1:9" x14ac:dyDescent="0.55000000000000004">
      <c r="A4" t="str">
        <f>MC_High_ambition!A4</f>
        <v>Random value income per cow (USD/yr)</v>
      </c>
      <c r="B4" s="18">
        <f ca="1">_xlfn.NORM.INV(RAND(),Mappings!N18,Mappings!O18)</f>
        <v>1503.3524371675783</v>
      </c>
      <c r="C4" s="18">
        <f ca="1">_xlfn.NORM.INV(RAND(),Mappings!N19,Mappings!O19)</f>
        <v>365.17076231266662</v>
      </c>
      <c r="D4" s="18">
        <f ca="1">_xlfn.NORM.INV(RAND(),Mappings!N20,Mappings!O20)</f>
        <v>1622.975391828639</v>
      </c>
    </row>
    <row r="5" spans="1:9" x14ac:dyDescent="0.55000000000000004">
      <c r="A5" t="str">
        <f>MC_High_ambition!A5</f>
        <v>Cows per household (head)</v>
      </c>
      <c r="B5" s="18">
        <f>Mappings!F18*Mappings!I18</f>
        <v>0.68253708880318176</v>
      </c>
      <c r="C5" s="18">
        <f>Mappings!F19*Mappings!I19</f>
        <v>2.9088604080953084</v>
      </c>
      <c r="D5" s="18">
        <f>Mappings!F20*Mappings!I20</f>
        <v>1.9699507500597777</v>
      </c>
    </row>
    <row r="6" spans="1:9" x14ac:dyDescent="0.55000000000000004">
      <c r="A6" t="str">
        <f>MC_High_ambition!A6</f>
        <v>Random value cows per household (head)</v>
      </c>
      <c r="B6" s="18">
        <f ca="1">_xlfn.NORM.INV(RAND(),B5,B5*Mappings!E4)*0+B5</f>
        <v>0.68253708880318176</v>
      </c>
      <c r="C6" s="18">
        <f ca="1">_xlfn.NORM.INV(RAND(),C5,C5*Mappings!E3)*0+C5</f>
        <v>2.9088604080953084</v>
      </c>
      <c r="D6" s="18">
        <f ca="1">_xlfn.NORM.INV(RAND(),D5,D5*Mappings!E4)*0+D5</f>
        <v>1.9699507500597777</v>
      </c>
    </row>
    <row r="7" spans="1:9" x14ac:dyDescent="0.55000000000000004">
      <c r="A7" t="str">
        <f>MC_High_ambition!A7</f>
        <v>Reduction in non-dairy income through crop area change</v>
      </c>
      <c r="B7" s="18">
        <f>Mappings!Q18</f>
        <v>126.52789823633996</v>
      </c>
      <c r="C7" s="18">
        <f>Mappings!Q19</f>
        <v>664.34433240766884</v>
      </c>
      <c r="D7" s="18">
        <f>Mappings!Q20</f>
        <v>462.11252551777085</v>
      </c>
    </row>
    <row r="8" spans="1:9" x14ac:dyDescent="0.55000000000000004">
      <c r="A8" t="str">
        <f>MC_High_ambition!A8</f>
        <v>Random value reduction/increase in non-dairy income (USD/yr)</v>
      </c>
      <c r="B8" s="18">
        <f ca="1">IF(B7&gt;=0,_xlfn.NORM.INV(RAND(),B7,B7*[6]Dairy_Income_Roadmap!L36),_xlfn.NORM.INV(RAND(),ABS(B7),ABS(B7)*[6]Dairy_Income_Roadmap!L36))</f>
        <v>215.9894261903022</v>
      </c>
      <c r="C8" s="18">
        <f ca="1">IF(C7&gt;0,_xlfn.NORM.INV(RAND(),C7,C7*[6]Dairy_Income_Roadmap!L36),_xlfn.NORM.INV(RAND(),ABS(C7),ABS(C7)*[6]Dairy_Income_Roadmap!L36))</f>
        <v>415.9564764309024</v>
      </c>
      <c r="D8" s="18">
        <f ca="1">IF(D7&gt;0,_xlfn.NORM.INV(RAND(),D7,D7*[6]Dairy_Income_Roadmap!L38),_xlfn.NORM.INV(RAND(),ABS(D7),ABS(D7)*[6]Dairy_Income_Roadmap!L38))</f>
        <v>-101.37346636355591</v>
      </c>
    </row>
    <row r="9" spans="1:9" x14ac:dyDescent="0.55000000000000004">
      <c r="A9" t="str">
        <f>MC_High_ambition!A9</f>
        <v>Quantity households</v>
      </c>
      <c r="B9" s="18">
        <f>Mappings!D18</f>
        <v>9841.4502207493369</v>
      </c>
      <c r="C9" s="4">
        <f>Mappings!D19</f>
        <v>55768.217917579575</v>
      </c>
      <c r="D9" s="4">
        <f>Mappings!D20</f>
        <v>82028.367810366151</v>
      </c>
    </row>
    <row r="10" spans="1:9" x14ac:dyDescent="0.55000000000000004">
      <c r="A10" t="str">
        <f>MC_High_ambition!A10</f>
        <v>SE quantity households</v>
      </c>
      <c r="B10" s="18">
        <f>Mappings!V18*Mappings!D18</f>
        <v>289.67056511708114</v>
      </c>
      <c r="C10" s="18">
        <f>Mappings!V19*Mappings!D19</f>
        <v>1641.4665356634598</v>
      </c>
      <c r="D10" s="4">
        <f>Mappings!V20*Mappings!D20</f>
        <v>2414.4006346913525</v>
      </c>
    </row>
    <row r="11" spans="1:9" x14ac:dyDescent="0.55000000000000004">
      <c r="B11" s="18"/>
    </row>
    <row r="12" spans="1:9" x14ac:dyDescent="0.55000000000000004">
      <c r="A12" t="str">
        <f>MC_High_ambition!A12</f>
        <v>Dairy Income (USD/household/year)</v>
      </c>
      <c r="B12" s="18">
        <f ca="1">B4*B6</f>
        <v>1026.093795909527</v>
      </c>
      <c r="C12" s="18">
        <f ca="1">C4*C6</f>
        <v>1062.2307726852982</v>
      </c>
      <c r="D12" s="18">
        <f ca="1">D4*D6</f>
        <v>3197.1815904613891</v>
      </c>
    </row>
    <row r="13" spans="1:9" x14ac:dyDescent="0.55000000000000004">
      <c r="A13" t="str">
        <f>MC_High_ambition!A13</f>
        <v>Non dairy income (USD/household/year)</v>
      </c>
      <c r="B13" s="18">
        <f ca="1">-IF(B7&gt;0,B8,-B8)</f>
        <v>-215.9894261903022</v>
      </c>
      <c r="C13" s="18">
        <f ca="1">-IF(C7&gt;0,C8,-C8)</f>
        <v>-415.9564764309024</v>
      </c>
      <c r="D13" s="18">
        <f ca="1">-IF(D7&gt;0,D8,-D8)</f>
        <v>101.37346636355591</v>
      </c>
    </row>
    <row r="14" spans="1:9" x14ac:dyDescent="0.55000000000000004">
      <c r="A14" t="str">
        <f>MC_High_ambition!A14</f>
        <v>Quantity households</v>
      </c>
      <c r="B14" s="18">
        <f ca="1">_xlfn.NORM.INV(RAND(),B9,B10)</f>
        <v>9911.8547666766808</v>
      </c>
      <c r="C14" s="18">
        <f ca="1">_xlfn.NORM.INV(RAND(),C9,C10)</f>
        <v>55613.255830425391</v>
      </c>
      <c r="D14" s="18">
        <f t="shared" ref="D14" ca="1" si="0">_xlfn.NORM.INV(RAND(),D9,D10)</f>
        <v>74939.973277051569</v>
      </c>
    </row>
    <row r="16" spans="1:9" x14ac:dyDescent="0.55000000000000004">
      <c r="A16" t="str">
        <f>MC_High_ambition!A16</f>
        <v>Estimated population income (USD/yr)</v>
      </c>
      <c r="B16" s="4">
        <f ca="1">(B12+B13)*B14</f>
        <v>8029636.8585071061</v>
      </c>
      <c r="C16" s="4">
        <f t="shared" ref="C16:D16" ca="1" si="1">(C12+C13)*C14</f>
        <v>35941417.774223849</v>
      </c>
      <c r="D16" s="4">
        <f t="shared" ca="1" si="1"/>
        <v>247193627.81134471</v>
      </c>
      <c r="E16" s="4"/>
      <c r="F16" s="4">
        <f ca="1">SUM(B16:D16)</f>
        <v>291164682.44407564</v>
      </c>
      <c r="G16" s="4"/>
      <c r="H16" s="38"/>
      <c r="I16" s="37"/>
    </row>
    <row r="17" spans="1:9" x14ac:dyDescent="0.55000000000000004">
      <c r="A17" t="str">
        <f>MC_High_ambition!A17</f>
        <v>SE population income (USD/yr)</v>
      </c>
      <c r="B17" s="4"/>
      <c r="C17" s="4"/>
      <c r="D17" s="4"/>
      <c r="E17" s="4"/>
      <c r="F17" s="4">
        <f ca="1">STDEV(F20:F127)</f>
        <v>62887813.743428104</v>
      </c>
      <c r="G17" s="4"/>
      <c r="H17" s="38"/>
      <c r="I17" s="37"/>
    </row>
    <row r="18" spans="1:9" x14ac:dyDescent="0.55000000000000004">
      <c r="A18" t="str">
        <f>MC_High_ambition!A18</f>
        <v>Mean population income (USD/yr)</v>
      </c>
      <c r="B18" s="4"/>
      <c r="C18" s="4"/>
      <c r="D18" s="4"/>
      <c r="E18" s="4"/>
      <c r="F18" s="4">
        <f ca="1">AVERAGE(F20:F127)</f>
        <v>255594129.06309131</v>
      </c>
      <c r="G18" s="4"/>
      <c r="H18" s="88" t="s">
        <v>51</v>
      </c>
      <c r="I18" s="37">
        <f ca="1">100*F17/F18</f>
        <v>24.604561135246094</v>
      </c>
    </row>
    <row r="19" spans="1:9" x14ac:dyDescent="0.55000000000000004">
      <c r="F19" s="4"/>
      <c r="G19" s="4"/>
      <c r="H19" s="88"/>
    </row>
    <row r="20" spans="1:9" x14ac:dyDescent="0.55000000000000004">
      <c r="B20" s="4"/>
      <c r="E20">
        <v>1</v>
      </c>
      <c r="F20" s="28">
        <f ca="1">F16</f>
        <v>291164682.44407564</v>
      </c>
      <c r="G20" s="4"/>
      <c r="H20" s="4"/>
    </row>
    <row r="21" spans="1:9" x14ac:dyDescent="0.55000000000000004">
      <c r="E21">
        <v>2</v>
      </c>
      <c r="F21" s="28">
        <f t="dataTable" ref="F21:F127" dt2D="0" dtr="0" r1="F19" ca="1"/>
        <v>264915058.27434343</v>
      </c>
      <c r="G21" s="4"/>
      <c r="H21" s="4"/>
      <c r="I21" s="88"/>
    </row>
    <row r="22" spans="1:9" x14ac:dyDescent="0.55000000000000004">
      <c r="E22">
        <v>3</v>
      </c>
      <c r="F22" s="28">
        <v>313038391.81592143</v>
      </c>
      <c r="G22" s="4"/>
      <c r="H22" s="4"/>
      <c r="I22" s="88"/>
    </row>
    <row r="23" spans="1:9" x14ac:dyDescent="0.55000000000000004">
      <c r="E23">
        <v>4</v>
      </c>
      <c r="F23" s="28">
        <v>121216240.66768216</v>
      </c>
      <c r="G23" s="4"/>
      <c r="H23" s="4"/>
    </row>
    <row r="24" spans="1:9" x14ac:dyDescent="0.55000000000000004">
      <c r="E24">
        <v>5</v>
      </c>
      <c r="F24" s="28">
        <v>225812945.2726371</v>
      </c>
      <c r="G24" s="4"/>
      <c r="H24" s="4"/>
    </row>
    <row r="25" spans="1:9" x14ac:dyDescent="0.55000000000000004">
      <c r="E25">
        <v>6</v>
      </c>
      <c r="F25" s="28">
        <v>267833276.57672226</v>
      </c>
      <c r="G25" s="4"/>
      <c r="H25" s="4"/>
    </row>
    <row r="26" spans="1:9" x14ac:dyDescent="0.55000000000000004">
      <c r="E26">
        <v>7</v>
      </c>
      <c r="F26" s="28">
        <v>261579564.26757282</v>
      </c>
      <c r="G26" s="4"/>
      <c r="H26" s="4"/>
    </row>
    <row r="27" spans="1:9" x14ac:dyDescent="0.55000000000000004">
      <c r="E27">
        <v>8</v>
      </c>
      <c r="F27" s="28">
        <v>250026609.25174224</v>
      </c>
      <c r="G27" s="4"/>
      <c r="H27" s="4"/>
    </row>
    <row r="28" spans="1:9" x14ac:dyDescent="0.55000000000000004">
      <c r="E28">
        <v>9</v>
      </c>
      <c r="F28" s="28">
        <v>237731932.16155457</v>
      </c>
      <c r="G28" s="4"/>
      <c r="H28" s="4"/>
    </row>
    <row r="29" spans="1:9" x14ac:dyDescent="0.55000000000000004">
      <c r="E29">
        <v>10</v>
      </c>
      <c r="F29" s="28">
        <v>228056908.07180604</v>
      </c>
      <c r="G29" s="4"/>
      <c r="H29" s="4"/>
    </row>
    <row r="30" spans="1:9" x14ac:dyDescent="0.55000000000000004">
      <c r="E30">
        <v>11</v>
      </c>
      <c r="F30" s="28">
        <v>210407214.90882018</v>
      </c>
      <c r="G30" s="4"/>
      <c r="H30" s="4"/>
    </row>
    <row r="31" spans="1:9" x14ac:dyDescent="0.55000000000000004">
      <c r="E31">
        <v>12</v>
      </c>
      <c r="F31" s="28">
        <v>267235309.45162499</v>
      </c>
      <c r="G31" s="4"/>
      <c r="H31" s="4"/>
    </row>
    <row r="32" spans="1:9" x14ac:dyDescent="0.55000000000000004">
      <c r="E32">
        <v>13</v>
      </c>
      <c r="F32" s="28">
        <v>353461695.95888925</v>
      </c>
      <c r="G32" s="4"/>
      <c r="H32" s="4"/>
    </row>
    <row r="33" spans="5:8" x14ac:dyDescent="0.55000000000000004">
      <c r="E33">
        <v>14</v>
      </c>
      <c r="F33" s="28">
        <v>318481357.21885121</v>
      </c>
      <c r="G33" s="4"/>
      <c r="H33" s="4"/>
    </row>
    <row r="34" spans="5:8" x14ac:dyDescent="0.55000000000000004">
      <c r="E34">
        <v>15</v>
      </c>
      <c r="F34" s="28">
        <v>266845535.84978187</v>
      </c>
      <c r="G34" s="4"/>
      <c r="H34" s="4"/>
    </row>
    <row r="35" spans="5:8" x14ac:dyDescent="0.55000000000000004">
      <c r="E35">
        <v>16</v>
      </c>
      <c r="F35" s="28">
        <v>124464786.88955535</v>
      </c>
      <c r="G35" s="4"/>
      <c r="H35" s="4"/>
    </row>
    <row r="36" spans="5:8" x14ac:dyDescent="0.55000000000000004">
      <c r="E36">
        <v>17</v>
      </c>
      <c r="F36" s="28">
        <v>249874660.7146129</v>
      </c>
      <c r="G36" s="4"/>
      <c r="H36" s="4"/>
    </row>
    <row r="37" spans="5:8" x14ac:dyDescent="0.55000000000000004">
      <c r="E37">
        <v>18</v>
      </c>
      <c r="F37" s="28">
        <v>231549674.74836877</v>
      </c>
      <c r="G37" s="4"/>
      <c r="H37" s="4"/>
    </row>
    <row r="38" spans="5:8" x14ac:dyDescent="0.55000000000000004">
      <c r="E38">
        <v>19</v>
      </c>
      <c r="F38" s="28">
        <v>354946977.41815436</v>
      </c>
      <c r="G38" s="4"/>
      <c r="H38" s="4"/>
    </row>
    <row r="39" spans="5:8" x14ac:dyDescent="0.55000000000000004">
      <c r="E39">
        <v>20</v>
      </c>
      <c r="F39" s="28">
        <v>291491442.9500016</v>
      </c>
      <c r="G39" s="4"/>
      <c r="H39" s="4"/>
    </row>
    <row r="40" spans="5:8" x14ac:dyDescent="0.55000000000000004">
      <c r="E40">
        <v>21</v>
      </c>
      <c r="F40" s="28">
        <v>241718401.32510251</v>
      </c>
      <c r="G40" s="4"/>
      <c r="H40" s="4"/>
    </row>
    <row r="41" spans="5:8" x14ac:dyDescent="0.55000000000000004">
      <c r="E41">
        <v>22</v>
      </c>
      <c r="F41" s="28">
        <v>268815831.36795002</v>
      </c>
      <c r="G41" s="4"/>
      <c r="H41" s="4"/>
    </row>
    <row r="42" spans="5:8" x14ac:dyDescent="0.55000000000000004">
      <c r="E42">
        <v>23</v>
      </c>
      <c r="F42" s="28">
        <v>315734348.234411</v>
      </c>
      <c r="G42" s="4"/>
      <c r="H42" s="4"/>
    </row>
    <row r="43" spans="5:8" x14ac:dyDescent="0.55000000000000004">
      <c r="E43">
        <v>24</v>
      </c>
      <c r="F43" s="28">
        <v>236631506.53984463</v>
      </c>
      <c r="G43" s="4"/>
      <c r="H43" s="4"/>
    </row>
    <row r="44" spans="5:8" x14ac:dyDescent="0.55000000000000004">
      <c r="E44">
        <v>25</v>
      </c>
      <c r="F44" s="28">
        <v>349384704.46331</v>
      </c>
      <c r="G44" s="4"/>
      <c r="H44" s="4"/>
    </row>
    <row r="45" spans="5:8" x14ac:dyDescent="0.55000000000000004">
      <c r="E45">
        <v>26</v>
      </c>
      <c r="F45" s="28">
        <v>264175449.53795689</v>
      </c>
      <c r="G45" s="4"/>
      <c r="H45" s="4"/>
    </row>
    <row r="46" spans="5:8" x14ac:dyDescent="0.55000000000000004">
      <c r="E46">
        <v>27</v>
      </c>
      <c r="F46" s="28">
        <v>208668805.90440437</v>
      </c>
      <c r="G46" s="4"/>
      <c r="H46" s="4"/>
    </row>
    <row r="47" spans="5:8" x14ac:dyDescent="0.55000000000000004">
      <c r="E47">
        <v>28</v>
      </c>
      <c r="F47" s="28">
        <v>235931477.2760877</v>
      </c>
      <c r="G47" s="4"/>
      <c r="H47" s="4"/>
    </row>
    <row r="48" spans="5:8" x14ac:dyDescent="0.55000000000000004">
      <c r="E48">
        <v>29</v>
      </c>
      <c r="F48" s="28">
        <v>224704758.02519184</v>
      </c>
      <c r="G48" s="4"/>
      <c r="H48" s="4"/>
    </row>
    <row r="49" spans="5:8" x14ac:dyDescent="0.55000000000000004">
      <c r="E49">
        <v>30</v>
      </c>
      <c r="F49" s="28">
        <v>236056579.9620232</v>
      </c>
      <c r="G49" s="4"/>
      <c r="H49" s="4"/>
    </row>
    <row r="50" spans="5:8" x14ac:dyDescent="0.55000000000000004">
      <c r="E50">
        <v>31</v>
      </c>
      <c r="F50" s="28">
        <v>272488198.8418358</v>
      </c>
      <c r="G50" s="4"/>
      <c r="H50" s="4"/>
    </row>
    <row r="51" spans="5:8" x14ac:dyDescent="0.55000000000000004">
      <c r="E51">
        <v>32</v>
      </c>
      <c r="F51" s="28">
        <v>294959435.82897133</v>
      </c>
      <c r="G51" s="4"/>
      <c r="H51" s="4"/>
    </row>
    <row r="52" spans="5:8" x14ac:dyDescent="0.55000000000000004">
      <c r="E52">
        <v>33</v>
      </c>
      <c r="F52" s="28">
        <v>142044013.97188979</v>
      </c>
      <c r="G52" s="4"/>
      <c r="H52" s="4"/>
    </row>
    <row r="53" spans="5:8" x14ac:dyDescent="0.55000000000000004">
      <c r="E53">
        <v>34</v>
      </c>
      <c r="F53" s="28">
        <v>319214329.30822527</v>
      </c>
      <c r="G53" s="4"/>
      <c r="H53" s="4"/>
    </row>
    <row r="54" spans="5:8" x14ac:dyDescent="0.55000000000000004">
      <c r="E54">
        <v>35</v>
      </c>
      <c r="F54" s="28">
        <v>249419504.83255011</v>
      </c>
      <c r="G54" s="4"/>
      <c r="H54" s="4"/>
    </row>
    <row r="55" spans="5:8" x14ac:dyDescent="0.55000000000000004">
      <c r="E55">
        <v>36</v>
      </c>
      <c r="F55" s="28">
        <v>282250242.19486058</v>
      </c>
      <c r="G55" s="4"/>
      <c r="H55" s="4"/>
    </row>
    <row r="56" spans="5:8" x14ac:dyDescent="0.55000000000000004">
      <c r="E56">
        <v>37</v>
      </c>
      <c r="F56" s="28">
        <v>184280967.69803035</v>
      </c>
      <c r="G56" s="4"/>
      <c r="H56" s="4"/>
    </row>
    <row r="57" spans="5:8" x14ac:dyDescent="0.55000000000000004">
      <c r="E57">
        <v>38</v>
      </c>
      <c r="F57" s="28">
        <v>303301308.30075854</v>
      </c>
      <c r="G57" s="4"/>
      <c r="H57" s="4"/>
    </row>
    <row r="58" spans="5:8" x14ac:dyDescent="0.55000000000000004">
      <c r="E58">
        <v>39</v>
      </c>
      <c r="F58" s="28">
        <v>238155008.42194119</v>
      </c>
      <c r="G58" s="4"/>
      <c r="H58" s="4"/>
    </row>
    <row r="59" spans="5:8" x14ac:dyDescent="0.55000000000000004">
      <c r="E59">
        <v>40</v>
      </c>
      <c r="F59" s="28">
        <v>208870175.78808159</v>
      </c>
      <c r="G59" s="4"/>
      <c r="H59" s="4"/>
    </row>
    <row r="60" spans="5:8" x14ac:dyDescent="0.55000000000000004">
      <c r="E60">
        <v>41</v>
      </c>
      <c r="F60" s="28">
        <v>259319984.34756359</v>
      </c>
      <c r="G60" s="4"/>
      <c r="H60" s="4"/>
    </row>
    <row r="61" spans="5:8" x14ac:dyDescent="0.55000000000000004">
      <c r="E61">
        <v>42</v>
      </c>
      <c r="F61" s="28">
        <v>280004743.56357849</v>
      </c>
      <c r="G61" s="4"/>
      <c r="H61" s="4"/>
    </row>
    <row r="62" spans="5:8" x14ac:dyDescent="0.55000000000000004">
      <c r="E62">
        <v>43</v>
      </c>
      <c r="F62" s="28">
        <v>320981419.23830134</v>
      </c>
      <c r="G62" s="4"/>
      <c r="H62" s="4"/>
    </row>
    <row r="63" spans="5:8" x14ac:dyDescent="0.55000000000000004">
      <c r="E63">
        <v>44</v>
      </c>
      <c r="F63" s="28">
        <v>194554804.32420406</v>
      </c>
      <c r="G63" s="4"/>
      <c r="H63" s="4"/>
    </row>
    <row r="64" spans="5:8" x14ac:dyDescent="0.55000000000000004">
      <c r="E64">
        <v>45</v>
      </c>
      <c r="F64" s="28">
        <v>122060742.18317994</v>
      </c>
      <c r="G64" s="4"/>
      <c r="H64" s="4"/>
    </row>
    <row r="65" spans="5:8" x14ac:dyDescent="0.55000000000000004">
      <c r="E65">
        <v>46</v>
      </c>
      <c r="F65" s="28">
        <v>288065640.48527867</v>
      </c>
      <c r="G65" s="4"/>
      <c r="H65" s="4"/>
    </row>
    <row r="66" spans="5:8" x14ac:dyDescent="0.55000000000000004">
      <c r="E66">
        <v>47</v>
      </c>
      <c r="F66" s="28">
        <v>250219469.72478712</v>
      </c>
      <c r="G66" s="4"/>
      <c r="H66" s="4"/>
    </row>
    <row r="67" spans="5:8" x14ac:dyDescent="0.55000000000000004">
      <c r="E67">
        <v>48</v>
      </c>
      <c r="F67" s="28">
        <v>322373957.55710161</v>
      </c>
      <c r="G67" s="4"/>
      <c r="H67" s="4"/>
    </row>
    <row r="68" spans="5:8" x14ac:dyDescent="0.55000000000000004">
      <c r="E68">
        <v>49</v>
      </c>
      <c r="F68" s="28">
        <v>223688585.85744533</v>
      </c>
      <c r="G68" s="4"/>
      <c r="H68" s="4"/>
    </row>
    <row r="69" spans="5:8" x14ac:dyDescent="0.55000000000000004">
      <c r="E69">
        <v>50</v>
      </c>
      <c r="F69" s="28">
        <v>199219883.11469087</v>
      </c>
      <c r="G69" s="4"/>
      <c r="H69" s="4"/>
    </row>
    <row r="70" spans="5:8" x14ac:dyDescent="0.55000000000000004">
      <c r="E70">
        <v>51</v>
      </c>
      <c r="F70" s="28">
        <v>360097305.06178403</v>
      </c>
      <c r="G70" s="4"/>
      <c r="H70" s="4"/>
    </row>
    <row r="71" spans="5:8" x14ac:dyDescent="0.55000000000000004">
      <c r="E71">
        <v>52</v>
      </c>
      <c r="F71" s="28">
        <v>355748190.26127237</v>
      </c>
      <c r="G71" s="4"/>
      <c r="H71" s="4"/>
    </row>
    <row r="72" spans="5:8" x14ac:dyDescent="0.55000000000000004">
      <c r="E72">
        <v>53</v>
      </c>
      <c r="F72" s="28">
        <v>297533526.24647731</v>
      </c>
      <c r="G72" s="4"/>
      <c r="H72" s="4"/>
    </row>
    <row r="73" spans="5:8" x14ac:dyDescent="0.55000000000000004">
      <c r="E73">
        <v>54</v>
      </c>
      <c r="F73" s="28">
        <v>290574698.30029935</v>
      </c>
      <c r="G73" s="4"/>
      <c r="H73" s="4"/>
    </row>
    <row r="74" spans="5:8" x14ac:dyDescent="0.55000000000000004">
      <c r="E74">
        <v>55</v>
      </c>
      <c r="F74" s="28">
        <v>263942269.89050978</v>
      </c>
      <c r="G74" s="4"/>
      <c r="H74" s="4"/>
    </row>
    <row r="75" spans="5:8" x14ac:dyDescent="0.55000000000000004">
      <c r="E75">
        <v>56</v>
      </c>
      <c r="F75" s="28">
        <v>236899357.07355008</v>
      </c>
      <c r="G75" s="4"/>
      <c r="H75" s="4"/>
    </row>
    <row r="76" spans="5:8" x14ac:dyDescent="0.55000000000000004">
      <c r="E76">
        <v>57</v>
      </c>
      <c r="F76" s="28">
        <v>266860009.87788755</v>
      </c>
      <c r="G76" s="4"/>
      <c r="H76" s="4"/>
    </row>
    <row r="77" spans="5:8" x14ac:dyDescent="0.55000000000000004">
      <c r="E77">
        <v>58</v>
      </c>
      <c r="F77" s="28">
        <v>338541062.088709</v>
      </c>
      <c r="G77" s="4"/>
      <c r="H77" s="4"/>
    </row>
    <row r="78" spans="5:8" x14ac:dyDescent="0.55000000000000004">
      <c r="E78">
        <v>59</v>
      </c>
      <c r="F78" s="28">
        <v>285373642.35775</v>
      </c>
      <c r="G78" s="4"/>
      <c r="H78" s="4"/>
    </row>
    <row r="79" spans="5:8" x14ac:dyDescent="0.55000000000000004">
      <c r="E79">
        <v>60</v>
      </c>
      <c r="F79" s="28">
        <v>195662570.76099783</v>
      </c>
      <c r="G79" s="4"/>
      <c r="H79" s="4"/>
    </row>
    <row r="80" spans="5:8" x14ac:dyDescent="0.55000000000000004">
      <c r="E80">
        <v>61</v>
      </c>
      <c r="F80" s="28">
        <v>175485970.89722782</v>
      </c>
      <c r="G80" s="4"/>
      <c r="H80" s="4"/>
    </row>
    <row r="81" spans="5:8" x14ac:dyDescent="0.55000000000000004">
      <c r="E81">
        <v>62</v>
      </c>
      <c r="F81" s="28">
        <v>216065367.4571245</v>
      </c>
      <c r="G81" s="4"/>
      <c r="H81" s="4"/>
    </row>
    <row r="82" spans="5:8" x14ac:dyDescent="0.55000000000000004">
      <c r="E82">
        <v>63</v>
      </c>
      <c r="F82" s="28">
        <v>318870420.7026574</v>
      </c>
      <c r="G82" s="4"/>
      <c r="H82" s="4"/>
    </row>
    <row r="83" spans="5:8" x14ac:dyDescent="0.55000000000000004">
      <c r="E83">
        <v>64</v>
      </c>
      <c r="F83" s="28">
        <v>222314918.46133664</v>
      </c>
      <c r="G83" s="4"/>
      <c r="H83" s="4"/>
    </row>
    <row r="84" spans="5:8" x14ac:dyDescent="0.55000000000000004">
      <c r="E84">
        <v>65</v>
      </c>
      <c r="F84" s="28">
        <v>169579071.65909931</v>
      </c>
      <c r="G84" s="4"/>
      <c r="H84" s="4"/>
    </row>
    <row r="85" spans="5:8" x14ac:dyDescent="0.55000000000000004">
      <c r="E85">
        <v>66</v>
      </c>
      <c r="F85" s="28">
        <v>362977864.82956964</v>
      </c>
      <c r="G85" s="4"/>
      <c r="H85" s="4"/>
    </row>
    <row r="86" spans="5:8" x14ac:dyDescent="0.55000000000000004">
      <c r="E86">
        <v>67</v>
      </c>
      <c r="F86" s="28">
        <v>227404222.68240747</v>
      </c>
      <c r="G86" s="4"/>
      <c r="H86" s="4"/>
    </row>
    <row r="87" spans="5:8" x14ac:dyDescent="0.55000000000000004">
      <c r="E87">
        <v>68</v>
      </c>
      <c r="F87" s="28">
        <v>217893127.15627348</v>
      </c>
      <c r="G87" s="4"/>
      <c r="H87" s="4"/>
    </row>
    <row r="88" spans="5:8" x14ac:dyDescent="0.55000000000000004">
      <c r="E88">
        <v>69</v>
      </c>
      <c r="F88" s="28">
        <v>282252836.57530439</v>
      </c>
      <c r="G88" s="4"/>
      <c r="H88" s="4"/>
    </row>
    <row r="89" spans="5:8" x14ac:dyDescent="0.55000000000000004">
      <c r="E89">
        <v>70</v>
      </c>
      <c r="F89" s="28">
        <v>281212632.80697602</v>
      </c>
      <c r="G89" s="4"/>
      <c r="H89" s="4"/>
    </row>
    <row r="90" spans="5:8" x14ac:dyDescent="0.55000000000000004">
      <c r="E90">
        <v>71</v>
      </c>
      <c r="F90" s="28">
        <v>275246453.53625965</v>
      </c>
      <c r="G90" s="4"/>
      <c r="H90" s="4"/>
    </row>
    <row r="91" spans="5:8" x14ac:dyDescent="0.55000000000000004">
      <c r="E91">
        <v>72</v>
      </c>
      <c r="F91" s="28">
        <v>91735373.128158629</v>
      </c>
      <c r="G91" s="4"/>
      <c r="H91" s="4"/>
    </row>
    <row r="92" spans="5:8" x14ac:dyDescent="0.55000000000000004">
      <c r="E92">
        <v>73</v>
      </c>
      <c r="F92" s="28">
        <v>219099500.06604367</v>
      </c>
      <c r="G92" s="4"/>
      <c r="H92" s="4"/>
    </row>
    <row r="93" spans="5:8" x14ac:dyDescent="0.55000000000000004">
      <c r="E93">
        <v>74</v>
      </c>
      <c r="F93" s="28">
        <v>253712556.00426623</v>
      </c>
      <c r="G93" s="4"/>
      <c r="H93" s="4"/>
    </row>
    <row r="94" spans="5:8" x14ac:dyDescent="0.55000000000000004">
      <c r="E94">
        <v>75</v>
      </c>
      <c r="F94" s="28">
        <v>182451496.69566205</v>
      </c>
      <c r="G94" s="4"/>
      <c r="H94" s="4"/>
    </row>
    <row r="95" spans="5:8" x14ac:dyDescent="0.55000000000000004">
      <c r="E95">
        <v>76</v>
      </c>
      <c r="F95" s="28">
        <v>394581812.42607445</v>
      </c>
      <c r="G95" s="4"/>
      <c r="H95" s="4"/>
    </row>
    <row r="96" spans="5:8" x14ac:dyDescent="0.55000000000000004">
      <c r="E96">
        <v>77</v>
      </c>
      <c r="F96" s="28">
        <v>259714993.66866511</v>
      </c>
      <c r="G96" s="4"/>
      <c r="H96" s="4"/>
    </row>
    <row r="97" spans="5:8" x14ac:dyDescent="0.55000000000000004">
      <c r="E97">
        <v>78</v>
      </c>
      <c r="F97" s="28">
        <v>308881568.12885606</v>
      </c>
      <c r="G97" s="4"/>
      <c r="H97" s="4"/>
    </row>
    <row r="98" spans="5:8" x14ac:dyDescent="0.55000000000000004">
      <c r="E98">
        <v>79</v>
      </c>
      <c r="F98" s="28">
        <v>270449468.58958828</v>
      </c>
      <c r="G98" s="4"/>
      <c r="H98" s="4"/>
    </row>
    <row r="99" spans="5:8" x14ac:dyDescent="0.55000000000000004">
      <c r="E99">
        <v>80</v>
      </c>
      <c r="F99" s="28">
        <v>375650986.99442565</v>
      </c>
      <c r="G99" s="4"/>
      <c r="H99" s="4"/>
    </row>
    <row r="100" spans="5:8" x14ac:dyDescent="0.55000000000000004">
      <c r="E100">
        <v>81</v>
      </c>
      <c r="F100" s="28">
        <v>117245496.02439345</v>
      </c>
      <c r="G100" s="4"/>
      <c r="H100" s="4"/>
    </row>
    <row r="101" spans="5:8" x14ac:dyDescent="0.55000000000000004">
      <c r="E101">
        <v>82</v>
      </c>
      <c r="F101" s="28">
        <v>139797106.65687203</v>
      </c>
      <c r="G101" s="4"/>
      <c r="H101" s="4"/>
    </row>
    <row r="102" spans="5:8" x14ac:dyDescent="0.55000000000000004">
      <c r="E102">
        <v>83</v>
      </c>
      <c r="F102" s="28">
        <v>303531432.86822116</v>
      </c>
      <c r="G102" s="4"/>
      <c r="H102" s="4"/>
    </row>
    <row r="103" spans="5:8" x14ac:dyDescent="0.55000000000000004">
      <c r="E103">
        <v>84</v>
      </c>
      <c r="F103" s="28">
        <v>248825569.81613374</v>
      </c>
      <c r="G103" s="4"/>
      <c r="H103" s="4"/>
    </row>
    <row r="104" spans="5:8" x14ac:dyDescent="0.55000000000000004">
      <c r="E104">
        <v>85</v>
      </c>
      <c r="F104" s="28">
        <v>336615097.60805058</v>
      </c>
      <c r="G104" s="4"/>
      <c r="H104" s="4"/>
    </row>
    <row r="105" spans="5:8" x14ac:dyDescent="0.55000000000000004">
      <c r="E105">
        <v>86</v>
      </c>
      <c r="F105" s="28">
        <v>238785995.10945848</v>
      </c>
      <c r="G105" s="4"/>
      <c r="H105" s="4"/>
    </row>
    <row r="106" spans="5:8" x14ac:dyDescent="0.55000000000000004">
      <c r="E106">
        <v>87</v>
      </c>
      <c r="F106" s="28">
        <v>292638063.75341868</v>
      </c>
      <c r="G106" s="4"/>
      <c r="H106" s="4"/>
    </row>
    <row r="107" spans="5:8" x14ac:dyDescent="0.55000000000000004">
      <c r="E107">
        <v>88</v>
      </c>
      <c r="F107" s="28">
        <v>154715947.70302099</v>
      </c>
      <c r="G107" s="4"/>
      <c r="H107" s="4"/>
    </row>
    <row r="108" spans="5:8" x14ac:dyDescent="0.55000000000000004">
      <c r="E108">
        <v>89</v>
      </c>
      <c r="F108" s="28">
        <v>272942879.19562644</v>
      </c>
      <c r="G108" s="4"/>
      <c r="H108" s="4"/>
    </row>
    <row r="109" spans="5:8" x14ac:dyDescent="0.55000000000000004">
      <c r="E109">
        <v>90</v>
      </c>
      <c r="F109" s="28">
        <v>356682125.69956559</v>
      </c>
      <c r="G109" s="4"/>
      <c r="H109" s="4"/>
    </row>
    <row r="110" spans="5:8" x14ac:dyDescent="0.55000000000000004">
      <c r="E110">
        <v>91</v>
      </c>
      <c r="F110" s="28">
        <v>185678991.18505031</v>
      </c>
      <c r="G110" s="4"/>
      <c r="H110" s="4"/>
    </row>
    <row r="111" spans="5:8" x14ac:dyDescent="0.55000000000000004">
      <c r="E111">
        <v>92</v>
      </c>
      <c r="F111" s="28">
        <v>200020265.58271998</v>
      </c>
      <c r="G111" s="4"/>
      <c r="H111" s="4"/>
    </row>
    <row r="112" spans="5:8" x14ac:dyDescent="0.55000000000000004">
      <c r="E112">
        <v>93</v>
      </c>
      <c r="F112" s="28">
        <v>193669325.38215902</v>
      </c>
      <c r="G112" s="4"/>
      <c r="H112" s="4"/>
    </row>
    <row r="113" spans="5:8" x14ac:dyDescent="0.55000000000000004">
      <c r="E113">
        <v>94</v>
      </c>
      <c r="F113" s="28">
        <v>183970968.29562354</v>
      </c>
      <c r="G113" s="4"/>
      <c r="H113" s="4"/>
    </row>
    <row r="114" spans="5:8" x14ac:dyDescent="0.55000000000000004">
      <c r="E114">
        <v>95</v>
      </c>
      <c r="F114" s="28">
        <v>252056057.45566222</v>
      </c>
      <c r="G114" s="4"/>
      <c r="H114" s="4"/>
    </row>
    <row r="115" spans="5:8" x14ac:dyDescent="0.55000000000000004">
      <c r="E115">
        <v>96</v>
      </c>
      <c r="F115" s="28">
        <v>193239826.36688715</v>
      </c>
      <c r="G115" s="4"/>
      <c r="H115" s="4"/>
    </row>
    <row r="116" spans="5:8" x14ac:dyDescent="0.55000000000000004">
      <c r="E116">
        <v>97</v>
      </c>
      <c r="F116" s="28">
        <v>373913659.91678083</v>
      </c>
      <c r="G116" s="4"/>
      <c r="H116" s="4"/>
    </row>
    <row r="117" spans="5:8" x14ac:dyDescent="0.55000000000000004">
      <c r="E117">
        <v>98</v>
      </c>
      <c r="F117" s="28">
        <v>245524836.35173544</v>
      </c>
      <c r="G117" s="4"/>
      <c r="H117" s="4"/>
    </row>
    <row r="118" spans="5:8" x14ac:dyDescent="0.55000000000000004">
      <c r="E118">
        <v>99</v>
      </c>
      <c r="F118" s="28">
        <v>286187871.51533842</v>
      </c>
      <c r="G118" s="4"/>
      <c r="H118" s="4"/>
    </row>
    <row r="119" spans="5:8" x14ac:dyDescent="0.55000000000000004">
      <c r="E119">
        <v>100</v>
      </c>
      <c r="F119" s="28">
        <v>148185190.50061712</v>
      </c>
      <c r="G119" s="4"/>
      <c r="H119" s="4"/>
    </row>
    <row r="120" spans="5:8" x14ac:dyDescent="0.55000000000000004">
      <c r="E120">
        <v>101</v>
      </c>
      <c r="F120" s="28">
        <v>296973594.87981439</v>
      </c>
      <c r="G120" s="4"/>
      <c r="H120" s="4"/>
    </row>
    <row r="121" spans="5:8" x14ac:dyDescent="0.55000000000000004">
      <c r="E121">
        <v>102</v>
      </c>
      <c r="F121" s="28">
        <v>243573010.38658446</v>
      </c>
      <c r="G121" s="4"/>
      <c r="H121" s="4"/>
    </row>
    <row r="122" spans="5:8" x14ac:dyDescent="0.55000000000000004">
      <c r="E122">
        <v>103</v>
      </c>
      <c r="F122" s="28">
        <v>288090279.20666325</v>
      </c>
      <c r="G122" s="4"/>
      <c r="H122" s="4"/>
    </row>
    <row r="123" spans="5:8" x14ac:dyDescent="0.55000000000000004">
      <c r="E123">
        <v>104</v>
      </c>
      <c r="F123" s="28">
        <v>320828085.4593907</v>
      </c>
      <c r="G123" s="4"/>
      <c r="H123" s="4"/>
    </row>
    <row r="124" spans="5:8" x14ac:dyDescent="0.55000000000000004">
      <c r="E124">
        <v>105</v>
      </c>
      <c r="F124" s="28">
        <v>350895292.37157536</v>
      </c>
      <c r="G124" s="4"/>
      <c r="H124" s="4"/>
    </row>
    <row r="125" spans="5:8" x14ac:dyDescent="0.55000000000000004">
      <c r="E125">
        <v>106</v>
      </c>
      <c r="F125" s="28">
        <v>238483100.54713118</v>
      </c>
      <c r="G125" s="4"/>
      <c r="H125" s="4"/>
    </row>
    <row r="126" spans="5:8" x14ac:dyDescent="0.55000000000000004">
      <c r="E126">
        <v>107</v>
      </c>
      <c r="F126" s="28">
        <v>227098228.0770351</v>
      </c>
      <c r="G126" s="4"/>
      <c r="H126" s="4"/>
    </row>
    <row r="127" spans="5:8" x14ac:dyDescent="0.55000000000000004">
      <c r="E127">
        <v>108</v>
      </c>
      <c r="F127" s="28">
        <v>249755823.38082847</v>
      </c>
      <c r="G127" s="4"/>
      <c r="H127" s="4"/>
    </row>
  </sheetData>
  <mergeCells count="2">
    <mergeCell ref="I21:I22"/>
    <mergeCell ref="H18:H19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MC_Meagre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2022-09-25T14:39:25Z</dcterms:modified>
</cp:coreProperties>
</file>