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University West\Thesis\Matlab script\Multinodal\"/>
    </mc:Choice>
  </mc:AlternateContent>
  <xr:revisionPtr revIDLastSave="0" documentId="13_ncr:1_{57E0B1D1-3C1B-4E74-97AA-ED46A09C582B}" xr6:coauthVersionLast="47" xr6:coauthVersionMax="47" xr10:uidLastSave="{00000000-0000-0000-0000-000000000000}"/>
  <bookViews>
    <workbookView xWindow="-120" yWindow="-120" windowWidth="29040" windowHeight="17520" xr2:uid="{1FFB11C2-28A8-484C-9B5E-399D3DDBD7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K31" i="1" s="1"/>
  <c r="D55" i="1"/>
  <c r="D57" i="1"/>
  <c r="D58" i="1"/>
  <c r="D60" i="1"/>
  <c r="D65" i="1"/>
  <c r="E65" i="1"/>
  <c r="E61" i="1"/>
  <c r="E63" i="1"/>
  <c r="E62" i="1"/>
  <c r="E58" i="1"/>
  <c r="E55" i="1"/>
  <c r="E64" i="1"/>
  <c r="E60" i="1"/>
  <c r="E59" i="1"/>
  <c r="E57" i="1"/>
  <c r="P50" i="1"/>
  <c r="P49" i="1"/>
  <c r="P48" i="1"/>
  <c r="P47" i="1"/>
  <c r="P46" i="1"/>
  <c r="P41" i="1"/>
  <c r="P35" i="1"/>
  <c r="N49" i="1"/>
  <c r="N42" i="1" s="1"/>
  <c r="N35" i="1"/>
  <c r="P28" i="1"/>
  <c r="P27" i="1"/>
  <c r="I40" i="1"/>
  <c r="O39" i="1"/>
  <c r="H61" i="1"/>
  <c r="C67" i="1"/>
  <c r="C66" i="1"/>
  <c r="C56" i="1"/>
  <c r="C54" i="1"/>
  <c r="I46" i="1"/>
  <c r="F45" i="1"/>
  <c r="F44" i="1"/>
  <c r="F35" i="1"/>
  <c r="G43" i="1"/>
  <c r="I33" i="1"/>
  <c r="I36" i="1" s="1"/>
  <c r="I38" i="1"/>
  <c r="I39" i="1" s="1"/>
  <c r="J38" i="1"/>
  <c r="J39" i="1" s="1"/>
  <c r="I41" i="1"/>
  <c r="I42" i="1" s="1"/>
  <c r="D46" i="1"/>
  <c r="D47" i="1" s="1"/>
  <c r="F41" i="1"/>
  <c r="F42" i="1" s="1"/>
  <c r="D41" i="1"/>
  <c r="D42" i="1" s="1"/>
  <c r="E42" i="1"/>
  <c r="E41" i="1"/>
  <c r="F40" i="1"/>
  <c r="G38" i="1"/>
  <c r="G39" i="1"/>
  <c r="F38" i="1"/>
  <c r="G41" i="1" s="1"/>
  <c r="G42" i="1" s="1"/>
  <c r="D38" i="1"/>
  <c r="E38" i="1"/>
  <c r="E39" i="1"/>
  <c r="D39" i="1"/>
  <c r="D35" i="1"/>
  <c r="S36" i="1"/>
  <c r="D40" i="1" s="1"/>
  <c r="O41" i="1"/>
  <c r="D34" i="1" s="1"/>
  <c r="G35" i="1"/>
  <c r="F43" i="1" s="1"/>
  <c r="F37" i="1"/>
  <c r="H32" i="1"/>
  <c r="H29" i="1"/>
  <c r="F34" i="1"/>
  <c r="K30" i="1"/>
  <c r="H30" i="1"/>
  <c r="H28" i="1"/>
  <c r="H31" i="1" s="1"/>
  <c r="I29" i="1"/>
  <c r="J29" i="1"/>
  <c r="J32" i="1" s="1"/>
  <c r="F33" i="1"/>
  <c r="F36" i="1" s="1"/>
  <c r="J27" i="1"/>
  <c r="J30" i="1" s="1"/>
  <c r="I27" i="1"/>
  <c r="I28" i="1" s="1"/>
  <c r="I31" i="1" s="1"/>
  <c r="F27" i="1"/>
  <c r="F30" i="1" s="1"/>
  <c r="G27" i="1"/>
  <c r="G30" i="1" s="1"/>
  <c r="G28" i="1"/>
  <c r="G29" i="1"/>
  <c r="G32" i="1" s="1"/>
  <c r="F29" i="1"/>
  <c r="F32" i="1" s="1"/>
  <c r="H64" i="1"/>
  <c r="H58" i="1"/>
  <c r="H55" i="1"/>
  <c r="D52" i="1" s="1"/>
  <c r="H52" i="1"/>
  <c r="J52" i="1" s="1"/>
  <c r="D45" i="1"/>
  <c r="D44" i="1"/>
  <c r="E43" i="1"/>
  <c r="D37" i="1"/>
  <c r="E30" i="1"/>
  <c r="S32" i="1"/>
  <c r="D27" i="1" s="1"/>
  <c r="S27" i="1"/>
  <c r="O48" i="1" s="1"/>
  <c r="O27" i="1"/>
  <c r="O28" i="1" s="1"/>
  <c r="C27" i="1" l="1"/>
  <c r="N48" i="1"/>
  <c r="N28" i="1"/>
  <c r="J43" i="1"/>
  <c r="J35" i="1"/>
  <c r="I35" i="1"/>
  <c r="K29" i="1"/>
  <c r="K32" i="1" s="1"/>
  <c r="I37" i="1"/>
  <c r="C37" i="1" s="1"/>
  <c r="I34" i="1"/>
  <c r="C34" i="1" s="1"/>
  <c r="I43" i="1"/>
  <c r="I44" i="1" s="1"/>
  <c r="C44" i="1" s="1"/>
  <c r="C40" i="1"/>
  <c r="J41" i="1"/>
  <c r="J42" i="1" s="1"/>
  <c r="C42" i="1" s="1"/>
  <c r="D30" i="1"/>
  <c r="D28" i="1"/>
  <c r="D31" i="1" s="1"/>
  <c r="C38" i="1"/>
  <c r="F46" i="1"/>
  <c r="N27" i="1"/>
  <c r="E35" i="1"/>
  <c r="D43" i="1" s="1"/>
  <c r="D29" i="1"/>
  <c r="D32" i="1" s="1"/>
  <c r="N41" i="1"/>
  <c r="I47" i="1"/>
  <c r="I32" i="1"/>
  <c r="F39" i="1"/>
  <c r="C39" i="1" s="1"/>
  <c r="E29" i="1"/>
  <c r="E32" i="1" s="1"/>
  <c r="O35" i="1"/>
  <c r="E28" i="1"/>
  <c r="E31" i="1" s="1"/>
  <c r="D33" i="1"/>
  <c r="C33" i="1" s="1"/>
  <c r="I30" i="1"/>
  <c r="C30" i="1" s="1"/>
  <c r="G31" i="1"/>
  <c r="J28" i="1"/>
  <c r="J31" i="1" s="1"/>
  <c r="D53" i="1"/>
  <c r="C53" i="1" s="1"/>
  <c r="C52" i="1"/>
  <c r="F28" i="1"/>
  <c r="D59" i="1"/>
  <c r="O47" i="1"/>
  <c r="N47" i="1" s="1"/>
  <c r="O46" i="1"/>
  <c r="N46" i="1" s="1"/>
  <c r="N37" i="1" s="1"/>
  <c r="O50" i="1"/>
  <c r="N50" i="1" s="1"/>
  <c r="N38" i="1" l="1"/>
  <c r="C43" i="1"/>
  <c r="I45" i="1"/>
  <c r="C45" i="1" s="1"/>
  <c r="C41" i="1"/>
  <c r="C57" i="1"/>
  <c r="D63" i="1"/>
  <c r="C63" i="1" s="1"/>
  <c r="D62" i="1"/>
  <c r="C35" i="1"/>
  <c r="F31" i="1"/>
  <c r="C31" i="1" s="1"/>
  <c r="C28" i="1"/>
  <c r="C32" i="1"/>
  <c r="F47" i="1"/>
  <c r="C47" i="1" s="1"/>
  <c r="C46" i="1"/>
  <c r="C29" i="1"/>
  <c r="C62" i="1"/>
  <c r="D36" i="1"/>
  <c r="C36" i="1" s="1"/>
  <c r="C55" i="1"/>
  <c r="C60" i="1"/>
  <c r="C59" i="1"/>
  <c r="D61" i="1"/>
  <c r="C61" i="1" s="1"/>
  <c r="C58" i="1"/>
  <c r="D64" i="1" l="1"/>
  <c r="C64" i="1" l="1"/>
  <c r="C65" i="1"/>
  <c r="O40" i="1"/>
  <c r="N40" i="1" s="1"/>
  <c r="N39" i="1"/>
</calcChain>
</file>

<file path=xl/sharedStrings.xml><?xml version="1.0" encoding="utf-8"?>
<sst xmlns="http://schemas.openxmlformats.org/spreadsheetml/2006/main" count="168" uniqueCount="106">
  <si>
    <t>Conductacnes Conduction</t>
  </si>
  <si>
    <t>tooth side total</t>
  </si>
  <si>
    <t>Area in mm^2</t>
  </si>
  <si>
    <t xml:space="preserve">bobbin vertical surface </t>
  </si>
  <si>
    <t>Area 1 in mm^2</t>
  </si>
  <si>
    <t>Area 2 in mm^2</t>
  </si>
  <si>
    <t>N/A</t>
  </si>
  <si>
    <t xml:space="preserve">Bobbin bottom surface </t>
  </si>
  <si>
    <t>Coil Outside surface</t>
  </si>
  <si>
    <t>Top of tooth</t>
  </si>
  <si>
    <t>Stator yoke cut surface</t>
  </si>
  <si>
    <t>Stator yoke top surface</t>
  </si>
  <si>
    <t>K 1</t>
  </si>
  <si>
    <t>K 2</t>
  </si>
  <si>
    <t>K 3</t>
  </si>
  <si>
    <t>Thermal Capacitances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</si>
  <si>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</si>
  <si>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</si>
  <si>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</si>
  <si>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</si>
  <si>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</si>
  <si>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</si>
  <si>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</si>
  <si>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</si>
  <si>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</si>
  <si>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</si>
  <si>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</si>
  <si>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</si>
  <si>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</si>
  <si>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</si>
  <si>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Mass</t>
  </si>
  <si>
    <t>Stator Volume in m^3</t>
  </si>
  <si>
    <t>Stator mass in kg</t>
  </si>
  <si>
    <t>Density kg/m^3</t>
  </si>
  <si>
    <t>Total Winding mass in kg</t>
  </si>
  <si>
    <t>Specific heat capacity in J/KgK</t>
  </si>
  <si>
    <t>Stator tooth volume</t>
  </si>
  <si>
    <t>node 7 volume</t>
  </si>
  <si>
    <t>Volume yoke between teeth</t>
  </si>
  <si>
    <t>Specific heat capacity iron</t>
  </si>
  <si>
    <t>Total stator surface area</t>
  </si>
  <si>
    <t xml:space="preserve">All in mm^2 </t>
  </si>
  <si>
    <t>Iron Percentage in SMC</t>
  </si>
  <si>
    <t>Distance inside Bobbin to tooth</t>
  </si>
  <si>
    <t>Width Winding</t>
  </si>
  <si>
    <t>Height Winding</t>
  </si>
  <si>
    <t>Distance 1 in mm</t>
  </si>
  <si>
    <t>Distance 2 in mm</t>
  </si>
  <si>
    <t>Bobbin thickness bottom</t>
  </si>
  <si>
    <t>Distance 3 in mm</t>
  </si>
  <si>
    <t>in W/mK</t>
  </si>
  <si>
    <t>Tooth side to center midpoints</t>
  </si>
  <si>
    <t>Height Tooth</t>
  </si>
  <si>
    <t>Yoke Thickness</t>
  </si>
  <si>
    <t>Tooth to Tooth arc distance</t>
  </si>
  <si>
    <t>h</t>
  </si>
  <si>
    <t>Gd_1_3</t>
  </si>
  <si>
    <t>Gd_1_6</t>
  </si>
  <si>
    <t>Gd_1_7</t>
  </si>
  <si>
    <t>Gd_2_5</t>
  </si>
  <si>
    <t>Gd_2_6</t>
  </si>
  <si>
    <t>Gd_2_7</t>
  </si>
  <si>
    <t>Gd_3_4</t>
  </si>
  <si>
    <t>Gd_4_6</t>
  </si>
  <si>
    <t>Gd_4_7</t>
  </si>
  <si>
    <t>Gd_5_4</t>
  </si>
  <si>
    <t>Gd_6_15</t>
  </si>
  <si>
    <t>Gd_7_8</t>
  </si>
  <si>
    <t>Gd_7_9</t>
  </si>
  <si>
    <t>Gd_8_9</t>
  </si>
  <si>
    <t>Gd_8_10</t>
  </si>
  <si>
    <t>Gd_9_10</t>
  </si>
  <si>
    <t>Gd_10_11</t>
  </si>
  <si>
    <t>Gd_11_12</t>
  </si>
  <si>
    <t>Gv_13</t>
  </si>
  <si>
    <t>Gv_14</t>
  </si>
  <si>
    <t>Gv_1</t>
  </si>
  <si>
    <t>Gv_2</t>
  </si>
  <si>
    <t>Gv_6</t>
  </si>
  <si>
    <t>Gv_9</t>
  </si>
  <si>
    <t>Gv_111</t>
  </si>
  <si>
    <t>Gv_112</t>
  </si>
  <si>
    <t>Gv_121</t>
  </si>
  <si>
    <t>Gv_122</t>
  </si>
  <si>
    <t>Gv_123</t>
  </si>
  <si>
    <t>Gd_7_13</t>
  </si>
  <si>
    <t>Gd_10_14</t>
  </si>
  <si>
    <t>Gd_12_16</t>
  </si>
  <si>
    <t>C15</t>
  </si>
  <si>
    <t>C16</t>
  </si>
  <si>
    <t>Small Capacity value</t>
  </si>
  <si>
    <t>Gv_3</t>
  </si>
  <si>
    <t>Gv_4</t>
  </si>
  <si>
    <t>Gv_5</t>
  </si>
  <si>
    <t>Gv_7</t>
  </si>
  <si>
    <t>Gv_8</t>
  </si>
  <si>
    <t>Gv_10</t>
  </si>
  <si>
    <t>Gv_11</t>
  </si>
  <si>
    <t>Gv_12</t>
  </si>
  <si>
    <t>Gv_15</t>
  </si>
  <si>
    <t>Gv_16</t>
  </si>
  <si>
    <t>Heat transfer Coefficient Iron x</t>
  </si>
  <si>
    <t>Heat transfer Coefficient Copper</t>
  </si>
  <si>
    <t>Heat transfer Coefficient Bobbin</t>
  </si>
  <si>
    <t>Heat transfer Coefficient Iron y</t>
  </si>
  <si>
    <t>Conductances Convecction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</si>
</sst>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rgb="FF666666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1" applyNumberFormat="1" applyFont="1"/>
    <xf numFmtId="0" fontId="1" fillId="0" borderId="0" xfId="1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66260</xdr:colOff>
      <xdr:row>0</xdr:row>
      <xdr:rowOff>74544</xdr:rowOff>
    </xdr:from>
    <xdr:to>
      <xdr:col>11</xdr:col>
      <xdr:colOff>87932</xdr:colOff>
      <xdr:row>23</xdr:row>
      <xdr:rowOff>122764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8A5A0F-317E-2CA3-4E1D-8471560E7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60" y="74544"/>
          <a:ext cx="11744739" cy="4426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6DDC-8DB2-4884-9CE3-AD766F896E6E}">
  <dimension ref="B2:X72"/>
  <sheetViews>
    <sheetView tabSelected="1" topLeftCell="I1" zoomScaleNormal="100" workbookViewId="0">
      <selection activeCell="Q9" sqref="Q9"/>
    </sheetView>
  </sheetViews>
  <sheetFormatPr defaultRowHeight="15" x14ac:dyDescent="0.25"/>
  <cols>
    <col min="2" max="2" width="9.140625" style="1" bestFit="1" customWidth="1"/>
    <col min="3" max="3" width="13.42578125" bestFit="1" customWidth="1"/>
    <col min="4" max="4" width="15" bestFit="1" customWidth="1"/>
    <col min="5" max="5" width="27.85546875" bestFit="1" customWidth="1"/>
    <col min="6" max="6" width="16.28515625" bestFit="1" customWidth="1"/>
    <col min="7" max="7" width="22" bestFit="1" customWidth="1"/>
    <col min="8" max="8" width="27" style="4" bestFit="1" customWidth="1"/>
    <col min="9" max="9" width="16.140625" bestFit="1" customWidth="1"/>
    <col min="10" max="10" width="15.140625" bestFit="1" customWidth="1"/>
    <col min="11" max="11" width="4.5703125" bestFit="1" customWidth="1"/>
    <col min="12" max="12" width="4.5703125" customWidth="1"/>
    <col min="13" max="13" width="7.28515625" style="1" bestFit="1" customWidth="1"/>
    <col min="14" max="14" width="29.28515625" bestFit="1" customWidth="1"/>
    <col min="15" max="15" width="13.28515625" bestFit="1" customWidth="1"/>
    <col min="17" max="17" width="30.42578125" bestFit="1" customWidth="1"/>
    <col min="19" max="19" width="22.5703125" bestFit="1" customWidth="1"/>
    <col min="20" max="20" width="28.85546875" bestFit="1" customWidth="1"/>
    <col min="21" max="21" width="8.85546875" bestFit="1" customWidth="1"/>
  </cols>
  <sheetData>
    <row r="2" spans="14:24" x14ac:dyDescent="0.25">
      <c r="N2" s="1" t="s">
        <v>43</v>
      </c>
      <c r="Q2" s="1" t="s">
        <v>101</v>
      </c>
      <c r="R2" t="s">
        <v>50</v>
      </c>
      <c r="T2" s="1" t="s">
        <v>104</v>
      </c>
      <c r="U2" t="s">
        <v>50</v>
      </c>
    </row>
    <row r="3" spans="14:24" x14ac:dyDescent="0.25">
      <c r="N3">
        <v>0.9</v>
      </c>
      <c r="Q3">
        <v>15.875299999999999</v>
      </c>
      <c r="T3">
        <v>11.2913</v>
      </c>
    </row>
    <row r="5" spans="14:24" x14ac:dyDescent="0.25">
      <c r="N5" s="1" t="s">
        <v>44</v>
      </c>
      <c r="Q5" s="1" t="s">
        <v>102</v>
      </c>
      <c r="R5" t="s">
        <v>50</v>
      </c>
    </row>
    <row r="6" spans="14:24" x14ac:dyDescent="0.25">
      <c r="N6">
        <v>3.95</v>
      </c>
      <c r="Q6">
        <v>360</v>
      </c>
    </row>
    <row r="8" spans="14:24" x14ac:dyDescent="0.25">
      <c r="N8" s="1" t="s">
        <v>45</v>
      </c>
      <c r="Q8" s="1" t="s">
        <v>103</v>
      </c>
      <c r="R8" t="s">
        <v>50</v>
      </c>
    </row>
    <row r="9" spans="14:24" x14ac:dyDescent="0.25">
      <c r="N9">
        <v>19.75</v>
      </c>
      <c r="Q9">
        <v>7.0000000000000007E-2</v>
      </c>
    </row>
    <row r="11" spans="14:24" x14ac:dyDescent="0.25">
      <c r="N11" s="1" t="s">
        <v>48</v>
      </c>
    </row>
    <row r="12" spans="14:24" x14ac:dyDescent="0.25">
      <c r="N12">
        <v>2.4</v>
      </c>
    </row>
    <row r="13" spans="14:24" x14ac:dyDescent="0.25">
      <c r="X13" s="3"/>
    </row>
    <row r="14" spans="14:24" x14ac:dyDescent="0.25">
      <c r="N14" s="1" t="s">
        <v>51</v>
      </c>
    </row>
    <row r="15" spans="14:24" x14ac:dyDescent="0.25">
      <c r="N15">
        <v>4.5967399999999996</v>
      </c>
      <c r="X15" s="3"/>
    </row>
    <row r="17" spans="2:24" x14ac:dyDescent="0.25">
      <c r="N17" s="1" t="s">
        <v>52</v>
      </c>
    </row>
    <row r="18" spans="2:24" x14ac:dyDescent="0.25">
      <c r="N18">
        <v>23</v>
      </c>
      <c r="X18" s="3"/>
    </row>
    <row r="19" spans="2:24" x14ac:dyDescent="0.25">
      <c r="X19" s="3"/>
    </row>
    <row r="20" spans="2:24" x14ac:dyDescent="0.25">
      <c r="N20" s="1" t="s">
        <v>53</v>
      </c>
    </row>
    <row r="21" spans="2:24" x14ac:dyDescent="0.25">
      <c r="N21">
        <v>5</v>
      </c>
    </row>
    <row r="23" spans="2:24" x14ac:dyDescent="0.25">
      <c r="N23" s="1" t="s">
        <v>54</v>
      </c>
      <c r="X23" s="3"/>
    </row>
    <row r="24" spans="2:24" x14ac:dyDescent="0.25">
      <c r="N24">
        <v>11.238</v>
      </c>
      <c r="P24">
        <v>10</v>
      </c>
      <c r="S24" s="6" t="s">
        <v>41</v>
      </c>
    </row>
    <row r="25" spans="2:24" x14ac:dyDescent="0.25">
      <c r="P25">
        <v>16</v>
      </c>
    </row>
    <row r="26" spans="2:24" x14ac:dyDescent="0.25">
      <c r="B26" s="7" t="s">
        <v>0</v>
      </c>
      <c r="C26" s="8"/>
      <c r="D26" s="1" t="s">
        <v>4</v>
      </c>
      <c r="E26" s="1" t="s">
        <v>5</v>
      </c>
      <c r="F26" s="1" t="s">
        <v>46</v>
      </c>
      <c r="G26" s="1" t="s">
        <v>47</v>
      </c>
      <c r="H26" s="5" t="s">
        <v>49</v>
      </c>
      <c r="I26" s="1" t="s">
        <v>12</v>
      </c>
      <c r="J26" s="1" t="s">
        <v>13</v>
      </c>
      <c r="K26" s="1" t="s">
        <v>14</v>
      </c>
      <c r="M26" s="7" t="s">
        <v>105</v>
      </c>
      <c r="N26" s="8"/>
      <c r="O26" s="1" t="s">
        <v>2</v>
      </c>
      <c r="P26" s="1" t="s">
        <v>55</v>
      </c>
      <c r="S26" s="1" t="s">
        <v>1</v>
      </c>
    </row>
    <row r="27" spans="2:24" x14ac:dyDescent="0.25">
      <c r="B27" s="1" t="s">
        <v>56</v>
      </c>
      <c r="C27">
        <f>1/((F27*10^-3/(I27*D27*10^-6))+(G27*10^-3/(J27*D27*10^-6)))</f>
        <v>4.5067894474040013E-2</v>
      </c>
      <c r="D27">
        <f>S32</f>
        <v>579.69160499999998</v>
      </c>
      <c r="E27" t="s">
        <v>6</v>
      </c>
      <c r="F27">
        <f>N6/2</f>
        <v>1.9750000000000001</v>
      </c>
      <c r="G27">
        <f>N3</f>
        <v>0.9</v>
      </c>
      <c r="H27" s="4" t="s">
        <v>6</v>
      </c>
      <c r="I27">
        <f>Q6</f>
        <v>360</v>
      </c>
      <c r="J27">
        <f>Q9</f>
        <v>7.0000000000000007E-2</v>
      </c>
      <c r="K27" t="s">
        <v>6</v>
      </c>
      <c r="M27" s="1" t="s">
        <v>76</v>
      </c>
      <c r="N27">
        <f>O27*10^-6*P27</f>
        <v>1.3822865695999999E-2</v>
      </c>
      <c r="O27">
        <f>Q29+(0.5*Q28)</f>
        <v>863.92910599999993</v>
      </c>
      <c r="P27">
        <f>P25</f>
        <v>16</v>
      </c>
      <c r="Q27" s="1" t="s">
        <v>8</v>
      </c>
      <c r="S27">
        <f>U27+(0.5*U28)</f>
        <v>592.94785999999999</v>
      </c>
      <c r="U27">
        <v>496.93583000000001</v>
      </c>
    </row>
    <row r="28" spans="2:24" x14ac:dyDescent="0.25">
      <c r="B28" s="1" t="s">
        <v>57</v>
      </c>
      <c r="C28">
        <f>1/((F28*10^-3/(I28*D28*10^-6))+(G28*10^-3/(J28*D28*10^-6))+(H28*10^-3/(K28*E28*10^-6)))</f>
        <v>4.3167827330084292E-2</v>
      </c>
      <c r="D28">
        <f>S32</f>
        <v>579.69160499999998</v>
      </c>
      <c r="E28">
        <f>S27/2</f>
        <v>296.47393</v>
      </c>
      <c r="F28">
        <f>F27</f>
        <v>1.9750000000000001</v>
      </c>
      <c r="G28">
        <f>N3</f>
        <v>0.9</v>
      </c>
      <c r="H28" s="4">
        <f>N15</f>
        <v>4.5967399999999996</v>
      </c>
      <c r="I28">
        <f>I27</f>
        <v>360</v>
      </c>
      <c r="J28">
        <f>J27</f>
        <v>7.0000000000000007E-2</v>
      </c>
      <c r="K28">
        <f>Q3</f>
        <v>15.875299999999999</v>
      </c>
      <c r="M28" s="1" t="s">
        <v>77</v>
      </c>
      <c r="N28">
        <f t="shared" ref="N28" si="0">O28*10^-6*P28</f>
        <v>1.3822865695999999E-2</v>
      </c>
      <c r="O28">
        <f>O27</f>
        <v>863.92910599999993</v>
      </c>
      <c r="P28">
        <f>P25</f>
        <v>16</v>
      </c>
      <c r="Q28" s="2">
        <v>247.23355599999999</v>
      </c>
      <c r="U28">
        <v>192.02405999999999</v>
      </c>
    </row>
    <row r="29" spans="2:24" x14ac:dyDescent="0.25">
      <c r="B29" s="1" t="s">
        <v>58</v>
      </c>
      <c r="C29">
        <f>1/((F29*10^-3/(I29*D29*10^-6))+(G29*10^-3/(J29*D29*10^-6))+(H29*10^-3/(K29*E29*10^-6)))</f>
        <v>2.0403636593555228E-3</v>
      </c>
      <c r="D29">
        <f>S36/2</f>
        <v>70.223249999999993</v>
      </c>
      <c r="E29">
        <f>S39+S36</f>
        <v>299.34249999999997</v>
      </c>
      <c r="F29">
        <f>(N9/2)</f>
        <v>9.875</v>
      </c>
      <c r="G29">
        <f>N12</f>
        <v>2.4</v>
      </c>
      <c r="H29" s="4">
        <f>N21</f>
        <v>5</v>
      </c>
      <c r="I29">
        <f>Q6</f>
        <v>360</v>
      </c>
      <c r="J29">
        <f>Q9</f>
        <v>7.0000000000000007E-2</v>
      </c>
      <c r="K29">
        <f>T3</f>
        <v>11.2913</v>
      </c>
      <c r="M29" s="1" t="s">
        <v>91</v>
      </c>
      <c r="N29">
        <v>0</v>
      </c>
      <c r="Q29" s="2">
        <v>740.31232799999998</v>
      </c>
    </row>
    <row r="30" spans="2:24" x14ac:dyDescent="0.25">
      <c r="B30" s="1" t="s">
        <v>59</v>
      </c>
      <c r="C30">
        <f>1/((F30*10^-3/(I30*D30*10^-6))+(G30*10^-3/(J30*D30*10^-6)))</f>
        <v>4.5067894474040013E-2</v>
      </c>
      <c r="D30">
        <f t="shared" ref="D30:K30" si="1">D27</f>
        <v>579.69160499999998</v>
      </c>
      <c r="E30" t="str">
        <f t="shared" si="1"/>
        <v>N/A</v>
      </c>
      <c r="F30">
        <f t="shared" si="1"/>
        <v>1.9750000000000001</v>
      </c>
      <c r="G30">
        <f t="shared" si="1"/>
        <v>0.9</v>
      </c>
      <c r="H30" s="4" t="str">
        <f t="shared" si="1"/>
        <v>N/A</v>
      </c>
      <c r="I30" s="4">
        <f t="shared" si="1"/>
        <v>360</v>
      </c>
      <c r="J30" s="4">
        <f t="shared" si="1"/>
        <v>7.0000000000000007E-2</v>
      </c>
      <c r="K30" s="4" t="str">
        <f t="shared" si="1"/>
        <v>N/A</v>
      </c>
      <c r="L30" s="4"/>
      <c r="M30" s="1" t="s">
        <v>92</v>
      </c>
      <c r="N30">
        <v>0</v>
      </c>
    </row>
    <row r="31" spans="2:24" x14ac:dyDescent="0.25">
      <c r="B31" s="1" t="s">
        <v>60</v>
      </c>
      <c r="C31">
        <f>1/((F31*10^-3/(I31*D31*10^-6))+(G31*10^-3/(J31*D31*10^-6))+(H31*10^-3/(K31*E31*10^-6)))</f>
        <v>4.3167827330084292E-2</v>
      </c>
      <c r="D31">
        <f t="shared" ref="D31:F32" si="2">D28</f>
        <v>579.69160499999998</v>
      </c>
      <c r="E31">
        <f t="shared" si="2"/>
        <v>296.47393</v>
      </c>
      <c r="F31">
        <f t="shared" si="2"/>
        <v>1.9750000000000001</v>
      </c>
      <c r="G31">
        <f>G27</f>
        <v>0.9</v>
      </c>
      <c r="H31" s="4">
        <f>H28</f>
        <v>4.5967399999999996</v>
      </c>
      <c r="I31" s="4">
        <f>I28</f>
        <v>360</v>
      </c>
      <c r="J31" s="4">
        <f>J28</f>
        <v>7.0000000000000007E-2</v>
      </c>
      <c r="K31" s="4">
        <f>K28</f>
        <v>15.875299999999999</v>
      </c>
      <c r="L31" s="4"/>
      <c r="M31" s="1" t="s">
        <v>93</v>
      </c>
      <c r="N31">
        <v>0</v>
      </c>
      <c r="S31" s="1" t="s">
        <v>3</v>
      </c>
    </row>
    <row r="32" spans="2:24" x14ac:dyDescent="0.25">
      <c r="B32" s="1" t="s">
        <v>61</v>
      </c>
      <c r="C32">
        <f>1/((F32*10^-3/(I32*D32*10^-6))+(G32*10^-3/(J32*D32*10^-6))+(H32*10^-3/(K32*E32*10^-6)))</f>
        <v>2.0403636593555228E-3</v>
      </c>
      <c r="D32">
        <f t="shared" si="2"/>
        <v>70.223249999999993</v>
      </c>
      <c r="E32">
        <f t="shared" si="2"/>
        <v>299.34249999999997</v>
      </c>
      <c r="F32">
        <f t="shared" si="2"/>
        <v>9.875</v>
      </c>
      <c r="G32">
        <f>G29</f>
        <v>2.4</v>
      </c>
      <c r="H32" s="4">
        <f>N21</f>
        <v>5</v>
      </c>
      <c r="I32" s="4">
        <f>I29</f>
        <v>360</v>
      </c>
      <c r="J32" s="4">
        <f>J29</f>
        <v>7.0000000000000007E-2</v>
      </c>
      <c r="K32" s="4">
        <f>K29</f>
        <v>11.2913</v>
      </c>
      <c r="M32" s="1" t="s">
        <v>78</v>
      </c>
      <c r="N32">
        <v>0</v>
      </c>
      <c r="S32">
        <f>U32+(0.5*U33)</f>
        <v>579.69160499999998</v>
      </c>
      <c r="U32">
        <v>488.99391000000003</v>
      </c>
    </row>
    <row r="33" spans="2:21" x14ac:dyDescent="0.25">
      <c r="B33" s="1" t="s">
        <v>62</v>
      </c>
      <c r="C33">
        <f>1/(F33*10^-3/(I33*D33*10^-6))</f>
        <v>1.0239022831243445</v>
      </c>
      <c r="D33">
        <f>S27/2</f>
        <v>296.47393</v>
      </c>
      <c r="E33" t="s">
        <v>6</v>
      </c>
      <c r="F33">
        <f>N15</f>
        <v>4.5967399999999996</v>
      </c>
      <c r="G33" t="s">
        <v>6</v>
      </c>
      <c r="H33" s="4" t="s">
        <v>6</v>
      </c>
      <c r="I33">
        <f>Q3</f>
        <v>15.875299999999999</v>
      </c>
      <c r="J33" t="s">
        <v>6</v>
      </c>
      <c r="K33" t="s">
        <v>6</v>
      </c>
      <c r="M33" s="1" t="s">
        <v>94</v>
      </c>
      <c r="N33">
        <v>0</v>
      </c>
      <c r="U33">
        <v>181.39538999999999</v>
      </c>
    </row>
    <row r="34" spans="2:21" x14ac:dyDescent="0.25">
      <c r="B34" s="1" t="s">
        <v>63</v>
      </c>
      <c r="C34">
        <f>1/(F34*10^-3/(I34*D34*10^-6))</f>
        <v>0.15601238302608694</v>
      </c>
      <c r="D34">
        <f>O41</f>
        <v>158.89599999999999</v>
      </c>
      <c r="E34" t="s">
        <v>6</v>
      </c>
      <c r="F34">
        <f>N18/2</f>
        <v>11.5</v>
      </c>
      <c r="G34" t="s">
        <v>6</v>
      </c>
      <c r="H34" s="4" t="s">
        <v>6</v>
      </c>
      <c r="I34">
        <f>T3</f>
        <v>11.2913</v>
      </c>
      <c r="J34" t="s">
        <v>6</v>
      </c>
      <c r="K34" t="s">
        <v>6</v>
      </c>
      <c r="M34" s="1" t="s">
        <v>95</v>
      </c>
      <c r="N34">
        <v>0</v>
      </c>
    </row>
    <row r="35" spans="2:21" x14ac:dyDescent="0.25">
      <c r="B35" s="1" t="s">
        <v>64</v>
      </c>
      <c r="C35">
        <f>1/((F35*10^-3/(I35*D35*10^-6))+(G35*10^-3/(J35*E35*10^-6)))</f>
        <v>0.21348459921163829</v>
      </c>
      <c r="D35">
        <f>S39</f>
        <v>158.89599999999999</v>
      </c>
      <c r="E35">
        <f>S39+S36</f>
        <v>299.34249999999997</v>
      </c>
      <c r="F35">
        <f>(N18/4)</f>
        <v>5.75</v>
      </c>
      <c r="G35">
        <f>N21</f>
        <v>5</v>
      </c>
      <c r="H35" s="4" t="s">
        <v>6</v>
      </c>
      <c r="I35">
        <f>T3</f>
        <v>11.2913</v>
      </c>
      <c r="J35">
        <f>T3</f>
        <v>11.2913</v>
      </c>
      <c r="K35" t="s">
        <v>6</v>
      </c>
      <c r="M35" s="1" t="s">
        <v>79</v>
      </c>
      <c r="N35">
        <f>O35*10^-6*P35</f>
        <v>1.3889485999999999E-3</v>
      </c>
      <c r="O35">
        <f>S45-(0.5*S36)</f>
        <v>138.89485999999999</v>
      </c>
      <c r="P35">
        <f>P24</f>
        <v>10</v>
      </c>
      <c r="S35" s="1" t="s">
        <v>7</v>
      </c>
    </row>
    <row r="36" spans="2:21" x14ac:dyDescent="0.25">
      <c r="B36" s="1" t="s">
        <v>65</v>
      </c>
      <c r="C36">
        <f>1/(F36*10^-3/(I36*D36*10^-6))</f>
        <v>1.0239022831243445</v>
      </c>
      <c r="D36">
        <f>D33</f>
        <v>296.47393</v>
      </c>
      <c r="E36" t="s">
        <v>6</v>
      </c>
      <c r="F36">
        <f>F33</f>
        <v>4.5967399999999996</v>
      </c>
      <c r="G36" t="s">
        <v>6</v>
      </c>
      <c r="H36" s="4" t="s">
        <v>6</v>
      </c>
      <c r="I36">
        <f>I33</f>
        <v>15.875299999999999</v>
      </c>
      <c r="J36" t="s">
        <v>6</v>
      </c>
      <c r="K36" t="s">
        <v>6</v>
      </c>
      <c r="M36" s="1" t="s">
        <v>96</v>
      </c>
      <c r="N36">
        <v>0</v>
      </c>
      <c r="S36">
        <f>U36/2</f>
        <v>140.44649999999999</v>
      </c>
      <c r="U36">
        <v>280.89299999999997</v>
      </c>
    </row>
    <row r="37" spans="2:21" x14ac:dyDescent="0.25">
      <c r="B37" s="1" t="s">
        <v>66</v>
      </c>
      <c r="C37">
        <f>1/(F37*10^-3/(I37*D37*10^-6))</f>
        <v>0.31202476605217389</v>
      </c>
      <c r="D37">
        <f>S39</f>
        <v>158.89599999999999</v>
      </c>
      <c r="E37" t="s">
        <v>6</v>
      </c>
      <c r="F37">
        <f>N18/4</f>
        <v>5.75</v>
      </c>
      <c r="G37" t="s">
        <v>6</v>
      </c>
      <c r="H37" s="4" t="s">
        <v>6</v>
      </c>
      <c r="I37">
        <f>T3</f>
        <v>11.2913</v>
      </c>
      <c r="J37" t="s">
        <v>6</v>
      </c>
      <c r="K37" t="s">
        <v>6</v>
      </c>
      <c r="M37" s="1" t="s">
        <v>97</v>
      </c>
      <c r="N37">
        <f>N46+N47</f>
        <v>5.9294785999999995E-3</v>
      </c>
    </row>
    <row r="38" spans="2:21" x14ac:dyDescent="0.25">
      <c r="B38" s="1" t="s">
        <v>67</v>
      </c>
      <c r="C38">
        <f>1/((F38*10^-3/(I38*D38*10^-6))+(G38*10^-3/(J38*E38*10^-6)))</f>
        <v>0.13277927889470026</v>
      </c>
      <c r="D38">
        <f>S42</f>
        <v>99.402670000000001</v>
      </c>
      <c r="E38">
        <f>S42/2</f>
        <v>49.701335</v>
      </c>
      <c r="F38">
        <f>N15+N6</f>
        <v>8.5467399999999998</v>
      </c>
      <c r="G38">
        <f>(N24-(2*N6))/2</f>
        <v>1.6689999999999996</v>
      </c>
      <c r="H38" s="4" t="s">
        <v>6</v>
      </c>
      <c r="I38">
        <f>Q3</f>
        <v>15.875299999999999</v>
      </c>
      <c r="J38">
        <f>Q3</f>
        <v>15.875299999999999</v>
      </c>
      <c r="K38" t="s">
        <v>6</v>
      </c>
      <c r="M38" s="1" t="s">
        <v>98</v>
      </c>
      <c r="N38">
        <f>N48+N50</f>
        <v>5.9294785999999995E-3</v>
      </c>
      <c r="S38" s="1" t="s">
        <v>9</v>
      </c>
    </row>
    <row r="39" spans="2:21" x14ac:dyDescent="0.25">
      <c r="B39" s="1" t="s">
        <v>68</v>
      </c>
      <c r="C39">
        <f>1/((F39*10^-3/(I39*D39*10^-6))+(G39*10^-3/(J39*E39*10^-6)))</f>
        <v>0.13277927889470026</v>
      </c>
      <c r="D39">
        <f>S42</f>
        <v>99.402670000000001</v>
      </c>
      <c r="E39">
        <f>E38</f>
        <v>49.701335</v>
      </c>
      <c r="F39">
        <f>F38</f>
        <v>8.5467399999999998</v>
      </c>
      <c r="G39">
        <f>G38</f>
        <v>1.6689999999999996</v>
      </c>
      <c r="H39" s="4" t="s">
        <v>6</v>
      </c>
      <c r="I39">
        <f>I38</f>
        <v>15.875299999999999</v>
      </c>
      <c r="J39">
        <f>J38</f>
        <v>15.875299999999999</v>
      </c>
      <c r="K39" t="s">
        <v>6</v>
      </c>
      <c r="M39" s="1" t="s">
        <v>74</v>
      </c>
      <c r="N39">
        <f>O39*10^-6*P39</f>
        <v>1.3370767400000001E-2</v>
      </c>
      <c r="O39">
        <f>(S47-SUM(O33:O38)+SUM(O41:O50)-S36-(2*S27))/2</f>
        <v>13370.767400000001</v>
      </c>
      <c r="P39">
        <v>1</v>
      </c>
      <c r="S39">
        <v>158.89599999999999</v>
      </c>
    </row>
    <row r="40" spans="2:21" x14ac:dyDescent="0.25">
      <c r="B40" s="1" t="s">
        <v>69</v>
      </c>
      <c r="C40">
        <f>1/(F40*10^-3/(I40*D40*10^-6))</f>
        <v>0.15507834999860001</v>
      </c>
      <c r="D40">
        <f>S45-S36</f>
        <v>68.671610000000015</v>
      </c>
      <c r="E40" t="s">
        <v>6</v>
      </c>
      <c r="F40">
        <f>N21</f>
        <v>5</v>
      </c>
      <c r="G40" t="s">
        <v>6</v>
      </c>
      <c r="H40" t="s">
        <v>6</v>
      </c>
      <c r="I40">
        <f>T3</f>
        <v>11.2913</v>
      </c>
      <c r="J40" t="s">
        <v>6</v>
      </c>
      <c r="K40" t="s">
        <v>6</v>
      </c>
      <c r="M40" s="1" t="s">
        <v>75</v>
      </c>
      <c r="N40">
        <f>O40*10^-6*P40</f>
        <v>1.3370767400000001E-2</v>
      </c>
      <c r="O40">
        <f>O39</f>
        <v>13370.767400000001</v>
      </c>
      <c r="P40">
        <v>1</v>
      </c>
    </row>
    <row r="41" spans="2:21" x14ac:dyDescent="0.25">
      <c r="B41" s="1" t="s">
        <v>70</v>
      </c>
      <c r="C41">
        <f>1/((F41*10^-3/(I41*D41*10^-6))+(G41*10^-3/(J41*E41*10^-6)))</f>
        <v>0.13277927889470026</v>
      </c>
      <c r="D41">
        <f>S42/2</f>
        <v>49.701335</v>
      </c>
      <c r="E41">
        <f>S42</f>
        <v>99.402670000000001</v>
      </c>
      <c r="F41">
        <f>G38</f>
        <v>1.6689999999999996</v>
      </c>
      <c r="G41">
        <f>F38</f>
        <v>8.5467399999999998</v>
      </c>
      <c r="H41" t="s">
        <v>6</v>
      </c>
      <c r="I41">
        <f>Q3</f>
        <v>15.875299999999999</v>
      </c>
      <c r="J41">
        <f>I41</f>
        <v>15.875299999999999</v>
      </c>
      <c r="K41" t="s">
        <v>6</v>
      </c>
      <c r="M41" s="1" t="s">
        <v>99</v>
      </c>
      <c r="N41">
        <f>O41*10^-6*P41</f>
        <v>1.5889599999999997E-3</v>
      </c>
      <c r="O41">
        <f>S39</f>
        <v>158.89599999999999</v>
      </c>
      <c r="P41">
        <f>P24</f>
        <v>10</v>
      </c>
      <c r="S41" s="1" t="s">
        <v>10</v>
      </c>
    </row>
    <row r="42" spans="2:21" x14ac:dyDescent="0.25">
      <c r="B42" s="1" t="s">
        <v>71</v>
      </c>
      <c r="C42">
        <f>1/((F42*10^-3/(I42*D42*10^-6))+(G42*10^-3/(J42*E42*10^-6)))</f>
        <v>0.13277927889470026</v>
      </c>
      <c r="D42">
        <f>D41</f>
        <v>49.701335</v>
      </c>
      <c r="E42">
        <f>S42</f>
        <v>99.402670000000001</v>
      </c>
      <c r="F42">
        <f>F41</f>
        <v>1.6689999999999996</v>
      </c>
      <c r="G42">
        <f>G41</f>
        <v>8.5467399999999998</v>
      </c>
      <c r="H42" t="s">
        <v>6</v>
      </c>
      <c r="I42">
        <f>I41</f>
        <v>15.875299999999999</v>
      </c>
      <c r="J42">
        <f>J41</f>
        <v>15.875299999999999</v>
      </c>
      <c r="K42" t="s">
        <v>6</v>
      </c>
      <c r="M42" s="1" t="s">
        <v>100</v>
      </c>
      <c r="N42">
        <f>N49</f>
        <v>1.5889599999999997E-3</v>
      </c>
      <c r="S42">
        <v>99.402670000000001</v>
      </c>
    </row>
    <row r="43" spans="2:21" x14ac:dyDescent="0.25">
      <c r="B43" s="1" t="s">
        <v>72</v>
      </c>
      <c r="C43">
        <f>1/((F43*10^-3/(I43*D43*10^-6))+(G43*10^-3/(J43*E43*10^-6)))</f>
        <v>0.21348459921163829</v>
      </c>
      <c r="D43">
        <f>E35</f>
        <v>299.34249999999997</v>
      </c>
      <c r="E43">
        <f>S39</f>
        <v>158.89599999999999</v>
      </c>
      <c r="F43">
        <f>G35</f>
        <v>5</v>
      </c>
      <c r="G43">
        <f>F35</f>
        <v>5.75</v>
      </c>
      <c r="H43" t="s">
        <v>6</v>
      </c>
      <c r="I43">
        <f>T3</f>
        <v>11.2913</v>
      </c>
      <c r="J43">
        <f>T3</f>
        <v>11.2913</v>
      </c>
      <c r="K43" t="s">
        <v>6</v>
      </c>
    </row>
    <row r="44" spans="2:21" x14ac:dyDescent="0.25">
      <c r="B44" s="1" t="s">
        <v>73</v>
      </c>
      <c r="C44">
        <f>1/(F44*10^-3/(I44*D44*10^-6))</f>
        <v>0.15601238302608694</v>
      </c>
      <c r="D44">
        <f>S39</f>
        <v>158.89599999999999</v>
      </c>
      <c r="E44" t="s">
        <v>6</v>
      </c>
      <c r="F44">
        <f>N18/2</f>
        <v>11.5</v>
      </c>
      <c r="G44" t="s">
        <v>6</v>
      </c>
      <c r="H44" t="s">
        <v>6</v>
      </c>
      <c r="I44">
        <f>I43</f>
        <v>11.2913</v>
      </c>
      <c r="J44" t="s">
        <v>6</v>
      </c>
      <c r="K44" t="s">
        <v>6</v>
      </c>
      <c r="S44" s="1" t="s">
        <v>11</v>
      </c>
    </row>
    <row r="45" spans="2:21" x14ac:dyDescent="0.25">
      <c r="B45" s="1" t="s">
        <v>87</v>
      </c>
      <c r="C45">
        <f>1/(F45*10^-3/(I45*D45*10^-6))</f>
        <v>0.31202476605217389</v>
      </c>
      <c r="D45">
        <f>S39</f>
        <v>158.89599999999999</v>
      </c>
      <c r="E45" t="s">
        <v>6</v>
      </c>
      <c r="F45">
        <f>N18/4</f>
        <v>5.75</v>
      </c>
      <c r="G45" t="s">
        <v>6</v>
      </c>
      <c r="H45" t="s">
        <v>6</v>
      </c>
      <c r="I45">
        <f>I44</f>
        <v>11.2913</v>
      </c>
      <c r="J45" t="s">
        <v>6</v>
      </c>
      <c r="K45" t="s">
        <v>6</v>
      </c>
      <c r="S45">
        <v>209.11811</v>
      </c>
    </row>
    <row r="46" spans="2:21" x14ac:dyDescent="0.25">
      <c r="B46" s="1" t="s">
        <v>85</v>
      </c>
      <c r="C46">
        <f>1/(F46*10^-3/(I46*D46*10^-6))</f>
        <v>0.18463732452970372</v>
      </c>
      <c r="D46">
        <f>S42</f>
        <v>99.402670000000001</v>
      </c>
      <c r="E46" t="s">
        <v>6</v>
      </c>
      <c r="F46">
        <f>F38</f>
        <v>8.5467399999999998</v>
      </c>
      <c r="G46" t="s">
        <v>6</v>
      </c>
      <c r="H46" t="s">
        <v>6</v>
      </c>
      <c r="I46">
        <f>Q3</f>
        <v>15.875299999999999</v>
      </c>
      <c r="J46" t="s">
        <v>6</v>
      </c>
      <c r="K46" t="s">
        <v>6</v>
      </c>
      <c r="M46" s="1" t="s">
        <v>80</v>
      </c>
      <c r="N46">
        <f>O46*10^-6*P46</f>
        <v>2.9647392999999998E-3</v>
      </c>
      <c r="O46">
        <f>S27/2</f>
        <v>296.47393</v>
      </c>
      <c r="P46">
        <f>P24</f>
        <v>10</v>
      </c>
      <c r="S46" s="1" t="s">
        <v>40</v>
      </c>
    </row>
    <row r="47" spans="2:21" x14ac:dyDescent="0.25">
      <c r="B47" s="1" t="s">
        <v>86</v>
      </c>
      <c r="C47">
        <f>1/(F47*10^-3/(I47*D47*10^-6))</f>
        <v>0.18463732452970372</v>
      </c>
      <c r="D47">
        <f>D46</f>
        <v>99.402670000000001</v>
      </c>
      <c r="E47" t="s">
        <v>6</v>
      </c>
      <c r="F47">
        <f>F46</f>
        <v>8.5467399999999998</v>
      </c>
      <c r="G47" t="s">
        <v>6</v>
      </c>
      <c r="H47" t="s">
        <v>6</v>
      </c>
      <c r="I47">
        <f>I46</f>
        <v>15.875299999999999</v>
      </c>
      <c r="J47" t="s">
        <v>6</v>
      </c>
      <c r="K47" t="s">
        <v>6</v>
      </c>
      <c r="M47" s="1" t="s">
        <v>81</v>
      </c>
      <c r="N47">
        <f>O47*10^-6*P47</f>
        <v>2.9647392999999998E-3</v>
      </c>
      <c r="O47">
        <f>S27/2</f>
        <v>296.47393</v>
      </c>
      <c r="P47">
        <f>P24</f>
        <v>10</v>
      </c>
      <c r="S47">
        <v>26703.084159999999</v>
      </c>
    </row>
    <row r="48" spans="2:21" x14ac:dyDescent="0.25">
      <c r="M48" s="1" t="s">
        <v>82</v>
      </c>
      <c r="N48">
        <f>O48*10^-6*P48</f>
        <v>2.9647392999999998E-3</v>
      </c>
      <c r="O48">
        <f>S27/2</f>
        <v>296.47393</v>
      </c>
      <c r="P48">
        <f>P24</f>
        <v>10</v>
      </c>
    </row>
    <row r="49" spans="2:16" x14ac:dyDescent="0.25">
      <c r="M49" s="1" t="s">
        <v>83</v>
      </c>
      <c r="N49">
        <f>O49*10^-6*P49</f>
        <v>1.5889599999999997E-3</v>
      </c>
      <c r="O49">
        <v>158.89599999999999</v>
      </c>
      <c r="P49">
        <f>P24</f>
        <v>10</v>
      </c>
    </row>
    <row r="50" spans="2:16" x14ac:dyDescent="0.25">
      <c r="M50" s="1" t="s">
        <v>84</v>
      </c>
      <c r="N50">
        <f>O50*10^-6*P50</f>
        <v>2.9647392999999998E-3</v>
      </c>
      <c r="O50">
        <f>S27/2</f>
        <v>296.47393</v>
      </c>
      <c r="P50">
        <f>P24</f>
        <v>10</v>
      </c>
    </row>
    <row r="51" spans="2:16" x14ac:dyDescent="0.25">
      <c r="B51" s="7" t="s">
        <v>15</v>
      </c>
      <c r="C51" s="8"/>
      <c r="D51" t="s">
        <v>30</v>
      </c>
      <c r="E51" t="s">
        <v>35</v>
      </c>
      <c r="H51" s="5" t="s">
        <v>31</v>
      </c>
      <c r="I51" s="1" t="s">
        <v>32</v>
      </c>
      <c r="J51" s="1" t="s">
        <v>33</v>
      </c>
    </row>
    <row r="52" spans="2:16" x14ac:dyDescent="0.25">
      <c r="B52" s="1" t="s">
        <v>16</v>
      </c>
      <c r="C52">
        <f xml:space="preserve"> D52*E52</f>
        <v>8.0128125000000008</v>
      </c>
      <c r="D52">
        <f>H55/2</f>
        <v>2.0812500000000001E-2</v>
      </c>
      <c r="E52">
        <v>385</v>
      </c>
      <c r="G52" s="4"/>
      <c r="H52" s="4">
        <f>71407.89677*10^-9</f>
        <v>7.1407896770000017E-5</v>
      </c>
      <c r="I52">
        <v>0.52</v>
      </c>
      <c r="J52">
        <f>I52/H52</f>
        <v>7282.1077712859224</v>
      </c>
    </row>
    <row r="53" spans="2:16" x14ac:dyDescent="0.25">
      <c r="B53" s="1" t="s">
        <v>17</v>
      </c>
      <c r="C53">
        <f t="shared" ref="C53" si="3" xml:space="preserve"> D53*E53</f>
        <v>8.0128125000000008</v>
      </c>
      <c r="D53">
        <f>D52</f>
        <v>2.0812500000000001E-2</v>
      </c>
      <c r="E53">
        <v>385</v>
      </c>
      <c r="G53" s="5" t="s">
        <v>42</v>
      </c>
    </row>
    <row r="54" spans="2:16" x14ac:dyDescent="0.25">
      <c r="B54" s="1" t="s">
        <v>18</v>
      </c>
      <c r="C54">
        <f>E72</f>
        <v>0.1</v>
      </c>
      <c r="D54">
        <v>0</v>
      </c>
      <c r="E54">
        <v>0</v>
      </c>
      <c r="G54" s="4">
        <v>0.93</v>
      </c>
      <c r="H54" s="5" t="s">
        <v>34</v>
      </c>
    </row>
    <row r="55" spans="2:16" x14ac:dyDescent="0.25">
      <c r="B55" s="1" t="s">
        <v>19</v>
      </c>
      <c r="C55">
        <f t="shared" ref="C55:C65" si="4" xml:space="preserve"> D55*E55*G55</f>
        <v>5.3891549406197674</v>
      </c>
      <c r="D55">
        <f>(H58*J52)/2</f>
        <v>1.4173389406214827E-2</v>
      </c>
      <c r="E55">
        <f>H67</f>
        <v>408.85</v>
      </c>
      <c r="G55" s="4">
        <v>0.93</v>
      </c>
      <c r="H55" s="4">
        <f>41.625*10^-3</f>
        <v>4.1625000000000002E-2</v>
      </c>
    </row>
    <row r="56" spans="2:16" x14ac:dyDescent="0.25">
      <c r="B56" s="1" t="s">
        <v>20</v>
      </c>
      <c r="C56">
        <f>E72</f>
        <v>0.1</v>
      </c>
      <c r="D56">
        <v>0</v>
      </c>
      <c r="E56">
        <v>0</v>
      </c>
      <c r="G56" s="4">
        <v>0.93</v>
      </c>
    </row>
    <row r="57" spans="2:16" x14ac:dyDescent="0.25">
      <c r="B57" s="1" t="s">
        <v>21</v>
      </c>
      <c r="C57">
        <f t="shared" si="4"/>
        <v>5.3891549406197674</v>
      </c>
      <c r="D57">
        <f>D55</f>
        <v>1.4173389406214827E-2</v>
      </c>
      <c r="E57">
        <f>H67</f>
        <v>408.85</v>
      </c>
      <c r="G57" s="4">
        <v>0.93</v>
      </c>
      <c r="H57" s="5" t="s">
        <v>36</v>
      </c>
    </row>
    <row r="58" spans="2:16" x14ac:dyDescent="0.25">
      <c r="B58" s="1" t="s">
        <v>22</v>
      </c>
      <c r="C58">
        <f t="shared" si="4"/>
        <v>2.1998193684202527</v>
      </c>
      <c r="D58">
        <f>H61*J52</f>
        <v>5.7854889821312393E-3</v>
      </c>
      <c r="E58">
        <f>H67</f>
        <v>408.85</v>
      </c>
      <c r="G58" s="4">
        <v>0.93</v>
      </c>
      <c r="H58" s="4">
        <f>3892.66126*10^-9</f>
        <v>3.8926612600000005E-6</v>
      </c>
    </row>
    <row r="59" spans="2:16" x14ac:dyDescent="0.25">
      <c r="B59" s="1" t="s">
        <v>23</v>
      </c>
      <c r="C59">
        <f t="shared" si="4"/>
        <v>1.4475571086290306</v>
      </c>
      <c r="D59">
        <f>(H64*J52)/2</f>
        <v>3.807051534869061E-3</v>
      </c>
      <c r="E59">
        <f>H67</f>
        <v>408.85</v>
      </c>
      <c r="G59" s="4">
        <v>0.93</v>
      </c>
    </row>
    <row r="60" spans="2:16" x14ac:dyDescent="0.25">
      <c r="B60" s="1" t="s">
        <v>24</v>
      </c>
      <c r="C60">
        <f t="shared" si="4"/>
        <v>1.4475571086290306</v>
      </c>
      <c r="D60">
        <f>D59</f>
        <v>3.807051534869061E-3</v>
      </c>
      <c r="E60">
        <f>H67</f>
        <v>408.85</v>
      </c>
      <c r="G60" s="4">
        <v>0.93</v>
      </c>
      <c r="H60" s="5" t="s">
        <v>37</v>
      </c>
    </row>
    <row r="61" spans="2:16" x14ac:dyDescent="0.25">
      <c r="B61" s="1" t="s">
        <v>25</v>
      </c>
      <c r="C61">
        <f t="shared" si="4"/>
        <v>2.1998193684202527</v>
      </c>
      <c r="D61">
        <f>D58</f>
        <v>5.7854889821312393E-3</v>
      </c>
      <c r="E61">
        <f>H67</f>
        <v>408.85</v>
      </c>
      <c r="G61" s="4">
        <v>0.93</v>
      </c>
      <c r="H61" s="4">
        <f>S39*5*10^-9</f>
        <v>7.9447999999999995E-7</v>
      </c>
    </row>
    <row r="62" spans="2:16" x14ac:dyDescent="0.25">
      <c r="B62" s="1" t="s">
        <v>26</v>
      </c>
      <c r="C62">
        <f t="shared" si="4"/>
        <v>5.3891549406197674</v>
      </c>
      <c r="D62">
        <f>D55</f>
        <v>1.4173389406214827E-2</v>
      </c>
      <c r="E62">
        <f>H67</f>
        <v>408.85</v>
      </c>
      <c r="G62" s="4">
        <v>0.93</v>
      </c>
    </row>
    <row r="63" spans="2:16" x14ac:dyDescent="0.25">
      <c r="B63" s="1" t="s">
        <v>27</v>
      </c>
      <c r="C63">
        <f t="shared" si="4"/>
        <v>5.3891549406197674</v>
      </c>
      <c r="D63">
        <f>D55</f>
        <v>1.4173389406214827E-2</v>
      </c>
      <c r="E63">
        <f>H67</f>
        <v>408.85</v>
      </c>
      <c r="G63" s="4">
        <v>0.93</v>
      </c>
      <c r="H63" s="5" t="s">
        <v>38</v>
      </c>
    </row>
    <row r="64" spans="2:16" x14ac:dyDescent="0.25">
      <c r="B64" s="1" t="s">
        <v>28</v>
      </c>
      <c r="C64">
        <f xml:space="preserve"> D64*E64*G64</f>
        <v>84.434243641711205</v>
      </c>
      <c r="D64">
        <f>(I52-SUM(D54:D63))/2</f>
        <v>0.22206068067057005</v>
      </c>
      <c r="E64">
        <f>H67</f>
        <v>408.85</v>
      </c>
      <c r="G64" s="4">
        <v>0.93</v>
      </c>
      <c r="H64" s="4">
        <f>S45*5*10^-9</f>
        <v>1.04559055E-6</v>
      </c>
    </row>
    <row r="65" spans="2:8" x14ac:dyDescent="0.25">
      <c r="B65" s="1" t="s">
        <v>29</v>
      </c>
      <c r="C65">
        <f t="shared" si="4"/>
        <v>84.434243641711205</v>
      </c>
      <c r="D65">
        <f>D64</f>
        <v>0.22206068067057005</v>
      </c>
      <c r="E65">
        <f>H67</f>
        <v>408.85</v>
      </c>
      <c r="G65" s="4">
        <v>0.93</v>
      </c>
    </row>
    <row r="66" spans="2:8" x14ac:dyDescent="0.25">
      <c r="B66" s="1" t="s">
        <v>88</v>
      </c>
      <c r="C66">
        <f>E72</f>
        <v>0.1</v>
      </c>
      <c r="D66">
        <v>0</v>
      </c>
      <c r="E66">
        <v>0</v>
      </c>
      <c r="H66" s="5" t="s">
        <v>39</v>
      </c>
    </row>
    <row r="67" spans="2:8" x14ac:dyDescent="0.25">
      <c r="B67" s="1" t="s">
        <v>89</v>
      </c>
      <c r="C67">
        <f>E72</f>
        <v>0.1</v>
      </c>
      <c r="D67">
        <v>0</v>
      </c>
      <c r="E67">
        <v>0</v>
      </c>
      <c r="H67" s="4">
        <v>408.85</v>
      </c>
    </row>
    <row r="71" spans="2:8" x14ac:dyDescent="0.25">
      <c r="E71" s="6" t="s">
        <v>90</v>
      </c>
    </row>
    <row r="72" spans="2:8" x14ac:dyDescent="0.25">
      <c r="E72">
        <v>0.1</v>
      </c>
    </row>
  </sheetData>
  <mergeCells count="3">
    <mergeCell ref="B26:C26"/>
    <mergeCell ref="M26:N26"/>
    <mergeCell ref="B51:C5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keogh</dc:creator>
  <cp:lastModifiedBy>James keogh</cp:lastModifiedBy>
  <dcterms:created xsi:type="dcterms:W3CDTF">2025-05-06T12:35:27Z</dcterms:created>
  <dcterms:modified xsi:type="dcterms:W3CDTF">2025-05-16T09:02:56Z</dcterms:modified>
</cp:coreProperties>
</file>