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/Documents/FINM3422/Coding Equity Research Report/Coding Project 1 Repos in Order/FM_Equity_Research-5/"/>
    </mc:Choice>
  </mc:AlternateContent>
  <xr:revisionPtr revIDLastSave="0" documentId="13_ncr:1_{CE880F28-9312-634E-92DE-347C8FAD173A}" xr6:coauthVersionLast="47" xr6:coauthVersionMax="47" xr10:uidLastSave="{00000000-0000-0000-0000-000000000000}"/>
  <bookViews>
    <workbookView xWindow="-2360" yWindow="-21600" windowWidth="38400" windowHeight="21600" xr2:uid="{4117CD92-D245-944F-AEE6-67CD9652FC62}"/>
  </bookViews>
  <sheets>
    <sheet name="DC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8" i="1" l="1"/>
  <c r="B106" i="1"/>
  <c r="B90" i="1"/>
  <c r="G95" i="1"/>
  <c r="G103" i="1"/>
  <c r="G134" i="1"/>
  <c r="G135" i="1" s="1"/>
  <c r="G132" i="1"/>
  <c r="G131" i="1"/>
  <c r="G143" i="1"/>
  <c r="G144" i="1" s="1"/>
  <c r="G141" i="1"/>
  <c r="G140" i="1" s="1"/>
  <c r="G113" i="1"/>
  <c r="G112" i="1" s="1"/>
  <c r="G115" i="1"/>
  <c r="G116" i="1" s="1"/>
  <c r="K139" i="1"/>
  <c r="L139" i="1" s="1"/>
  <c r="I139" i="1"/>
  <c r="H139" i="1" s="1"/>
  <c r="K130" i="1"/>
  <c r="L130" i="1" s="1"/>
  <c r="I130" i="1"/>
  <c r="H130" i="1"/>
  <c r="K120" i="1"/>
  <c r="L120" i="1" s="1"/>
  <c r="I120" i="1"/>
  <c r="H120" i="1" s="1"/>
  <c r="G124" i="1"/>
  <c r="G125" i="1" s="1"/>
  <c r="G122" i="1"/>
  <c r="G121" i="1" s="1"/>
  <c r="K111" i="1"/>
  <c r="L111" i="1" s="1"/>
  <c r="I111" i="1"/>
  <c r="H111" i="1" s="1"/>
  <c r="E78" i="1"/>
  <c r="K27" i="1"/>
  <c r="F96" i="1" s="1"/>
  <c r="E24" i="1"/>
  <c r="E29" i="1"/>
  <c r="E32" i="1" s="1"/>
  <c r="F94" i="1" s="1"/>
  <c r="E94" i="1" l="1"/>
  <c r="E96" i="1"/>
  <c r="G69" i="1" l="1"/>
  <c r="H39" i="1"/>
  <c r="H41" i="1" s="1"/>
  <c r="G46" i="1"/>
  <c r="G48" i="1" s="1"/>
  <c r="G44" i="1"/>
  <c r="G41" i="1"/>
  <c r="G42" i="1" s="1"/>
  <c r="G59" i="1"/>
  <c r="F59" i="1"/>
  <c r="G54" i="1"/>
  <c r="G55" i="1" s="1"/>
  <c r="H55" i="1" s="1"/>
  <c r="G53" i="1" l="1"/>
  <c r="H54" i="1"/>
  <c r="I39" i="1"/>
  <c r="G60" i="1"/>
  <c r="H60" i="1" s="1"/>
  <c r="H59" i="1" l="1"/>
  <c r="I60" i="1"/>
  <c r="J39" i="1"/>
  <c r="I41" i="1"/>
  <c r="I43" i="1"/>
  <c r="I54" i="1"/>
  <c r="I46" i="1" l="1"/>
  <c r="I48" i="1" s="1"/>
  <c r="I52" i="1"/>
  <c r="K39" i="1"/>
  <c r="J41" i="1"/>
  <c r="J43" i="1"/>
  <c r="J54" i="1"/>
  <c r="J60" i="1"/>
  <c r="I59" i="1"/>
  <c r="I53" i="1" s="1"/>
  <c r="H53" i="1"/>
  <c r="I57" i="1" l="1"/>
  <c r="J52" i="1"/>
  <c r="I70" i="1"/>
  <c r="K60" i="1"/>
  <c r="J59" i="1"/>
  <c r="J46" i="1"/>
  <c r="J48" i="1" s="1"/>
  <c r="L39" i="1"/>
  <c r="K43" i="1"/>
  <c r="K54" i="1"/>
  <c r="K41" i="1"/>
  <c r="K46" i="1" l="1"/>
  <c r="K48" i="1" s="1"/>
  <c r="K52" i="1"/>
  <c r="L41" i="1"/>
  <c r="I78" i="1" s="1"/>
  <c r="I80" i="1" s="1"/>
  <c r="L43" i="1"/>
  <c r="L54" i="1"/>
  <c r="J53" i="1"/>
  <c r="J57" i="1" s="1"/>
  <c r="J70" i="1" s="1"/>
  <c r="L60" i="1"/>
  <c r="K59" i="1"/>
  <c r="L46" i="1" l="1"/>
  <c r="L48" i="1" s="1"/>
  <c r="L52" i="1"/>
  <c r="L59" i="1"/>
  <c r="L53" i="1" s="1"/>
  <c r="K53" i="1"/>
  <c r="K57" i="1" s="1"/>
  <c r="K70" i="1" s="1"/>
  <c r="L57" i="1" l="1"/>
  <c r="L70" i="1" l="1"/>
  <c r="E79" i="1" s="1"/>
  <c r="E80" i="1" s="1"/>
  <c r="I87" i="1"/>
  <c r="H2" i="1"/>
  <c r="I2" i="1" s="1"/>
  <c r="J2" i="1" s="1"/>
  <c r="K2" i="1" s="1"/>
  <c r="L2" i="1" s="1"/>
  <c r="G4" i="1"/>
  <c r="H3" i="1" s="1"/>
  <c r="H4" i="1" s="1"/>
  <c r="E12" i="1"/>
  <c r="E15" i="1" s="1"/>
  <c r="F70" i="1" s="1"/>
  <c r="B9" i="1"/>
  <c r="E87" i="1" l="1"/>
  <c r="I3" i="1"/>
  <c r="I4" i="1" s="1"/>
  <c r="H69" i="1"/>
  <c r="B35" i="1"/>
  <c r="C37" i="1" s="1"/>
  <c r="B63" i="1" l="1"/>
  <c r="C50" i="1"/>
  <c r="J3" i="1"/>
  <c r="J4" i="1" s="1"/>
  <c r="I69" i="1"/>
  <c r="I71" i="1" s="1"/>
  <c r="C65" i="1" l="1"/>
  <c r="C75" i="1" s="1"/>
  <c r="K3" i="1"/>
  <c r="K4" i="1" s="1"/>
  <c r="J69" i="1"/>
  <c r="J71" i="1" s="1"/>
  <c r="L3" i="1" l="1"/>
  <c r="L4" i="1" s="1"/>
  <c r="K69" i="1"/>
  <c r="K71" i="1" s="1"/>
  <c r="L69" i="1" l="1"/>
  <c r="L71" i="1" l="1"/>
  <c r="I81" i="1"/>
  <c r="E81" i="1"/>
  <c r="H43" i="1" l="1"/>
  <c r="H46" i="1" l="1"/>
  <c r="H48" i="1" s="1"/>
  <c r="H52" i="1"/>
  <c r="H57" i="1" l="1"/>
  <c r="H70" i="1" s="1"/>
  <c r="H71" i="1" s="1"/>
  <c r="E73" i="1" s="1"/>
  <c r="I82" i="1" l="1"/>
  <c r="I83" i="1" s="1"/>
  <c r="E82" i="1"/>
  <c r="E83" i="1" s="1"/>
  <c r="E86" i="1" l="1"/>
  <c r="E93" i="1"/>
  <c r="E85" i="1"/>
  <c r="I86" i="1"/>
  <c r="F93" i="1"/>
  <c r="I85" i="1"/>
  <c r="F103" i="1" l="1"/>
  <c r="F102" i="1"/>
  <c r="G139" i="1" s="1"/>
  <c r="F95" i="1"/>
  <c r="F101" i="1"/>
  <c r="E102" i="1"/>
  <c r="G130" i="1" s="1"/>
  <c r="E95" i="1"/>
  <c r="E101" i="1"/>
  <c r="E103" i="1"/>
  <c r="F97" i="1" l="1"/>
  <c r="F98" i="1" s="1"/>
  <c r="E97" i="1"/>
  <c r="G120" i="1" l="1"/>
  <c r="E98" i="1"/>
  <c r="G1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11" authorId="0" shapeId="0" xr:uid="{B03EE802-DC3B-F94D-BFE6-E3FFCA1E93B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Bloomberg derrived
</t>
        </r>
      </text>
    </comment>
    <comment ref="H23" authorId="0" shapeId="0" xr:uid="{D0E5A8E6-7315-BF44-B50A-695717E0B3B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Excludes consideration for dillutive securitires (CAPIQ)
</t>
        </r>
      </text>
    </comment>
    <comment ref="H24" authorId="0" shapeId="0" xr:uid="{C585F10F-9F66-B54B-B35F-A83478BCED5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 FY2024 Annual Report VCX has LTI performance and restricted rights outstandin, which are not reflected in  total shares outstanding
</t>
        </r>
      </text>
    </comment>
    <comment ref="H40" authorId="0" shapeId="0" xr:uid="{5060C66B-1E4D-6A42-8ED4-3E7B28FF34F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CapIQ derrived  foecast Tariff impacted?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H42" authorId="0" shapeId="0" xr:uid="{18971531-D7D7-4644-904F-28C57730D19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Cpital IQ derrived  margin
</t>
        </r>
      </text>
    </comment>
    <comment ref="H44" authorId="0" shapeId="0" xr:uid="{237E4AF4-D0A4-0E44-894C-599F9A8063D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Capital IQ derrived margin
</t>
        </r>
      </text>
    </comment>
    <comment ref="D47" authorId="0" shapeId="0" xr:uid="{D9A6B051-BFB4-474C-A063-C76AC7F9F7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Effective tax rate: FY2024 Report
</t>
        </r>
      </text>
    </comment>
    <comment ref="F70" authorId="0" shapeId="0" xr:uid="{A05BFB4F-A161-7E4A-954E-5A50348792F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Counts first year cash flows starting at the valuatation date
</t>
        </r>
      </text>
    </comment>
    <comment ref="H79" authorId="0" shapeId="0" xr:uid="{E49B548D-F1D0-3242-A52A-4D5549C9DCF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Capital IQ derrived TEV/EBITDA value, low end estimate from comparator foward trading multiples
</t>
        </r>
      </text>
    </comment>
  </commentList>
</comments>
</file>

<file path=xl/sharedStrings.xml><?xml version="1.0" encoding="utf-8"?>
<sst xmlns="http://schemas.openxmlformats.org/spreadsheetml/2006/main" count="132" uniqueCount="108">
  <si>
    <t xml:space="preserve">Vicinity Centres (ASX: VCX) </t>
  </si>
  <si>
    <t>Discounted Cash Flow Model</t>
  </si>
  <si>
    <t>Most recent fiscal year end</t>
  </si>
  <si>
    <t>End of first fiscal year</t>
  </si>
  <si>
    <t>Most recent quarter end date</t>
  </si>
  <si>
    <t xml:space="preserve">Valuation date </t>
  </si>
  <si>
    <t>Portion of year 1 cash flows in forecast</t>
  </si>
  <si>
    <t>Assumptions</t>
  </si>
  <si>
    <t>Start</t>
  </si>
  <si>
    <t>End</t>
  </si>
  <si>
    <t>Share price (Public Co)</t>
  </si>
  <si>
    <t>Share price date</t>
  </si>
  <si>
    <t>Midyear adjustment?</t>
  </si>
  <si>
    <t>Tax Rate</t>
  </si>
  <si>
    <t>Terminal Growth</t>
  </si>
  <si>
    <t>Fiscal Year</t>
  </si>
  <si>
    <t>Financial Profile</t>
  </si>
  <si>
    <t>Revenue</t>
  </si>
  <si>
    <t>EBITDA</t>
  </si>
  <si>
    <t>% margin</t>
  </si>
  <si>
    <t>EBIT</t>
  </si>
  <si>
    <t>% growth</t>
  </si>
  <si>
    <t>Tax on EBIT</t>
  </si>
  <si>
    <t>NOPAT</t>
  </si>
  <si>
    <t>Depreciation &amp; amortization</t>
  </si>
  <si>
    <t>Changes in Net Working Capital</t>
  </si>
  <si>
    <t>CAPEX</t>
  </si>
  <si>
    <t>as % of revnues</t>
  </si>
  <si>
    <t>Unlevered free cash flows (UFCF)</t>
  </si>
  <si>
    <t>Net working capital</t>
  </si>
  <si>
    <t>Val Date</t>
  </si>
  <si>
    <t>Yr1 Stub</t>
  </si>
  <si>
    <t>Date for adjusting discounted cash flows</t>
  </si>
  <si>
    <t>UFCF Stub adjustment</t>
  </si>
  <si>
    <t>Present value (PV) of UFCF on 17/4/2025</t>
  </si>
  <si>
    <t>PV of unlevered free cash flows</t>
  </si>
  <si>
    <t>Stage 1</t>
  </si>
  <si>
    <t>Source doc date</t>
  </si>
  <si>
    <t>Balance Sheet items source doc</t>
  </si>
  <si>
    <t>FY2024 Annual Report</t>
  </si>
  <si>
    <t>Debt</t>
  </si>
  <si>
    <t>Convertible debt</t>
  </si>
  <si>
    <t>Preferred stock</t>
  </si>
  <si>
    <t>Date</t>
  </si>
  <si>
    <t>Gross debt and debt  equivalents</t>
  </si>
  <si>
    <t>Nonconrolling (minority) interests</t>
  </si>
  <si>
    <t>Non operating assets</t>
  </si>
  <si>
    <t>Cash</t>
  </si>
  <si>
    <t>Equity investments</t>
  </si>
  <si>
    <t>Net Debt</t>
  </si>
  <si>
    <t>Source doc</t>
  </si>
  <si>
    <t>Options / Warrants</t>
  </si>
  <si>
    <t>Basic shares outstnadibng on filing date</t>
  </si>
  <si>
    <t>Shares outstanding (m)</t>
  </si>
  <si>
    <t>Convertible  debt</t>
  </si>
  <si>
    <t>Convertible  preferred stocks</t>
  </si>
  <si>
    <t>Securities</t>
  </si>
  <si>
    <t>Net dillutive shares outstanding</t>
  </si>
  <si>
    <t>EV Stage 1</t>
  </si>
  <si>
    <t>2029 FCF * (1+g)</t>
  </si>
  <si>
    <t>Long  term growth rate (g)</t>
  </si>
  <si>
    <t>Terminal value in 2029</t>
  </si>
  <si>
    <t>Terminal value-  growth in perpetutity approach (GG model)</t>
  </si>
  <si>
    <t>PV of TV 2029</t>
  </si>
  <si>
    <t>Terminal value - EBITDA Multiple approach</t>
  </si>
  <si>
    <t>Terminal year EBITDA</t>
  </si>
  <si>
    <t>Forward TEV/ EBITDA trading Multiple</t>
  </si>
  <si>
    <t>PV of TV</t>
  </si>
  <si>
    <t>PV of  stage 1 cash flows</t>
  </si>
  <si>
    <t>PV of stage 1 cash flows</t>
  </si>
  <si>
    <t>Terminal value as % of TEV</t>
  </si>
  <si>
    <t>Stage 1 cash flows as % of TEV</t>
  </si>
  <si>
    <t>Implied TV exit EBITDA multiple</t>
  </si>
  <si>
    <t>Implied terminal growth rate</t>
  </si>
  <si>
    <t>Total enterprise value (TEV)</t>
  </si>
  <si>
    <t>EV and Equity Value Derrivations</t>
  </si>
  <si>
    <t>Enterprise value</t>
  </si>
  <si>
    <t>Net debt</t>
  </si>
  <si>
    <t>Equity value</t>
  </si>
  <si>
    <t>Equity value per share</t>
  </si>
  <si>
    <t>Perpetuity</t>
  </si>
  <si>
    <t>Year 1 Multiples</t>
  </si>
  <si>
    <t>EV/Rev</t>
  </si>
  <si>
    <t>EV/EBITDA</t>
  </si>
  <si>
    <t>EV/EBIT</t>
  </si>
  <si>
    <t>Income  Statement</t>
  </si>
  <si>
    <t>Unlevered Free Cashx Flows (Cash Flows to Firm)</t>
  </si>
  <si>
    <t>Sensitivity Analysis</t>
  </si>
  <si>
    <t>Long temr growth rate (g)</t>
  </si>
  <si>
    <t>WACC</t>
  </si>
  <si>
    <t>Equity value Per Share</t>
  </si>
  <si>
    <t>EBITDA exit multiple</t>
  </si>
  <si>
    <t>Equity value per share sensitvity analysis</t>
  </si>
  <si>
    <t>Year 1 EBITDA multple sensivitiy analysis</t>
  </si>
  <si>
    <t>Yr 1 EBITDA multiple</t>
  </si>
  <si>
    <t>Long term growth rate (g)</t>
  </si>
  <si>
    <t>A$ m in reported currency, except per share items.</t>
  </si>
  <si>
    <t>Implied Market Cap</t>
  </si>
  <si>
    <t>Observed (Cap IQ)</t>
  </si>
  <si>
    <t>Summary table for DCF</t>
  </si>
  <si>
    <t>Metric</t>
  </si>
  <si>
    <t>Values</t>
  </si>
  <si>
    <t xml:space="preserve">EBITDA exit multiple </t>
  </si>
  <si>
    <t>Equity Value</t>
  </si>
  <si>
    <t>TV</t>
  </si>
  <si>
    <t>EV</t>
  </si>
  <si>
    <t>Price</t>
  </si>
  <si>
    <t>Shares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</si>
</sst>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164" formatCode="yyyy\-mm\-dd;@"/>
    <numFmt numFmtId="165" formatCode="m/d/yy;@"/>
    <numFmt numFmtId="166" formatCode="&quot;AFY&quot;0"/>
    <numFmt numFmtId="167" formatCode="&quot;EFY&quot;0"/>
    <numFmt numFmtId="168" formatCode="0.0"/>
    <numFmt numFmtId="169" formatCode="0%;\(0%\)\ "/>
    <numFmt numFmtId="170" formatCode="&quot;Yr&quot;\ General"/>
    <numFmt numFmtId="171" formatCode="0.0%"/>
    <numFmt numFmtId="172" formatCode="General\x"/>
    <numFmt numFmtId="173" formatCode="0.00&quot;x&quot;"/>
    <numFmt numFmtId="174" formatCode="0.00\x"/>
    <numFmt numFmtId="175" formatCode="_(&quot;$&quot;* #,##0.0_);_(&quot;$&quot;* \(#,##0.0\);_(&quot;$&quot;* &quot;-&quot;??_);_(@_)"/>
  </numFmts>
  <fonts count="1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FF"/>
      <name val="Aptos Narrow"/>
      <family val="2"/>
      <scheme val="minor"/>
    </font>
    <font>
      <sz val="12"/>
      <color rgb="FF000000"/>
      <name val="Verdan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FF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1"/>
      <color theme="1"/>
      <name val="Aptos Narrow"/>
      <family val="2"/>
      <scheme val="minor"/>
    </font>
    <font>
      <b/>
      <sz val="12"/>
      <color rgb="FF0000FF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9">
    <xf numFmtId="0" fontId="0" fillId="0" borderId="0" xfId="0"/>
    <xf numFmtId="0" fontId="1" fillId="3" borderId="0" xfId="4"/>
    <xf numFmtId="0" fontId="1" fillId="3" borderId="0" xfId="4" applyBorder="1"/>
    <xf numFmtId="0" fontId="1" fillId="4" borderId="0" xfId="5"/>
    <xf numFmtId="0" fontId="0" fillId="4" borderId="0" xfId="5" applyFont="1"/>
    <xf numFmtId="165" fontId="1" fillId="4" borderId="0" xfId="5" applyNumberFormat="1"/>
    <xf numFmtId="165" fontId="0" fillId="0" borderId="0" xfId="0" applyNumberFormat="1"/>
    <xf numFmtId="9" fontId="0" fillId="0" borderId="0" xfId="2" applyFont="1"/>
    <xf numFmtId="0" fontId="1" fillId="0" borderId="0" xfId="3" applyFont="1" applyFill="1"/>
    <xf numFmtId="166" fontId="1" fillId="4" borderId="0" xfId="5" applyNumberFormat="1"/>
    <xf numFmtId="167" fontId="1" fillId="4" borderId="0" xfId="5" applyNumberFormat="1"/>
    <xf numFmtId="9" fontId="0" fillId="0" borderId="0" xfId="0" applyNumberFormat="1"/>
    <xf numFmtId="165" fontId="3" fillId="0" borderId="0" xfId="0" applyNumberFormat="1" applyFont="1"/>
    <xf numFmtId="9" fontId="3" fillId="0" borderId="0" xfId="0" applyNumberFormat="1" applyFont="1"/>
    <xf numFmtId="10" fontId="0" fillId="0" borderId="0" xfId="0" applyNumberFormat="1"/>
    <xf numFmtId="10" fontId="3" fillId="0" borderId="0" xfId="0" applyNumberFormat="1" applyFont="1"/>
    <xf numFmtId="168" fontId="1" fillId="3" borderId="1" xfId="4" applyNumberFormat="1" applyBorder="1"/>
    <xf numFmtId="0" fontId="1" fillId="3" borderId="1" xfId="4" applyBorder="1"/>
    <xf numFmtId="0" fontId="0" fillId="0" borderId="0" xfId="0" applyAlignment="1">
      <alignment horizontal="left" indent="1"/>
    </xf>
    <xf numFmtId="0" fontId="1" fillId="0" borderId="0" xfId="4" applyFill="1"/>
    <xf numFmtId="0" fontId="1" fillId="0" borderId="0" xfId="4" applyFill="1" applyBorder="1"/>
    <xf numFmtId="0" fontId="1" fillId="0" borderId="0" xfId="5" applyFill="1"/>
    <xf numFmtId="0" fontId="0" fillId="0" borderId="0" xfId="0" applyAlignment="1">
      <alignment vertical="top"/>
    </xf>
    <xf numFmtId="0" fontId="4" fillId="0" borderId="0" xfId="0" applyFont="1"/>
    <xf numFmtId="0" fontId="3" fillId="0" borderId="0" xfId="0" applyFont="1"/>
    <xf numFmtId="9" fontId="3" fillId="0" borderId="0" xfId="2" applyFont="1"/>
    <xf numFmtId="9" fontId="8" fillId="0" borderId="0" xfId="2" applyFont="1"/>
    <xf numFmtId="9" fontId="7" fillId="0" borderId="0" xfId="2" applyFont="1"/>
    <xf numFmtId="2" fontId="0" fillId="0" borderId="0" xfId="0" applyNumberFormat="1"/>
    <xf numFmtId="0" fontId="10" fillId="0" borderId="0" xfId="0" applyFont="1"/>
    <xf numFmtId="39" fontId="0" fillId="0" borderId="0" xfId="0" applyNumberFormat="1"/>
    <xf numFmtId="39" fontId="7" fillId="0" borderId="0" xfId="5" applyNumberFormat="1" applyFont="1" applyFill="1"/>
    <xf numFmtId="39" fontId="8" fillId="0" borderId="0" xfId="0" applyNumberFormat="1" applyFont="1"/>
    <xf numFmtId="39" fontId="7" fillId="0" borderId="0" xfId="0" applyNumberFormat="1" applyFont="1"/>
    <xf numFmtId="39" fontId="9" fillId="0" borderId="0" xfId="0" applyNumberFormat="1" applyFont="1"/>
    <xf numFmtId="39" fontId="3" fillId="0" borderId="0" xfId="0" applyNumberFormat="1" applyFont="1"/>
    <xf numFmtId="169" fontId="0" fillId="0" borderId="0" xfId="2" applyNumberFormat="1" applyFont="1"/>
    <xf numFmtId="0" fontId="11" fillId="0" borderId="0" xfId="0" applyFont="1"/>
    <xf numFmtId="39" fontId="11" fillId="0" borderId="0" xfId="0" applyNumberFormat="1" applyFont="1"/>
    <xf numFmtId="170" fontId="0" fillId="0" borderId="0" xfId="0" applyNumberFormat="1"/>
    <xf numFmtId="164" fontId="3" fillId="0" borderId="0" xfId="0" applyNumberFormat="1" applyFont="1"/>
    <xf numFmtId="0" fontId="0" fillId="0" borderId="0" xfId="0" applyAlignment="1">
      <alignment horizontal="left" vertical="top" indent="1"/>
    </xf>
    <xf numFmtId="2" fontId="3" fillId="0" borderId="0" xfId="0" applyNumberFormat="1" applyFont="1"/>
    <xf numFmtId="0" fontId="11" fillId="0" borderId="0" xfId="0" applyFont="1" applyAlignment="1">
      <alignment horizontal="left" vertical="top" indent="1"/>
    </xf>
    <xf numFmtId="2" fontId="11" fillId="0" borderId="0" xfId="0" applyNumberFormat="1" applyFont="1"/>
    <xf numFmtId="172" fontId="3" fillId="0" borderId="0" xfId="0" applyNumberFormat="1" applyFont="1"/>
    <xf numFmtId="0" fontId="12" fillId="0" borderId="0" xfId="0" applyFont="1" applyAlignment="1">
      <alignment horizontal="left"/>
    </xf>
    <xf numFmtId="173" fontId="0" fillId="0" borderId="0" xfId="0" applyNumberFormat="1"/>
    <xf numFmtId="171" fontId="0" fillId="0" borderId="0" xfId="2" applyNumberFormat="1" applyFont="1"/>
    <xf numFmtId="171" fontId="3" fillId="0" borderId="0" xfId="2" applyNumberFormat="1" applyFont="1"/>
    <xf numFmtId="10" fontId="0" fillId="0" borderId="0" xfId="2" applyNumberFormat="1" applyFont="1"/>
    <xf numFmtId="10" fontId="3" fillId="0" borderId="0" xfId="2" applyNumberFormat="1" applyFont="1"/>
    <xf numFmtId="44" fontId="11" fillId="0" borderId="0" xfId="1" applyFont="1"/>
    <xf numFmtId="44" fontId="0" fillId="0" borderId="0" xfId="0" applyNumberFormat="1"/>
    <xf numFmtId="174" fontId="3" fillId="0" borderId="0" xfId="2" applyNumberFormat="1" applyFont="1"/>
    <xf numFmtId="174" fontId="0" fillId="0" borderId="0" xfId="0" applyNumberFormat="1"/>
    <xf numFmtId="174" fontId="0" fillId="0" borderId="2" xfId="0" applyNumberFormat="1" applyBorder="1"/>
    <xf numFmtId="174" fontId="0" fillId="0" borderId="3" xfId="0" applyNumberFormat="1" applyBorder="1"/>
    <xf numFmtId="174" fontId="0" fillId="0" borderId="4" xfId="0" applyNumberFormat="1" applyBorder="1"/>
    <xf numFmtId="174" fontId="0" fillId="0" borderId="5" xfId="0" applyNumberFormat="1" applyBorder="1"/>
    <xf numFmtId="174" fontId="0" fillId="0" borderId="6" xfId="0" applyNumberFormat="1" applyBorder="1"/>
    <xf numFmtId="174" fontId="0" fillId="0" borderId="7" xfId="0" applyNumberFormat="1" applyBorder="1"/>
    <xf numFmtId="174" fontId="0" fillId="0" borderId="1" xfId="0" applyNumberFormat="1" applyBorder="1"/>
    <xf numFmtId="174" fontId="0" fillId="0" borderId="8" xfId="0" applyNumberFormat="1" applyBorder="1"/>
    <xf numFmtId="174" fontId="1" fillId="0" borderId="0" xfId="2" applyNumberFormat="1" applyFont="1"/>
    <xf numFmtId="44" fontId="0" fillId="0" borderId="2" xfId="1" applyFont="1" applyBorder="1"/>
    <xf numFmtId="44" fontId="0" fillId="0" borderId="3" xfId="1" applyFont="1" applyBorder="1"/>
    <xf numFmtId="44" fontId="0" fillId="0" borderId="4" xfId="1" applyFont="1" applyBorder="1"/>
    <xf numFmtId="44" fontId="0" fillId="0" borderId="5" xfId="1" applyFont="1" applyBorder="1"/>
    <xf numFmtId="44" fontId="0" fillId="0" borderId="0" xfId="1" applyFont="1"/>
    <xf numFmtId="44" fontId="0" fillId="0" borderId="6" xfId="1" applyFont="1" applyBorder="1"/>
    <xf numFmtId="44" fontId="0" fillId="0" borderId="7" xfId="1" applyFont="1" applyBorder="1"/>
    <xf numFmtId="44" fontId="0" fillId="0" borderId="1" xfId="1" applyFont="1" applyBorder="1"/>
    <xf numFmtId="44" fontId="0" fillId="0" borderId="8" xfId="1" applyFont="1" applyBorder="1"/>
    <xf numFmtId="0" fontId="8" fillId="0" borderId="0" xfId="0" applyFont="1"/>
    <xf numFmtId="175" fontId="11" fillId="0" borderId="0" xfId="1" applyNumberFormat="1" applyFont="1"/>
    <xf numFmtId="0" fontId="7" fillId="0" borderId="0" xfId="0" applyFont="1"/>
    <xf numFmtId="0" fontId="13" fillId="0" borderId="0" xfId="0" applyFont="1"/>
    <xf numFmtId="174" fontId="7" fillId="0" borderId="0" xfId="0" applyNumberFormat="1" applyFont="1"/>
    <xf numFmtId="0" fontId="0" fillId="0" borderId="2" xfId="0" applyBorder="1"/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10" fontId="0" fillId="0" borderId="6" xfId="0" applyNumberFormat="1" applyBorder="1"/>
    <xf numFmtId="2" fontId="0" fillId="0" borderId="6" xfId="0" applyNumberFormat="1" applyBorder="1"/>
    <xf numFmtId="0" fontId="0" fillId="0" borderId="7" xfId="0" applyBorder="1"/>
    <xf numFmtId="44" fontId="0" fillId="0" borderId="1" xfId="0" applyNumberFormat="1" applyBorder="1"/>
    <xf numFmtId="44" fontId="0" fillId="0" borderId="8" xfId="0" applyNumberFormat="1" applyBorder="1"/>
  </cellXfs>
  <cellStyles count="6">
    <cellStyle name="20% - Accent1" xfId="4" builtinId="30"/>
    <cellStyle name="40% - Accent1" xfId="5" builtinId="31"/>
    <cellStyle name="Accent1" xfId="3" builtinId="29"/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8BA5-CA5E-D14B-A06A-E5B42C59DD61}">
  <dimension ref="A1:P158"/>
  <sheetViews>
    <sheetView tabSelected="1" zoomScale="125" workbookViewId="0">
      <pane ySplit="1" topLeftCell="A112" activePane="bottomLeft" state="frozen"/>
      <selection pane="bottomLeft" activeCell="H133" sqref="H133"/>
    </sheetView>
  </sheetViews>
  <sheetFormatPr baseColWidth="10" defaultColWidth="0" defaultRowHeight="16" x14ac:dyDescent="0.2"/>
  <cols>
    <col min="1" max="3" width="4.83203125" customWidth="1"/>
    <col min="4" max="4" width="30.83203125" customWidth="1"/>
    <col min="5" max="16" width="10.83203125" customWidth="1"/>
    <col min="17" max="16384" width="10.83203125" hidden="1"/>
  </cols>
  <sheetData>
    <row r="1" spans="1:16" s="1" customForma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s="1" customFormat="1" x14ac:dyDescent="0.2">
      <c r="A2" s="3"/>
      <c r="B2" s="3"/>
      <c r="C2" s="3"/>
      <c r="D2" s="3" t="s">
        <v>0</v>
      </c>
      <c r="E2" s="3"/>
      <c r="F2" s="4" t="s">
        <v>15</v>
      </c>
      <c r="G2" s="9">
        <v>24</v>
      </c>
      <c r="H2" s="10">
        <f>G2+1</f>
        <v>25</v>
      </c>
      <c r="I2" s="10">
        <f t="shared" ref="I2:L2" si="0">H2+1</f>
        <v>26</v>
      </c>
      <c r="J2" s="10">
        <f t="shared" si="0"/>
        <v>27</v>
      </c>
      <c r="K2" s="10">
        <f t="shared" si="0"/>
        <v>28</v>
      </c>
      <c r="L2" s="10">
        <f t="shared" si="0"/>
        <v>29</v>
      </c>
      <c r="M2" s="10"/>
      <c r="N2" s="10"/>
      <c r="O2" s="10"/>
      <c r="P2" s="3"/>
    </row>
    <row r="3" spans="1:16" s="1" customFormat="1" x14ac:dyDescent="0.2">
      <c r="A3" s="3"/>
      <c r="B3" s="3"/>
      <c r="C3" s="3"/>
      <c r="D3" s="3" t="s">
        <v>1</v>
      </c>
      <c r="E3" s="3"/>
      <c r="F3" s="4" t="s">
        <v>8</v>
      </c>
      <c r="G3" s="5">
        <v>45108</v>
      </c>
      <c r="H3" s="5">
        <f>G4+1</f>
        <v>45474</v>
      </c>
      <c r="I3" s="5">
        <f t="shared" ref="I3:L3" si="1">H4+1</f>
        <v>45839</v>
      </c>
      <c r="J3" s="5">
        <f t="shared" si="1"/>
        <v>46204</v>
      </c>
      <c r="K3" s="5">
        <f t="shared" si="1"/>
        <v>46569</v>
      </c>
      <c r="L3" s="5">
        <f t="shared" si="1"/>
        <v>46935</v>
      </c>
      <c r="M3" s="5"/>
      <c r="N3" s="5"/>
      <c r="O3" s="5"/>
      <c r="P3" s="3"/>
    </row>
    <row r="4" spans="1:16" s="1" customFormat="1" x14ac:dyDescent="0.2">
      <c r="A4" s="3"/>
      <c r="B4" s="3"/>
      <c r="C4" s="3"/>
      <c r="D4" s="3"/>
      <c r="E4" s="3"/>
      <c r="F4" s="4" t="s">
        <v>9</v>
      </c>
      <c r="G4" s="5">
        <f t="shared" ref="G4:L4" si="2">EOMONTH(G3,11)</f>
        <v>45473</v>
      </c>
      <c r="H4" s="5">
        <f t="shared" si="2"/>
        <v>45838</v>
      </c>
      <c r="I4" s="5">
        <f t="shared" si="2"/>
        <v>46203</v>
      </c>
      <c r="J4" s="5">
        <f t="shared" si="2"/>
        <v>46568</v>
      </c>
      <c r="K4" s="5">
        <f t="shared" si="2"/>
        <v>46934</v>
      </c>
      <c r="L4" s="5">
        <f t="shared" si="2"/>
        <v>47299</v>
      </c>
      <c r="M4" s="5"/>
      <c r="N4" s="5"/>
      <c r="O4" s="5"/>
      <c r="P4" s="3"/>
    </row>
    <row r="5" spans="1:16" s="1" customForma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s="1" customFormat="1" x14ac:dyDescent="0.2">
      <c r="A6" s="8" t="s">
        <v>96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s="1" customFormat="1" x14ac:dyDescent="0.2">
      <c r="A7" s="8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9" spans="1:16" x14ac:dyDescent="0.2">
      <c r="B9" s="1">
        <f>MAX($A$8:B8)+1</f>
        <v>1</v>
      </c>
      <c r="C9" s="1"/>
      <c r="D9" s="1" t="s">
        <v>7</v>
      </c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</row>
    <row r="10" spans="1:16" x14ac:dyDescent="0.2">
      <c r="B10" s="19"/>
      <c r="C10" s="19"/>
      <c r="D10" s="19"/>
      <c r="E10" s="19"/>
      <c r="F10" s="19"/>
      <c r="G10" s="19"/>
      <c r="H10" s="20"/>
      <c r="I10" s="19"/>
      <c r="J10" s="19"/>
      <c r="K10" s="19"/>
      <c r="L10" s="19"/>
      <c r="M10" s="19"/>
      <c r="N10" s="19"/>
      <c r="O10" s="19"/>
      <c r="P10" s="19"/>
    </row>
    <row r="11" spans="1:16" x14ac:dyDescent="0.2">
      <c r="D11" t="s">
        <v>2</v>
      </c>
      <c r="E11" s="12">
        <v>45473</v>
      </c>
      <c r="H11" t="s">
        <v>89</v>
      </c>
      <c r="I11" s="15">
        <v>7.2999999999999995E-2</v>
      </c>
    </row>
    <row r="12" spans="1:16" x14ac:dyDescent="0.2">
      <c r="D12" t="s">
        <v>3</v>
      </c>
      <c r="E12" s="6">
        <f>EOMONTH(E11,12)</f>
        <v>45838</v>
      </c>
      <c r="H12" t="s">
        <v>10</v>
      </c>
      <c r="I12" s="24">
        <v>2.2599999999999998</v>
      </c>
    </row>
    <row r="13" spans="1:16" x14ac:dyDescent="0.2">
      <c r="D13" t="s">
        <v>4</v>
      </c>
      <c r="E13" s="12">
        <v>45657</v>
      </c>
      <c r="H13" t="s">
        <v>11</v>
      </c>
      <c r="I13" s="12">
        <v>45764</v>
      </c>
    </row>
    <row r="14" spans="1:16" x14ac:dyDescent="0.2">
      <c r="D14" t="s">
        <v>5</v>
      </c>
      <c r="E14" s="12">
        <v>45764</v>
      </c>
      <c r="H14" t="s">
        <v>12</v>
      </c>
    </row>
    <row r="15" spans="1:16" x14ac:dyDescent="0.2">
      <c r="D15" t="s">
        <v>6</v>
      </c>
      <c r="E15" s="7">
        <f>YEARFRAC(E14,E12)</f>
        <v>0.20277777777777778</v>
      </c>
    </row>
    <row r="17" spans="4:11" x14ac:dyDescent="0.2">
      <c r="D17" t="s">
        <v>13</v>
      </c>
      <c r="E17" s="13">
        <v>0.3</v>
      </c>
    </row>
    <row r="18" spans="4:11" x14ac:dyDescent="0.2">
      <c r="D18" t="s">
        <v>14</v>
      </c>
      <c r="E18" s="15">
        <v>0.03</v>
      </c>
    </row>
    <row r="20" spans="4:11" x14ac:dyDescent="0.2">
      <c r="D20" s="37" t="s">
        <v>49</v>
      </c>
      <c r="H20" s="37" t="s">
        <v>53</v>
      </c>
    </row>
    <row r="21" spans="4:11" x14ac:dyDescent="0.2">
      <c r="D21" t="s">
        <v>38</v>
      </c>
      <c r="E21" s="24" t="s">
        <v>39</v>
      </c>
    </row>
    <row r="22" spans="4:11" x14ac:dyDescent="0.2">
      <c r="D22" t="s">
        <v>37</v>
      </c>
      <c r="E22" s="40">
        <v>45473</v>
      </c>
      <c r="I22" t="s">
        <v>50</v>
      </c>
      <c r="J22" t="s">
        <v>43</v>
      </c>
      <c r="K22" t="s">
        <v>56</v>
      </c>
    </row>
    <row r="23" spans="4:11" x14ac:dyDescent="0.2">
      <c r="D23" t="s">
        <v>44</v>
      </c>
      <c r="E23" s="40"/>
      <c r="H23" t="s">
        <v>52</v>
      </c>
      <c r="I23" s="24" t="s">
        <v>39</v>
      </c>
      <c r="J23" s="12">
        <v>45473</v>
      </c>
      <c r="K23" s="24">
        <v>4552.3</v>
      </c>
    </row>
    <row r="24" spans="4:11" x14ac:dyDescent="0.2">
      <c r="D24" s="41" t="s">
        <v>40</v>
      </c>
      <c r="E24" s="28">
        <f>487.5+6+3743.1+386.2</f>
        <v>4622.8</v>
      </c>
      <c r="H24" t="s">
        <v>51</v>
      </c>
      <c r="I24" s="24" t="s">
        <v>39</v>
      </c>
      <c r="J24" s="12">
        <v>45473</v>
      </c>
      <c r="K24" s="24">
        <v>11.26403</v>
      </c>
    </row>
    <row r="25" spans="4:11" x14ac:dyDescent="0.2">
      <c r="D25" s="41" t="s">
        <v>41</v>
      </c>
      <c r="E25" s="42">
        <v>0</v>
      </c>
      <c r="H25" t="s">
        <v>54</v>
      </c>
      <c r="K25" s="24">
        <v>0</v>
      </c>
    </row>
    <row r="26" spans="4:11" x14ac:dyDescent="0.2">
      <c r="D26" s="41" t="s">
        <v>42</v>
      </c>
      <c r="E26" s="42">
        <v>0</v>
      </c>
      <c r="H26" t="s">
        <v>55</v>
      </c>
      <c r="K26" s="24">
        <v>0</v>
      </c>
    </row>
    <row r="27" spans="4:11" x14ac:dyDescent="0.2">
      <c r="D27" s="41" t="s">
        <v>45</v>
      </c>
      <c r="E27" s="42">
        <v>0</v>
      </c>
      <c r="H27" s="37" t="s">
        <v>57</v>
      </c>
      <c r="I27" s="37"/>
      <c r="J27" s="37"/>
      <c r="K27" s="37">
        <f>SUM(K23:K26)</f>
        <v>4563.5640300000005</v>
      </c>
    </row>
    <row r="28" spans="4:11" x14ac:dyDescent="0.2">
      <c r="D28" t="s">
        <v>46</v>
      </c>
      <c r="E28" s="28"/>
    </row>
    <row r="29" spans="4:11" x14ac:dyDescent="0.2">
      <c r="D29" s="41" t="s">
        <v>47</v>
      </c>
      <c r="E29" s="28">
        <f>49.6</f>
        <v>49.6</v>
      </c>
    </row>
    <row r="30" spans="4:11" x14ac:dyDescent="0.2">
      <c r="D30" s="41" t="s">
        <v>48</v>
      </c>
      <c r="E30" s="42">
        <v>0</v>
      </c>
    </row>
    <row r="32" spans="4:11" x14ac:dyDescent="0.2">
      <c r="D32" s="43" t="s">
        <v>49</v>
      </c>
      <c r="E32" s="44">
        <f>SUM(E24:E27)-SUM(E29:E30)</f>
        <v>4573.2</v>
      </c>
    </row>
    <row r="33" spans="2:16" ht="15" customHeight="1" x14ac:dyDescent="0.2"/>
    <row r="35" spans="2:16" x14ac:dyDescent="0.2">
      <c r="B35" s="1">
        <f>MAX($A$8:B34)+1</f>
        <v>2</v>
      </c>
      <c r="C35" s="1"/>
      <c r="D35" s="1" t="s">
        <v>16</v>
      </c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</row>
    <row r="37" spans="2:16" x14ac:dyDescent="0.2">
      <c r="C37" s="16">
        <f>MAX($A$8:C36)+0.11</f>
        <v>2.11</v>
      </c>
      <c r="D37" s="17" t="s">
        <v>85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"/>
      <c r="P37" s="1"/>
    </row>
    <row r="39" spans="2:16" x14ac:dyDescent="0.2">
      <c r="D39" t="s">
        <v>17</v>
      </c>
      <c r="F39" s="30"/>
      <c r="G39" s="31">
        <v>1312</v>
      </c>
      <c r="H39" s="32">
        <f>G39+(G39*H40)</f>
        <v>964.49</v>
      </c>
      <c r="I39" s="32">
        <f>H39+(H39*I40)</f>
        <v>991.49572000000001</v>
      </c>
      <c r="J39" s="32">
        <f>I39+(I39*J40)</f>
        <v>1072.7983690400001</v>
      </c>
      <c r="K39" s="32">
        <f>J39+(J39*K40)</f>
        <v>1169.3502222536001</v>
      </c>
      <c r="L39" s="32">
        <f>K39+(K39*L40)</f>
        <v>1274.5917422564241</v>
      </c>
      <c r="M39" s="32"/>
      <c r="N39" s="32"/>
      <c r="O39" s="32"/>
    </row>
    <row r="40" spans="2:16" x14ac:dyDescent="0.2">
      <c r="D40" s="18" t="s">
        <v>21</v>
      </c>
      <c r="F40" s="30"/>
      <c r="G40" s="32"/>
      <c r="H40" s="27">
        <v>-0.26487042682926831</v>
      </c>
      <c r="I40" s="27">
        <v>2.8000000000000001E-2</v>
      </c>
      <c r="J40" s="27">
        <v>8.2000000000000003E-2</v>
      </c>
      <c r="K40" s="27">
        <v>0.09</v>
      </c>
      <c r="L40" s="27">
        <v>0.09</v>
      </c>
      <c r="M40" s="27"/>
      <c r="N40" s="27"/>
      <c r="O40" s="27"/>
    </row>
    <row r="41" spans="2:16" x14ac:dyDescent="0.2">
      <c r="D41" t="s">
        <v>18</v>
      </c>
      <c r="F41" s="30"/>
      <c r="G41" s="32">
        <f>G43+G52</f>
        <v>760.9</v>
      </c>
      <c r="H41" s="32">
        <f>H39*H42</f>
        <v>884.823126</v>
      </c>
      <c r="I41" s="32">
        <f t="shared" ref="I41:L41" si="3">I39*I42</f>
        <v>921.29782302400008</v>
      </c>
      <c r="J41" s="32">
        <f t="shared" si="3"/>
        <v>982.03962701921614</v>
      </c>
      <c r="K41" s="32">
        <f t="shared" si="3"/>
        <v>1075.8022044733123</v>
      </c>
      <c r="L41" s="32">
        <f t="shared" si="3"/>
        <v>1172.6244028759102</v>
      </c>
      <c r="M41" s="32"/>
      <c r="N41" s="32"/>
      <c r="O41" s="32"/>
    </row>
    <row r="42" spans="2:16" x14ac:dyDescent="0.2">
      <c r="D42" s="18" t="s">
        <v>19</v>
      </c>
      <c r="F42" s="30"/>
      <c r="G42" s="26">
        <f>G41/G39</f>
        <v>0.57995426829268293</v>
      </c>
      <c r="H42" s="27">
        <v>0.91739999999999999</v>
      </c>
      <c r="I42" s="27">
        <v>0.92920000000000003</v>
      </c>
      <c r="J42" s="27">
        <v>0.91539999999999999</v>
      </c>
      <c r="K42" s="27">
        <v>0.92</v>
      </c>
      <c r="L42" s="27">
        <v>0.92</v>
      </c>
      <c r="M42" s="27"/>
      <c r="N42" s="27"/>
      <c r="O42" s="27"/>
    </row>
    <row r="43" spans="2:16" x14ac:dyDescent="0.2">
      <c r="D43" t="s">
        <v>20</v>
      </c>
      <c r="F43" s="30"/>
      <c r="G43" s="33">
        <v>756.4</v>
      </c>
      <c r="H43" s="34">
        <f>H44*H39</f>
        <v>883.47284000000002</v>
      </c>
      <c r="I43" s="34">
        <f t="shared" ref="I43:L43" si="4">I44*I39</f>
        <v>920.40547687599997</v>
      </c>
      <c r="J43" s="34">
        <f t="shared" si="4"/>
        <v>983.97066408348815</v>
      </c>
      <c r="K43" s="34">
        <f t="shared" si="4"/>
        <v>674.15892386632868</v>
      </c>
      <c r="L43" s="34">
        <f t="shared" si="4"/>
        <v>734.83322701429825</v>
      </c>
      <c r="M43" s="34"/>
      <c r="N43" s="34"/>
      <c r="O43" s="34"/>
      <c r="P43" s="23"/>
    </row>
    <row r="44" spans="2:16" x14ac:dyDescent="0.2">
      <c r="D44" s="18" t="s">
        <v>19</v>
      </c>
      <c r="F44" s="30"/>
      <c r="G44" s="26">
        <f>G43/G39</f>
        <v>0.57652439024390245</v>
      </c>
      <c r="H44" s="27">
        <v>0.91600000000000004</v>
      </c>
      <c r="I44" s="27">
        <v>0.92830000000000001</v>
      </c>
      <c r="J44" s="27">
        <v>0.91720000000000002</v>
      </c>
      <c r="K44" s="27">
        <v>0.57652439024390245</v>
      </c>
      <c r="L44" s="27">
        <v>0.57652439024390245</v>
      </c>
      <c r="M44" s="27"/>
      <c r="N44" s="27"/>
      <c r="O44" s="27"/>
    </row>
    <row r="45" spans="2:16" x14ac:dyDescent="0.2"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2:16" x14ac:dyDescent="0.2">
      <c r="D46" s="22" t="s">
        <v>22</v>
      </c>
      <c r="F46" s="30"/>
      <c r="G46" s="30">
        <f>G43*G47</f>
        <v>167.39131999999998</v>
      </c>
      <c r="H46" s="30">
        <f t="shared" ref="H46:K46" si="5">H43*H47</f>
        <v>195.512539492</v>
      </c>
      <c r="I46" s="30">
        <f t="shared" si="5"/>
        <v>203.68573203265879</v>
      </c>
      <c r="J46" s="30">
        <f t="shared" si="5"/>
        <v>217.75270796167592</v>
      </c>
      <c r="K46" s="30">
        <f t="shared" si="5"/>
        <v>149.19136985161853</v>
      </c>
      <c r="L46" s="30">
        <f>L43*L47</f>
        <v>162.6185931382642</v>
      </c>
      <c r="M46" s="30"/>
      <c r="N46" s="30"/>
      <c r="O46" s="30"/>
    </row>
    <row r="47" spans="2:16" x14ac:dyDescent="0.2">
      <c r="D47" s="18" t="s">
        <v>13</v>
      </c>
      <c r="F47" s="30"/>
      <c r="G47" s="25">
        <v>0.2213</v>
      </c>
      <c r="H47" s="25">
        <v>0.2213</v>
      </c>
      <c r="I47" s="25">
        <v>0.2213</v>
      </c>
      <c r="J47" s="25">
        <v>0.2213</v>
      </c>
      <c r="K47" s="25">
        <v>0.2213</v>
      </c>
      <c r="L47" s="25">
        <v>0.2213</v>
      </c>
      <c r="M47" s="25"/>
      <c r="N47" s="25"/>
      <c r="O47" s="25"/>
    </row>
    <row r="48" spans="2:16" x14ac:dyDescent="0.2">
      <c r="D48" s="22" t="s">
        <v>23</v>
      </c>
      <c r="F48" s="30"/>
      <c r="G48" s="30">
        <f>G43-G46</f>
        <v>589.00868000000003</v>
      </c>
      <c r="H48" s="30">
        <f t="shared" ref="H48:L48" si="6">H43-H46</f>
        <v>687.96030050800005</v>
      </c>
      <c r="I48" s="30">
        <f t="shared" si="6"/>
        <v>716.71974484334123</v>
      </c>
      <c r="J48" s="30">
        <f t="shared" si="6"/>
        <v>766.21795612181222</v>
      </c>
      <c r="K48" s="30">
        <f t="shared" si="6"/>
        <v>524.96755401471012</v>
      </c>
      <c r="L48" s="30">
        <f t="shared" si="6"/>
        <v>572.21463387603399</v>
      </c>
      <c r="M48" s="30"/>
      <c r="N48" s="30"/>
      <c r="O48" s="30"/>
    </row>
    <row r="49" spans="2:16" x14ac:dyDescent="0.2">
      <c r="D49" s="22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2:16" x14ac:dyDescent="0.2">
      <c r="C50" s="16">
        <f>MAX($A$8:C49)+0.11</f>
        <v>2.2199999999999998</v>
      </c>
      <c r="D50" s="17" t="s">
        <v>86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"/>
      <c r="P50" s="1"/>
    </row>
    <row r="51" spans="2:16" x14ac:dyDescent="0.2"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2:16" x14ac:dyDescent="0.2">
      <c r="D52" t="s">
        <v>24</v>
      </c>
      <c r="F52" s="30"/>
      <c r="G52" s="35">
        <v>4.5</v>
      </c>
      <c r="H52" s="30">
        <f>H41-H43</f>
        <v>1.3502859999999828</v>
      </c>
      <c r="I52" s="30">
        <f t="shared" ref="I52:L52" si="7">I41-I43</f>
        <v>0.89234614800011514</v>
      </c>
      <c r="J52" s="30">
        <f t="shared" si="7"/>
        <v>-1.9310370642720045</v>
      </c>
      <c r="K52" s="30">
        <f t="shared" si="7"/>
        <v>401.64328060698358</v>
      </c>
      <c r="L52" s="30">
        <f t="shared" si="7"/>
        <v>437.79117586161192</v>
      </c>
      <c r="M52" s="30"/>
      <c r="N52" s="30"/>
      <c r="O52" s="30"/>
      <c r="P52" s="28"/>
    </row>
    <row r="53" spans="2:16" x14ac:dyDescent="0.2">
      <c r="D53" t="s">
        <v>25</v>
      </c>
      <c r="F53" s="30"/>
      <c r="G53" s="30">
        <f>F59-G59</f>
        <v>-154.10000000000002</v>
      </c>
      <c r="H53" s="30">
        <f t="shared" ref="H53:L53" si="8">G59-H59</f>
        <v>-14.223541920731705</v>
      </c>
      <c r="I53" s="30">
        <f t="shared" si="8"/>
        <v>1.1053408262195106</v>
      </c>
      <c r="J53" s="30">
        <f t="shared" si="8"/>
        <v>3.3277075102500007</v>
      </c>
      <c r="K53" s="30">
        <f t="shared" si="8"/>
        <v>3.9518555774164028</v>
      </c>
      <c r="L53" s="30">
        <f t="shared" si="8"/>
        <v>4.3075225793838854</v>
      </c>
      <c r="M53" s="30"/>
      <c r="N53" s="30"/>
      <c r="O53" s="30"/>
    </row>
    <row r="54" spans="2:16" x14ac:dyDescent="0.2">
      <c r="D54" t="s">
        <v>26</v>
      </c>
      <c r="F54" s="30"/>
      <c r="G54" s="35">
        <f>-337</f>
        <v>-337</v>
      </c>
      <c r="H54" s="30">
        <f>-H55*H39</f>
        <v>-247.73866615853657</v>
      </c>
      <c r="I54" s="30">
        <f t="shared" ref="I54:L54" si="9">-I55*I39</f>
        <v>-218.12905839999999</v>
      </c>
      <c r="J54" s="30">
        <f t="shared" si="9"/>
        <v>-214.55967380800004</v>
      </c>
      <c r="K54" s="30">
        <f t="shared" si="9"/>
        <v>-222.17654222818402</v>
      </c>
      <c r="L54" s="30">
        <f t="shared" si="9"/>
        <v>-254.91834845128483</v>
      </c>
      <c r="M54" s="30"/>
      <c r="N54" s="30"/>
      <c r="O54" s="30"/>
    </row>
    <row r="55" spans="2:16" x14ac:dyDescent="0.2">
      <c r="D55" s="18" t="s">
        <v>27</v>
      </c>
      <c r="F55" s="30"/>
      <c r="G55" s="7">
        <f>-(G54/G39)</f>
        <v>0.25685975609756095</v>
      </c>
      <c r="H55" s="7">
        <f>G55</f>
        <v>0.25685975609756095</v>
      </c>
      <c r="I55" s="7">
        <v>0.22</v>
      </c>
      <c r="J55" s="7">
        <v>0.2</v>
      </c>
      <c r="K55" s="7">
        <v>0.19</v>
      </c>
      <c r="L55" s="7">
        <v>0.2</v>
      </c>
      <c r="M55" s="7"/>
      <c r="N55" s="7"/>
      <c r="O55" s="7"/>
    </row>
    <row r="56" spans="2:16" x14ac:dyDescent="0.2"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2:16" x14ac:dyDescent="0.2">
      <c r="D57" s="37" t="s">
        <v>28</v>
      </c>
      <c r="E57" s="37"/>
      <c r="F57" s="38"/>
      <c r="G57" s="38"/>
      <c r="H57" s="38">
        <f>SUM(H48:H54)</f>
        <v>427.34837842873173</v>
      </c>
      <c r="I57" s="38">
        <f>SUM(I48:I54)</f>
        <v>500.58837341756089</v>
      </c>
      <c r="J57" s="38">
        <f>SUM(J48:J54)</f>
        <v>553.05495275979013</v>
      </c>
      <c r="K57" s="38">
        <f>SUM(K48:K54)</f>
        <v>708.386147970926</v>
      </c>
      <c r="L57" s="38">
        <f>SUM(L48:L54)</f>
        <v>759.39498386574496</v>
      </c>
      <c r="M57" s="38"/>
      <c r="N57" s="38"/>
      <c r="O57" s="38"/>
    </row>
    <row r="58" spans="2:16" x14ac:dyDescent="0.2"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2:16" x14ac:dyDescent="0.2">
      <c r="D59" t="s">
        <v>29</v>
      </c>
      <c r="F59" s="35">
        <f>48.3+14.2+62-109.9-99.1-29.2-94.1</f>
        <v>-207.8</v>
      </c>
      <c r="G59" s="35">
        <f>32.1+8.2+269.2-127.1-104.9-20.2-111</f>
        <v>-53.7</v>
      </c>
      <c r="H59" s="30">
        <f>H60*H39</f>
        <v>-39.476458079268298</v>
      </c>
      <c r="I59" s="30">
        <f t="shared" ref="I59:L59" si="10">I60*I39</f>
        <v>-40.581798905487808</v>
      </c>
      <c r="J59" s="30">
        <f t="shared" si="10"/>
        <v>-43.909506415737809</v>
      </c>
      <c r="K59" s="30">
        <f t="shared" si="10"/>
        <v>-47.861361993154212</v>
      </c>
      <c r="L59" s="30">
        <f t="shared" si="10"/>
        <v>-52.168884572538097</v>
      </c>
      <c r="M59" s="30"/>
      <c r="N59" s="30"/>
      <c r="O59" s="30"/>
    </row>
    <row r="60" spans="2:16" x14ac:dyDescent="0.2">
      <c r="D60" s="18" t="s">
        <v>27</v>
      </c>
      <c r="F60" s="30"/>
      <c r="G60" s="36">
        <f>G59/G39</f>
        <v>-4.0929878048780489E-2</v>
      </c>
      <c r="H60" s="36">
        <f>G60</f>
        <v>-4.0929878048780489E-2</v>
      </c>
      <c r="I60" s="36">
        <f t="shared" ref="I60:L60" si="11">H60</f>
        <v>-4.0929878048780489E-2</v>
      </c>
      <c r="J60" s="36">
        <f t="shared" si="11"/>
        <v>-4.0929878048780489E-2</v>
      </c>
      <c r="K60" s="36">
        <f t="shared" si="11"/>
        <v>-4.0929878048780489E-2</v>
      </c>
      <c r="L60" s="36">
        <f t="shared" si="11"/>
        <v>-4.0929878048780489E-2</v>
      </c>
      <c r="M60" s="36"/>
      <c r="N60" s="36"/>
      <c r="O60" s="36"/>
    </row>
    <row r="61" spans="2:16" x14ac:dyDescent="0.2">
      <c r="D61" s="18"/>
      <c r="F61" s="30"/>
      <c r="G61" s="36"/>
      <c r="H61" s="36"/>
      <c r="I61" s="36"/>
      <c r="J61" s="36"/>
      <c r="K61" s="36"/>
      <c r="L61" s="36"/>
      <c r="M61" s="36"/>
      <c r="N61" s="36"/>
      <c r="O61" s="36"/>
    </row>
    <row r="62" spans="2:16" x14ac:dyDescent="0.2">
      <c r="D62" s="18"/>
      <c r="F62" s="30"/>
      <c r="G62" s="36"/>
      <c r="H62" s="36"/>
      <c r="I62" s="36"/>
      <c r="J62" s="36"/>
      <c r="K62" s="36"/>
      <c r="L62" s="36"/>
      <c r="M62" s="36"/>
      <c r="N62" s="36"/>
      <c r="O62" s="36"/>
    </row>
    <row r="63" spans="2:16" x14ac:dyDescent="0.2">
      <c r="B63" s="1">
        <f>MAX($A$8:B60)+1</f>
        <v>3</v>
      </c>
      <c r="C63" s="1"/>
      <c r="D63" s="1" t="s">
        <v>1</v>
      </c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</row>
    <row r="64" spans="2:16" x14ac:dyDescent="0.2">
      <c r="D64" s="18"/>
      <c r="F64" s="30"/>
      <c r="G64" s="36"/>
      <c r="H64" s="36"/>
      <c r="I64" s="36"/>
      <c r="J64" s="36"/>
      <c r="K64" s="36"/>
      <c r="L64" s="36"/>
      <c r="M64" s="36"/>
      <c r="N64" s="36"/>
      <c r="O64" s="36"/>
    </row>
    <row r="65" spans="3:16" x14ac:dyDescent="0.2">
      <c r="C65" s="16">
        <f>MAX($A$8:C64)+0.11</f>
        <v>3.11</v>
      </c>
      <c r="D65" s="17" t="s">
        <v>36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"/>
      <c r="P65" s="1"/>
    </row>
    <row r="67" spans="3:16" x14ac:dyDescent="0.2">
      <c r="D67" s="29" t="s">
        <v>34</v>
      </c>
    </row>
    <row r="68" spans="3:16" x14ac:dyDescent="0.2">
      <c r="G68" t="s">
        <v>30</v>
      </c>
      <c r="H68" t="s">
        <v>31</v>
      </c>
      <c r="I68" s="39">
        <v>2</v>
      </c>
      <c r="J68" s="39">
        <v>3</v>
      </c>
      <c r="K68" s="39">
        <v>4</v>
      </c>
      <c r="L68" s="39">
        <v>5</v>
      </c>
    </row>
    <row r="69" spans="3:16" x14ac:dyDescent="0.2">
      <c r="D69" t="s">
        <v>32</v>
      </c>
      <c r="G69" s="6">
        <f>E14</f>
        <v>45764</v>
      </c>
      <c r="H69" s="6">
        <f>H4</f>
        <v>45838</v>
      </c>
      <c r="I69" s="6">
        <f>I4</f>
        <v>46203</v>
      </c>
      <c r="J69" s="6">
        <f>J4</f>
        <v>46568</v>
      </c>
      <c r="K69" s="6">
        <f>K4</f>
        <v>46934</v>
      </c>
      <c r="L69" s="6">
        <f>L4</f>
        <v>47299</v>
      </c>
    </row>
    <row r="70" spans="3:16" x14ac:dyDescent="0.2">
      <c r="D70" t="s">
        <v>33</v>
      </c>
      <c r="F70" s="11">
        <f>E15</f>
        <v>0.20277777777777778</v>
      </c>
      <c r="H70" s="28">
        <f>F70*H57</f>
        <v>86.656754514715047</v>
      </c>
      <c r="I70" s="28">
        <f>I57</f>
        <v>500.58837341756089</v>
      </c>
      <c r="J70" s="28">
        <f>J57</f>
        <v>553.05495275979013</v>
      </c>
      <c r="K70" s="28">
        <f>K57</f>
        <v>708.386147970926</v>
      </c>
      <c r="L70" s="28">
        <f>L57</f>
        <v>759.39498386574496</v>
      </c>
    </row>
    <row r="71" spans="3:16" x14ac:dyDescent="0.2">
      <c r="D71" s="37" t="s">
        <v>35</v>
      </c>
      <c r="H71" s="28">
        <f>H70/(1+$I$11)^((H69-$G$69)/365)</f>
        <v>85.427685565426756</v>
      </c>
      <c r="I71" s="28">
        <f>I70/(1+$I$11)^((I69-$G$69)/365)</f>
        <v>459.91466443161448</v>
      </c>
      <c r="J71" s="28">
        <f>J70/(1+$I$11)^((J69-$G$69)/365)</f>
        <v>473.54915143647105</v>
      </c>
      <c r="K71" s="28">
        <f>K70/(1+$I$11)^((K69-$G$69)/365)</f>
        <v>565.17543891587934</v>
      </c>
      <c r="L71" s="28">
        <f>L70/(1+$I$11)^((L69-$G$69)/365)</f>
        <v>564.65245686378398</v>
      </c>
    </row>
    <row r="73" spans="3:16" x14ac:dyDescent="0.2">
      <c r="D73" t="s">
        <v>58</v>
      </c>
      <c r="E73">
        <f>SUM(G71:L71)</f>
        <v>2148.7193972131754</v>
      </c>
    </row>
    <row r="75" spans="3:16" x14ac:dyDescent="0.2">
      <c r="C75" s="16">
        <f>MAX($A$8:C73)+0.11</f>
        <v>3.2199999999999998</v>
      </c>
      <c r="D75" s="17" t="s">
        <v>36</v>
      </c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"/>
      <c r="P75" s="1"/>
    </row>
    <row r="77" spans="3:16" x14ac:dyDescent="0.2">
      <c r="D77" t="s">
        <v>62</v>
      </c>
      <c r="H77" t="s">
        <v>64</v>
      </c>
    </row>
    <row r="78" spans="3:16" x14ac:dyDescent="0.2">
      <c r="D78" t="s">
        <v>60</v>
      </c>
      <c r="E78" s="14">
        <f>E18</f>
        <v>0.03</v>
      </c>
      <c r="H78" t="s">
        <v>65</v>
      </c>
      <c r="I78" s="30">
        <f>L41</f>
        <v>1172.6244028759102</v>
      </c>
    </row>
    <row r="79" spans="3:16" x14ac:dyDescent="0.2">
      <c r="D79" t="s">
        <v>59</v>
      </c>
      <c r="E79" s="28">
        <f>L70*(1+E78)</f>
        <v>782.1768333817173</v>
      </c>
      <c r="H79" t="s">
        <v>66</v>
      </c>
      <c r="I79" s="45">
        <v>15.64</v>
      </c>
    </row>
    <row r="80" spans="3:16" x14ac:dyDescent="0.2">
      <c r="D80" t="s">
        <v>61</v>
      </c>
      <c r="E80" s="28">
        <f>E79/(I11-E18)</f>
        <v>18190.158915853892</v>
      </c>
      <c r="H80" t="s">
        <v>61</v>
      </c>
      <c r="I80" s="28">
        <f>I78*I79</f>
        <v>18339.845660979237</v>
      </c>
    </row>
    <row r="81" spans="2:16" x14ac:dyDescent="0.2">
      <c r="D81" t="s">
        <v>63</v>
      </c>
      <c r="E81" s="28">
        <f>E80/((1+I11)^((L69-G69)/365))</f>
        <v>13525.396059760407</v>
      </c>
      <c r="H81" t="s">
        <v>67</v>
      </c>
      <c r="I81" s="28">
        <f>I80/((1+I11)^((L69-G69)/365))</f>
        <v>13636.696489959077</v>
      </c>
    </row>
    <row r="82" spans="2:16" x14ac:dyDescent="0.2">
      <c r="D82" t="s">
        <v>69</v>
      </c>
      <c r="E82" s="28">
        <f>E73</f>
        <v>2148.7193972131754</v>
      </c>
      <c r="H82" t="s">
        <v>68</v>
      </c>
      <c r="I82" s="28">
        <f>E73</f>
        <v>2148.7193972131754</v>
      </c>
    </row>
    <row r="83" spans="2:16" x14ac:dyDescent="0.2">
      <c r="D83" s="37" t="s">
        <v>74</v>
      </c>
      <c r="E83" s="44">
        <f>SUM(E81:E82)</f>
        <v>15674.115456973583</v>
      </c>
      <c r="H83" s="37" t="s">
        <v>74</v>
      </c>
      <c r="I83" s="44">
        <f>SUM(I81:I82)</f>
        <v>15785.415887172252</v>
      </c>
    </row>
    <row r="85" spans="2:16" x14ac:dyDescent="0.2">
      <c r="D85" s="46" t="s">
        <v>70</v>
      </c>
      <c r="E85" s="7">
        <f>E81/E83</f>
        <v>0.86291287676733386</v>
      </c>
      <c r="H85" s="46" t="s">
        <v>70</v>
      </c>
      <c r="I85" s="7">
        <f>I81/I83</f>
        <v>0.86387945603895711</v>
      </c>
    </row>
    <row r="86" spans="2:16" x14ac:dyDescent="0.2">
      <c r="D86" s="46" t="s">
        <v>71</v>
      </c>
      <c r="E86" s="7">
        <f>E82/E83</f>
        <v>0.1370871232326662</v>
      </c>
      <c r="H86" s="46" t="s">
        <v>71</v>
      </c>
      <c r="I86" s="7">
        <f>I82/I83</f>
        <v>0.13612054396104289</v>
      </c>
    </row>
    <row r="87" spans="2:16" x14ac:dyDescent="0.2">
      <c r="D87" s="46" t="s">
        <v>72</v>
      </c>
      <c r="E87" s="47">
        <f>E80/L41</f>
        <v>15.512348942459129</v>
      </c>
      <c r="H87" t="s">
        <v>73</v>
      </c>
      <c r="I87" s="7">
        <f>(I11-L57/I80)/(1+L70/I80)</f>
        <v>3.0337004499816442E-2</v>
      </c>
    </row>
    <row r="90" spans="2:16" x14ac:dyDescent="0.2">
      <c r="B90" s="1">
        <f>MAX($A$8:B89)+1</f>
        <v>4</v>
      </c>
      <c r="C90" s="1"/>
      <c r="D90" s="1" t="s">
        <v>75</v>
      </c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</row>
    <row r="92" spans="2:16" x14ac:dyDescent="0.2">
      <c r="E92" t="s">
        <v>80</v>
      </c>
      <c r="F92" t="s">
        <v>18</v>
      </c>
      <c r="G92" t="s">
        <v>98</v>
      </c>
    </row>
    <row r="93" spans="2:16" x14ac:dyDescent="0.2">
      <c r="D93" t="s">
        <v>76</v>
      </c>
      <c r="E93">
        <f>E83</f>
        <v>15674.115456973583</v>
      </c>
      <c r="F93">
        <f>I83</f>
        <v>15785.415887172252</v>
      </c>
      <c r="G93" s="76">
        <v>15276.4</v>
      </c>
    </row>
    <row r="94" spans="2:16" x14ac:dyDescent="0.2">
      <c r="D94" t="s">
        <v>77</v>
      </c>
      <c r="E94" s="28">
        <f>$E$32</f>
        <v>4573.2</v>
      </c>
      <c r="F94" s="28">
        <f>$E$32</f>
        <v>4573.2</v>
      </c>
      <c r="G94" s="76">
        <v>4533.7</v>
      </c>
    </row>
    <row r="95" spans="2:16" x14ac:dyDescent="0.2">
      <c r="D95" s="37" t="s">
        <v>78</v>
      </c>
      <c r="E95" s="44">
        <f>E93-E94</f>
        <v>11100.915456973584</v>
      </c>
      <c r="F95" s="44">
        <f>F93-F94</f>
        <v>11212.215887172253</v>
      </c>
      <c r="G95" s="77">
        <f>G93-G94</f>
        <v>10742.7</v>
      </c>
    </row>
    <row r="96" spans="2:16" x14ac:dyDescent="0.2">
      <c r="D96" t="s">
        <v>53</v>
      </c>
      <c r="E96">
        <f>$K$27</f>
        <v>4563.5640300000005</v>
      </c>
      <c r="F96">
        <f>$K$27</f>
        <v>4563.5640300000005</v>
      </c>
      <c r="G96" s="76">
        <v>4562.8999999999996</v>
      </c>
    </row>
    <row r="97" spans="2:16" x14ac:dyDescent="0.2">
      <c r="D97" s="37" t="s">
        <v>79</v>
      </c>
      <c r="E97" s="52">
        <f>E95/E96</f>
        <v>2.4325100697608888</v>
      </c>
      <c r="F97" s="52">
        <f>F95/F96</f>
        <v>2.4568989968071624</v>
      </c>
      <c r="G97" s="77">
        <v>2.2599999999999998</v>
      </c>
    </row>
    <row r="98" spans="2:16" x14ac:dyDescent="0.2">
      <c r="D98" s="74" t="s">
        <v>97</v>
      </c>
      <c r="E98" s="75">
        <f>E97*K23</f>
        <v>11073.515590572495</v>
      </c>
      <c r="F98" s="75">
        <f>F97*K27</f>
        <v>11212.215887172253</v>
      </c>
      <c r="G98" s="77">
        <v>10312.1</v>
      </c>
    </row>
    <row r="99" spans="2:16" x14ac:dyDescent="0.2">
      <c r="G99" s="76"/>
    </row>
    <row r="100" spans="2:16" x14ac:dyDescent="0.2">
      <c r="D100" t="s">
        <v>81</v>
      </c>
      <c r="G100" s="76"/>
    </row>
    <row r="101" spans="2:16" x14ac:dyDescent="0.2">
      <c r="D101" t="s">
        <v>82</v>
      </c>
      <c r="E101" s="55">
        <f>E93/$H$39</f>
        <v>16.251195405834775</v>
      </c>
      <c r="F101" s="55">
        <f>F93/$H$39</f>
        <v>16.366593626862127</v>
      </c>
      <c r="G101" s="78">
        <v>11.1</v>
      </c>
    </row>
    <row r="102" spans="2:16" x14ac:dyDescent="0.2">
      <c r="D102" t="s">
        <v>83</v>
      </c>
      <c r="E102" s="55">
        <f>E93/$H$41</f>
        <v>17.714405282139499</v>
      </c>
      <c r="F102" s="55">
        <f>F93/$H$41</f>
        <v>17.840193619862792</v>
      </c>
      <c r="G102" s="78">
        <v>19.100000000000001</v>
      </c>
    </row>
    <row r="103" spans="2:16" x14ac:dyDescent="0.2">
      <c r="D103" t="s">
        <v>84</v>
      </c>
      <c r="E103" s="55">
        <f>E93/$H$43</f>
        <v>17.741479700692985</v>
      </c>
      <c r="F103" s="55">
        <f>F93/$H$43</f>
        <v>17.867460291334197</v>
      </c>
      <c r="G103" s="78">
        <f>15276.4/789.9</f>
        <v>19.339663248512469</v>
      </c>
    </row>
    <row r="106" spans="2:16" x14ac:dyDescent="0.2">
      <c r="B106" s="1">
        <f>MAX($A$8:B105)+1</f>
        <v>5</v>
      </c>
      <c r="C106" s="1"/>
      <c r="D106" s="1" t="s">
        <v>87</v>
      </c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</row>
    <row r="108" spans="2:16" x14ac:dyDescent="0.2">
      <c r="E108" s="37" t="s">
        <v>92</v>
      </c>
    </row>
    <row r="109" spans="2:16" x14ac:dyDescent="0.2">
      <c r="J109" s="37" t="s">
        <v>90</v>
      </c>
    </row>
    <row r="110" spans="2:16" x14ac:dyDescent="0.2">
      <c r="J110" t="s">
        <v>88</v>
      </c>
    </row>
    <row r="111" spans="2:16" x14ac:dyDescent="0.2">
      <c r="G111" s="53">
        <f>E97</f>
        <v>2.4325100697608888</v>
      </c>
      <c r="H111" s="50">
        <f>I111-0.005</f>
        <v>1.9999999999999997E-2</v>
      </c>
      <c r="I111" s="50">
        <f>J111-0.005</f>
        <v>2.4999999999999998E-2</v>
      </c>
      <c r="J111" s="51">
        <v>0.03</v>
      </c>
      <c r="K111" s="50">
        <f>J111+0.005</f>
        <v>3.4999999999999996E-2</v>
      </c>
      <c r="L111" s="50">
        <f>K111+0.005</f>
        <v>3.9999999999999994E-2</v>
      </c>
    </row>
    <row r="112" spans="2:16" x14ac:dyDescent="0.2">
      <c r="G112" s="48">
        <f>G113+0.005</f>
        <v>8.0000000000000016E-2</v>
      </c>
      <c r="H112" s="65">
        <f t="dataTable" ref="H112:L116" dt2D="1" dtr="1" r1="E18" r2="I11"/>
        <v>1.5072312293995938</v>
      </c>
      <c r="I112" s="66">
        <v>1.7042376946248536</v>
      </c>
      <c r="J112" s="66">
        <v>1.9406454528951669</v>
      </c>
      <c r="K112" s="66">
        <v>2.229588268558881</v>
      </c>
      <c r="L112" s="67">
        <v>2.5907667881385255</v>
      </c>
    </row>
    <row r="113" spans="5:12" x14ac:dyDescent="0.2">
      <c r="G113" s="48">
        <f>G114+0.005</f>
        <v>7.5000000000000011E-2</v>
      </c>
      <c r="H113" s="68">
        <v>1.7431111561100481</v>
      </c>
      <c r="I113" s="69">
        <v>1.9830616783401032</v>
      </c>
      <c r="J113" s="69">
        <v>2.2763345388435061</v>
      </c>
      <c r="K113" s="69">
        <v>2.6429256144727575</v>
      </c>
      <c r="L113" s="70">
        <v>3.1142569974246528</v>
      </c>
    </row>
    <row r="114" spans="5:12" x14ac:dyDescent="0.2">
      <c r="F114" s="37" t="s">
        <v>89</v>
      </c>
      <c r="G114" s="49">
        <v>7.0000000000000007E-2</v>
      </c>
      <c r="H114" s="68">
        <v>2.026305230707079</v>
      </c>
      <c r="I114" s="69">
        <v>2.3239936680761328</v>
      </c>
      <c r="J114" s="69">
        <v>2.6961042147874505</v>
      </c>
      <c r="K114" s="69">
        <v>3.1745320605591441</v>
      </c>
      <c r="L114" s="70">
        <v>3.8124358549214028</v>
      </c>
    </row>
    <row r="115" spans="5:12" x14ac:dyDescent="0.2">
      <c r="G115" s="48">
        <f>G114-0.005</f>
        <v>6.5000000000000002E-2</v>
      </c>
      <c r="H115" s="68">
        <v>2.3725879493807289</v>
      </c>
      <c r="I115" s="69">
        <v>2.7503275086210817</v>
      </c>
      <c r="J115" s="69">
        <v>3.2359926562158234</v>
      </c>
      <c r="K115" s="69">
        <v>3.8835461863421425</v>
      </c>
      <c r="L115" s="70">
        <v>4.7901211285189911</v>
      </c>
    </row>
    <row r="116" spans="5:12" x14ac:dyDescent="0.2">
      <c r="G116" s="48">
        <f>G115-0.005</f>
        <v>6.0000000000000005E-2</v>
      </c>
      <c r="H116" s="71">
        <v>2.8056211463796434</v>
      </c>
      <c r="I116" s="72">
        <v>3.2986679109765484</v>
      </c>
      <c r="J116" s="72">
        <v>3.9560635971057563</v>
      </c>
      <c r="K116" s="72">
        <v>4.8764175576866462</v>
      </c>
      <c r="L116" s="73">
        <v>6.2569484985579802</v>
      </c>
    </row>
    <row r="118" spans="5:12" x14ac:dyDescent="0.2">
      <c r="J118" s="37" t="s">
        <v>90</v>
      </c>
    </row>
    <row r="119" spans="5:12" x14ac:dyDescent="0.2">
      <c r="J119" t="s">
        <v>91</v>
      </c>
    </row>
    <row r="120" spans="5:12" x14ac:dyDescent="0.2">
      <c r="G120" s="53">
        <f>F97</f>
        <v>2.4568989968071624</v>
      </c>
      <c r="H120" s="54">
        <f>I120-0.5</f>
        <v>14.5</v>
      </c>
      <c r="I120" s="54">
        <f>J120-0.5</f>
        <v>15</v>
      </c>
      <c r="J120" s="54">
        <v>15.5</v>
      </c>
      <c r="K120" s="54">
        <f>J120+0.5</f>
        <v>16</v>
      </c>
      <c r="L120" s="54">
        <f>K120+0.5</f>
        <v>16.5</v>
      </c>
    </row>
    <row r="121" spans="5:12" x14ac:dyDescent="0.2">
      <c r="G121" s="48">
        <f>G122+0.01</f>
        <v>0.09</v>
      </c>
      <c r="H121" s="65">
        <f t="dataTable" ref="H121:L125" dt2D="1" dtr="1" r1="I79" r2="I11" ca="1"/>
        <v>2.0423944487932739</v>
      </c>
      <c r="I121" s="66">
        <v>2.1318131619878695</v>
      </c>
      <c r="J121" s="66">
        <v>2.2212318751824647</v>
      </c>
      <c r="K121" s="66">
        <v>2.3106505883770594</v>
      </c>
      <c r="L121" s="67">
        <v>2.4000693015716554</v>
      </c>
    </row>
    <row r="122" spans="5:12" x14ac:dyDescent="0.2">
      <c r="G122" s="48">
        <f>G123+0.01</f>
        <v>0.08</v>
      </c>
      <c r="H122" s="68">
        <v>2.156180368060034</v>
      </c>
      <c r="I122" s="69">
        <v>2.2491330375868768</v>
      </c>
      <c r="J122" s="69">
        <v>2.3420857071137182</v>
      </c>
      <c r="K122" s="69">
        <v>2.435038376640561</v>
      </c>
      <c r="L122" s="70">
        <v>2.5279910461674033</v>
      </c>
    </row>
    <row r="123" spans="5:12" x14ac:dyDescent="0.2">
      <c r="F123" s="37" t="s">
        <v>89</v>
      </c>
      <c r="G123" s="49">
        <v>7.0000000000000007E-2</v>
      </c>
      <c r="H123" s="68">
        <v>2.2754784113691469</v>
      </c>
      <c r="I123" s="69">
        <v>2.372139550858555</v>
      </c>
      <c r="J123" s="69">
        <v>2.4688006903479627</v>
      </c>
      <c r="K123" s="69">
        <v>2.5654618298373708</v>
      </c>
      <c r="L123" s="70">
        <v>2.6621229693267789</v>
      </c>
    </row>
    <row r="124" spans="5:12" x14ac:dyDescent="0.2">
      <c r="G124" s="48">
        <f>G123-0.01</f>
        <v>6.0000000000000005E-2</v>
      </c>
      <c r="H124" s="68">
        <v>2.4006129047754423</v>
      </c>
      <c r="I124" s="69">
        <v>2.5011673993467323</v>
      </c>
      <c r="J124" s="69">
        <v>2.6017218939180213</v>
      </c>
      <c r="K124" s="69">
        <v>2.7022763884893113</v>
      </c>
      <c r="L124" s="70">
        <v>2.8028308830606017</v>
      </c>
    </row>
    <row r="125" spans="5:12" x14ac:dyDescent="0.2">
      <c r="G125" s="48">
        <f>G124-0.01</f>
        <v>0.05</v>
      </c>
      <c r="H125" s="71">
        <v>2.5319306324125659</v>
      </c>
      <c r="I125" s="72">
        <v>2.636574461292291</v>
      </c>
      <c r="J125" s="72">
        <v>2.7412182901720166</v>
      </c>
      <c r="K125" s="72">
        <v>2.8458621190517417</v>
      </c>
      <c r="L125" s="73">
        <v>2.9505059479314664</v>
      </c>
    </row>
    <row r="127" spans="5:12" x14ac:dyDescent="0.2">
      <c r="E127" s="37" t="s">
        <v>93</v>
      </c>
    </row>
    <row r="128" spans="5:12" x14ac:dyDescent="0.2">
      <c r="J128" s="37" t="s">
        <v>94</v>
      </c>
    </row>
    <row r="129" spans="6:12" x14ac:dyDescent="0.2">
      <c r="J129" t="s">
        <v>95</v>
      </c>
    </row>
    <row r="130" spans="6:12" x14ac:dyDescent="0.2">
      <c r="G130" s="55">
        <f>E102</f>
        <v>17.714405282139499</v>
      </c>
      <c r="H130" s="50">
        <f>I130-0.005</f>
        <v>1.9999999999999997E-2</v>
      </c>
      <c r="I130" s="50">
        <f>J130-0.005</f>
        <v>2.4999999999999998E-2</v>
      </c>
      <c r="J130" s="51">
        <v>0.03</v>
      </c>
      <c r="K130" s="50">
        <f>J130+0.005</f>
        <v>3.4999999999999996E-2</v>
      </c>
      <c r="L130" s="50">
        <f>K130+0.005</f>
        <v>3.9999999999999994E-2</v>
      </c>
    </row>
    <row r="131" spans="6:12" x14ac:dyDescent="0.2">
      <c r="G131" s="48">
        <f>G132+0.005</f>
        <v>8.0000000000000016E-2</v>
      </c>
      <c r="H131" s="56">
        <f t="dataTable" ref="H131:L135" dt2D="1" dtr="1" r1="E18" r2="I11" ca="1"/>
        <v>12.94218684716053</v>
      </c>
      <c r="I131" s="57">
        <v>13.958267453511503</v>
      </c>
      <c r="J131" s="57">
        <v>15.177564181132675</v>
      </c>
      <c r="K131" s="57">
        <v>16.6678157371141</v>
      </c>
      <c r="L131" s="58">
        <v>18.530630182090889</v>
      </c>
    </row>
    <row r="132" spans="6:12" x14ac:dyDescent="0.2">
      <c r="G132" s="48">
        <f>G133+0.005</f>
        <v>7.5000000000000011E-2</v>
      </c>
      <c r="H132" s="59">
        <v>14.158761230564323</v>
      </c>
      <c r="I132" s="55">
        <v>15.396330118686711</v>
      </c>
      <c r="J132" s="55">
        <v>16.90891431528075</v>
      </c>
      <c r="K132" s="55">
        <v>18.799644561023289</v>
      </c>
      <c r="L132" s="60">
        <v>21.230583448406559</v>
      </c>
    </row>
    <row r="133" spans="6:12" x14ac:dyDescent="0.2">
      <c r="F133" s="37" t="s">
        <v>89</v>
      </c>
      <c r="G133" s="49">
        <v>7.0000000000000007E-2</v>
      </c>
      <c r="H133" s="59">
        <v>15.619363077831308</v>
      </c>
      <c r="I133" s="55">
        <v>17.154721055041684</v>
      </c>
      <c r="J133" s="55">
        <v>19.073918526554657</v>
      </c>
      <c r="K133" s="55">
        <v>21.541458132785618</v>
      </c>
      <c r="L133" s="60">
        <v>24.831510941093569</v>
      </c>
    </row>
    <row r="134" spans="6:12" x14ac:dyDescent="0.2">
      <c r="G134" s="48">
        <f>G133-0.005</f>
        <v>6.5000000000000002E-2</v>
      </c>
      <c r="H134" s="59">
        <v>17.405350935420007</v>
      </c>
      <c r="I134" s="55">
        <v>19.35358060370439</v>
      </c>
      <c r="J134" s="55">
        <v>21.858447320070034</v>
      </c>
      <c r="K134" s="55">
        <v>25.198269608557542</v>
      </c>
      <c r="L134" s="60">
        <v>29.874020812440065</v>
      </c>
    </row>
    <row r="135" spans="6:12" x14ac:dyDescent="0.2">
      <c r="G135" s="48">
        <f>G134-0.005</f>
        <v>6.0000000000000005E-2</v>
      </c>
      <c r="H135" s="61">
        <v>19.638763087014418</v>
      </c>
      <c r="I135" s="62">
        <v>22.181701233527459</v>
      </c>
      <c r="J135" s="62">
        <v>25.572285428878182</v>
      </c>
      <c r="K135" s="62">
        <v>30.319103302369193</v>
      </c>
      <c r="L135" s="63">
        <v>37.439330112605703</v>
      </c>
    </row>
    <row r="137" spans="6:12" x14ac:dyDescent="0.2">
      <c r="J137" s="37" t="s">
        <v>94</v>
      </c>
    </row>
    <row r="138" spans="6:12" x14ac:dyDescent="0.2">
      <c r="J138" t="s">
        <v>91</v>
      </c>
    </row>
    <row r="139" spans="6:12" x14ac:dyDescent="0.2">
      <c r="G139" s="55">
        <f>F102</f>
        <v>17.840193619862792</v>
      </c>
      <c r="H139" s="64">
        <f>I139-0.5</f>
        <v>14.5</v>
      </c>
      <c r="I139" s="64">
        <f>J139-0.5</f>
        <v>15</v>
      </c>
      <c r="J139" s="54">
        <v>15.5</v>
      </c>
      <c r="K139" s="64">
        <f>J139+0.5</f>
        <v>16</v>
      </c>
      <c r="L139" s="64">
        <f>K139+0.5</f>
        <v>16.5</v>
      </c>
    </row>
    <row r="140" spans="6:12" x14ac:dyDescent="0.2">
      <c r="G140" s="48">
        <f>G141+0.005</f>
        <v>8.0000000000000016E-2</v>
      </c>
      <c r="H140" s="56">
        <f t="dataTable" ref="H140:L144" dt2D="1" dtr="1" r1="I79" r2="I11" ca="1"/>
        <v>16.289207126657914</v>
      </c>
      <c r="I140" s="57">
        <v>16.7686198439349</v>
      </c>
      <c r="J140" s="57">
        <v>17.248032561211879</v>
      </c>
      <c r="K140" s="57">
        <v>17.727445278488865</v>
      </c>
      <c r="L140" s="58">
        <v>18.206857995765848</v>
      </c>
    </row>
    <row r="141" spans="6:12" x14ac:dyDescent="0.2">
      <c r="G141" s="48">
        <f>G142+0.005</f>
        <v>7.5000000000000011E-2</v>
      </c>
      <c r="H141" s="59">
        <v>16.593197338047961</v>
      </c>
      <c r="I141" s="55">
        <v>17.082057690073405</v>
      </c>
      <c r="J141" s="55">
        <v>17.570918042098853</v>
      </c>
      <c r="K141" s="55">
        <v>18.059778394124301</v>
      </c>
      <c r="L141" s="60">
        <v>18.548638746149749</v>
      </c>
    </row>
    <row r="142" spans="6:12" x14ac:dyDescent="0.2">
      <c r="F142" s="37" t="s">
        <v>89</v>
      </c>
      <c r="G142" s="49">
        <v>7.0000000000000007E-2</v>
      </c>
      <c r="H142" s="59">
        <v>16.904498751952584</v>
      </c>
      <c r="I142" s="55">
        <v>17.403038275062514</v>
      </c>
      <c r="J142" s="55">
        <v>17.901577798172436</v>
      </c>
      <c r="K142" s="55">
        <v>18.400117321282362</v>
      </c>
      <c r="L142" s="60">
        <v>18.898656844392292</v>
      </c>
    </row>
    <row r="143" spans="6:12" x14ac:dyDescent="0.2">
      <c r="G143" s="48">
        <f>G142-0.005</f>
        <v>6.5000000000000002E-2</v>
      </c>
      <c r="H143" s="59">
        <v>17.223323876707973</v>
      </c>
      <c r="I143" s="55">
        <v>17.731780903603624</v>
      </c>
      <c r="J143" s="55">
        <v>18.24023793049928</v>
      </c>
      <c r="K143" s="55">
        <v>18.748694957394932</v>
      </c>
      <c r="L143" s="60">
        <v>19.257151984290587</v>
      </c>
    </row>
    <row r="144" spans="6:12" x14ac:dyDescent="0.2">
      <c r="G144" s="48">
        <f>G143-0.005</f>
        <v>6.0000000000000005E-2</v>
      </c>
      <c r="H144" s="61">
        <v>17.549892454084688</v>
      </c>
      <c r="I144" s="62">
        <v>18.068512346576476</v>
      </c>
      <c r="J144" s="62">
        <v>18.587132239068264</v>
      </c>
      <c r="K144" s="62">
        <v>19.105752131560052</v>
      </c>
      <c r="L144" s="63">
        <v>19.624372024051844</v>
      </c>
    </row>
    <row r="148" spans="2:16" x14ac:dyDescent="0.2">
      <c r="B148" s="1">
        <f>MAX($A$8:B147)+1</f>
        <v>6</v>
      </c>
      <c r="C148" s="1"/>
      <c r="D148" s="1" t="s">
        <v>99</v>
      </c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</row>
    <row r="150" spans="2:16" x14ac:dyDescent="0.2">
      <c r="D150" s="79" t="s">
        <v>100</v>
      </c>
      <c r="E150" s="80" t="s">
        <v>101</v>
      </c>
      <c r="F150" s="81"/>
    </row>
    <row r="151" spans="2:16" x14ac:dyDescent="0.2">
      <c r="D151" s="82"/>
      <c r="E151" t="s">
        <v>80</v>
      </c>
      <c r="F151" s="83" t="s">
        <v>102</v>
      </c>
    </row>
    <row r="152" spans="2:16" x14ac:dyDescent="0.2">
      <c r="D152" s="82" t="s">
        <v>89</v>
      </c>
      <c r="E152" s="14">
        <v>7.2999999999999995E-2</v>
      </c>
      <c r="F152" s="84">
        <v>7.2999999999999995E-2</v>
      </c>
    </row>
    <row r="153" spans="2:16" x14ac:dyDescent="0.2">
      <c r="D153" s="82" t="s">
        <v>104</v>
      </c>
      <c r="E153" s="28">
        <v>18190.158915853892</v>
      </c>
      <c r="F153" s="85">
        <v>18339.845660979237</v>
      </c>
    </row>
    <row r="154" spans="2:16" x14ac:dyDescent="0.2">
      <c r="D154" s="82" t="s">
        <v>105</v>
      </c>
      <c r="E154">
        <v>15674.115456973583</v>
      </c>
      <c r="F154" s="83">
        <v>15785.415887172252</v>
      </c>
    </row>
    <row r="155" spans="2:16" x14ac:dyDescent="0.2">
      <c r="D155" s="82" t="s">
        <v>49</v>
      </c>
      <c r="E155" s="28">
        <v>4573.2</v>
      </c>
      <c r="F155" s="85">
        <v>4573.2</v>
      </c>
    </row>
    <row r="156" spans="2:16" x14ac:dyDescent="0.2">
      <c r="D156" s="82" t="s">
        <v>103</v>
      </c>
      <c r="E156" s="28">
        <v>11100.915456973584</v>
      </c>
      <c r="F156" s="85">
        <v>11212.215887172253</v>
      </c>
    </row>
    <row r="157" spans="2:16" x14ac:dyDescent="0.2">
      <c r="D157" s="82" t="s">
        <v>107</v>
      </c>
      <c r="E157">
        <v>4563.5640300000005</v>
      </c>
      <c r="F157" s="83">
        <v>4563.5640300000005</v>
      </c>
    </row>
    <row r="158" spans="2:16" x14ac:dyDescent="0.2">
      <c r="D158" s="86" t="s">
        <v>106</v>
      </c>
      <c r="E158" s="87">
        <v>2.4325100697608888</v>
      </c>
      <c r="F158" s="88">
        <v>2.4568989968071624</v>
      </c>
    </row>
  </sheetData>
  <conditionalFormatting sqref="H112:L1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:L1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:L1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:L1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McCoombes</dc:creator>
  <cp:lastModifiedBy>James McCoombes</cp:lastModifiedBy>
  <dcterms:created xsi:type="dcterms:W3CDTF">2025-04-17T07:44:33Z</dcterms:created>
  <dcterms:modified xsi:type="dcterms:W3CDTF">2025-04-29T05:29:47Z</dcterms:modified>
</cp:coreProperties>
</file>