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Quantitative Risk\Personal\James_McNeill\DevelopmentRepo\ML\"/>
    </mc:Choice>
  </mc:AlternateContent>
  <xr:revisionPtr revIDLastSave="0" documentId="13_ncr:1_{21937909-2932-4826-961C-CC1EBEE2E6F7}" xr6:coauthVersionLast="47" xr6:coauthVersionMax="47" xr10:uidLastSave="{00000000-0000-0000-0000-000000000000}"/>
  <bookViews>
    <workbookView xWindow="1290" yWindow="-110" windowWidth="37220" windowHeight="21820" xr2:uid="{00000000-000D-0000-FFFF-FFFF00000000}"/>
  </bookViews>
  <sheets>
    <sheet name="MHJ-DCF" sheetId="14" r:id="rId1"/>
    <sheet name="WACC" sheetId="17" r:id="rId2"/>
    <sheet name="Pub-Comps" sheetId="15" r:id="rId3"/>
    <sheet name="MA-Comps" sheetId="16" r:id="rId4"/>
    <sheet name="ValSum" sheetId="18" r:id="rId5"/>
    <sheet name="ValGraph" sheetId="19" r:id="rId6"/>
  </sheets>
  <definedNames>
    <definedName name="CA_Growth_Change">'MHJ-DCF'!$F$29</definedName>
    <definedName name="CA_Initial_Growth">'MHJ-DCF'!$F$28</definedName>
    <definedName name="CA_Margin_Increase">'MHJ-DCF'!$F$32</definedName>
    <definedName name="CA_Max_Margin">'MHJ-DCF'!$F$33</definedName>
    <definedName name="CA_Max_Stores">'MHJ-DCF'!$F$25</definedName>
    <definedName name="CA_Min_Growth">'MHJ-DCF'!$F$30</definedName>
    <definedName name="CA_New_Stores_per_Year">'MHJ-DCF'!$F$26</definedName>
    <definedName name="Company_Name">'MHJ-DCF'!$E$8</definedName>
    <definedName name="Cost_of_Debt">WACC!$F$8</definedName>
    <definedName name="Cost_of_Preferred">WACC!$F$9</definedName>
    <definedName name="DIluted_Shares">'MHJ-DCF'!$F$11</definedName>
    <definedName name="Discount_Rate">'MHJ-DCF'!$F$14</definedName>
    <definedName name="Enterprise_Value">'MHJ-DCF'!$F$22</definedName>
    <definedName name="Equity_Risk_Premium">WACC!$F$7</definedName>
    <definedName name="Equity_Value">'MHJ-DCF'!$F$17</definedName>
    <definedName name="Hist_Year">'MHJ-DCF'!$F$15</definedName>
    <definedName name="_xlnm.Print_Area" localSheetId="3">'MA-Comps'!$A$1:$N$40</definedName>
    <definedName name="_xlnm.Print_Area" localSheetId="0">'MHJ-DCF'!$A$1:$T$162</definedName>
    <definedName name="_xlnm.Print_Area" localSheetId="2">'Pub-Comps'!$A$1:$Z$46</definedName>
    <definedName name="_xlnm.Print_Area" localSheetId="5">ValGraph!$A$1:$V$31</definedName>
    <definedName name="_xlnm.Print_Area" localSheetId="4">ValSum!$A$1:$N$28</definedName>
    <definedName name="_xlnm.Print_Area" localSheetId="1">WACC!$A$1:$M$46</definedName>
    <definedName name="Pub_Comps_Data">'Pub-Comps'!$C$8:$Y$24</definedName>
    <definedName name="Risk_Free_Rate">WACC!$F$6</definedName>
    <definedName name="Share_Price">'MHJ-DCF'!$F$10</definedName>
    <definedName name="Tax_Rate">'MHJ-DCF'!$F$13</definedName>
    <definedName name="Terminal_Growth_Rate">'MHJ-DCF'!$Q$12</definedName>
    <definedName name="Terminal_Multiple">'MHJ-DCF'!$L$12</definedName>
    <definedName name="Ticker">'MHJ-DCF'!$F$9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4" i="14" l="1"/>
  <c r="D155" i="14" s="1"/>
  <c r="D156" i="14" s="1"/>
  <c r="D157" i="14" s="1"/>
  <c r="D158" i="14" s="1"/>
  <c r="D159" i="14" s="1"/>
  <c r="D160" i="14" s="1"/>
  <c r="D161" i="14" s="1"/>
  <c r="D142" i="14"/>
  <c r="D143" i="14" s="1"/>
  <c r="D144" i="14" s="1"/>
  <c r="D145" i="14" s="1"/>
  <c r="D146" i="14" s="1"/>
  <c r="D147" i="14" s="1"/>
  <c r="D148" i="14" s="1"/>
  <c r="D149" i="14" s="1"/>
  <c r="E152" i="14"/>
  <c r="F140" i="14"/>
  <c r="G140" i="14" s="1"/>
  <c r="Q28" i="14"/>
  <c r="L28" i="14"/>
  <c r="Q25" i="14"/>
  <c r="Q24" i="14"/>
  <c r="Q23" i="14"/>
  <c r="Q22" i="14"/>
  <c r="L25" i="14"/>
  <c r="L24" i="14"/>
  <c r="L23" i="14"/>
  <c r="L22" i="14"/>
  <c r="H140" i="14" l="1"/>
  <c r="G152" i="14"/>
  <c r="F152" i="14"/>
  <c r="I140" i="14" l="1"/>
  <c r="H152" i="14"/>
  <c r="K129" i="14"/>
  <c r="L129" i="14" s="1"/>
  <c r="M129" i="14" s="1"/>
  <c r="N129" i="14" s="1"/>
  <c r="O129" i="14" s="1"/>
  <c r="P129" i="14" s="1"/>
  <c r="Q129" i="14" s="1"/>
  <c r="R129" i="14" s="1"/>
  <c r="S129" i="14" s="1"/>
  <c r="L37" i="17"/>
  <c r="K33" i="17"/>
  <c r="K32" i="17"/>
  <c r="K25" i="17"/>
  <c r="D25" i="17"/>
  <c r="K23" i="17"/>
  <c r="K22" i="17"/>
  <c r="K21" i="17"/>
  <c r="K20" i="17"/>
  <c r="K19" i="17"/>
  <c r="K18" i="17"/>
  <c r="K17" i="17"/>
  <c r="K16" i="17"/>
  <c r="K15" i="17"/>
  <c r="J140" i="14" l="1"/>
  <c r="I152" i="14"/>
  <c r="J73" i="14"/>
  <c r="K73" i="14" s="1"/>
  <c r="L73" i="14" s="1"/>
  <c r="M73" i="14" s="1"/>
  <c r="N73" i="14" s="1"/>
  <c r="O73" i="14" s="1"/>
  <c r="P73" i="14" s="1"/>
  <c r="Q73" i="14" s="1"/>
  <c r="R73" i="14" s="1"/>
  <c r="S73" i="14" s="1"/>
  <c r="J72" i="14"/>
  <c r="K72" i="14" s="1"/>
  <c r="L72" i="14" s="1"/>
  <c r="M72" i="14" s="1"/>
  <c r="N72" i="14" s="1"/>
  <c r="O72" i="14" s="1"/>
  <c r="P72" i="14" s="1"/>
  <c r="Q72" i="14" s="1"/>
  <c r="R72" i="14" s="1"/>
  <c r="S72" i="14" s="1"/>
  <c r="J42" i="14"/>
  <c r="K42" i="14" s="1"/>
  <c r="L42" i="14" s="1"/>
  <c r="M42" i="14" s="1"/>
  <c r="N42" i="14" s="1"/>
  <c r="O42" i="14" s="1"/>
  <c r="P42" i="14" s="1"/>
  <c r="Q42" i="14" s="1"/>
  <c r="R42" i="14" s="1"/>
  <c r="S42" i="14" s="1"/>
  <c r="J58" i="14"/>
  <c r="K58" i="14" s="1"/>
  <c r="L58" i="14" s="1"/>
  <c r="M58" i="14" s="1"/>
  <c r="N58" i="14" s="1"/>
  <c r="O58" i="14" s="1"/>
  <c r="P58" i="14" s="1"/>
  <c r="Q58" i="14" s="1"/>
  <c r="R58" i="14" s="1"/>
  <c r="S58" i="14" s="1"/>
  <c r="J47" i="14"/>
  <c r="K47" i="14" s="1"/>
  <c r="J152" i="14" l="1"/>
  <c r="K140" i="14"/>
  <c r="L47" i="14"/>
  <c r="K48" i="14"/>
  <c r="J48" i="14"/>
  <c r="L140" i="14" l="1"/>
  <c r="K152" i="14"/>
  <c r="L86" i="14"/>
  <c r="K83" i="14"/>
  <c r="K84" i="14" s="1"/>
  <c r="K86" i="14"/>
  <c r="M47" i="14"/>
  <c r="L48" i="14"/>
  <c r="M140" i="14" l="1"/>
  <c r="L152" i="14"/>
  <c r="M86" i="14"/>
  <c r="L83" i="14"/>
  <c r="L84" i="14" s="1"/>
  <c r="L78" i="14" s="1"/>
  <c r="L123" i="14" s="1"/>
  <c r="N47" i="14"/>
  <c r="M48" i="14"/>
  <c r="K78" i="14"/>
  <c r="N140" i="14" l="1"/>
  <c r="M152" i="14"/>
  <c r="O47" i="14"/>
  <c r="N48" i="14"/>
  <c r="K123" i="14"/>
  <c r="N86" i="14"/>
  <c r="M83" i="14"/>
  <c r="M84" i="14" s="1"/>
  <c r="M78" i="14" s="1"/>
  <c r="O140" i="14" l="1"/>
  <c r="O152" i="14" s="1"/>
  <c r="N152" i="14"/>
  <c r="M123" i="14"/>
  <c r="O86" i="14"/>
  <c r="N83" i="14"/>
  <c r="N84" i="14" s="1"/>
  <c r="N78" i="14" s="1"/>
  <c r="P47" i="14"/>
  <c r="O48" i="14"/>
  <c r="Q47" i="14" l="1"/>
  <c r="P48" i="14"/>
  <c r="O83" i="14"/>
  <c r="O84" i="14" s="1"/>
  <c r="O78" i="14" s="1"/>
  <c r="P86" i="14"/>
  <c r="N123" i="14"/>
  <c r="O123" i="14" l="1"/>
  <c r="P83" i="14"/>
  <c r="P84" i="14" s="1"/>
  <c r="P78" i="14" s="1"/>
  <c r="P123" i="14" s="1"/>
  <c r="Q86" i="14"/>
  <c r="R47" i="14"/>
  <c r="Q48" i="14"/>
  <c r="R86" i="14" l="1"/>
  <c r="Q83" i="14"/>
  <c r="Q84" i="14" s="1"/>
  <c r="Q78" i="14" s="1"/>
  <c r="S47" i="14"/>
  <c r="S48" i="14" s="1"/>
  <c r="R48" i="14"/>
  <c r="I53" i="14"/>
  <c r="J53" i="14" s="1"/>
  <c r="H53" i="14"/>
  <c r="I52" i="14"/>
  <c r="J52" i="14" s="1"/>
  <c r="H52" i="14"/>
  <c r="I51" i="14"/>
  <c r="J51" i="14" s="1"/>
  <c r="H51" i="14"/>
  <c r="S83" i="14" l="1"/>
  <c r="S84" i="14" s="1"/>
  <c r="J39" i="14"/>
  <c r="K51" i="14"/>
  <c r="K52" i="14"/>
  <c r="J40" i="14"/>
  <c r="J63" i="14" s="1"/>
  <c r="K53" i="14"/>
  <c r="J41" i="14"/>
  <c r="R83" i="14"/>
  <c r="R84" i="14" s="1"/>
  <c r="R78" i="14" s="1"/>
  <c r="S86" i="14"/>
  <c r="S78" i="14" s="1"/>
  <c r="Q123" i="14"/>
  <c r="M28" i="18"/>
  <c r="L28" i="18"/>
  <c r="K28" i="18"/>
  <c r="J28" i="18"/>
  <c r="I28" i="18"/>
  <c r="E37" i="18"/>
  <c r="S123" i="14" l="1"/>
  <c r="L51" i="14"/>
  <c r="K39" i="14"/>
  <c r="R123" i="14"/>
  <c r="L53" i="14"/>
  <c r="K41" i="14"/>
  <c r="J62" i="14"/>
  <c r="J94" i="14"/>
  <c r="L52" i="14"/>
  <c r="K40" i="14"/>
  <c r="K63" i="14" s="1"/>
  <c r="R24" i="15"/>
  <c r="J106" i="14" l="1"/>
  <c r="K94" i="14"/>
  <c r="K62" i="14"/>
  <c r="M52" i="14"/>
  <c r="L40" i="14"/>
  <c r="L63" i="14" s="1"/>
  <c r="M53" i="14"/>
  <c r="L41" i="14"/>
  <c r="M51" i="14"/>
  <c r="L39" i="14"/>
  <c r="J24" i="15"/>
  <c r="H24" i="15"/>
  <c r="G24" i="15"/>
  <c r="N52" i="14" l="1"/>
  <c r="M40" i="14"/>
  <c r="M63" i="14" s="1"/>
  <c r="L62" i="14"/>
  <c r="L94" i="14"/>
  <c r="N51" i="14"/>
  <c r="M39" i="14"/>
  <c r="N53" i="14"/>
  <c r="M41" i="14"/>
  <c r="K95" i="14"/>
  <c r="K106" i="14"/>
  <c r="K119" i="14"/>
  <c r="K121" i="14" s="1"/>
  <c r="K79" i="14"/>
  <c r="K124" i="14" s="1"/>
  <c r="K35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V15" i="15"/>
  <c r="Y15" i="15"/>
  <c r="X15" i="15"/>
  <c r="W15" i="15"/>
  <c r="U15" i="15"/>
  <c r="F15" i="15"/>
  <c r="K15" i="15" s="1"/>
  <c r="Q36" i="15" s="1"/>
  <c r="C22" i="17"/>
  <c r="B22" i="17"/>
  <c r="V14" i="15"/>
  <c r="Y14" i="15"/>
  <c r="X14" i="15"/>
  <c r="W14" i="15"/>
  <c r="U14" i="15"/>
  <c r="C21" i="17"/>
  <c r="B21" i="17"/>
  <c r="F14" i="15"/>
  <c r="K14" i="15" s="1"/>
  <c r="N35" i="15" s="1"/>
  <c r="V13" i="15"/>
  <c r="Y13" i="15"/>
  <c r="X13" i="15"/>
  <c r="W13" i="15"/>
  <c r="U13" i="15"/>
  <c r="F13" i="15"/>
  <c r="K13" i="15" s="1"/>
  <c r="N34" i="15" s="1"/>
  <c r="C20" i="17"/>
  <c r="B20" i="17"/>
  <c r="C19" i="17"/>
  <c r="B19" i="17"/>
  <c r="V12" i="15"/>
  <c r="Y12" i="15"/>
  <c r="X12" i="15"/>
  <c r="W12" i="15"/>
  <c r="U12" i="15"/>
  <c r="F12" i="15"/>
  <c r="K12" i="15" s="1"/>
  <c r="Q33" i="15" s="1"/>
  <c r="C18" i="17"/>
  <c r="B18" i="17"/>
  <c r="V11" i="15"/>
  <c r="Y11" i="15"/>
  <c r="X11" i="15"/>
  <c r="W11" i="15"/>
  <c r="U11" i="15"/>
  <c r="F11" i="15"/>
  <c r="K11" i="15" s="1"/>
  <c r="N32" i="15" s="1"/>
  <c r="Y9" i="15"/>
  <c r="X9" i="15"/>
  <c r="W9" i="15"/>
  <c r="V9" i="15"/>
  <c r="U9" i="15"/>
  <c r="C16" i="17"/>
  <c r="B16" i="17"/>
  <c r="F9" i="15"/>
  <c r="K9" i="15" s="1"/>
  <c r="Q30" i="15" s="1"/>
  <c r="R33" i="15" l="1"/>
  <c r="O35" i="15"/>
  <c r="F34" i="15"/>
  <c r="I20" i="17"/>
  <c r="G20" i="17"/>
  <c r="E20" i="17"/>
  <c r="G19" i="17"/>
  <c r="I19" i="17"/>
  <c r="E19" i="17"/>
  <c r="O51" i="14"/>
  <c r="N39" i="14"/>
  <c r="I22" i="17"/>
  <c r="G22" i="17"/>
  <c r="E22" i="17"/>
  <c r="L79" i="14"/>
  <c r="L124" i="14" s="1"/>
  <c r="L106" i="14"/>
  <c r="L119" i="14"/>
  <c r="L121" i="14" s="1"/>
  <c r="L95" i="14"/>
  <c r="I16" i="17"/>
  <c r="G16" i="17"/>
  <c r="E16" i="17"/>
  <c r="O53" i="14"/>
  <c r="N41" i="14"/>
  <c r="I21" i="17"/>
  <c r="G21" i="17"/>
  <c r="E21" i="17"/>
  <c r="I18" i="17"/>
  <c r="G18" i="17"/>
  <c r="E18" i="17"/>
  <c r="M62" i="14"/>
  <c r="M94" i="14"/>
  <c r="O52" i="14"/>
  <c r="N40" i="14"/>
  <c r="N63" i="14" s="1"/>
  <c r="N30" i="15"/>
  <c r="O30" i="15"/>
  <c r="P30" i="15"/>
  <c r="O32" i="15"/>
  <c r="F30" i="15"/>
  <c r="P32" i="15"/>
  <c r="T32" i="15"/>
  <c r="F35" i="15"/>
  <c r="K30" i="15"/>
  <c r="S33" i="15"/>
  <c r="K36" i="15"/>
  <c r="P35" i="15"/>
  <c r="L30" i="15"/>
  <c r="T35" i="15"/>
  <c r="M30" i="15"/>
  <c r="R36" i="15"/>
  <c r="S36" i="15"/>
  <c r="Q32" i="15"/>
  <c r="T33" i="15"/>
  <c r="Q35" i="15"/>
  <c r="T36" i="15"/>
  <c r="F36" i="15"/>
  <c r="R32" i="15"/>
  <c r="L34" i="15"/>
  <c r="R35" i="15"/>
  <c r="S32" i="15"/>
  <c r="M34" i="15"/>
  <c r="S35" i="15"/>
  <c r="K32" i="15"/>
  <c r="N33" i="15"/>
  <c r="Q34" i="15"/>
  <c r="N36" i="15"/>
  <c r="O34" i="15"/>
  <c r="M33" i="15"/>
  <c r="M36" i="15"/>
  <c r="K33" i="15"/>
  <c r="R30" i="15"/>
  <c r="L32" i="15"/>
  <c r="O33" i="15"/>
  <c r="R34" i="15"/>
  <c r="L35" i="15"/>
  <c r="O36" i="15"/>
  <c r="P34" i="15"/>
  <c r="F32" i="15"/>
  <c r="K34" i="15"/>
  <c r="S30" i="15"/>
  <c r="M32" i="15"/>
  <c r="P33" i="15"/>
  <c r="S34" i="15"/>
  <c r="M35" i="15"/>
  <c r="P36" i="15"/>
  <c r="L33" i="15"/>
  <c r="L36" i="15"/>
  <c r="F33" i="15"/>
  <c r="T30" i="15"/>
  <c r="T34" i="15"/>
  <c r="L7" i="15"/>
  <c r="F8" i="17"/>
  <c r="H20" i="17" l="1"/>
  <c r="J20" i="17"/>
  <c r="H22" i="17"/>
  <c r="J21" i="17"/>
  <c r="J22" i="17"/>
  <c r="H19" i="17"/>
  <c r="H18" i="17"/>
  <c r="L21" i="17"/>
  <c r="F21" i="17"/>
  <c r="L22" i="17"/>
  <c r="F22" i="17"/>
  <c r="M106" i="14"/>
  <c r="M119" i="14"/>
  <c r="M121" i="14" s="1"/>
  <c r="M95" i="14"/>
  <c r="M79" i="14"/>
  <c r="M124" i="14" s="1"/>
  <c r="H21" i="17"/>
  <c r="N62" i="14"/>
  <c r="N94" i="14"/>
  <c r="P53" i="14"/>
  <c r="O41" i="14"/>
  <c r="P51" i="14"/>
  <c r="O39" i="14"/>
  <c r="J16" i="17"/>
  <c r="L16" i="17"/>
  <c r="F16" i="17"/>
  <c r="F19" i="17"/>
  <c r="L19" i="17"/>
  <c r="H16" i="17"/>
  <c r="J19" i="17"/>
  <c r="L20" i="17"/>
  <c r="F20" i="17"/>
  <c r="P52" i="14"/>
  <c r="O40" i="14"/>
  <c r="O63" i="14" s="1"/>
  <c r="J18" i="17"/>
  <c r="L18" i="17"/>
  <c r="F18" i="17"/>
  <c r="I119" i="14"/>
  <c r="H119" i="14"/>
  <c r="G114" i="14"/>
  <c r="G119" i="14" s="1"/>
  <c r="I97" i="14"/>
  <c r="H97" i="14"/>
  <c r="G97" i="14"/>
  <c r="I94" i="14"/>
  <c r="H94" i="14"/>
  <c r="G94" i="14"/>
  <c r="N106" i="14" l="1"/>
  <c r="N119" i="14"/>
  <c r="N121" i="14" s="1"/>
  <c r="N95" i="14"/>
  <c r="N79" i="14"/>
  <c r="N124" i="14" s="1"/>
  <c r="Q51" i="14"/>
  <c r="P39" i="14"/>
  <c r="O62" i="14"/>
  <c r="O94" i="14"/>
  <c r="Q52" i="14"/>
  <c r="P40" i="14"/>
  <c r="P63" i="14" s="1"/>
  <c r="J119" i="14"/>
  <c r="J121" i="14" s="1"/>
  <c r="J95" i="14"/>
  <c r="Q53" i="14"/>
  <c r="P41" i="14"/>
  <c r="H120" i="14"/>
  <c r="I69" i="14"/>
  <c r="J69" i="14" s="1"/>
  <c r="H69" i="14"/>
  <c r="G69" i="14"/>
  <c r="I68" i="14"/>
  <c r="H68" i="14"/>
  <c r="G68" i="14"/>
  <c r="I67" i="14"/>
  <c r="H67" i="14"/>
  <c r="G67" i="14"/>
  <c r="R52" i="14" l="1"/>
  <c r="Q40" i="14"/>
  <c r="Q63" i="14" s="1"/>
  <c r="O95" i="14"/>
  <c r="O106" i="14"/>
  <c r="O119" i="14"/>
  <c r="O121" i="14" s="1"/>
  <c r="O79" i="14"/>
  <c r="O124" i="14" s="1"/>
  <c r="R51" i="14"/>
  <c r="Q39" i="14"/>
  <c r="J64" i="14"/>
  <c r="K69" i="14"/>
  <c r="P94" i="14"/>
  <c r="P62" i="14"/>
  <c r="R53" i="14"/>
  <c r="Q41" i="14"/>
  <c r="I57" i="14"/>
  <c r="H57" i="14"/>
  <c r="I56" i="14"/>
  <c r="H56" i="14"/>
  <c r="G84" i="14"/>
  <c r="G86" i="14" s="1"/>
  <c r="Q62" i="14" l="1"/>
  <c r="Q94" i="14"/>
  <c r="P79" i="14"/>
  <c r="P124" i="14" s="1"/>
  <c r="P95" i="14"/>
  <c r="P106" i="14"/>
  <c r="P119" i="14"/>
  <c r="P121" i="14" s="1"/>
  <c r="L69" i="14"/>
  <c r="K64" i="14"/>
  <c r="S51" i="14"/>
  <c r="S39" i="14" s="1"/>
  <c r="R39" i="14"/>
  <c r="S53" i="14"/>
  <c r="S41" i="14" s="1"/>
  <c r="R41" i="14"/>
  <c r="S52" i="14"/>
  <c r="S40" i="14" s="1"/>
  <c r="S63" i="14" s="1"/>
  <c r="R40" i="14"/>
  <c r="R63" i="14" s="1"/>
  <c r="B2" i="14"/>
  <c r="S62" i="14" l="1"/>
  <c r="S94" i="14"/>
  <c r="R94" i="14"/>
  <c r="R62" i="14"/>
  <c r="M69" i="14"/>
  <c r="L64" i="14"/>
  <c r="Q95" i="14"/>
  <c r="Q106" i="14"/>
  <c r="Q119" i="14"/>
  <c r="Q121" i="14" s="1"/>
  <c r="Q79" i="14"/>
  <c r="Q124" i="14" s="1"/>
  <c r="F17" i="14"/>
  <c r="S119" i="14" l="1"/>
  <c r="S121" i="14" s="1"/>
  <c r="S106" i="14"/>
  <c r="S95" i="14"/>
  <c r="S79" i="14"/>
  <c r="S124" i="14" s="1"/>
  <c r="N69" i="14"/>
  <c r="M64" i="14"/>
  <c r="R95" i="14"/>
  <c r="R106" i="14"/>
  <c r="R119" i="14"/>
  <c r="R121" i="14" s="1"/>
  <c r="R79" i="14"/>
  <c r="R124" i="14" s="1"/>
  <c r="B36" i="19"/>
  <c r="C27" i="17"/>
  <c r="O69" i="14" l="1"/>
  <c r="N64" i="14"/>
  <c r="B23" i="17"/>
  <c r="B17" i="17"/>
  <c r="C23" i="17"/>
  <c r="C17" i="17"/>
  <c r="C15" i="17"/>
  <c r="V16" i="15"/>
  <c r="Y16" i="15"/>
  <c r="X16" i="15"/>
  <c r="W16" i="15"/>
  <c r="U16" i="15"/>
  <c r="F16" i="15"/>
  <c r="Y10" i="15"/>
  <c r="X10" i="15"/>
  <c r="W10" i="15"/>
  <c r="V10" i="15"/>
  <c r="U10" i="15"/>
  <c r="F10" i="15"/>
  <c r="I17" i="17" l="1"/>
  <c r="G17" i="17"/>
  <c r="E17" i="17"/>
  <c r="G15" i="17"/>
  <c r="E15" i="17"/>
  <c r="E23" i="17"/>
  <c r="I23" i="17"/>
  <c r="G23" i="17"/>
  <c r="P69" i="14"/>
  <c r="O64" i="14"/>
  <c r="T37" i="15"/>
  <c r="S37" i="15"/>
  <c r="R37" i="15"/>
  <c r="F37" i="15"/>
  <c r="S31" i="15"/>
  <c r="F31" i="15"/>
  <c r="T31" i="15"/>
  <c r="R31" i="15"/>
  <c r="K16" i="15"/>
  <c r="K10" i="15"/>
  <c r="E24" i="15"/>
  <c r="K10" i="16"/>
  <c r="M16" i="16"/>
  <c r="M23" i="16"/>
  <c r="L32" i="16"/>
  <c r="J37" i="16"/>
  <c r="L15" i="16"/>
  <c r="G39" i="16"/>
  <c r="G38" i="16"/>
  <c r="G37" i="16"/>
  <c r="G36" i="16"/>
  <c r="G35" i="16"/>
  <c r="M17" i="16"/>
  <c r="L17" i="16"/>
  <c r="K17" i="16"/>
  <c r="K20" i="16"/>
  <c r="M20" i="16"/>
  <c r="L20" i="16"/>
  <c r="M28" i="16"/>
  <c r="L28" i="16"/>
  <c r="K28" i="16"/>
  <c r="M29" i="16"/>
  <c r="L29" i="16"/>
  <c r="K29" i="16"/>
  <c r="M22" i="16"/>
  <c r="L22" i="16"/>
  <c r="K22" i="16"/>
  <c r="L19" i="16"/>
  <c r="K19" i="16"/>
  <c r="M19" i="16"/>
  <c r="M31" i="16"/>
  <c r="L31" i="16"/>
  <c r="K31" i="16"/>
  <c r="M26" i="16"/>
  <c r="L26" i="16"/>
  <c r="K26" i="16"/>
  <c r="L23" i="16"/>
  <c r="K23" i="16"/>
  <c r="M27" i="16"/>
  <c r="L27" i="16"/>
  <c r="K27" i="16"/>
  <c r="M18" i="16"/>
  <c r="L18" i="16"/>
  <c r="K18" i="16"/>
  <c r="M11" i="16"/>
  <c r="L11" i="16"/>
  <c r="K11" i="16"/>
  <c r="M10" i="16"/>
  <c r="L10" i="16"/>
  <c r="M30" i="16"/>
  <c r="L30" i="16"/>
  <c r="K30" i="16"/>
  <c r="L16" i="16"/>
  <c r="K16" i="16"/>
  <c r="M25" i="16"/>
  <c r="L25" i="16"/>
  <c r="K25" i="16"/>
  <c r="M33" i="16"/>
  <c r="L33" i="16"/>
  <c r="K33" i="16"/>
  <c r="M14" i="16"/>
  <c r="L14" i="16"/>
  <c r="K14" i="16"/>
  <c r="M32" i="16"/>
  <c r="K32" i="16"/>
  <c r="M21" i="16"/>
  <c r="L21" i="16"/>
  <c r="K21" i="16"/>
  <c r="K15" i="16"/>
  <c r="M13" i="16"/>
  <c r="L13" i="16"/>
  <c r="K13" i="16"/>
  <c r="M12" i="16"/>
  <c r="M24" i="16"/>
  <c r="F23" i="17" l="1"/>
  <c r="L23" i="17"/>
  <c r="E25" i="17"/>
  <c r="J23" i="17"/>
  <c r="G25" i="17"/>
  <c r="F17" i="17"/>
  <c r="L17" i="17"/>
  <c r="Q69" i="14"/>
  <c r="P64" i="14"/>
  <c r="H17" i="17"/>
  <c r="H23" i="17"/>
  <c r="J17" i="17"/>
  <c r="L31" i="15"/>
  <c r="K31" i="15"/>
  <c r="Q31" i="15"/>
  <c r="P31" i="15"/>
  <c r="O31" i="15"/>
  <c r="N31" i="15"/>
  <c r="M31" i="15"/>
  <c r="N37" i="15"/>
  <c r="P37" i="15"/>
  <c r="Q37" i="15"/>
  <c r="O37" i="15"/>
  <c r="M37" i="15"/>
  <c r="L37" i="15"/>
  <c r="K37" i="15"/>
  <c r="J39" i="16"/>
  <c r="J35" i="16"/>
  <c r="J36" i="16"/>
  <c r="J38" i="16"/>
  <c r="M15" i="16"/>
  <c r="R69" i="14" l="1"/>
  <c r="Q64" i="14"/>
  <c r="H123" i="14"/>
  <c r="I123" i="14"/>
  <c r="G123" i="14"/>
  <c r="F92" i="14"/>
  <c r="H25" i="18"/>
  <c r="H76" i="14"/>
  <c r="C69" i="14"/>
  <c r="C68" i="14"/>
  <c r="C67" i="14"/>
  <c r="S69" i="14" l="1"/>
  <c r="S64" i="14" s="1"/>
  <c r="R64" i="14"/>
  <c r="I76" i="14"/>
  <c r="L24" i="15"/>
  <c r="I79" i="14"/>
  <c r="I124" i="14" s="1"/>
  <c r="G79" i="14"/>
  <c r="G124" i="14" s="1"/>
  <c r="H79" i="14"/>
  <c r="H124" i="14" s="1"/>
  <c r="G76" i="14"/>
  <c r="J76" i="14" s="1"/>
  <c r="C53" i="14"/>
  <c r="C52" i="14"/>
  <c r="C51" i="14"/>
  <c r="C64" i="14"/>
  <c r="C63" i="14"/>
  <c r="C62" i="14"/>
  <c r="C41" i="14"/>
  <c r="C40" i="14"/>
  <c r="C39" i="14"/>
  <c r="G48" i="14"/>
  <c r="G87" i="14" s="1"/>
  <c r="H48" i="14"/>
  <c r="I48" i="14"/>
  <c r="H83" i="14" l="1"/>
  <c r="H84" i="14" s="1"/>
  <c r="H86" i="14" s="1"/>
  <c r="H87" i="14" s="1"/>
  <c r="I83" i="14"/>
  <c r="I84" i="14" s="1"/>
  <c r="I86" i="14" s="1"/>
  <c r="I87" i="14" s="1"/>
  <c r="J86" i="14"/>
  <c r="J83" i="14"/>
  <c r="J84" i="14" s="1"/>
  <c r="J78" i="14" s="1"/>
  <c r="K76" i="14"/>
  <c r="J75" i="14"/>
  <c r="J97" i="14" s="1"/>
  <c r="H58" i="14"/>
  <c r="I58" i="14"/>
  <c r="B20" i="18"/>
  <c r="B19" i="18"/>
  <c r="B17" i="18"/>
  <c r="B16" i="18"/>
  <c r="B14" i="18"/>
  <c r="B13" i="18"/>
  <c r="B3" i="17"/>
  <c r="R28" i="15"/>
  <c r="O28" i="15"/>
  <c r="L28" i="15"/>
  <c r="W7" i="15"/>
  <c r="R7" i="15"/>
  <c r="M7" i="15"/>
  <c r="M28" i="15" s="1"/>
  <c r="J101" i="14" l="1"/>
  <c r="J109" i="14" s="1"/>
  <c r="J98" i="14"/>
  <c r="J99" i="14"/>
  <c r="J135" i="14"/>
  <c r="S24" i="15" s="1"/>
  <c r="J103" i="14"/>
  <c r="J132" i="14"/>
  <c r="L76" i="14"/>
  <c r="K75" i="14"/>
  <c r="K97" i="14" s="1"/>
  <c r="J123" i="14"/>
  <c r="J79" i="14"/>
  <c r="J124" i="14" s="1"/>
  <c r="P28" i="15"/>
  <c r="S7" i="15"/>
  <c r="X7" i="15"/>
  <c r="N7" i="15"/>
  <c r="S28" i="15"/>
  <c r="P7" i="15"/>
  <c r="I39" i="16"/>
  <c r="H39" i="16"/>
  <c r="I38" i="16"/>
  <c r="H38" i="16"/>
  <c r="I37" i="16"/>
  <c r="H37" i="16"/>
  <c r="I36" i="16"/>
  <c r="H36" i="16"/>
  <c r="I35" i="16"/>
  <c r="H35" i="16"/>
  <c r="F39" i="16"/>
  <c r="F38" i="16"/>
  <c r="F37" i="16"/>
  <c r="F36" i="16"/>
  <c r="F35" i="16"/>
  <c r="B2" i="18"/>
  <c r="J91" i="14"/>
  <c r="G91" i="14"/>
  <c r="I36" i="14"/>
  <c r="K135" i="14" l="1"/>
  <c r="T24" i="15" s="1"/>
  <c r="K132" i="14"/>
  <c r="K133" i="14" s="1"/>
  <c r="K101" i="14"/>
  <c r="K109" i="14" s="1"/>
  <c r="K99" i="14"/>
  <c r="K98" i="14"/>
  <c r="M76" i="14"/>
  <c r="L75" i="14"/>
  <c r="L97" i="14" s="1"/>
  <c r="J126" i="14"/>
  <c r="J36" i="14"/>
  <c r="J92" i="14" s="1"/>
  <c r="I60" i="14"/>
  <c r="Q7" i="15"/>
  <c r="T28" i="15"/>
  <c r="Y7" i="15"/>
  <c r="N28" i="15"/>
  <c r="Q28" i="15"/>
  <c r="T7" i="15"/>
  <c r="I92" i="14"/>
  <c r="H36" i="14"/>
  <c r="H60" i="14" s="1"/>
  <c r="L135" i="14" l="1"/>
  <c r="L132" i="14"/>
  <c r="L133" i="14" s="1"/>
  <c r="L101" i="14"/>
  <c r="L109" i="14" s="1"/>
  <c r="L98" i="14"/>
  <c r="L99" i="14"/>
  <c r="N76" i="14"/>
  <c r="M75" i="14"/>
  <c r="M97" i="14" s="1"/>
  <c r="K103" i="14"/>
  <c r="K126" i="14" s="1"/>
  <c r="K36" i="14"/>
  <c r="J60" i="14"/>
  <c r="G36" i="14"/>
  <c r="H92" i="14"/>
  <c r="B48" i="19"/>
  <c r="B47" i="19"/>
  <c r="B46" i="19"/>
  <c r="B45" i="19"/>
  <c r="B44" i="19"/>
  <c r="B43" i="19"/>
  <c r="B42" i="19"/>
  <c r="B41" i="19"/>
  <c r="B40" i="19"/>
  <c r="B38" i="19"/>
  <c r="B37" i="19"/>
  <c r="K127" i="14" l="1"/>
  <c r="M132" i="14"/>
  <c r="M133" i="14" s="1"/>
  <c r="M101" i="14"/>
  <c r="M109" i="14" s="1"/>
  <c r="M99" i="14"/>
  <c r="M98" i="14"/>
  <c r="N75" i="14"/>
  <c r="N97" i="14" s="1"/>
  <c r="O76" i="14"/>
  <c r="L103" i="14"/>
  <c r="L126" i="14" s="1"/>
  <c r="G92" i="14"/>
  <c r="G60" i="14"/>
  <c r="L36" i="14"/>
  <c r="K60" i="14"/>
  <c r="K92" i="14"/>
  <c r="J34" i="19"/>
  <c r="L34" i="19"/>
  <c r="I34" i="19"/>
  <c r="E151" i="14"/>
  <c r="P76" i="14" l="1"/>
  <c r="O75" i="14"/>
  <c r="O97" i="14" s="1"/>
  <c r="N101" i="14"/>
  <c r="N109" i="14" s="1"/>
  <c r="N132" i="14"/>
  <c r="N133" i="14" s="1"/>
  <c r="N99" i="14"/>
  <c r="N98" i="14"/>
  <c r="M103" i="14"/>
  <c r="M126" i="14" s="1"/>
  <c r="L127" i="14"/>
  <c r="M36" i="14"/>
  <c r="L60" i="14"/>
  <c r="L92" i="14"/>
  <c r="M34" i="19"/>
  <c r="R34" i="19" s="1"/>
  <c r="K34" i="19"/>
  <c r="P34" i="19" s="1"/>
  <c r="N34" i="19"/>
  <c r="O34" i="19"/>
  <c r="B35" i="18"/>
  <c r="B34" i="18"/>
  <c r="B33" i="18"/>
  <c r="B32" i="18"/>
  <c r="B31" i="18"/>
  <c r="N103" i="14" l="1"/>
  <c r="N126" i="14" s="1"/>
  <c r="M127" i="14"/>
  <c r="N127" i="14"/>
  <c r="O101" i="14"/>
  <c r="O109" i="14" s="1"/>
  <c r="O132" i="14"/>
  <c r="O133" i="14" s="1"/>
  <c r="O98" i="14"/>
  <c r="O99" i="14"/>
  <c r="P75" i="14"/>
  <c r="P97" i="14" s="1"/>
  <c r="Q76" i="14"/>
  <c r="N36" i="14"/>
  <c r="M60" i="14"/>
  <c r="M92" i="14"/>
  <c r="B28" i="18"/>
  <c r="B34" i="19" s="1"/>
  <c r="Q34" i="19"/>
  <c r="O103" i="14" l="1"/>
  <c r="O126" i="14" s="1"/>
  <c r="Q75" i="14"/>
  <c r="Q97" i="14" s="1"/>
  <c r="R76" i="14"/>
  <c r="P101" i="14"/>
  <c r="P132" i="14"/>
  <c r="P133" i="14" s="1"/>
  <c r="P99" i="14"/>
  <c r="P98" i="14"/>
  <c r="O127" i="14"/>
  <c r="O36" i="14"/>
  <c r="N60" i="14"/>
  <c r="N92" i="14"/>
  <c r="B6" i="16"/>
  <c r="S76" i="14" l="1"/>
  <c r="S75" i="14" s="1"/>
  <c r="S97" i="14" s="1"/>
  <c r="R75" i="14"/>
  <c r="R97" i="14" s="1"/>
  <c r="P103" i="14"/>
  <c r="P109" i="14"/>
  <c r="Q101" i="14"/>
  <c r="Q132" i="14"/>
  <c r="Q133" i="14" s="1"/>
  <c r="Q99" i="14"/>
  <c r="Q98" i="14"/>
  <c r="P36" i="14"/>
  <c r="O60" i="14"/>
  <c r="O92" i="14"/>
  <c r="L24" i="16"/>
  <c r="K24" i="16"/>
  <c r="L12" i="16"/>
  <c r="K12" i="16"/>
  <c r="R101" i="14" l="1"/>
  <c r="R132" i="14"/>
  <c r="R133" i="14" s="1"/>
  <c r="R99" i="14"/>
  <c r="R98" i="14"/>
  <c r="Q103" i="14"/>
  <c r="Q109" i="14"/>
  <c r="P126" i="14"/>
  <c r="S101" i="14"/>
  <c r="S132" i="14"/>
  <c r="S99" i="14"/>
  <c r="S98" i="14"/>
  <c r="Q36" i="14"/>
  <c r="P60" i="14"/>
  <c r="P92" i="14"/>
  <c r="L38" i="16"/>
  <c r="L37" i="16"/>
  <c r="L36" i="16"/>
  <c r="L35" i="16"/>
  <c r="L39" i="16"/>
  <c r="C33" i="17"/>
  <c r="E34" i="18"/>
  <c r="E32" i="18"/>
  <c r="E31" i="18"/>
  <c r="E33" i="18"/>
  <c r="F24" i="15"/>
  <c r="C32" i="17"/>
  <c r="S133" i="14" l="1"/>
  <c r="L13" i="14"/>
  <c r="P127" i="14"/>
  <c r="S103" i="14"/>
  <c r="S109" i="14"/>
  <c r="Q126" i="14"/>
  <c r="R103" i="14"/>
  <c r="R109" i="14"/>
  <c r="C24" i="18" a="1"/>
  <c r="R36" i="14"/>
  <c r="Q60" i="14"/>
  <c r="Q92" i="14"/>
  <c r="T45" i="15"/>
  <c r="S45" i="15"/>
  <c r="R45" i="15"/>
  <c r="F45" i="15"/>
  <c r="F22" i="14"/>
  <c r="K24" i="15" s="1"/>
  <c r="S126" i="14" l="1"/>
  <c r="S127" i="14" s="1"/>
  <c r="R126" i="14"/>
  <c r="Q127" i="14"/>
  <c r="D24" i="18"/>
  <c r="E24" i="18"/>
  <c r="C24" i="18"/>
  <c r="F24" i="18"/>
  <c r="G24" i="18"/>
  <c r="S36" i="14"/>
  <c r="R60" i="14"/>
  <c r="R92" i="14"/>
  <c r="L45" i="15"/>
  <c r="K45" i="15"/>
  <c r="T22" i="15"/>
  <c r="T21" i="15"/>
  <c r="Q19" i="15"/>
  <c r="Q18" i="15"/>
  <c r="C45" i="15"/>
  <c r="C24" i="15"/>
  <c r="B15" i="17"/>
  <c r="T19" i="15"/>
  <c r="Q22" i="15"/>
  <c r="N21" i="15"/>
  <c r="Y8" i="15"/>
  <c r="X8" i="15"/>
  <c r="W8" i="15"/>
  <c r="V8" i="15"/>
  <c r="U8" i="15"/>
  <c r="F8" i="15"/>
  <c r="I15" i="17" s="1"/>
  <c r="H15" i="17" l="1"/>
  <c r="H25" i="17" s="1"/>
  <c r="H33" i="17" s="1"/>
  <c r="J15" i="17"/>
  <c r="J25" i="17" s="1"/>
  <c r="J33" i="17" s="1"/>
  <c r="I25" i="17"/>
  <c r="L15" i="17"/>
  <c r="L25" i="17" s="1"/>
  <c r="F15" i="17"/>
  <c r="F25" i="17" s="1"/>
  <c r="F33" i="17" s="1"/>
  <c r="I32" i="17"/>
  <c r="E32" i="17"/>
  <c r="G32" i="17"/>
  <c r="H32" i="17" s="1"/>
  <c r="R127" i="14"/>
  <c r="T29" i="15"/>
  <c r="F29" i="15"/>
  <c r="S92" i="14"/>
  <c r="S60" i="14"/>
  <c r="N22" i="15"/>
  <c r="T20" i="15"/>
  <c r="R29" i="15"/>
  <c r="Q20" i="15"/>
  <c r="S29" i="15"/>
  <c r="N18" i="15"/>
  <c r="Q21" i="15"/>
  <c r="K8" i="15"/>
  <c r="K29" i="15" s="1"/>
  <c r="N19" i="15"/>
  <c r="N20" i="15"/>
  <c r="T18" i="15"/>
  <c r="O7" i="15"/>
  <c r="Y21" i="15"/>
  <c r="D32" i="17" l="1"/>
  <c r="D33" i="17"/>
  <c r="F32" i="17"/>
  <c r="G33" i="17"/>
  <c r="I33" i="17"/>
  <c r="E33" i="17"/>
  <c r="L32" i="17"/>
  <c r="L35" i="17" s="1"/>
  <c r="L41" i="17" s="1"/>
  <c r="J32" i="17"/>
  <c r="L43" i="17" s="1"/>
  <c r="Y22" i="15"/>
  <c r="Y20" i="15"/>
  <c r="Y19" i="15"/>
  <c r="Y18" i="15"/>
  <c r="N29" i="15"/>
  <c r="Q29" i="15"/>
  <c r="M29" i="15"/>
  <c r="L29" i="15"/>
  <c r="P29" i="15"/>
  <c r="O29" i="15"/>
  <c r="L33" i="17" l="1"/>
  <c r="L36" i="17" s="1"/>
  <c r="L42" i="17" s="1"/>
  <c r="L45" i="17" s="1"/>
  <c r="B2" i="17"/>
  <c r="D24" i="15"/>
  <c r="N25" i="14"/>
  <c r="N24" i="14"/>
  <c r="N23" i="14"/>
  <c r="N22" i="14"/>
  <c r="N20" i="14"/>
  <c r="N18" i="14"/>
  <c r="N17" i="14"/>
  <c r="N16" i="14"/>
  <c r="N26" i="14"/>
  <c r="F14" i="14" l="1"/>
  <c r="R130" i="14" s="1"/>
  <c r="Q130" i="14"/>
  <c r="P130" i="14"/>
  <c r="K130" i="14"/>
  <c r="O130" i="14"/>
  <c r="M130" i="14"/>
  <c r="L130" i="14"/>
  <c r="T39" i="15"/>
  <c r="T42" i="15"/>
  <c r="T43" i="15"/>
  <c r="T41" i="15"/>
  <c r="T40" i="15"/>
  <c r="N42" i="15"/>
  <c r="N41" i="15"/>
  <c r="N40" i="15"/>
  <c r="N39" i="15"/>
  <c r="N43" i="15"/>
  <c r="Q43" i="15"/>
  <c r="Q42" i="15"/>
  <c r="Q41" i="15"/>
  <c r="Q39" i="15"/>
  <c r="Q40" i="15"/>
  <c r="H132" i="14"/>
  <c r="I132" i="14"/>
  <c r="J133" i="14" s="1"/>
  <c r="H23" i="18"/>
  <c r="S130" i="14" l="1"/>
  <c r="Q13" i="14"/>
  <c r="L16" i="14"/>
  <c r="L14" i="14"/>
  <c r="N130" i="14"/>
  <c r="J130" i="14"/>
  <c r="Q17" i="14" s="1"/>
  <c r="L17" i="14"/>
  <c r="O24" i="15"/>
  <c r="H24" i="18" s="1"/>
  <c r="C20" i="18" a="1"/>
  <c r="C20" i="18" s="1"/>
  <c r="C17" i="18" a="1"/>
  <c r="C14" i="18" a="1"/>
  <c r="G132" i="14"/>
  <c r="H101" i="14"/>
  <c r="H103" i="14" s="1"/>
  <c r="I99" i="14"/>
  <c r="I101" i="14"/>
  <c r="I103" i="14" s="1"/>
  <c r="I126" i="14" s="1"/>
  <c r="J127" i="14" s="1"/>
  <c r="G101" i="14"/>
  <c r="G103" i="14" s="1"/>
  <c r="H99" i="14"/>
  <c r="L18" i="14" l="1"/>
  <c r="Q14" i="14"/>
  <c r="Q16" i="14"/>
  <c r="Q18" i="14" s="1"/>
  <c r="Q26" i="14" s="1"/>
  <c r="Q30" i="14" s="1"/>
  <c r="O45" i="15"/>
  <c r="W24" i="15"/>
  <c r="G20" i="18"/>
  <c r="D20" i="18"/>
  <c r="E20" i="18"/>
  <c r="F20" i="18"/>
  <c r="E17" i="18"/>
  <c r="D17" i="18"/>
  <c r="G17" i="18"/>
  <c r="F17" i="18"/>
  <c r="C17" i="18"/>
  <c r="E14" i="18"/>
  <c r="D14" i="18"/>
  <c r="G14" i="18"/>
  <c r="F14" i="18"/>
  <c r="C14" i="18"/>
  <c r="Q20" i="14" l="1"/>
  <c r="L26" i="14"/>
  <c r="L30" i="14" s="1"/>
  <c r="L20" i="14"/>
  <c r="D152" i="14"/>
  <c r="Q31" i="14"/>
  <c r="B29" i="17"/>
  <c r="B27" i="17"/>
  <c r="L31" i="14" l="1"/>
  <c r="D140" i="14"/>
  <c r="M35" i="16"/>
  <c r="M36" i="16"/>
  <c r="M37" i="16"/>
  <c r="M38" i="16"/>
  <c r="M39" i="16"/>
  <c r="K39" i="16"/>
  <c r="K38" i="16"/>
  <c r="K37" i="16"/>
  <c r="K36" i="16"/>
  <c r="K35" i="16"/>
  <c r="B45" i="15"/>
  <c r="B24" i="15"/>
  <c r="F39" i="15"/>
  <c r="K39" i="15"/>
  <c r="F40" i="15"/>
  <c r="K40" i="15"/>
  <c r="F41" i="15"/>
  <c r="K41" i="15"/>
  <c r="F42" i="15"/>
  <c r="K42" i="15"/>
  <c r="F43" i="15"/>
  <c r="K43" i="15"/>
  <c r="F18" i="15"/>
  <c r="K18" i="15"/>
  <c r="L18" i="15"/>
  <c r="M18" i="15"/>
  <c r="O18" i="15"/>
  <c r="P18" i="15"/>
  <c r="R18" i="15"/>
  <c r="S18" i="15"/>
  <c r="F19" i="15"/>
  <c r="K19" i="15"/>
  <c r="L19" i="15"/>
  <c r="M19" i="15"/>
  <c r="O19" i="15"/>
  <c r="P19" i="15"/>
  <c r="R19" i="15"/>
  <c r="S19" i="15"/>
  <c r="F20" i="15"/>
  <c r="K20" i="15"/>
  <c r="L20" i="15"/>
  <c r="M20" i="15"/>
  <c r="O20" i="15"/>
  <c r="P20" i="15"/>
  <c r="R20" i="15"/>
  <c r="S20" i="15"/>
  <c r="F21" i="15"/>
  <c r="K21" i="15"/>
  <c r="L21" i="15"/>
  <c r="M21" i="15"/>
  <c r="O21" i="15"/>
  <c r="P21" i="15"/>
  <c r="R21" i="15"/>
  <c r="S21" i="15"/>
  <c r="F22" i="15"/>
  <c r="K22" i="15"/>
  <c r="L22" i="15"/>
  <c r="M22" i="15"/>
  <c r="O22" i="15"/>
  <c r="P22" i="15"/>
  <c r="R22" i="15"/>
  <c r="S22" i="15"/>
  <c r="D22" i="15"/>
  <c r="D21" i="15"/>
  <c r="D20" i="15"/>
  <c r="D19" i="15"/>
  <c r="D18" i="15"/>
  <c r="C25" i="18" l="1" a="1"/>
  <c r="C23" i="18" a="1"/>
  <c r="C23" i="18" s="1"/>
  <c r="M42" i="18" s="1"/>
  <c r="B3" i="18"/>
  <c r="S41" i="15"/>
  <c r="X18" i="15"/>
  <c r="W18" i="15"/>
  <c r="V18" i="15"/>
  <c r="U19" i="15"/>
  <c r="O39" i="15"/>
  <c r="U22" i="15"/>
  <c r="V22" i="15"/>
  <c r="P39" i="15"/>
  <c r="L39" i="15"/>
  <c r="R39" i="15"/>
  <c r="U18" i="15"/>
  <c r="V20" i="15"/>
  <c r="X21" i="15"/>
  <c r="M39" i="15"/>
  <c r="S39" i="15"/>
  <c r="W19" i="15"/>
  <c r="S43" i="15"/>
  <c r="S42" i="15"/>
  <c r="S40" i="15"/>
  <c r="X19" i="15"/>
  <c r="W21" i="15"/>
  <c r="V21" i="15"/>
  <c r="V19" i="15"/>
  <c r="R43" i="15"/>
  <c r="R42" i="15"/>
  <c r="R41" i="15"/>
  <c r="R40" i="15"/>
  <c r="W22" i="15"/>
  <c r="W20" i="15"/>
  <c r="U21" i="15"/>
  <c r="P43" i="15"/>
  <c r="P42" i="15"/>
  <c r="P41" i="15"/>
  <c r="P40" i="15"/>
  <c r="X22" i="15"/>
  <c r="X20" i="15"/>
  <c r="O43" i="15"/>
  <c r="O42" i="15"/>
  <c r="O41" i="15"/>
  <c r="O40" i="15"/>
  <c r="M43" i="15"/>
  <c r="M42" i="15"/>
  <c r="M41" i="15"/>
  <c r="M40" i="15"/>
  <c r="L43" i="15"/>
  <c r="L42" i="15"/>
  <c r="L41" i="15"/>
  <c r="L40" i="15"/>
  <c r="U20" i="15"/>
  <c r="E25" i="18" l="1"/>
  <c r="K44" i="18" s="1"/>
  <c r="G25" i="18"/>
  <c r="I44" i="18" s="1"/>
  <c r="F25" i="18"/>
  <c r="J44" i="18" s="1"/>
  <c r="D25" i="18"/>
  <c r="L44" i="18" s="1"/>
  <c r="C25" i="18"/>
  <c r="M44" i="18" s="1"/>
  <c r="F23" i="18"/>
  <c r="J42" i="18" s="1"/>
  <c r="E23" i="18"/>
  <c r="K42" i="18" s="1"/>
  <c r="G23" i="18"/>
  <c r="I42" i="18" s="1"/>
  <c r="D23" i="18"/>
  <c r="L42" i="18" s="1"/>
  <c r="M43" i="18"/>
  <c r="M23" i="18" s="1"/>
  <c r="I43" i="18"/>
  <c r="I23" i="18" s="1"/>
  <c r="J43" i="18"/>
  <c r="J23" i="18" s="1"/>
  <c r="K43" i="18"/>
  <c r="K23" i="18" s="1"/>
  <c r="L43" i="18"/>
  <c r="L23" i="18" s="1"/>
  <c r="C18" i="18" a="1"/>
  <c r="E18" i="18" s="1"/>
  <c r="C12" i="18" a="1"/>
  <c r="C16" i="18" a="1"/>
  <c r="C19" i="18" a="1"/>
  <c r="C13" i="18" a="1"/>
  <c r="C15" i="18" a="1"/>
  <c r="M24" i="18" l="1"/>
  <c r="M25" i="18"/>
  <c r="J24" i="18"/>
  <c r="J25" i="18"/>
  <c r="I24" i="18"/>
  <c r="I25" i="18"/>
  <c r="L25" i="18"/>
  <c r="L24" i="18"/>
  <c r="K24" i="18"/>
  <c r="K25" i="18"/>
  <c r="I120" i="14"/>
  <c r="H95" i="14"/>
  <c r="H98" i="14"/>
  <c r="G98" i="14"/>
  <c r="I95" i="14"/>
  <c r="I98" i="14"/>
  <c r="G18" i="18"/>
  <c r="F18" i="18"/>
  <c r="C18" i="18"/>
  <c r="D18" i="18"/>
  <c r="C13" i="18"/>
  <c r="F13" i="18"/>
  <c r="G13" i="18"/>
  <c r="E13" i="18"/>
  <c r="D13" i="18"/>
  <c r="C19" i="18"/>
  <c r="E19" i="18"/>
  <c r="G19" i="18"/>
  <c r="F19" i="18"/>
  <c r="D19" i="18"/>
  <c r="C16" i="18"/>
  <c r="G16" i="18"/>
  <c r="F16" i="18"/>
  <c r="E16" i="18"/>
  <c r="D16" i="18"/>
  <c r="D12" i="18"/>
  <c r="E12" i="18"/>
  <c r="C12" i="18"/>
  <c r="F12" i="18"/>
  <c r="G12" i="18"/>
  <c r="C15" i="18"/>
  <c r="E15" i="18"/>
  <c r="D15" i="18"/>
  <c r="G15" i="18"/>
  <c r="F15" i="18"/>
  <c r="M24" i="15" l="1"/>
  <c r="P24" i="15"/>
  <c r="P45" i="15" s="1"/>
  <c r="B6" i="14"/>
  <c r="M45" i="15" l="1"/>
  <c r="X24" i="15"/>
  <c r="N24" i="15"/>
  <c r="I133" i="14"/>
  <c r="H133" i="14"/>
  <c r="Q24" i="15"/>
  <c r="Q45" i="15" s="1"/>
  <c r="U24" i="15" l="1"/>
  <c r="N45" i="15"/>
  <c r="H12" i="18" a="1"/>
  <c r="Y24" i="15"/>
  <c r="V24" i="15"/>
  <c r="H12" i="18" l="1"/>
  <c r="H19" i="18"/>
  <c r="H17" i="18"/>
  <c r="H15" i="18"/>
  <c r="K35" i="18" s="1"/>
  <c r="K15" i="18" s="1"/>
  <c r="H13" i="18"/>
  <c r="H20" i="18"/>
  <c r="H18" i="18"/>
  <c r="H16" i="18"/>
  <c r="L36" i="18" s="1"/>
  <c r="L16" i="18" s="1"/>
  <c r="H14" i="18"/>
  <c r="H107" i="14"/>
  <c r="I107" i="14"/>
  <c r="G107" i="14"/>
  <c r="M35" i="18" l="1"/>
  <c r="M15" i="18" s="1"/>
  <c r="L35" i="18"/>
  <c r="L15" i="18" s="1"/>
  <c r="I35" i="18"/>
  <c r="I15" i="18" s="1"/>
  <c r="J35" i="18"/>
  <c r="J15" i="18" s="1"/>
  <c r="K38" i="18"/>
  <c r="K18" i="18" s="1"/>
  <c r="J38" i="18"/>
  <c r="J18" i="18" s="1"/>
  <c r="M38" i="18"/>
  <c r="M18" i="18" s="1"/>
  <c r="L38" i="18"/>
  <c r="L18" i="18" s="1"/>
  <c r="I38" i="18"/>
  <c r="I18" i="18" s="1"/>
  <c r="M40" i="18"/>
  <c r="M20" i="18" s="1"/>
  <c r="L40" i="18"/>
  <c r="L20" i="18" s="1"/>
  <c r="K40" i="18"/>
  <c r="K20" i="18" s="1"/>
  <c r="J40" i="18"/>
  <c r="J20" i="18" s="1"/>
  <c r="I40" i="18"/>
  <c r="I20" i="18" s="1"/>
  <c r="M33" i="18"/>
  <c r="M13" i="18" s="1"/>
  <c r="I33" i="18"/>
  <c r="I13" i="18" s="1"/>
  <c r="K33" i="18"/>
  <c r="K13" i="18" s="1"/>
  <c r="L33" i="18"/>
  <c r="L13" i="18" s="1"/>
  <c r="J33" i="18"/>
  <c r="J13" i="18" s="1"/>
  <c r="M36" i="18"/>
  <c r="M16" i="18" s="1"/>
  <c r="K36" i="18"/>
  <c r="K16" i="18" s="1"/>
  <c r="I37" i="18"/>
  <c r="I17" i="18" s="1"/>
  <c r="J37" i="18"/>
  <c r="J17" i="18" s="1"/>
  <c r="M37" i="18"/>
  <c r="M17" i="18" s="1"/>
  <c r="L37" i="18"/>
  <c r="L17" i="18" s="1"/>
  <c r="K37" i="18"/>
  <c r="K17" i="18" s="1"/>
  <c r="J36" i="18"/>
  <c r="J16" i="18" s="1"/>
  <c r="I36" i="18"/>
  <c r="I16" i="18" s="1"/>
  <c r="J39" i="18"/>
  <c r="J19" i="18" s="1"/>
  <c r="I39" i="18"/>
  <c r="I19" i="18" s="1"/>
  <c r="K39" i="18"/>
  <c r="K19" i="18" s="1"/>
  <c r="L39" i="18"/>
  <c r="L19" i="18" s="1"/>
  <c r="M39" i="18"/>
  <c r="M19" i="18" s="1"/>
  <c r="M34" i="18"/>
  <c r="M14" i="18" s="1"/>
  <c r="L34" i="18"/>
  <c r="L14" i="18" s="1"/>
  <c r="K34" i="18"/>
  <c r="K14" i="18" s="1"/>
  <c r="J34" i="18"/>
  <c r="J14" i="18" s="1"/>
  <c r="I34" i="18"/>
  <c r="I14" i="18" s="1"/>
  <c r="K32" i="18"/>
  <c r="K12" i="18" s="1"/>
  <c r="M32" i="18"/>
  <c r="M12" i="18" s="1"/>
  <c r="I32" i="18"/>
  <c r="L32" i="18"/>
  <c r="L12" i="18" s="1"/>
  <c r="J32" i="18"/>
  <c r="J12" i="18" s="1"/>
  <c r="H126" i="14"/>
  <c r="I121" i="14"/>
  <c r="H121" i="14"/>
  <c r="E30" i="18" l="1"/>
  <c r="E35" i="18" s="1"/>
  <c r="I12" i="18"/>
  <c r="K40" i="19"/>
  <c r="M40" i="19"/>
  <c r="L42" i="19"/>
  <c r="M42" i="19"/>
  <c r="L40" i="19"/>
  <c r="K41" i="19"/>
  <c r="I41" i="19"/>
  <c r="N41" i="19" s="1"/>
  <c r="I40" i="19"/>
  <c r="N40" i="19" s="1"/>
  <c r="J42" i="19"/>
  <c r="M41" i="19"/>
  <c r="I42" i="19"/>
  <c r="N42" i="19" s="1"/>
  <c r="L41" i="19"/>
  <c r="J41" i="19"/>
  <c r="J40" i="19"/>
  <c r="K42" i="19"/>
  <c r="I127" i="14"/>
  <c r="R42" i="19" l="1"/>
  <c r="P42" i="19"/>
  <c r="O40" i="19"/>
  <c r="P41" i="19"/>
  <c r="Q40" i="19"/>
  <c r="Q42" i="19"/>
  <c r="O41" i="19"/>
  <c r="R41" i="19"/>
  <c r="R40" i="19"/>
  <c r="Q41" i="19"/>
  <c r="O42" i="19"/>
  <c r="P40" i="19"/>
  <c r="G126" i="14"/>
  <c r="G127" i="14" s="1"/>
  <c r="G121" i="14"/>
  <c r="H127" i="14" l="1"/>
  <c r="K44" i="19" l="1"/>
  <c r="M46" i="19"/>
  <c r="J47" i="19"/>
  <c r="K37" i="19"/>
  <c r="M36" i="19"/>
  <c r="J37" i="19"/>
  <c r="L43" i="19"/>
  <c r="I44" i="19"/>
  <c r="N44" i="19" s="1"/>
  <c r="K43" i="19"/>
  <c r="M45" i="19"/>
  <c r="J46" i="19"/>
  <c r="L48" i="19"/>
  <c r="I46" i="19"/>
  <c r="N46" i="19" s="1"/>
  <c r="K48" i="19"/>
  <c r="J36" i="19"/>
  <c r="L38" i="19"/>
  <c r="J48" i="19"/>
  <c r="I36" i="19"/>
  <c r="N36" i="19" s="1"/>
  <c r="K38" i="19"/>
  <c r="M44" i="19"/>
  <c r="J45" i="19"/>
  <c r="O36" i="19" l="1"/>
  <c r="Q43" i="19"/>
  <c r="P48" i="19"/>
  <c r="P37" i="19"/>
  <c r="Q38" i="19"/>
  <c r="O46" i="19"/>
  <c r="Q48" i="19"/>
  <c r="I37" i="19"/>
  <c r="N37" i="19" s="1"/>
  <c r="I47" i="19"/>
  <c r="N47" i="19" s="1"/>
  <c r="I38" i="19"/>
  <c r="N38" i="19" s="1"/>
  <c r="M47" i="19"/>
  <c r="L36" i="19"/>
  <c r="I45" i="19"/>
  <c r="N45" i="19" s="1"/>
  <c r="L44" i="19"/>
  <c r="Q44" i="19" s="1"/>
  <c r="J38" i="19"/>
  <c r="P38" i="19" s="1"/>
  <c r="M37" i="19"/>
  <c r="K47" i="19"/>
  <c r="P47" i="19" s="1"/>
  <c r="L45" i="19"/>
  <c r="J43" i="19"/>
  <c r="L46" i="19"/>
  <c r="R46" i="19" s="1"/>
  <c r="K45" i="19"/>
  <c r="P45" i="19" s="1"/>
  <c r="M38" i="19"/>
  <c r="R38" i="19" s="1"/>
  <c r="M48" i="19"/>
  <c r="R48" i="19" s="1"/>
  <c r="J44" i="19"/>
  <c r="O44" i="19" s="1"/>
  <c r="L47" i="19"/>
  <c r="I43" i="19"/>
  <c r="N43" i="19" s="1"/>
  <c r="K36" i="19"/>
  <c r="P36" i="19" s="1"/>
  <c r="K46" i="19"/>
  <c r="P46" i="19" s="1"/>
  <c r="M43" i="19"/>
  <c r="R43" i="19" s="1"/>
  <c r="I48" i="19"/>
  <c r="N48" i="19" s="1"/>
  <c r="R44" i="19" l="1"/>
  <c r="Q45" i="19"/>
  <c r="Q47" i="19"/>
  <c r="O37" i="19"/>
  <c r="O43" i="19"/>
  <c r="O48" i="19"/>
  <c r="Q36" i="19"/>
  <c r="R47" i="19"/>
  <c r="R36" i="19"/>
  <c r="P43" i="19"/>
  <c r="P44" i="19"/>
  <c r="O45" i="19"/>
  <c r="Q46" i="19"/>
  <c r="O38" i="19"/>
  <c r="R45" i="19"/>
  <c r="O47" i="19"/>
  <c r="L37" i="19"/>
  <c r="Q37" i="19" s="1"/>
  <c r="R37" i="19" l="1"/>
  <c r="E39" i="18" l="1"/>
  <c r="E40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25" authorId="0" shapeId="0" xr:uid="{5A419EA8-2D01-4E68-AEB1-93996B2052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the annual report.</t>
        </r>
      </text>
    </comment>
    <comment ref="F26" authorId="0" shapeId="0" xr:uid="{A0BCC7DC-7E99-4F6D-A6DD-7929742AF49D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Annual report says "5 new stores," but some will shut down as well.</t>
        </r>
      </text>
    </comment>
    <comment ref="J87" authorId="0" shapeId="0" xr:uid="{7AF85D7F-1962-4F64-8699-C8D4E98DBB8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Higher to get total CapEx to match $25M company figure.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381F5D6E-6484-49A6-B021-985C5A2D090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Australia 10-year government bond yield as of the time of the case study.</t>
        </r>
      </text>
    </comment>
    <comment ref="F8" authorId="0" shapeId="0" xr:uid="{3EA08A8F-1D05-4CE4-BA37-1D7335E891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Interest Expense on average Debt balance over period.</t>
        </r>
      </text>
    </comment>
  </commentList>
</comments>
</file>

<file path=xl/sharedStrings.xml><?xml version="1.0" encoding="utf-8"?>
<sst xmlns="http://schemas.openxmlformats.org/spreadsheetml/2006/main" count="548" uniqueCount="321">
  <si>
    <t>Projected</t>
  </si>
  <si>
    <t>% Revenue:</t>
  </si>
  <si>
    <t>Historical</t>
  </si>
  <si>
    <t>Revenue Growth Rate:</t>
  </si>
  <si>
    <t>Operating Margin:</t>
  </si>
  <si>
    <t>Discount Rate (WACC):</t>
  </si>
  <si>
    <t>Adjustments for Non-Cash Charges:</t>
  </si>
  <si>
    <t>Unlevered Free Cash Flow:</t>
  </si>
  <si>
    <t>% Change in Revenue:</t>
  </si>
  <si>
    <t>Net Change in Working Capital:</t>
  </si>
  <si>
    <t>Baseline Terminal EBITDA Multiple:</t>
  </si>
  <si>
    <t>Baseline Terminal Value:</t>
  </si>
  <si>
    <t>Baseline Terminal FCF Growth Rate:</t>
  </si>
  <si>
    <t>Implied Terminal FCF Growth Rate:</t>
  </si>
  <si>
    <t>Implied Terminal EBITDA Multiple:</t>
  </si>
  <si>
    <t>EBITDA:</t>
  </si>
  <si>
    <t>Company Name:</t>
  </si>
  <si>
    <t>Current Share Price:</t>
  </si>
  <si>
    <t>Implied Enterprise Value:</t>
  </si>
  <si>
    <t>Implied Equity Value:</t>
  </si>
  <si>
    <t>Diluted Shares Outstanding:</t>
  </si>
  <si>
    <t>Implied Share Price from DCF:</t>
  </si>
  <si>
    <t>Growth Rate:</t>
  </si>
  <si>
    <t>Premium / (Discount) to Current:</t>
  </si>
  <si>
    <t>Terminal Value - Multiples Method:</t>
  </si>
  <si>
    <t>Capitalization</t>
  </si>
  <si>
    <t>Share</t>
  </si>
  <si>
    <t>Equity</t>
  </si>
  <si>
    <t>Enterprise</t>
  </si>
  <si>
    <t>Company Name</t>
  </si>
  <si>
    <t>Ticker</t>
  </si>
  <si>
    <t>Price</t>
  </si>
  <si>
    <t>Value</t>
  </si>
  <si>
    <t>LTM</t>
  </si>
  <si>
    <t>Revenue</t>
  </si>
  <si>
    <t>EBITDA</t>
  </si>
  <si>
    <t>Growth</t>
  </si>
  <si>
    <t>EBITDA Margin</t>
  </si>
  <si>
    <t>Enterprise Value /</t>
  </si>
  <si>
    <t>Acquirer Name</t>
  </si>
  <si>
    <t>Target Name</t>
  </si>
  <si>
    <t>Date</t>
  </si>
  <si>
    <t>Valuation Multiples</t>
  </si>
  <si>
    <t>Transaction</t>
  </si>
  <si>
    <t xml:space="preserve">EV / </t>
  </si>
  <si>
    <t>Maximum</t>
  </si>
  <si>
    <t>75th Percentile</t>
  </si>
  <si>
    <t>Median</t>
  </si>
  <si>
    <t>25th Percentile</t>
  </si>
  <si>
    <t>Minimum</t>
  </si>
  <si>
    <t>Shares</t>
  </si>
  <si>
    <t>Risk-Free Rate:</t>
  </si>
  <si>
    <t>Equity Risk Premium:</t>
  </si>
  <si>
    <t>Pre-Tax Cost of Debt:</t>
  </si>
  <si>
    <t>Cost of Preferred Stock:</t>
  </si>
  <si>
    <t>Levered</t>
  </si>
  <si>
    <t>Preferred</t>
  </si>
  <si>
    <t>Unlevered</t>
  </si>
  <si>
    <t>Name</t>
  </si>
  <si>
    <t>Beta</t>
  </si>
  <si>
    <t>Debt</t>
  </si>
  <si>
    <t>% Debt</t>
  </si>
  <si>
    <t>Stock</t>
  </si>
  <si>
    <t>% Preferred</t>
  </si>
  <si>
    <t>% Equity</t>
  </si>
  <si>
    <t>Tax Rate</t>
  </si>
  <si>
    <t>Median:</t>
  </si>
  <si>
    <t>Cost of Equity Based on Comparables, Current Capital Structure:</t>
  </si>
  <si>
    <t>Cost of Equity Based on Historical Beta:</t>
  </si>
  <si>
    <t>WACC, Current Capital Structure:</t>
  </si>
  <si>
    <t>WACC, Current Capital Structure and Historical Cost of Equity:</t>
  </si>
  <si>
    <t>Current Capital Structure:</t>
  </si>
  <si>
    <t>Methodology Name</t>
  </si>
  <si>
    <t>75th</t>
  </si>
  <si>
    <t>25th</t>
  </si>
  <si>
    <t>Applicable</t>
  </si>
  <si>
    <t>Percentile</t>
  </si>
  <si>
    <t>Company</t>
  </si>
  <si>
    <t>Multiple</t>
  </si>
  <si>
    <t>Figure</t>
  </si>
  <si>
    <t>Public Company Comparables:</t>
  </si>
  <si>
    <t>LTM EV / Revenue:</t>
  </si>
  <si>
    <t>LTM EV / EBITDA:</t>
  </si>
  <si>
    <t>LTM P / E:</t>
  </si>
  <si>
    <t>Precedent Transactions:</t>
  </si>
  <si>
    <t>Discounted Cash Flow Analysis:</t>
  </si>
  <si>
    <t>Implied Enterprise Value or Equity Value at a Range of Multiples:</t>
  </si>
  <si>
    <t>Enterprise Value --&gt;</t>
  </si>
  <si>
    <t>Equity Value --&gt;</t>
  </si>
  <si>
    <t>(+) PV of Terminal Value:</t>
  </si>
  <si>
    <t>(+) Sum of PV of Free Cash Flows:</t>
  </si>
  <si>
    <t>% of Implied EV from Terminal Value:</t>
  </si>
  <si>
    <t>Units:</t>
  </si>
  <si>
    <t>(+) Cash &amp; Cash-Equivalents:</t>
  </si>
  <si>
    <t>(-) Total Debt:</t>
  </si>
  <si>
    <t>%</t>
  </si>
  <si>
    <t>(-) Taxes, Excluding Effect of Interest:</t>
  </si>
  <si>
    <t>Operating Income (EBIT):</t>
  </si>
  <si>
    <t>Net Operating Profit After Taxes (NOPAT):</t>
  </si>
  <si>
    <t>(-) Capital Expenditures:</t>
  </si>
  <si>
    <t>(+/-) Change in Accounts Receivable:</t>
  </si>
  <si>
    <t>(+/-) Change in Inventory:</t>
  </si>
  <si>
    <t>(+/-) Change in Other Assets:</t>
  </si>
  <si>
    <t>(+/-) Change in Accounts Payable:</t>
  </si>
  <si>
    <t>(+/-) Change in Income Tax Payable:</t>
  </si>
  <si>
    <t>Diluted</t>
  </si>
  <si>
    <t>Net Income</t>
  </si>
  <si>
    <t>Operating Statistics:</t>
  </si>
  <si>
    <t>Valuation Statistics:</t>
  </si>
  <si>
    <t>Cash</t>
  </si>
  <si>
    <t>Other &amp;</t>
  </si>
  <si>
    <t>NCI</t>
  </si>
  <si>
    <t>P / E Multiple</t>
  </si>
  <si>
    <t>Discount Rate Calculations - Assumptions:</t>
  </si>
  <si>
    <t>Comparable Companies - Unlevered Beta Calculation:</t>
  </si>
  <si>
    <t>"Optimal" Capital Structure:</t>
  </si>
  <si>
    <t>Ticker:</t>
  </si>
  <si>
    <t>Current Equity Value:</t>
  </si>
  <si>
    <t>Current Enterprise Value:</t>
  </si>
  <si>
    <t>(-) Cash &amp; Cash-Equivalents:</t>
  </si>
  <si>
    <t>(+) Total Debt:</t>
  </si>
  <si>
    <t>Cost of Equity Based on Comparables, "Optimal" Capital Structure:</t>
  </si>
  <si>
    <t>WACC, "Optimal" Capital Structure:</t>
  </si>
  <si>
    <t>Average WACC Produced by All Methods:</t>
  </si>
  <si>
    <t>N/A</t>
  </si>
  <si>
    <t>Announcement</t>
  </si>
  <si>
    <t>Sensitivity Analyses:</t>
  </si>
  <si>
    <t>Weighted Average Cost of Capital (WACC):</t>
  </si>
  <si>
    <t>Terminal EV / EBITDA Multiple (Terminal Value Calculated Using the Multiples Method):</t>
  </si>
  <si>
    <t>PV of Unlevered FCF:</t>
  </si>
  <si>
    <t>#</t>
  </si>
  <si>
    <t>Terminal FCF Growth Rate (Terminal Value Calculated Using the Gordon Growth Method):</t>
  </si>
  <si>
    <t>Expected Long-Term GDP Growth:</t>
  </si>
  <si>
    <t>Min</t>
  </si>
  <si>
    <t>Max</t>
  </si>
  <si>
    <t>Min Point</t>
  </si>
  <si>
    <t>25th Point</t>
  </si>
  <si>
    <t>Median Point</t>
  </si>
  <si>
    <t>75th Point</t>
  </si>
  <si>
    <t>Max Point</t>
  </si>
  <si>
    <t>Discount Period:</t>
  </si>
  <si>
    <t>Median EV / EBITDA of Comps:</t>
  </si>
  <si>
    <t>Last Fiscal Year:</t>
  </si>
  <si>
    <t>s</t>
  </si>
  <si>
    <t>WACC = Cost of Equity * % Equity + Cost of Debt * (1 - Tax Rate) * % Debt + Cost of Preferred Stock * % Preferred Stock</t>
  </si>
  <si>
    <t>Michael Hill International Limited</t>
  </si>
  <si>
    <t>($ AUD in Millions Except Per Share Amounts in AUD as Stated and Per Unit Amounts)</t>
  </si>
  <si>
    <t>Number of Retail Stores:</t>
  </si>
  <si>
    <t># Stores</t>
  </si>
  <si>
    <t>Australia:</t>
  </si>
  <si>
    <t>New Zealand:</t>
  </si>
  <si>
    <t>Canada:</t>
  </si>
  <si>
    <t>Revenue and Expenses:</t>
  </si>
  <si>
    <t>Exchange Rates for Translation to AUD:</t>
  </si>
  <si>
    <t>FX Rate</t>
  </si>
  <si>
    <t>$ M AUD</t>
  </si>
  <si>
    <t>$ M NZD</t>
  </si>
  <si>
    <t>$ M CAD</t>
  </si>
  <si>
    <t>EBIT Margin by Segment:</t>
  </si>
  <si>
    <t>Corporate Overhead:</t>
  </si>
  <si>
    <t>Total Stores, Fiscal Year End:</t>
  </si>
  <si>
    <t>Capital Expenditures (CapEx):</t>
  </si>
  <si>
    <t>$ M / Store</t>
  </si>
  <si>
    <t>Estimated Maintenance CapEx:</t>
  </si>
  <si>
    <t>Maintenance CapEx per Store:</t>
  </si>
  <si>
    <t>(+/-) Change in Deferred Revenue:</t>
  </si>
  <si>
    <t>(+/-) Change in Provisions:</t>
  </si>
  <si>
    <t>Rona Inc.</t>
  </si>
  <si>
    <t>The Muir Electrical Company Proprietary Limited</t>
  </si>
  <si>
    <t>Glentel Inc.</t>
  </si>
  <si>
    <t>City Farmers Retail Pty Ltd</t>
  </si>
  <si>
    <t>ACCENT FOOTWEAR NZ, Ltd.</t>
  </si>
  <si>
    <t>Lowe's Companies Canada, ULC</t>
  </si>
  <si>
    <t>JB Hi-Fi Limited (ASX:JBH)</t>
  </si>
  <si>
    <t>Rogers Communications Inc. (TSX:RCI.B)</t>
  </si>
  <si>
    <t>Geography</t>
  </si>
  <si>
    <t>P / E</t>
  </si>
  <si>
    <t>AU</t>
  </si>
  <si>
    <t>NZ</t>
  </si>
  <si>
    <t>CAN</t>
  </si>
  <si>
    <t>($ USD in Millions; CAD, NZD, and AUD Converted at Exchange Rate at Time of Transaction)</t>
  </si>
  <si>
    <t>($ AUD in Millions Except Per Share Amounts in AUD as Stated)</t>
  </si>
  <si>
    <t>ASX:ADH</t>
  </si>
  <si>
    <t>Adairs Limited</t>
  </si>
  <si>
    <t>Baby Bunting Group Limited</t>
  </si>
  <si>
    <t>ASX:BBN</t>
  </si>
  <si>
    <t>ASX:LOV</t>
  </si>
  <si>
    <t>Beacon Lighting Group Limited</t>
  </si>
  <si>
    <t>ASX:BLX</t>
  </si>
  <si>
    <t>(-) Other Non-Core-Business Assets:</t>
  </si>
  <si>
    <t>(+) Other Non-Core-Business Assets:</t>
  </si>
  <si>
    <t>(+) Other Funding Sources:</t>
  </si>
  <si>
    <t>(-) Other Funding Sources:</t>
  </si>
  <si>
    <t>Growth Rate in Sales per Store - Canada:</t>
  </si>
  <si>
    <t># of Stores and Sales per Store:</t>
  </si>
  <si>
    <t>ASX:MHJ</t>
  </si>
  <si>
    <t>(+) Depreciation &amp; Amortisation:</t>
  </si>
  <si>
    <t>Capitalisation</t>
  </si>
  <si>
    <t>Implied Per-Share Value Range</t>
  </si>
  <si>
    <t>Range of Valuation Multiples / Premiums</t>
  </si>
  <si>
    <t>Valuation Summary</t>
  </si>
  <si>
    <t>Revenue by Segment for Continuing Operations:</t>
  </si>
  <si>
    <t>Sales per Store per Year:</t>
  </si>
  <si>
    <t>Growth Rate in Sales per Store - Australia:</t>
  </si>
  <si>
    <t>Growth Rate in Sales per Store - New Zealand:</t>
  </si>
  <si>
    <t>Revenue from Continuing Operations:</t>
  </si>
  <si>
    <t>Corporate &amp; Other:</t>
  </si>
  <si>
    <t>% Book Taxes:</t>
  </si>
  <si>
    <t>Average Cost of New Stores:</t>
  </si>
  <si>
    <t># Net New Stores:</t>
  </si>
  <si>
    <t>New Stores - Estimated CapEx:</t>
  </si>
  <si>
    <t>Comparable Companies - Australia-Based Fashion/Apparel/Jewelry Specialty Retailers with FY 18 Revenue Above $100 Million AUD</t>
  </si>
  <si>
    <t>Accent Group Limited</t>
  </si>
  <si>
    <t>ASX:AX1</t>
  </si>
  <si>
    <t>Noni B Limited</t>
  </si>
  <si>
    <t>ASX:NBL</t>
  </si>
  <si>
    <t>Lovisa Holdings Limited</t>
  </si>
  <si>
    <t>Vita Group Limited</t>
  </si>
  <si>
    <t>ASX:VTG</t>
  </si>
  <si>
    <t>MotorCycle Holdings Limited</t>
  </si>
  <si>
    <t>ASX:MTO</t>
  </si>
  <si>
    <t>Nick Scali Limited</t>
  </si>
  <si>
    <t>ASX:NCK</t>
  </si>
  <si>
    <t>Net Profit After Tax:</t>
  </si>
  <si>
    <t>Net Interest Expense:</t>
  </si>
  <si>
    <t>Free Cash Flow (FCF) Projections:</t>
  </si>
  <si>
    <t>Tax Rate:</t>
  </si>
  <si>
    <t>Euro Garages Limited</t>
  </si>
  <si>
    <t>TPG Asia VII SF Pte. Ltd; TPG Growth IV SF Pte. Ltd.; TPG Clarinet Co-Invest, L.P.</t>
  </si>
  <si>
    <t>Intermediate Capital Group plc (LSE:ICP)</t>
  </si>
  <si>
    <t>Fairfax Financial Holdings Limited (TSX:FFH)</t>
  </si>
  <si>
    <t>TFG Retailers Pty Ltd</t>
  </si>
  <si>
    <t>Genesis Energy Limited (NZSE:GNE)</t>
  </si>
  <si>
    <t>Brookfield Business Partners L.P. (NYSE:BBU)</t>
  </si>
  <si>
    <t>Al-ALFIA HOLDING</t>
  </si>
  <si>
    <t>Caltex Australia Limited (ASX:CTX)</t>
  </si>
  <si>
    <t>Nutrien Ltd. (TSX:NTR)</t>
  </si>
  <si>
    <t>Epharmacy Group Pty Ltd; Aurrum Pty Ltd; Spotlight Group Holdings Pty Ltd</t>
  </si>
  <si>
    <t>Parkland Industries Ltd.</t>
  </si>
  <si>
    <t>TPG Capital, L.P.; The Carlyle Group L.P. (NasdaqGS:CG)</t>
  </si>
  <si>
    <t>TPG Capital, L.P.</t>
  </si>
  <si>
    <t>The Carlyle Group L.P. (NasdaqGS:CG)</t>
  </si>
  <si>
    <t>Archer Capital Pty Ltd.</t>
  </si>
  <si>
    <t>Sleep Country Canada Holdings Inc. (TSX:ZZZ)</t>
  </si>
  <si>
    <t>Briscoe Group Limited (NZSE:BGP)</t>
  </si>
  <si>
    <t>Accent Group Limited (ASX:AX1)</t>
  </si>
  <si>
    <t>BCE Inc. (TSX:BCE)</t>
  </si>
  <si>
    <t>Greencross Limited</t>
  </si>
  <si>
    <t>Petrol Business of Woolworths Group Limited</t>
  </si>
  <si>
    <t>RSEA Pty Ltd</t>
  </si>
  <si>
    <t>Toys"R"Us (Canada) Ltd.</t>
  </si>
  <si>
    <t>Retail Apparel Group Pty Ltd</t>
  </si>
  <si>
    <t>Nova Energy Limited, Retail LPG Business</t>
  </si>
  <si>
    <t>Loblaw Companies Limited, Gas Station Business</t>
  </si>
  <si>
    <t>Gull New Zealand Limited</t>
  </si>
  <si>
    <t>Agrium Inc.</t>
  </si>
  <si>
    <t>Hydrox Holdings Pty Ltd</t>
  </si>
  <si>
    <t>Crick Auto Group Pty Ltd</t>
  </si>
  <si>
    <t>Sleep Country Canada Inc.</t>
  </si>
  <si>
    <t>Pioneer Energy LP</t>
  </si>
  <si>
    <t>-</t>
  </si>
  <si>
    <t>Above $100 Million USD Announced Between 20 March 2014 and 20 March 2019</t>
  </si>
  <si>
    <t>Sales per Store per Year Growth Rates:</t>
  </si>
  <si>
    <t>Precedent Transactions - Specialty Retail Sellers in Australia, New Zealand, and Canada with Transaction Enterprise Values</t>
  </si>
  <si>
    <t>(+/-) Deferred Income Taxes:</t>
  </si>
  <si>
    <t>Operating Income (EBIT) by Segment:</t>
  </si>
  <si>
    <t>Minimum Growth Rate:</t>
  </si>
  <si>
    <t>Annual Change in Growth Rate:</t>
  </si>
  <si>
    <t>EBIT Margin by Segment and CapEx:</t>
  </si>
  <si>
    <t>Max # Stores:</t>
  </si>
  <si>
    <t># of New Stores per Year:</t>
  </si>
  <si>
    <t>Initial Sales per Store Growth Rate:</t>
  </si>
  <si>
    <t>Annual Margin Increase:</t>
  </si>
  <si>
    <t>Maximum Margin:</t>
  </si>
  <si>
    <t>City Chic Collective Limited</t>
  </si>
  <si>
    <t>Kathmandu Holdings Limited</t>
  </si>
  <si>
    <t>Canada - Store-Level Assumptions:</t>
  </si>
  <si>
    <t>Terminal Value - Perpetuity Growth Method:</t>
  </si>
  <si>
    <r>
      <t>Process:</t>
    </r>
    <r>
      <rPr>
        <sz val="12"/>
        <rFont val="Calibri"/>
        <family val="2"/>
        <scheme val="minor"/>
      </rPr>
      <t xml:space="preserve"> Guess some #s for the Terminal Growth Rate and Terminal Multiple, based on a target lower than GDP growth</t>
    </r>
  </si>
  <si>
    <t>and something slightly lower than the multiples of the Public Comps.</t>
  </si>
  <si>
    <r>
      <t xml:space="preserve">Then, cross-check your work and make sure that the Multiple </t>
    </r>
    <r>
      <rPr>
        <i/>
        <sz val="12"/>
        <rFont val="Calibri"/>
        <family val="2"/>
        <scheme val="minor"/>
      </rPr>
      <t>implied</t>
    </r>
    <r>
      <rPr>
        <sz val="12"/>
        <rFont val="Calibri"/>
        <family val="2"/>
        <scheme val="minor"/>
      </rPr>
      <t xml:space="preserve"> by that Growth Rate and the Growth Rate </t>
    </r>
    <r>
      <rPr>
        <i/>
        <sz val="12"/>
        <rFont val="Calibri"/>
        <family val="2"/>
        <scheme val="minor"/>
      </rPr>
      <t>implied</t>
    </r>
  </si>
  <si>
    <t>Discounting Terminal Value and Calculating the Implied Share Price</t>
  </si>
  <si>
    <t>Then, add the PV of Terminal Value to the PV of the Cash Flows to get Implied Enterprise Value, and back into Implied</t>
  </si>
  <si>
    <t>Equity Value by adding non-core-business Assets and subtracting items that represent other investor groups.</t>
  </si>
  <si>
    <t>Divide by the share count to get the Implied Share Price, and calculate premium or discount to current.</t>
  </si>
  <si>
    <t>Picking the Right #s for Terminal Value</t>
  </si>
  <si>
    <t>by your Multiple make sense.</t>
  </si>
  <si>
    <r>
      <rPr>
        <b/>
        <sz val="12"/>
        <rFont val="Calibri"/>
        <family val="2"/>
        <scheme val="minor"/>
      </rPr>
      <t>Implied Terminal EBITDA Multiple:</t>
    </r>
    <r>
      <rPr>
        <sz val="12"/>
        <rFont val="Calibri"/>
        <family val="2"/>
        <scheme val="minor"/>
      </rPr>
      <t xml:space="preserve"> Easy, just divide the Terminal Value from the Perpetuity Growth Method by the </t>
    </r>
  </si>
  <si>
    <t>Final Year EBITDA. Is it within range of the comps? Far off? What does it tell you?</t>
  </si>
  <si>
    <r>
      <rPr>
        <b/>
        <sz val="12"/>
        <rFont val="Calibri"/>
        <family val="2"/>
        <scheme val="minor"/>
      </rPr>
      <t>Implied Terminal FCF Growth Rate:</t>
    </r>
    <r>
      <rPr>
        <sz val="12"/>
        <rFont val="Calibri"/>
        <family val="2"/>
        <scheme val="minor"/>
      </rPr>
      <t xml:space="preserve"> Can use algebraic manipulation to flip around the equation and solve for the </t>
    </r>
  </si>
  <si>
    <r>
      <rPr>
        <b/>
        <sz val="12"/>
        <rFont val="Calibri"/>
        <family val="2"/>
        <scheme val="minor"/>
      </rPr>
      <t>Implied Terminal FCF Growth Rate</t>
    </r>
    <r>
      <rPr>
        <sz val="12"/>
        <rFont val="Calibri"/>
        <family val="2"/>
        <scheme val="minor"/>
      </rPr>
      <t xml:space="preserve"> = (Terminal Value * Discount Rate - Final Year FCF) / (Terminal Value + Final Year FCF)</t>
    </r>
  </si>
  <si>
    <t>growth rate if you have everything else. Comes out to:</t>
  </si>
  <si>
    <r>
      <t xml:space="preserve">Terminal Value represents Michael Hill's implied value </t>
    </r>
    <r>
      <rPr>
        <u/>
        <sz val="12"/>
        <rFont val="Calibri"/>
        <family val="2"/>
        <scheme val="minor"/>
      </rPr>
      <t>10 years in the future</t>
    </r>
    <r>
      <rPr>
        <sz val="12"/>
        <rFont val="Calibri"/>
        <family val="2"/>
        <scheme val="minor"/>
      </rPr>
      <t xml:space="preserve"> - we need to discount that to </t>
    </r>
    <r>
      <rPr>
        <u/>
        <sz val="12"/>
        <rFont val="Calibri"/>
        <family val="2"/>
        <scheme val="minor"/>
      </rPr>
      <t>what it's</t>
    </r>
  </si>
  <si>
    <r>
      <rPr>
        <u/>
        <sz val="12"/>
        <rFont val="Calibri"/>
        <family val="2"/>
        <scheme val="minor"/>
      </rPr>
      <t>worth today</t>
    </r>
    <r>
      <rPr>
        <sz val="12"/>
        <rFont val="Calibri"/>
        <family val="2"/>
        <scheme val="minor"/>
      </rPr>
      <t>, i.e., the Present Value!</t>
    </r>
  </si>
  <si>
    <t>That's why it pairs with Unlevered FCF!</t>
  </si>
  <si>
    <r>
      <t xml:space="preserve">But for public companies, we always want to get their value on a </t>
    </r>
    <r>
      <rPr>
        <u/>
        <sz val="12"/>
        <rFont val="Calibri"/>
        <family val="2"/>
        <scheme val="minor"/>
      </rPr>
      <t>per-share basis</t>
    </r>
    <r>
      <rPr>
        <sz val="12"/>
        <rFont val="Calibri"/>
        <family val="2"/>
        <scheme val="minor"/>
      </rPr>
      <t xml:space="preserve"> so we can compare it to their current</t>
    </r>
  </si>
  <si>
    <t>share price.</t>
  </si>
  <si>
    <r>
      <t>Why:</t>
    </r>
    <r>
      <rPr>
        <sz val="12"/>
        <rFont val="Calibri"/>
        <family val="2"/>
        <scheme val="minor"/>
      </rPr>
      <t xml:space="preserve"> Enterprise Value represents only the </t>
    </r>
    <r>
      <rPr>
        <u/>
        <sz val="12"/>
        <rFont val="Calibri"/>
        <family val="2"/>
        <scheme val="minor"/>
      </rPr>
      <t>core-business Assets</t>
    </r>
    <r>
      <rPr>
        <sz val="12"/>
        <rFont val="Calibri"/>
        <family val="2"/>
        <scheme val="minor"/>
      </rPr>
      <t xml:space="preserve"> to </t>
    </r>
    <r>
      <rPr>
        <u/>
        <sz val="12"/>
        <rFont val="Calibri"/>
        <family val="2"/>
        <scheme val="minor"/>
      </rPr>
      <t>all the investors in the company</t>
    </r>
    <r>
      <rPr>
        <sz val="12"/>
        <rFont val="Calibri"/>
        <family val="2"/>
        <scheme val="minor"/>
      </rPr>
      <t>.</t>
    </r>
  </si>
  <si>
    <r>
      <t xml:space="preserve">To do that, we need to calculate Equity Value, which represents </t>
    </r>
    <r>
      <rPr>
        <u/>
        <sz val="12"/>
        <rFont val="Calibri"/>
        <family val="2"/>
        <scheme val="minor"/>
      </rPr>
      <t>all Assets</t>
    </r>
    <r>
      <rPr>
        <sz val="12"/>
        <rFont val="Calibri"/>
        <family val="2"/>
        <scheme val="minor"/>
      </rPr>
      <t xml:space="preserve"> but only to </t>
    </r>
    <r>
      <rPr>
        <u/>
        <sz val="12"/>
        <rFont val="Calibri"/>
        <family val="2"/>
        <scheme val="minor"/>
      </rPr>
      <t>common shareholders</t>
    </r>
    <r>
      <rPr>
        <sz val="12"/>
        <rFont val="Calibri"/>
        <family val="2"/>
        <scheme val="minor"/>
      </rPr>
      <t>.</t>
    </r>
  </si>
  <si>
    <t>So… add non-core items (mostly Cash) and subtract out other investor groups (mostly Debt).</t>
  </si>
  <si>
    <t>Sensitivity Tables and Valuation Conclusions</t>
  </si>
  <si>
    <t xml:space="preserve">With WACC, we generally want our actual value of 9.16% to be in the middle of the range and to go up and down based </t>
  </si>
  <si>
    <t>on the range of values we found in the Discount Rate calculations. So… maybe 8.8% - 9.4%, but we want to make it a bit</t>
  </si>
  <si>
    <t>wider than that to span at least ~2% or so.</t>
  </si>
  <si>
    <t>With the Multiples and Growth Rates, similar concept - our value in the middle of a plausible range of values. So, maybe</t>
  </si>
  <si>
    <t>7-8x for the multiples and 1-2% for the growth rates; a bit smaller than those to fit the tables.</t>
  </si>
  <si>
    <r>
      <t>CONCLUSIONS:</t>
    </r>
    <r>
      <rPr>
        <sz val="12"/>
        <rFont val="Calibri"/>
        <family val="2"/>
        <scheme val="minor"/>
      </rPr>
      <t xml:space="preserve"> Yes, by any metric, this company seems extremely undervalued right now - we never even get close to</t>
    </r>
  </si>
  <si>
    <t>its current share price of $0.68, let alone $1.00. The other methodologies also confirm this.</t>
  </si>
  <si>
    <r>
      <t>However</t>
    </r>
    <r>
      <rPr>
        <sz val="12"/>
        <rFont val="Calibri"/>
        <family val="2"/>
        <scheme val="minor"/>
      </rPr>
      <t xml:space="preserve">, we're not 100% certain of this because it's not clear that we've handled the exit of its U.S. business correctly - </t>
    </r>
  </si>
  <si>
    <t>for example, are any of the Assets on MHJ's Balance Sheet for "Discontinued Operations"? What are the remaining costs</t>
  </si>
  <si>
    <t>to shut down? Even with all that, the company is still probably undervalued, but we don't know by how much.</t>
  </si>
  <si>
    <r>
      <t>Probably</t>
    </r>
    <r>
      <rPr>
        <sz val="12"/>
        <rFont val="Calibri"/>
        <family val="2"/>
        <scheme val="minor"/>
      </rPr>
      <t xml:space="preserve"> more like 30-50% undervalued, not 150%, as the DCF implies - we also haven't looked at other cases/scenarios</t>
    </r>
  </si>
  <si>
    <t>here, such as a prolonged restructuring or economics downturn in the ANZ markets (and Canada!).</t>
  </si>
  <si>
    <r>
      <t xml:space="preserve">Given this, it's probably </t>
    </r>
    <r>
      <rPr>
        <i/>
        <sz val="12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a great idea to pursue a sale of the company now since it's quite undervalued, and</t>
    </r>
  </si>
  <si>
    <t>public companies are sold based on premiums to their current share prices.</t>
  </si>
  <si>
    <t>Raising equity capital also likely doesn't make sense due to the company's low valuation - best to raise at higher valuations.</t>
  </si>
  <si>
    <r>
      <t xml:space="preserve">Raising Debt </t>
    </r>
    <r>
      <rPr>
        <i/>
        <sz val="12"/>
        <rFont val="Calibri"/>
        <family val="2"/>
        <scheme val="minor"/>
      </rPr>
      <t>may</t>
    </r>
    <r>
      <rPr>
        <sz val="12"/>
        <rFont val="Calibri"/>
        <family val="2"/>
        <scheme val="minor"/>
      </rPr>
      <t xml:space="preserve"> make more sense if the company needs it to open more stores or buy smaller companies, but we think</t>
    </r>
  </si>
  <si>
    <t>the best option for now is to focus on organic growth and prove that it has exited the U.S. successfully and turned itself</t>
  </si>
  <si>
    <t>around.</t>
  </si>
  <si>
    <t>Then, think about expanding the store count or pursuing Debt-funded add-on acquisitions.</t>
  </si>
  <si>
    <t>Link to the  Implied Share Price cells in the top left-hand corners, and then create the tables with Alt, D,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</si>
</sst>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.0_);_(&quot;$&quot;* \(#,##0.0\);_(&quot;$&quot;* &quot;-&quot;?_);_(@_)"/>
    <numFmt numFmtId="169" formatCode="0.0%;\(0.0%\)"/>
    <numFmt numFmtId="170" formatCode="_(* #,##0.0_);_(* \(#,##0.0\);_(* &quot;-&quot;?_);_(@_)"/>
    <numFmt numFmtId="171" formatCode="_(0.0\ \x_);\(0.0\ \x\);_(&quot;–&quot;_);_(@_)"/>
    <numFmt numFmtId="172" formatCode="_(0.0%_);\(0.0%\);_(&quot;–&quot;_);_(@_)"/>
    <numFmt numFmtId="173" formatCode="0.0\ \x"/>
    <numFmt numFmtId="174" formatCode="_(* #,##0.000_);_(* \(#,##0.000\);_(* &quot;-&quot;???_);_(@_)"/>
    <numFmt numFmtId="175" formatCode="_(#,##0.0%_);\(#,##0.0%\);_(&quot;–&quot;_)_%;_(@_)_%"/>
    <numFmt numFmtId="176" formatCode="_(&quot;$&quot;* #,##0.0_);_(&quot;$&quot;* \(#,##0.0\);_(&quot;$&quot;* &quot;-&quot;_);_(@_)"/>
    <numFmt numFmtId="177" formatCode="_(* #,##0.0_);_(* \(#,##0.0\);_(* &quot;-&quot;_);_(@_)"/>
    <numFmt numFmtId="178" formatCode="_(&quot;$&quot;#,##0.00_)_%;\(&quot;$&quot;#,##0.00\)_%;_(&quot;–&quot;_)_%;_(@_)_%"/>
    <numFmt numFmtId="179" formatCode="_(&quot;$&quot;* #,##0.0_);_(&quot;$&quot;* \(#,##0.0\);_(&quot;$&quot;* &quot;-&quot;??_);_(@_)"/>
    <numFmt numFmtId="180" formatCode="_(* #,##0.0_);_(* \(#,##0.0\);_(* &quot;-&quot;??_);_(@_)"/>
    <numFmt numFmtId="181" formatCode="_(0.00%_);\(0.00%\);_(&quot;–&quot;_)_%;_(@_)_%"/>
    <numFmt numFmtId="182" formatCode="_(#,##0.00_)_%;\(#,##0.00\)_%;_(&quot;–&quot;_)_%;_(@_)_%"/>
    <numFmt numFmtId="183" formatCode="_(0.0%_);\(0.0%\);_(&quot;–&quot;_)_%;_(@_)_%"/>
    <numFmt numFmtId="184" formatCode="_(#,##0.00_);\(#,##0.00\);_(&quot;–&quot;_);_(@_)"/>
    <numFmt numFmtId="185" formatCode="0.0%"/>
    <numFmt numFmtId="186" formatCode="0.00%;\(0.00%\)"/>
    <numFmt numFmtId="187" formatCode="_(#,##0.00%_);\(#,##0.00%\);_(&quot;–&quot;_)_%;_(@_)_%"/>
    <numFmt numFmtId="188" formatCode="yyyy\-mm\-dd"/>
    <numFmt numFmtId="189" formatCode="0.00%_);\(0.00%\);\-_%_);@_)"/>
    <numFmt numFmtId="190" formatCode="0.00\ \x;\(0.00\ \x\)"/>
    <numFmt numFmtId="191" formatCode="&quot;FY&quot;yy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F497D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3" borderId="7" applyNumberFormat="0" applyFont="0" applyAlignment="0" applyProtection="0"/>
    <xf numFmtId="0" fontId="4" fillId="0" borderId="0"/>
    <xf numFmtId="0" fontId="4" fillId="0" borderId="0"/>
    <xf numFmtId="0" fontId="17" fillId="0" borderId="0" applyAlignment="0"/>
    <xf numFmtId="0" fontId="4" fillId="0" borderId="0"/>
  </cellStyleXfs>
  <cellXfs count="300">
    <xf numFmtId="0" fontId="0" fillId="0" borderId="0" xfId="0"/>
    <xf numFmtId="0" fontId="5" fillId="0" borderId="0" xfId="1" applyFont="1"/>
    <xf numFmtId="178" fontId="5" fillId="0" borderId="0" xfId="1" applyNumberFormat="1" applyFont="1"/>
    <xf numFmtId="49" fontId="6" fillId="0" borderId="0" xfId="1" applyNumberFormat="1" applyFont="1"/>
    <xf numFmtId="0" fontId="6" fillId="0" borderId="0" xfId="1" applyFont="1"/>
    <xf numFmtId="0" fontId="7" fillId="0" borderId="0" xfId="1" applyFont="1"/>
    <xf numFmtId="0" fontId="6" fillId="0" borderId="0" xfId="4" applyFont="1"/>
    <xf numFmtId="168" fontId="0" fillId="0" borderId="0" xfId="0" applyNumberFormat="1"/>
    <xf numFmtId="0" fontId="8" fillId="0" borderId="0" xfId="1" applyFont="1"/>
    <xf numFmtId="0" fontId="12" fillId="6" borderId="0" xfId="1" applyFont="1" applyFill="1"/>
    <xf numFmtId="0" fontId="9" fillId="6" borderId="0" xfId="1" applyFont="1" applyFill="1" applyAlignment="1">
      <alignment horizontal="center"/>
    </xf>
    <xf numFmtId="0" fontId="10" fillId="6" borderId="0" xfId="1" applyFont="1" applyFill="1" applyAlignment="1">
      <alignment horizontal="centerContinuous"/>
    </xf>
    <xf numFmtId="0" fontId="9" fillId="6" borderId="5" xfId="1" applyFont="1" applyFill="1" applyBorder="1"/>
    <xf numFmtId="0" fontId="9" fillId="6" borderId="5" xfId="1" applyFont="1" applyFill="1" applyBorder="1" applyAlignment="1">
      <alignment horizontal="center"/>
    </xf>
    <xf numFmtId="0" fontId="11" fillId="6" borderId="0" xfId="1" applyFont="1" applyFill="1" applyAlignment="1">
      <alignment horizontal="centerContinuous"/>
    </xf>
    <xf numFmtId="0" fontId="12" fillId="6" borderId="0" xfId="1" applyFont="1" applyFill="1" applyAlignment="1">
      <alignment horizontal="centerContinuous"/>
    </xf>
    <xf numFmtId="166" fontId="13" fillId="0" borderId="0" xfId="1" applyNumberFormat="1" applyFont="1"/>
    <xf numFmtId="170" fontId="13" fillId="0" borderId="0" xfId="1" applyNumberFormat="1" applyFont="1"/>
    <xf numFmtId="168" fontId="13" fillId="0" borderId="0" xfId="1" applyNumberFormat="1" applyFont="1"/>
    <xf numFmtId="167" fontId="13" fillId="0" borderId="0" xfId="1" applyNumberFormat="1" applyFont="1"/>
    <xf numFmtId="0" fontId="8" fillId="0" borderId="1" xfId="1" applyFont="1" applyBorder="1"/>
    <xf numFmtId="0" fontId="8" fillId="0" borderId="2" xfId="1" applyFont="1" applyBorder="1"/>
    <xf numFmtId="166" fontId="8" fillId="0" borderId="2" xfId="1" applyNumberFormat="1" applyFont="1" applyBorder="1"/>
    <xf numFmtId="179" fontId="8" fillId="0" borderId="2" xfId="1" applyNumberFormat="1" applyFont="1" applyBorder="1"/>
    <xf numFmtId="175" fontId="8" fillId="0" borderId="2" xfId="1" applyNumberFormat="1" applyFont="1" applyBorder="1"/>
    <xf numFmtId="175" fontId="8" fillId="0" borderId="3" xfId="1" applyNumberFormat="1" applyFont="1" applyBorder="1"/>
    <xf numFmtId="0" fontId="8" fillId="0" borderId="17" xfId="1" applyFont="1" applyBorder="1"/>
    <xf numFmtId="167" fontId="8" fillId="0" borderId="0" xfId="1" applyNumberFormat="1" applyFont="1"/>
    <xf numFmtId="180" fontId="8" fillId="0" borderId="0" xfId="1" applyNumberFormat="1" applyFont="1"/>
    <xf numFmtId="175" fontId="8" fillId="0" borderId="0" xfId="1" applyNumberFormat="1" applyFont="1"/>
    <xf numFmtId="175" fontId="8" fillId="0" borderId="18" xfId="1" applyNumberFormat="1" applyFont="1" applyBorder="1"/>
    <xf numFmtId="0" fontId="14" fillId="9" borderId="19" xfId="1" applyFont="1" applyFill="1" applyBorder="1"/>
    <xf numFmtId="0" fontId="14" fillId="9" borderId="20" xfId="1" applyFont="1" applyFill="1" applyBorder="1"/>
    <xf numFmtId="166" fontId="14" fillId="9" borderId="20" xfId="1" applyNumberFormat="1" applyFont="1" applyFill="1" applyBorder="1"/>
    <xf numFmtId="179" fontId="14" fillId="9" borderId="20" xfId="1" applyNumberFormat="1" applyFont="1" applyFill="1" applyBorder="1"/>
    <xf numFmtId="175" fontId="14" fillId="9" borderId="20" xfId="1" applyNumberFormat="1" applyFont="1" applyFill="1" applyBorder="1"/>
    <xf numFmtId="175" fontId="14" fillId="9" borderId="21" xfId="1" applyNumberFormat="1" applyFont="1" applyFill="1" applyBorder="1"/>
    <xf numFmtId="0" fontId="14" fillId="0" borderId="0" xfId="1" applyFont="1"/>
    <xf numFmtId="0" fontId="8" fillId="0" borderId="4" xfId="1" applyFont="1" applyBorder="1"/>
    <xf numFmtId="0" fontId="14" fillId="0" borderId="5" xfId="1" applyFont="1" applyBorder="1"/>
    <xf numFmtId="167" fontId="8" fillId="0" borderId="5" xfId="1" applyNumberFormat="1" applyFont="1" applyBorder="1"/>
    <xf numFmtId="180" fontId="8" fillId="0" borderId="5" xfId="1" applyNumberFormat="1" applyFont="1" applyBorder="1"/>
    <xf numFmtId="175" fontId="8" fillId="0" borderId="5" xfId="1" applyNumberFormat="1" applyFont="1" applyBorder="1"/>
    <xf numFmtId="175" fontId="8" fillId="0" borderId="6" xfId="1" applyNumberFormat="1" applyFont="1" applyBorder="1"/>
    <xf numFmtId="0" fontId="15" fillId="10" borderId="19" xfId="1" applyFont="1" applyFill="1" applyBorder="1"/>
    <xf numFmtId="0" fontId="15" fillId="10" borderId="20" xfId="1" applyFont="1" applyFill="1" applyBorder="1"/>
    <xf numFmtId="166" fontId="15" fillId="10" borderId="20" xfId="1" applyNumberFormat="1" applyFont="1" applyFill="1" applyBorder="1"/>
    <xf numFmtId="180" fontId="15" fillId="10" borderId="20" xfId="1" applyNumberFormat="1" applyFont="1" applyFill="1" applyBorder="1"/>
    <xf numFmtId="168" fontId="15" fillId="10" borderId="20" xfId="1" applyNumberFormat="1" applyFont="1" applyFill="1" applyBorder="1"/>
    <xf numFmtId="164" fontId="15" fillId="10" borderId="20" xfId="1" applyNumberFormat="1" applyFont="1" applyFill="1" applyBorder="1"/>
    <xf numFmtId="0" fontId="16" fillId="0" borderId="0" xfId="0" applyFont="1"/>
    <xf numFmtId="168" fontId="8" fillId="0" borderId="0" xfId="1" applyNumberFormat="1" applyFont="1"/>
    <xf numFmtId="0" fontId="9" fillId="6" borderId="0" xfId="3" applyFont="1" applyFill="1" applyAlignment="1">
      <alignment horizontal="left"/>
    </xf>
    <xf numFmtId="0" fontId="9" fillId="6" borderId="0" xfId="1" applyFont="1" applyFill="1"/>
    <xf numFmtId="173" fontId="8" fillId="0" borderId="0" xfId="1" applyNumberFormat="1" applyFont="1"/>
    <xf numFmtId="170" fontId="8" fillId="0" borderId="0" xfId="1" applyNumberFormat="1" applyFont="1"/>
    <xf numFmtId="173" fontId="8" fillId="0" borderId="2" xfId="1" applyNumberFormat="1" applyFont="1" applyBorder="1"/>
    <xf numFmtId="173" fontId="8" fillId="0" borderId="3" xfId="1" applyNumberFormat="1" applyFont="1" applyBorder="1"/>
    <xf numFmtId="173" fontId="8" fillId="0" borderId="18" xfId="1" applyNumberFormat="1" applyFont="1" applyBorder="1"/>
    <xf numFmtId="173" fontId="14" fillId="9" borderId="20" xfId="1" applyNumberFormat="1" applyFont="1" applyFill="1" applyBorder="1"/>
    <xf numFmtId="173" fontId="14" fillId="9" borderId="21" xfId="1" applyNumberFormat="1" applyFont="1" applyFill="1" applyBorder="1"/>
    <xf numFmtId="173" fontId="8" fillId="0" borderId="5" xfId="1" applyNumberFormat="1" applyFont="1" applyBorder="1"/>
    <xf numFmtId="173" fontId="8" fillId="0" borderId="6" xfId="1" applyNumberFormat="1" applyFont="1" applyBorder="1"/>
    <xf numFmtId="0" fontId="8" fillId="0" borderId="2" xfId="1" applyFont="1" applyBorder="1" applyAlignment="1">
      <alignment horizontal="right"/>
    </xf>
    <xf numFmtId="0" fontId="8" fillId="0" borderId="0" xfId="1" applyFont="1" applyAlignment="1">
      <alignment horizontal="right"/>
    </xf>
    <xf numFmtId="0" fontId="14" fillId="9" borderId="20" xfId="1" applyFont="1" applyFill="1" applyBorder="1" applyAlignment="1">
      <alignment horizontal="right"/>
    </xf>
    <xf numFmtId="0" fontId="8" fillId="0" borderId="5" xfId="1" applyFont="1" applyBorder="1" applyAlignment="1">
      <alignment horizontal="right"/>
    </xf>
    <xf numFmtId="165" fontId="8" fillId="0" borderId="5" xfId="1" applyNumberFormat="1" applyFont="1" applyBorder="1"/>
    <xf numFmtId="173" fontId="15" fillId="10" borderId="20" xfId="1" applyNumberFormat="1" applyFont="1" applyFill="1" applyBorder="1"/>
    <xf numFmtId="173" fontId="15" fillId="10" borderId="0" xfId="1" applyNumberFormat="1" applyFont="1" applyFill="1"/>
    <xf numFmtId="173" fontId="15" fillId="10" borderId="22" xfId="1" applyNumberFormat="1" applyFont="1" applyFill="1" applyBorder="1"/>
    <xf numFmtId="188" fontId="18" fillId="0" borderId="0" xfId="5" applyNumberFormat="1" applyFont="1" applyAlignment="1">
      <alignment horizontal="center" vertical="top"/>
    </xf>
    <xf numFmtId="0" fontId="4" fillId="0" borderId="0" xfId="6"/>
    <xf numFmtId="175" fontId="15" fillId="10" borderId="20" xfId="1" applyNumberFormat="1" applyFont="1" applyFill="1" applyBorder="1"/>
    <xf numFmtId="0" fontId="19" fillId="0" borderId="0" xfId="0" applyFont="1"/>
    <xf numFmtId="0" fontId="8" fillId="0" borderId="0" xfId="0" applyFont="1"/>
    <xf numFmtId="168" fontId="13" fillId="0" borderId="0" xfId="0" applyNumberFormat="1" applyFont="1"/>
    <xf numFmtId="170" fontId="13" fillId="0" borderId="0" xfId="0" applyNumberFormat="1" applyFont="1"/>
    <xf numFmtId="0" fontId="15" fillId="6" borderId="5" xfId="1" applyFont="1" applyFill="1" applyBorder="1"/>
    <xf numFmtId="0" fontId="13" fillId="5" borderId="10" xfId="2" applyFont="1" applyFill="1" applyBorder="1" applyAlignment="1">
      <alignment horizontal="centerContinuous"/>
    </xf>
    <xf numFmtId="0" fontId="13" fillId="5" borderId="11" xfId="2" applyFont="1" applyFill="1" applyBorder="1" applyAlignment="1">
      <alignment horizontal="centerContinuous"/>
    </xf>
    <xf numFmtId="0" fontId="20" fillId="7" borderId="5" xfId="0" applyFont="1" applyFill="1" applyBorder="1"/>
    <xf numFmtId="0" fontId="13" fillId="5" borderId="7" xfId="2" applyFont="1" applyFill="1" applyAlignment="1">
      <alignment horizontal="centerContinuous"/>
    </xf>
    <xf numFmtId="166" fontId="13" fillId="5" borderId="9" xfId="0" applyNumberFormat="1" applyFont="1" applyFill="1" applyBorder="1"/>
    <xf numFmtId="174" fontId="13" fillId="5" borderId="8" xfId="0" applyNumberFormat="1" applyFont="1" applyFill="1" applyBorder="1"/>
    <xf numFmtId="168" fontId="14" fillId="0" borderId="0" xfId="1" applyNumberFormat="1" applyFont="1"/>
    <xf numFmtId="169" fontId="8" fillId="0" borderId="0" xfId="1" applyNumberFormat="1" applyFont="1"/>
    <xf numFmtId="0" fontId="8" fillId="0" borderId="0" xfId="1" applyFont="1" applyAlignment="1">
      <alignment horizontal="left" indent="1"/>
    </xf>
    <xf numFmtId="188" fontId="13" fillId="5" borderId="7" xfId="0" applyNumberFormat="1" applyFont="1" applyFill="1" applyBorder="1" applyAlignment="1">
      <alignment horizontal="center"/>
    </xf>
    <xf numFmtId="0" fontId="8" fillId="0" borderId="5" xfId="1" applyFont="1" applyBorder="1" applyAlignment="1">
      <alignment horizontal="left" indent="1"/>
    </xf>
    <xf numFmtId="0" fontId="8" fillId="0" borderId="5" xfId="1" applyFont="1" applyBorder="1"/>
    <xf numFmtId="0" fontId="14" fillId="7" borderId="0" xfId="1" applyFont="1" applyFill="1"/>
    <xf numFmtId="0" fontId="8" fillId="7" borderId="0" xfId="1" applyFont="1" applyFill="1"/>
    <xf numFmtId="168" fontId="20" fillId="7" borderId="0" xfId="0" applyNumberFormat="1" applyFont="1" applyFill="1"/>
    <xf numFmtId="0" fontId="22" fillId="0" borderId="0" xfId="1" applyFont="1"/>
    <xf numFmtId="169" fontId="22" fillId="0" borderId="0" xfId="1" applyNumberFormat="1" applyFont="1"/>
    <xf numFmtId="0" fontId="14" fillId="7" borderId="5" xfId="1" applyFont="1" applyFill="1" applyBorder="1" applyAlignment="1">
      <alignment horizontal="left"/>
    </xf>
    <xf numFmtId="0" fontId="8" fillId="7" borderId="5" xfId="1" applyFont="1" applyFill="1" applyBorder="1"/>
    <xf numFmtId="168" fontId="20" fillId="7" borderId="5" xfId="0" applyNumberFormat="1" applyFont="1" applyFill="1" applyBorder="1"/>
    <xf numFmtId="168" fontId="8" fillId="0" borderId="0" xfId="0" applyNumberFormat="1" applyFont="1"/>
    <xf numFmtId="170" fontId="13" fillId="5" borderId="7" xfId="0" applyNumberFormat="1" applyFont="1" applyFill="1" applyBorder="1"/>
    <xf numFmtId="170" fontId="8" fillId="0" borderId="0" xfId="0" applyNumberFormat="1" applyFont="1"/>
    <xf numFmtId="170" fontId="13" fillId="5" borderId="15" xfId="0" applyNumberFormat="1" applyFont="1" applyFill="1" applyBorder="1"/>
    <xf numFmtId="170" fontId="8" fillId="0" borderId="5" xfId="0" applyNumberFormat="1" applyFont="1" applyBorder="1"/>
    <xf numFmtId="0" fontId="14" fillId="7" borderId="2" xfId="1" applyFont="1" applyFill="1" applyBorder="1" applyAlignment="1">
      <alignment horizontal="left"/>
    </xf>
    <xf numFmtId="0" fontId="8" fillId="7" borderId="2" xfId="1" applyFont="1" applyFill="1" applyBorder="1"/>
    <xf numFmtId="170" fontId="14" fillId="7" borderId="0" xfId="1" applyNumberFormat="1" applyFont="1" applyFill="1"/>
    <xf numFmtId="174" fontId="8" fillId="0" borderId="0" xfId="0" applyNumberFormat="1" applyFont="1"/>
    <xf numFmtId="0" fontId="8" fillId="0" borderId="0" xfId="1" applyFont="1" applyAlignment="1">
      <alignment horizontal="center"/>
    </xf>
    <xf numFmtId="0" fontId="14" fillId="8" borderId="1" xfId="1" applyFont="1" applyFill="1" applyBorder="1"/>
    <xf numFmtId="0" fontId="8" fillId="8" borderId="2" xfId="1" applyFont="1" applyFill="1" applyBorder="1"/>
    <xf numFmtId="166" fontId="14" fillId="8" borderId="3" xfId="1" applyNumberFormat="1" applyFont="1" applyFill="1" applyBorder="1"/>
    <xf numFmtId="0" fontId="14" fillId="8" borderId="4" xfId="1" applyFont="1" applyFill="1" applyBorder="1"/>
    <xf numFmtId="0" fontId="8" fillId="8" borderId="5" xfId="1" applyFont="1" applyFill="1" applyBorder="1"/>
    <xf numFmtId="169" fontId="14" fillId="8" borderId="6" xfId="1" applyNumberFormat="1" applyFont="1" applyFill="1" applyBorder="1"/>
    <xf numFmtId="0" fontId="13" fillId="0" borderId="0" xfId="1" applyFont="1" applyAlignment="1">
      <alignment horizontal="center"/>
    </xf>
    <xf numFmtId="0" fontId="15" fillId="6" borderId="0" xfId="1" applyFont="1" applyFill="1"/>
    <xf numFmtId="0" fontId="15" fillId="6" borderId="12" xfId="1" applyFont="1" applyFill="1" applyBorder="1" applyAlignment="1">
      <alignment horizontal="centerContinuous"/>
    </xf>
    <xf numFmtId="0" fontId="23" fillId="6" borderId="12" xfId="1" applyFont="1" applyFill="1" applyBorder="1" applyAlignment="1">
      <alignment horizontal="centerContinuous"/>
    </xf>
    <xf numFmtId="0" fontId="23" fillId="6" borderId="14" xfId="1" applyFont="1" applyFill="1" applyBorder="1" applyAlignment="1">
      <alignment horizontal="centerContinuous"/>
    </xf>
    <xf numFmtId="0" fontId="24" fillId="6" borderId="5" xfId="1" applyFont="1" applyFill="1" applyBorder="1" applyAlignment="1">
      <alignment horizontal="center"/>
    </xf>
    <xf numFmtId="191" fontId="15" fillId="11" borderId="5" xfId="0" applyNumberFormat="1" applyFont="1" applyFill="1" applyBorder="1" applyAlignment="1">
      <alignment horizontal="center"/>
    </xf>
    <xf numFmtId="191" fontId="15" fillId="11" borderId="13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6" fontId="13" fillId="0" borderId="0" xfId="1" applyNumberFormat="1" applyFont="1"/>
    <xf numFmtId="177" fontId="13" fillId="0" borderId="0" xfId="1" applyNumberFormat="1" applyFont="1"/>
    <xf numFmtId="0" fontId="25" fillId="0" borderId="5" xfId="0" applyFont="1" applyBorder="1" applyAlignment="1">
      <alignment horizontal="center"/>
    </xf>
    <xf numFmtId="0" fontId="22" fillId="0" borderId="0" xfId="1" applyFont="1" applyAlignment="1">
      <alignment horizontal="left" indent="1"/>
    </xf>
    <xf numFmtId="0" fontId="22" fillId="0" borderId="0" xfId="1" applyFont="1" applyAlignment="1">
      <alignment horizontal="center"/>
    </xf>
    <xf numFmtId="175" fontId="22" fillId="0" borderId="0" xfId="1" applyNumberFormat="1" applyFont="1"/>
    <xf numFmtId="170" fontId="13" fillId="0" borderId="5" xfId="1" applyNumberFormat="1" applyFont="1" applyBorder="1"/>
    <xf numFmtId="0" fontId="14" fillId="0" borderId="0" xfId="1" applyFont="1" applyAlignment="1">
      <alignment horizontal="left"/>
    </xf>
    <xf numFmtId="177" fontId="8" fillId="0" borderId="0" xfId="1" applyNumberFormat="1" applyFont="1"/>
    <xf numFmtId="168" fontId="26" fillId="0" borderId="0" xfId="1" applyNumberFormat="1" applyFont="1"/>
    <xf numFmtId="170" fontId="14" fillId="0" borderId="0" xfId="1" applyNumberFormat="1" applyFont="1"/>
    <xf numFmtId="165" fontId="8" fillId="0" borderId="0" xfId="1" applyNumberFormat="1" applyFont="1"/>
    <xf numFmtId="0" fontId="8" fillId="0" borderId="0" xfId="1" applyFont="1" applyAlignment="1">
      <alignment horizontal="left" indent="2"/>
    </xf>
    <xf numFmtId="165" fontId="27" fillId="0" borderId="0" xfId="1" applyNumberFormat="1" applyFont="1"/>
    <xf numFmtId="165" fontId="27" fillId="0" borderId="5" xfId="1" applyNumberFormat="1" applyFont="1" applyBorder="1"/>
    <xf numFmtId="0" fontId="14" fillId="2" borderId="0" xfId="1" applyFont="1" applyFill="1"/>
    <xf numFmtId="0" fontId="22" fillId="2" borderId="0" xfId="1" applyFont="1" applyFill="1" applyAlignment="1">
      <alignment horizontal="center"/>
    </xf>
    <xf numFmtId="168" fontId="14" fillId="2" borderId="0" xfId="1" applyNumberFormat="1" applyFont="1" applyFill="1"/>
    <xf numFmtId="0" fontId="13" fillId="5" borderId="7" xfId="1" applyFont="1" applyFill="1" applyBorder="1" applyAlignment="1">
      <alignment horizontal="center"/>
    </xf>
    <xf numFmtId="174" fontId="8" fillId="0" borderId="0" xfId="1" applyNumberFormat="1" applyFont="1"/>
    <xf numFmtId="0" fontId="14" fillId="4" borderId="0" xfId="1" applyFont="1" applyFill="1"/>
    <xf numFmtId="0" fontId="22" fillId="4" borderId="0" xfId="1" applyFont="1" applyFill="1" applyAlignment="1">
      <alignment horizontal="center"/>
    </xf>
    <xf numFmtId="168" fontId="14" fillId="4" borderId="0" xfId="1" applyNumberFormat="1" applyFont="1" applyFill="1"/>
    <xf numFmtId="0" fontId="8" fillId="11" borderId="1" xfId="1" applyFont="1" applyFill="1" applyBorder="1"/>
    <xf numFmtId="0" fontId="8" fillId="11" borderId="20" xfId="1" applyFont="1" applyFill="1" applyBorder="1"/>
    <xf numFmtId="0" fontId="15" fillId="11" borderId="20" xfId="1" applyFont="1" applyFill="1" applyBorder="1" applyAlignment="1">
      <alignment horizontal="centerContinuous"/>
    </xf>
    <xf numFmtId="0" fontId="14" fillId="11" borderId="20" xfId="1" applyFont="1" applyFill="1" applyBorder="1" applyAlignment="1">
      <alignment horizontal="centerContinuous"/>
    </xf>
    <xf numFmtId="0" fontId="14" fillId="11" borderId="21" xfId="1" applyFont="1" applyFill="1" applyBorder="1" applyAlignment="1">
      <alignment horizontal="centerContinuous"/>
    </xf>
    <xf numFmtId="0" fontId="8" fillId="11" borderId="25" xfId="1" applyFont="1" applyFill="1" applyBorder="1"/>
    <xf numFmtId="166" fontId="28" fillId="7" borderId="0" xfId="1" applyNumberFormat="1" applyFont="1" applyFill="1"/>
    <xf numFmtId="189" fontId="13" fillId="7" borderId="20" xfId="1" applyNumberFormat="1" applyFont="1" applyFill="1" applyBorder="1" applyAlignment="1">
      <alignment horizontal="center"/>
    </xf>
    <xf numFmtId="189" fontId="8" fillId="7" borderId="20" xfId="1" applyNumberFormat="1" applyFont="1" applyFill="1" applyBorder="1" applyAlignment="1">
      <alignment horizontal="center"/>
    </xf>
    <xf numFmtId="189" fontId="14" fillId="7" borderId="20" xfId="1" applyNumberFormat="1" applyFont="1" applyFill="1" applyBorder="1" applyAlignment="1">
      <alignment horizontal="center"/>
    </xf>
    <xf numFmtId="189" fontId="8" fillId="7" borderId="21" xfId="1" applyNumberFormat="1" applyFont="1" applyFill="1" applyBorder="1" applyAlignment="1">
      <alignment horizontal="center"/>
    </xf>
    <xf numFmtId="190" fontId="13" fillId="7" borderId="18" xfId="1" applyNumberFormat="1" applyFont="1" applyFill="1" applyBorder="1" applyAlignment="1">
      <alignment horizontal="center"/>
    </xf>
    <xf numFmtId="190" fontId="8" fillId="7" borderId="18" xfId="1" applyNumberFormat="1" applyFont="1" applyFill="1" applyBorder="1" applyAlignment="1">
      <alignment horizontal="center"/>
    </xf>
    <xf numFmtId="190" fontId="14" fillId="7" borderId="18" xfId="1" applyNumberFormat="1" applyFont="1" applyFill="1" applyBorder="1" applyAlignment="1">
      <alignment horizontal="center"/>
    </xf>
    <xf numFmtId="190" fontId="8" fillId="7" borderId="6" xfId="1" applyNumberFormat="1" applyFont="1" applyFill="1" applyBorder="1" applyAlignment="1">
      <alignment horizontal="center"/>
    </xf>
    <xf numFmtId="189" fontId="13" fillId="7" borderId="18" xfId="1" applyNumberFormat="1" applyFont="1" applyFill="1" applyBorder="1" applyAlignment="1">
      <alignment horizontal="center"/>
    </xf>
    <xf numFmtId="189" fontId="8" fillId="7" borderId="18" xfId="1" applyNumberFormat="1" applyFont="1" applyFill="1" applyBorder="1" applyAlignment="1">
      <alignment horizontal="center"/>
    </xf>
    <xf numFmtId="189" fontId="14" fillId="7" borderId="18" xfId="1" applyNumberFormat="1" applyFont="1" applyFill="1" applyBorder="1" applyAlignment="1">
      <alignment horizontal="center"/>
    </xf>
    <xf numFmtId="189" fontId="8" fillId="7" borderId="26" xfId="1" applyNumberFormat="1" applyFont="1" applyFill="1" applyBorder="1" applyAlignment="1">
      <alignment horizontal="center"/>
    </xf>
    <xf numFmtId="0" fontId="0" fillId="0" borderId="0" xfId="6" applyFont="1"/>
    <xf numFmtId="0" fontId="19" fillId="0" borderId="0" xfId="6" applyFont="1"/>
    <xf numFmtId="166" fontId="21" fillId="0" borderId="0" xfId="6" applyNumberFormat="1" applyFont="1"/>
    <xf numFmtId="0" fontId="21" fillId="0" borderId="0" xfId="6" applyFont="1"/>
    <xf numFmtId="166" fontId="19" fillId="0" borderId="0" xfId="6" applyNumberFormat="1" applyFont="1"/>
    <xf numFmtId="167" fontId="21" fillId="0" borderId="0" xfId="6" applyNumberFormat="1" applyFont="1"/>
    <xf numFmtId="167" fontId="8" fillId="0" borderId="0" xfId="6" applyNumberFormat="1" applyFont="1"/>
    <xf numFmtId="1" fontId="8" fillId="0" borderId="0" xfId="1" applyNumberFormat="1" applyFont="1"/>
    <xf numFmtId="0" fontId="14" fillId="0" borderId="0" xfId="1" applyFont="1" applyAlignment="1">
      <alignment horizontal="center"/>
    </xf>
    <xf numFmtId="166" fontId="8" fillId="0" borderId="0" xfId="0" applyNumberFormat="1" applyFont="1"/>
    <xf numFmtId="166" fontId="14" fillId="0" borderId="0" xfId="0" applyNumberFormat="1" applyFont="1"/>
    <xf numFmtId="167" fontId="8" fillId="0" borderId="0" xfId="0" applyNumberFormat="1" applyFont="1"/>
    <xf numFmtId="167" fontId="14" fillId="0" borderId="0" xfId="0" applyNumberFormat="1" applyFont="1"/>
    <xf numFmtId="0" fontId="20" fillId="0" borderId="0" xfId="0" applyFont="1"/>
    <xf numFmtId="176" fontId="8" fillId="0" borderId="0" xfId="1" applyNumberFormat="1" applyFont="1"/>
    <xf numFmtId="165" fontId="13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165" fontId="13" fillId="0" borderId="0" xfId="1" applyNumberFormat="1" applyFont="1"/>
    <xf numFmtId="174" fontId="13" fillId="0" borderId="0" xfId="1" applyNumberFormat="1" applyFont="1"/>
    <xf numFmtId="170" fontId="8" fillId="0" borderId="0" xfId="1" applyNumberFormat="1" applyFont="1" applyAlignment="1">
      <alignment horizontal="center"/>
    </xf>
    <xf numFmtId="9" fontId="8" fillId="0" borderId="0" xfId="1" applyNumberFormat="1" applyFont="1" applyAlignment="1">
      <alignment horizontal="center"/>
    </xf>
    <xf numFmtId="9" fontId="13" fillId="0" borderId="0" xfId="1" applyNumberFormat="1" applyFont="1" applyAlignment="1">
      <alignment horizontal="center"/>
    </xf>
    <xf numFmtId="0" fontId="2" fillId="0" borderId="0" xfId="0" applyFont="1"/>
    <xf numFmtId="181" fontId="13" fillId="5" borderId="8" xfId="0" applyNumberFormat="1" applyFont="1" applyFill="1" applyBorder="1" applyAlignment="1">
      <alignment horizontal="center"/>
    </xf>
    <xf numFmtId="0" fontId="14" fillId="9" borderId="19" xfId="1" applyFont="1" applyFill="1" applyBorder="1" applyAlignment="1">
      <alignment horizontal="left"/>
    </xf>
    <xf numFmtId="182" fontId="14" fillId="9" borderId="20" xfId="1" applyNumberFormat="1" applyFont="1" applyFill="1" applyBorder="1"/>
    <xf numFmtId="168" fontId="14" fillId="9" borderId="20" xfId="1" applyNumberFormat="1" applyFont="1" applyFill="1" applyBorder="1"/>
    <xf numFmtId="183" fontId="14" fillId="9" borderId="20" xfId="1" applyNumberFormat="1" applyFont="1" applyFill="1" applyBorder="1"/>
    <xf numFmtId="167" fontId="14" fillId="9" borderId="21" xfId="1" applyNumberFormat="1" applyFont="1" applyFill="1" applyBorder="1"/>
    <xf numFmtId="182" fontId="15" fillId="10" borderId="20" xfId="1" applyNumberFormat="1" applyFont="1" applyFill="1" applyBorder="1"/>
    <xf numFmtId="9" fontId="15" fillId="10" borderId="20" xfId="1" applyNumberFormat="1" applyFont="1" applyFill="1" applyBorder="1"/>
    <xf numFmtId="167" fontId="15" fillId="10" borderId="21" xfId="1" applyNumberFormat="1" applyFont="1" applyFill="1" applyBorder="1"/>
    <xf numFmtId="182" fontId="8" fillId="0" borderId="2" xfId="1" applyNumberFormat="1" applyFont="1" applyBorder="1"/>
    <xf numFmtId="183" fontId="8" fillId="0" borderId="2" xfId="1" applyNumberFormat="1" applyFont="1" applyBorder="1"/>
    <xf numFmtId="185" fontId="21" fillId="0" borderId="2" xfId="1" applyNumberFormat="1" applyFont="1" applyBorder="1"/>
    <xf numFmtId="167" fontId="8" fillId="0" borderId="2" xfId="1" applyNumberFormat="1" applyFont="1" applyBorder="1"/>
    <xf numFmtId="182" fontId="8" fillId="0" borderId="0" xfId="1" applyNumberFormat="1" applyFont="1"/>
    <xf numFmtId="183" fontId="8" fillId="0" borderId="0" xfId="1" applyNumberFormat="1" applyFont="1"/>
    <xf numFmtId="185" fontId="21" fillId="0" borderId="0" xfId="1" applyNumberFormat="1" applyFont="1"/>
    <xf numFmtId="0" fontId="15" fillId="10" borderId="1" xfId="1" applyFont="1" applyFill="1" applyBorder="1"/>
    <xf numFmtId="0" fontId="15" fillId="10" borderId="2" xfId="1" applyFont="1" applyFill="1" applyBorder="1"/>
    <xf numFmtId="186" fontId="15" fillId="10" borderId="3" xfId="1" applyNumberFormat="1" applyFont="1" applyFill="1" applyBorder="1"/>
    <xf numFmtId="0" fontId="15" fillId="10" borderId="17" xfId="1" applyFont="1" applyFill="1" applyBorder="1"/>
    <xf numFmtId="0" fontId="15" fillId="10" borderId="0" xfId="1" applyFont="1" applyFill="1"/>
    <xf numFmtId="186" fontId="15" fillId="10" borderId="18" xfId="1" applyNumberFormat="1" applyFont="1" applyFill="1" applyBorder="1"/>
    <xf numFmtId="0" fontId="15" fillId="10" borderId="4" xfId="1" applyFont="1" applyFill="1" applyBorder="1"/>
    <xf numFmtId="0" fontId="15" fillId="10" borderId="5" xfId="1" applyFont="1" applyFill="1" applyBorder="1"/>
    <xf numFmtId="186" fontId="15" fillId="10" borderId="6" xfId="1" applyNumberFormat="1" applyFont="1" applyFill="1" applyBorder="1"/>
    <xf numFmtId="181" fontId="15" fillId="10" borderId="3" xfId="1" applyNumberFormat="1" applyFont="1" applyFill="1" applyBorder="1"/>
    <xf numFmtId="181" fontId="15" fillId="10" borderId="18" xfId="1" applyNumberFormat="1" applyFont="1" applyFill="1" applyBorder="1"/>
    <xf numFmtId="181" fontId="15" fillId="10" borderId="6" xfId="1" applyNumberFormat="1" applyFont="1" applyFill="1" applyBorder="1"/>
    <xf numFmtId="181" fontId="15" fillId="10" borderId="21" xfId="1" applyNumberFormat="1" applyFont="1" applyFill="1" applyBorder="1"/>
    <xf numFmtId="0" fontId="8" fillId="0" borderId="0" xfId="0" applyFont="1" applyAlignment="1">
      <alignment horizontal="center"/>
    </xf>
    <xf numFmtId="10" fontId="8" fillId="0" borderId="0" xfId="1" applyNumberFormat="1" applyFont="1"/>
    <xf numFmtId="0" fontId="1" fillId="0" borderId="0" xfId="0" applyFont="1"/>
    <xf numFmtId="0" fontId="1" fillId="0" borderId="0" xfId="4" applyFont="1"/>
    <xf numFmtId="0" fontId="1" fillId="0" borderId="0" xfId="0" applyFont="1" applyAlignment="1">
      <alignment horizontal="left" indent="1"/>
    </xf>
    <xf numFmtId="173" fontId="21" fillId="0" borderId="0" xfId="0" applyNumberFormat="1" applyFont="1"/>
    <xf numFmtId="168" fontId="21" fillId="0" borderId="0" xfId="0" applyNumberFormat="1" applyFont="1"/>
    <xf numFmtId="166" fontId="1" fillId="0" borderId="0" xfId="0" applyNumberFormat="1" applyFont="1"/>
    <xf numFmtId="170" fontId="21" fillId="0" borderId="0" xfId="0" applyNumberFormat="1" applyFont="1"/>
    <xf numFmtId="167" fontId="1" fillId="0" borderId="0" xfId="0" applyNumberFormat="1" applyFont="1"/>
    <xf numFmtId="0" fontId="20" fillId="0" borderId="0" xfId="0" applyFont="1" applyAlignment="1">
      <alignment horizontal="left"/>
    </xf>
    <xf numFmtId="167" fontId="21" fillId="0" borderId="0" xfId="0" applyNumberFormat="1" applyFont="1"/>
    <xf numFmtId="0" fontId="14" fillId="7" borderId="5" xfId="1" applyFont="1" applyFill="1" applyBorder="1"/>
    <xf numFmtId="0" fontId="1" fillId="7" borderId="5" xfId="0" applyFont="1" applyFill="1" applyBorder="1"/>
    <xf numFmtId="0" fontId="20" fillId="7" borderId="5" xfId="4" applyFont="1" applyFill="1" applyBorder="1" applyAlignment="1">
      <alignment horizontal="centerContinuous"/>
    </xf>
    <xf numFmtId="0" fontId="1" fillId="7" borderId="5" xfId="4" applyFont="1" applyFill="1" applyBorder="1" applyAlignment="1">
      <alignment horizontal="centerContinuous"/>
    </xf>
    <xf numFmtId="168" fontId="1" fillId="0" borderId="0" xfId="0" applyNumberFormat="1" applyFont="1"/>
    <xf numFmtId="170" fontId="1" fillId="0" borderId="0" xfId="0" applyNumberFormat="1" applyFont="1"/>
    <xf numFmtId="170" fontId="21" fillId="0" borderId="5" xfId="0" applyNumberFormat="1" applyFont="1" applyBorder="1"/>
    <xf numFmtId="0" fontId="20" fillId="0" borderId="2" xfId="0" applyFont="1" applyBorder="1"/>
    <xf numFmtId="169" fontId="13" fillId="0" borderId="0" xfId="1" applyNumberFormat="1" applyFont="1"/>
    <xf numFmtId="170" fontId="13" fillId="5" borderId="24" xfId="0" applyNumberFormat="1" applyFont="1" applyFill="1" applyBorder="1"/>
    <xf numFmtId="0" fontId="8" fillId="7" borderId="20" xfId="1" applyFont="1" applyFill="1" applyBorder="1"/>
    <xf numFmtId="0" fontId="13" fillId="7" borderId="20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14" fillId="7" borderId="20" xfId="1" applyFont="1" applyFill="1" applyBorder="1"/>
    <xf numFmtId="175" fontId="29" fillId="0" borderId="0" xfId="1" applyNumberFormat="1" applyFont="1"/>
    <xf numFmtId="169" fontId="29" fillId="0" borderId="0" xfId="1" applyNumberFormat="1" applyFont="1"/>
    <xf numFmtId="191" fontId="14" fillId="7" borderId="5" xfId="1" applyNumberFormat="1" applyFont="1" applyFill="1" applyBorder="1" applyAlignment="1">
      <alignment horizontal="center"/>
    </xf>
    <xf numFmtId="191" fontId="14" fillId="7" borderId="6" xfId="1" applyNumberFormat="1" applyFont="1" applyFill="1" applyBorder="1" applyAlignment="1">
      <alignment horizontal="center"/>
    </xf>
    <xf numFmtId="0" fontId="25" fillId="0" borderId="2" xfId="0" applyFont="1" applyBorder="1" applyAlignment="1">
      <alignment horizontal="center"/>
    </xf>
    <xf numFmtId="37" fontId="13" fillId="5" borderId="7" xfId="2" applyNumberFormat="1" applyFont="1" applyFill="1" applyAlignment="1">
      <alignment horizontal="center"/>
    </xf>
    <xf numFmtId="37" fontId="13" fillId="0" borderId="0" xfId="0" applyNumberFormat="1" applyFont="1"/>
    <xf numFmtId="37" fontId="20" fillId="0" borderId="2" xfId="0" applyNumberFormat="1" applyFont="1" applyBorder="1"/>
    <xf numFmtId="37" fontId="20" fillId="0" borderId="2" xfId="0" applyNumberFormat="1" applyFont="1" applyBorder="1" applyAlignment="1">
      <alignment horizontal="center"/>
    </xf>
    <xf numFmtId="166" fontId="8" fillId="0" borderId="0" xfId="1" applyNumberFormat="1" applyFont="1"/>
    <xf numFmtId="9" fontId="8" fillId="0" borderId="0" xfId="1" applyNumberFormat="1" applyFont="1"/>
    <xf numFmtId="39" fontId="8" fillId="5" borderId="7" xfId="2" applyNumberFormat="1" applyFont="1" applyFill="1" applyAlignment="1">
      <alignment horizontal="center"/>
    </xf>
    <xf numFmtId="39" fontId="13" fillId="0" borderId="0" xfId="1" applyNumberFormat="1" applyFont="1"/>
    <xf numFmtId="180" fontId="14" fillId="0" borderId="0" xfId="1" applyNumberFormat="1" applyFont="1"/>
    <xf numFmtId="174" fontId="13" fillId="5" borderId="7" xfId="2" applyNumberFormat="1" applyFont="1" applyFill="1"/>
    <xf numFmtId="181" fontId="8" fillId="5" borderId="8" xfId="0" applyNumberFormat="1" applyFont="1" applyFill="1" applyBorder="1" applyAlignment="1">
      <alignment horizontal="center"/>
    </xf>
    <xf numFmtId="0" fontId="8" fillId="0" borderId="0" xfId="1" applyFont="1" applyAlignment="1">
      <alignment wrapText="1"/>
    </xf>
    <xf numFmtId="183" fontId="21" fillId="0" borderId="0" xfId="0" applyNumberFormat="1" applyFont="1" applyAlignment="1">
      <alignment horizontal="right" vertical="top" wrapText="1"/>
    </xf>
    <xf numFmtId="170" fontId="13" fillId="5" borderId="7" xfId="2" applyNumberFormat="1" applyFont="1" applyFill="1"/>
    <xf numFmtId="170" fontId="8" fillId="5" borderId="7" xfId="2" applyNumberFormat="1" applyFont="1" applyFill="1"/>
    <xf numFmtId="187" fontId="21" fillId="0" borderId="23" xfId="0" applyNumberFormat="1" applyFont="1" applyBorder="1" applyAlignment="1">
      <alignment horizontal="center"/>
    </xf>
    <xf numFmtId="176" fontId="15" fillId="10" borderId="20" xfId="1" applyNumberFormat="1" applyFont="1" applyFill="1" applyBorder="1"/>
    <xf numFmtId="171" fontId="13" fillId="5" borderId="8" xfId="0" applyNumberFormat="1" applyFont="1" applyFill="1" applyBorder="1" applyAlignment="1">
      <alignment horizontal="center"/>
    </xf>
    <xf numFmtId="172" fontId="13" fillId="5" borderId="8" xfId="0" applyNumberFormat="1" applyFont="1" applyFill="1" applyBorder="1" applyAlignment="1">
      <alignment horizontal="center"/>
    </xf>
    <xf numFmtId="169" fontId="13" fillId="5" borderId="16" xfId="2" applyNumberFormat="1" applyFont="1" applyFill="1" applyBorder="1" applyAlignment="1">
      <alignment horizontal="center"/>
    </xf>
    <xf numFmtId="170" fontId="1" fillId="0" borderId="5" xfId="0" applyNumberFormat="1" applyFont="1" applyBorder="1"/>
    <xf numFmtId="169" fontId="13" fillId="5" borderId="7" xfId="2" applyNumberFormat="1" applyFont="1" applyFill="1" applyAlignment="1">
      <alignment horizontal="center"/>
    </xf>
    <xf numFmtId="169" fontId="8" fillId="5" borderId="7" xfId="2" applyNumberFormat="1" applyFont="1" applyFill="1" applyAlignment="1">
      <alignment horizontal="center"/>
    </xf>
    <xf numFmtId="0" fontId="9" fillId="11" borderId="5" xfId="1" applyFont="1" applyFill="1" applyBorder="1"/>
    <xf numFmtId="14" fontId="15" fillId="6" borderId="5" xfId="1" applyNumberFormat="1" applyFont="1" applyFill="1" applyBorder="1" applyAlignment="1">
      <alignment horizontal="center"/>
    </xf>
    <xf numFmtId="37" fontId="8" fillId="5" borderId="7" xfId="2" applyNumberFormat="1" applyFont="1" applyFill="1" applyAlignment="1">
      <alignment horizontal="center"/>
    </xf>
    <xf numFmtId="37" fontId="13" fillId="5" borderId="9" xfId="2" applyNumberFormat="1" applyFont="1" applyFill="1" applyBorder="1" applyAlignment="1">
      <alignment horizontal="center"/>
    </xf>
    <xf numFmtId="0" fontId="32" fillId="0" borderId="0" xfId="0" applyFont="1"/>
    <xf numFmtId="9" fontId="1" fillId="0" borderId="0" xfId="0" applyNumberFormat="1" applyFont="1"/>
    <xf numFmtId="184" fontId="1" fillId="0" borderId="0" xfId="0" applyNumberFormat="1" applyFont="1"/>
    <xf numFmtId="0" fontId="33" fillId="6" borderId="5" xfId="0" applyFont="1" applyFill="1" applyBorder="1"/>
    <xf numFmtId="0" fontId="34" fillId="6" borderId="5" xfId="0" applyFont="1" applyFill="1" applyBorder="1"/>
    <xf numFmtId="0" fontId="34" fillId="0" borderId="0" xfId="0" applyFont="1"/>
    <xf numFmtId="181" fontId="13" fillId="0" borderId="0" xfId="0" applyNumberFormat="1" applyFont="1"/>
    <xf numFmtId="1" fontId="21" fillId="0" borderId="0" xfId="0" applyNumberFormat="1" applyFont="1"/>
    <xf numFmtId="0" fontId="21" fillId="0" borderId="0" xfId="0" applyFont="1"/>
    <xf numFmtId="0" fontId="13" fillId="0" borderId="0" xfId="0" applyFont="1"/>
    <xf numFmtId="1" fontId="13" fillId="0" borderId="0" xfId="0" applyNumberFormat="1" applyFont="1"/>
    <xf numFmtId="182" fontId="13" fillId="0" borderId="0" xfId="0" applyNumberFormat="1" applyFont="1"/>
    <xf numFmtId="183" fontId="8" fillId="0" borderId="0" xfId="0" applyNumberFormat="1" applyFont="1"/>
    <xf numFmtId="0" fontId="1" fillId="0" borderId="0" xfId="0" applyFont="1" applyFill="1" applyBorder="1"/>
    <xf numFmtId="0" fontId="32" fillId="0" borderId="0" xfId="0" applyFont="1" applyFill="1" applyBorder="1"/>
    <xf numFmtId="0" fontId="1" fillId="0" borderId="0" xfId="0" quotePrefix="1" applyFont="1" applyFill="1" applyBorder="1"/>
    <xf numFmtId="0" fontId="8" fillId="0" borderId="0" xfId="1" applyFont="1" applyFill="1" applyBorder="1"/>
    <xf numFmtId="0" fontId="32" fillId="0" borderId="0" xfId="1" applyFont="1"/>
    <xf numFmtId="0" fontId="32" fillId="0" borderId="0" xfId="1" applyFont="1" applyFill="1" applyBorder="1"/>
    <xf numFmtId="0" fontId="14" fillId="0" borderId="0" xfId="1" applyFont="1" applyFill="1" applyBorder="1"/>
    <xf numFmtId="0" fontId="22" fillId="0" borderId="0" xfId="1" applyFont="1" applyFill="1" applyBorder="1"/>
    <xf numFmtId="0" fontId="15" fillId="11" borderId="25" xfId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7">
    <cellStyle name="Normal" xfId="0" builtinId="0"/>
    <cellStyle name="Normal 2" xfId="1" xr:uid="{00000000-0005-0000-0000-000001000000}"/>
    <cellStyle name="Normal 3 2" xfId="3" xr:uid="{00000000-0005-0000-0000-000002000000}"/>
    <cellStyle name="Normal 3 4" xfId="6" xr:uid="{00000000-0005-0000-0000-000003000000}"/>
    <cellStyle name="Normal 5 2" xfId="4" xr:uid="{00000000-0005-0000-0000-000004000000}"/>
    <cellStyle name="Note" xfId="2" builtinId="10"/>
    <cellStyle name="TextNormal" xfId="5" xr:uid="{00000000-0005-0000-0000-000006000000}"/>
  </cellStyles>
  <dxfs count="0"/>
  <tableStyles count="0" defaultTableStyle="TableStyleMedium9" defaultPivotStyle="PivotStyleLight16"/>
  <colors>
    <mruColors>
      <color rgb="FF0000FF"/>
      <color rgb="FFB2B2B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</a:rPr>
              <a:t>Michael Hill Valuation - Range</a:t>
            </a:r>
            <a:r>
              <a:rPr lang="en-US" sz="1400" b="1" baseline="0">
                <a:solidFill>
                  <a:sysClr val="windowText" lastClr="000000"/>
                </a:solidFill>
              </a:rPr>
              <a:t> of Implied 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ValGraph!$N$33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ValGraph!$B$34:$B$49</c:f>
              <c:strCache>
                <c:ptCount val="15"/>
                <c:pt idx="0">
                  <c:v>8.66% - 9.66% WACC, 1.40% - 1.80% Terminal FCF Growth Rate:</c:v>
                </c:pt>
                <c:pt idx="2">
                  <c:v>LTM P / E:</c:v>
                </c:pt>
                <c:pt idx="3">
                  <c:v>LTM EV / EBITDA:</c:v>
                </c:pt>
                <c:pt idx="4">
                  <c:v>LTM EV / Revenue:</c:v>
                </c:pt>
                <c:pt idx="6">
                  <c:v>FY 20 P / E:</c:v>
                </c:pt>
                <c:pt idx="7">
                  <c:v>FY 19 P / E:</c:v>
                </c:pt>
                <c:pt idx="8">
                  <c:v>LTM P / E:</c:v>
                </c:pt>
                <c:pt idx="9">
                  <c:v>FY 20 EV / EBITDA:</c:v>
                </c:pt>
                <c:pt idx="10">
                  <c:v>FY 19 EV / EBITDA:</c:v>
                </c:pt>
                <c:pt idx="11">
                  <c:v>LTM EV / EBITDA:</c:v>
                </c:pt>
                <c:pt idx="12">
                  <c:v>FY 20 EV / Revenue:</c:v>
                </c:pt>
                <c:pt idx="13">
                  <c:v>FY 19 EV / Revenue:</c:v>
                </c:pt>
                <c:pt idx="14">
                  <c:v>LTM EV / Revenue:</c:v>
                </c:pt>
              </c:strCache>
            </c:strRef>
          </c:cat>
          <c:val>
            <c:numRef>
              <c:f>ValGraph!$N$34:$N$49</c:f>
              <c:numCache>
                <c:formatCode>General</c:formatCode>
                <c:ptCount val="16"/>
                <c:pt idx="0" formatCode="_(&quot;$&quot;* #,##0.00_);_(&quot;$&quot;* \(#,##0.00\);_(&quot;$&quot;* &quot;-&quot;??_);_(@_)">
                  <c:v>1.5260572412805526</c:v>
                </c:pt>
                <c:pt idx="2" formatCode="_(* #,##0.00_);_(* \(#,##0.00\);_(* &quot;-&quot;??_);_(@_)">
                  <c:v>1.1757310039386246</c:v>
                </c:pt>
                <c:pt idx="3" formatCode="_(* #,##0.00_);_(* \(#,##0.00\);_(* &quot;-&quot;??_);_(@_)">
                  <c:v>1.1035507642842466</c:v>
                </c:pt>
                <c:pt idx="4" formatCode="_(* #,##0.00_);_(* \(#,##0.00\);_(* &quot;-&quot;??_);_(@_)">
                  <c:v>0.46031862448944705</c:v>
                </c:pt>
                <c:pt idx="6" formatCode="_(* #,##0.00_);_(* \(#,##0.00\);_(* &quot;-&quot;??_);_(@_)">
                  <c:v>0.71054356130107732</c:v>
                </c:pt>
                <c:pt idx="7" formatCode="_(* #,##0.00_);_(* \(#,##0.00\);_(* &quot;-&quot;??_);_(@_)">
                  <c:v>0.83044819080364884</c:v>
                </c:pt>
                <c:pt idx="8" formatCode="_(* #,##0.00_);_(* \(#,##0.00\);_(* &quot;-&quot;??_);_(@_)">
                  <c:v>0.87113454649002997</c:v>
                </c:pt>
                <c:pt idx="9" formatCode="_(* #,##0.00_);_(* \(#,##0.00\);_(* &quot;-&quot;??_);_(@_)">
                  <c:v>0.52327072863559587</c:v>
                </c:pt>
                <c:pt idx="10" formatCode="_(* #,##0.00_);_(* \(#,##0.00\);_(* &quot;-&quot;??_);_(@_)">
                  <c:v>0.81682397796653805</c:v>
                </c:pt>
                <c:pt idx="11" formatCode="_(* #,##0.00_);_(* \(#,##0.00\);_(* &quot;-&quot;??_);_(@_)">
                  <c:v>0.99674828389546377</c:v>
                </c:pt>
                <c:pt idx="12" formatCode="_(* #,##0.00_);_(* \(#,##0.00\);_(* &quot;-&quot;??_);_(@_)">
                  <c:v>0.34397095163691038</c:v>
                </c:pt>
                <c:pt idx="13" formatCode="_(* #,##0.00_);_(* \(#,##0.00\);_(* &quot;-&quot;??_);_(@_)">
                  <c:v>0.35099636683399799</c:v>
                </c:pt>
                <c:pt idx="14" formatCode="_(* #,##0.00_);_(* \(#,##0.00\);_(* &quot;-&quot;??_);_(@_)">
                  <c:v>0.40845767804282507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F-4786-BA0E-F3FEB1342C2F}"/>
            </c:ext>
          </c:extLst>
        </c:ser>
        <c:ser>
          <c:idx val="1"/>
          <c:order val="1"/>
          <c:tx>
            <c:strRef>
              <c:f>ValGraph!$O$33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ValGraph!$B$34:$B$49</c:f>
              <c:strCache>
                <c:ptCount val="15"/>
                <c:pt idx="0">
                  <c:v>8.66% - 9.66% WACC, 1.40% - 1.80% Terminal FCF Growth Rate:</c:v>
                </c:pt>
                <c:pt idx="2">
                  <c:v>LTM P / E:</c:v>
                </c:pt>
                <c:pt idx="3">
                  <c:v>LTM EV / EBITDA:</c:v>
                </c:pt>
                <c:pt idx="4">
                  <c:v>LTM EV / Revenue:</c:v>
                </c:pt>
                <c:pt idx="6">
                  <c:v>FY 20 P / E:</c:v>
                </c:pt>
                <c:pt idx="7">
                  <c:v>FY 19 P / E:</c:v>
                </c:pt>
                <c:pt idx="8">
                  <c:v>LTM P / E:</c:v>
                </c:pt>
                <c:pt idx="9">
                  <c:v>FY 20 EV / EBITDA:</c:v>
                </c:pt>
                <c:pt idx="10">
                  <c:v>FY 19 EV / EBITDA:</c:v>
                </c:pt>
                <c:pt idx="11">
                  <c:v>LTM EV / EBITDA:</c:v>
                </c:pt>
                <c:pt idx="12">
                  <c:v>FY 20 EV / Revenue:</c:v>
                </c:pt>
                <c:pt idx="13">
                  <c:v>FY 19 EV / Revenue:</c:v>
                </c:pt>
                <c:pt idx="14">
                  <c:v>LTM EV / Revenue:</c:v>
                </c:pt>
              </c:strCache>
            </c:strRef>
          </c:cat>
          <c:val>
            <c:numRef>
              <c:f>ValGraph!$O$34:$O$49</c:f>
              <c:numCache>
                <c:formatCode>General</c:formatCode>
                <c:ptCount val="16"/>
                <c:pt idx="0" formatCode="_(&quot;$&quot;* #,##0.00_);_(&quot;$&quot;* \(#,##0.00\);_(&quot;$&quot;* &quot;-&quot;??_);_(@_)">
                  <c:v>6.3408174280472185E-2</c:v>
                </c:pt>
                <c:pt idx="2" formatCode="_(* #,##0.00_);_(* \(#,##0.00\);_(* &quot;-&quot;??_);_(@_)">
                  <c:v>0.3921272887509859</c:v>
                </c:pt>
                <c:pt idx="3" formatCode="_(* #,##0.00_);_(* \(#,##0.00\);_(* &quot;-&quot;??_);_(@_)">
                  <c:v>0.39212728875098568</c:v>
                </c:pt>
                <c:pt idx="4" formatCode="_(* #,##0.00_);_(* \(#,##0.00\);_(* &quot;-&quot;??_);_(@_)">
                  <c:v>0.85553471662143887</c:v>
                </c:pt>
                <c:pt idx="6" formatCode="_(* #,##0.00_);_(* \(#,##0.00\);_(* &quot;-&quot;??_);_(@_)">
                  <c:v>0.14032734394167101</c:v>
                </c:pt>
                <c:pt idx="7" formatCode="_(* #,##0.00_);_(* \(#,##0.00\);_(* &quot;-&quot;??_);_(@_)">
                  <c:v>0.12808703093051632</c:v>
                </c:pt>
                <c:pt idx="8" formatCode="_(* #,##0.00_);_(* \(#,##0.00\);_(* &quot;-&quot;??_);_(@_)">
                  <c:v>0.17533325524293497</c:v>
                </c:pt>
                <c:pt idx="9" formatCode="_(* #,##0.00_);_(* \(#,##0.00\);_(* &quot;-&quot;??_);_(@_)">
                  <c:v>0.37377752763665784</c:v>
                </c:pt>
                <c:pt idx="10" formatCode="_(* #,##0.00_);_(* \(#,##0.00\);_(* &quot;-&quot;??_);_(@_)">
                  <c:v>0.16834224190393832</c:v>
                </c:pt>
                <c:pt idx="11" formatCode="_(* #,##0.00_);_(* \(#,##0.00\);_(* &quot;-&quot;??_);_(@_)">
                  <c:v>0.29522606232962478</c:v>
                </c:pt>
                <c:pt idx="12" formatCode="_(* #,##0.00_);_(* \(#,##0.00\);_(* &quot;-&quot;??_);_(@_)">
                  <c:v>0.37520833180440361</c:v>
                </c:pt>
                <c:pt idx="13" formatCode="_(* #,##0.00_);_(* \(#,##0.00\);_(* &quot;-&quot;??_);_(@_)">
                  <c:v>0.38378851494779914</c:v>
                </c:pt>
                <c:pt idx="14" formatCode="_(* #,##0.00_);_(* \(#,##0.00\);_(* &quot;-&quot;??_);_(@_)">
                  <c:v>0.5498498873334815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2F-4786-BA0E-F3FEB1342C2F}"/>
            </c:ext>
          </c:extLst>
        </c:ser>
        <c:ser>
          <c:idx val="2"/>
          <c:order val="2"/>
          <c:tx>
            <c:v>25th to Median</c:v>
          </c:tx>
          <c:spPr>
            <a:solidFill>
              <a:schemeClr val="accent1">
                <a:tint val="86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ValGraph!$B$34:$B$49</c:f>
              <c:strCache>
                <c:ptCount val="15"/>
                <c:pt idx="0">
                  <c:v>8.66% - 9.66% WACC, 1.40% - 1.80% Terminal FCF Growth Rate:</c:v>
                </c:pt>
                <c:pt idx="2">
                  <c:v>LTM P / E:</c:v>
                </c:pt>
                <c:pt idx="3">
                  <c:v>LTM EV / EBITDA:</c:v>
                </c:pt>
                <c:pt idx="4">
                  <c:v>LTM EV / Revenue:</c:v>
                </c:pt>
                <c:pt idx="6">
                  <c:v>FY 20 P / E:</c:v>
                </c:pt>
                <c:pt idx="7">
                  <c:v>FY 19 P / E:</c:v>
                </c:pt>
                <c:pt idx="8">
                  <c:v>LTM P / E:</c:v>
                </c:pt>
                <c:pt idx="9">
                  <c:v>FY 20 EV / EBITDA:</c:v>
                </c:pt>
                <c:pt idx="10">
                  <c:v>FY 19 EV / EBITDA:</c:v>
                </c:pt>
                <c:pt idx="11">
                  <c:v>LTM EV / EBITDA:</c:v>
                </c:pt>
                <c:pt idx="12">
                  <c:v>FY 20 EV / Revenue:</c:v>
                </c:pt>
                <c:pt idx="13">
                  <c:v>FY 19 EV / Revenue:</c:v>
                </c:pt>
                <c:pt idx="14">
                  <c:v>LTM EV / Revenue:</c:v>
                </c:pt>
              </c:strCache>
            </c:strRef>
          </c:cat>
          <c:val>
            <c:numRef>
              <c:f>ValGraph!$P$34:$P$49</c:f>
              <c:numCache>
                <c:formatCode>General</c:formatCode>
                <c:ptCount val="16"/>
                <c:pt idx="0" formatCode="_(&quot;$&quot;* #,##0.00_);_(&quot;$&quot;* \(#,##0.00\);_(&quot;$&quot;* &quot;-&quot;??_);_(@_)">
                  <c:v>6.9018283466850461E-2</c:v>
                </c:pt>
                <c:pt idx="2" formatCode="_(* #,##0.00_);_(* \(#,##0.00\);_(* &quot;-&quot;??_);_(@_)">
                  <c:v>0.29891202061194311</c:v>
                </c:pt>
                <c:pt idx="3" formatCode="_(* #,##0.00_);_(* \(#,##0.00\);_(* &quot;-&quot;??_);_(@_)">
                  <c:v>0.29891202061194289</c:v>
                </c:pt>
                <c:pt idx="4" formatCode="_(* #,##0.00_);_(* \(#,##0.00\);_(* &quot;-&quot;??_);_(@_)">
                  <c:v>0.46543450476665704</c:v>
                </c:pt>
                <c:pt idx="6" formatCode="_(* #,##0.00_);_(* \(#,##0.00\);_(* &quot;-&quot;??_);_(@_)">
                  <c:v>8.0018601323269212E-2</c:v>
                </c:pt>
                <c:pt idx="7" formatCode="_(* #,##0.00_);_(* \(#,##0.00\);_(* &quot;-&quot;??_);_(@_)">
                  <c:v>0.23187519075389473</c:v>
                </c:pt>
                <c:pt idx="8" formatCode="_(* #,##0.00_);_(* \(#,##0.00\);_(* &quot;-&quot;??_);_(@_)">
                  <c:v>0.11152324107388134</c:v>
                </c:pt>
                <c:pt idx="9" formatCode="_(* #,##0.00_);_(* \(#,##0.00\);_(* &quot;-&quot;??_);_(@_)">
                  <c:v>0.33113382163848848</c:v>
                </c:pt>
                <c:pt idx="10" formatCode="_(* #,##0.00_);_(* \(#,##0.00\);_(* &quot;-&quot;??_);_(@_)">
                  <c:v>0.39855496829605042</c:v>
                </c:pt>
                <c:pt idx="11" formatCode="_(* #,##0.00_);_(* \(#,##0.00\);_(* &quot;-&quot;??_);_(@_)">
                  <c:v>5.6461564047713964E-2</c:v>
                </c:pt>
                <c:pt idx="12" formatCode="_(* #,##0.00_);_(* \(#,##0.00\);_(* &quot;-&quot;??_);_(@_)">
                  <c:v>0.43341075436605103</c:v>
                </c:pt>
                <c:pt idx="13" formatCode="_(* #,##0.00_);_(* \(#,##0.00\);_(* &quot;-&quot;??_);_(@_)">
                  <c:v>0.50830427582344762</c:v>
                </c:pt>
                <c:pt idx="14" formatCode="_(* #,##0.00_);_(* \(#,##0.00\);_(* &quot;-&quot;??_);_(@_)">
                  <c:v>0.44381770164820333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2F-4786-BA0E-F3FEB1342C2F}"/>
            </c:ext>
          </c:extLst>
        </c:ser>
        <c:ser>
          <c:idx val="3"/>
          <c:order val="3"/>
          <c:tx>
            <c:v>Median to 75th</c:v>
          </c:tx>
          <c:spPr>
            <a:solidFill>
              <a:schemeClr val="accent1">
                <a:tint val="58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ValGraph!$B$34:$B$49</c:f>
              <c:strCache>
                <c:ptCount val="15"/>
                <c:pt idx="0">
                  <c:v>8.66% - 9.66% WACC, 1.40% - 1.80% Terminal FCF Growth Rate:</c:v>
                </c:pt>
                <c:pt idx="2">
                  <c:v>LTM P / E:</c:v>
                </c:pt>
                <c:pt idx="3">
                  <c:v>LTM EV / EBITDA:</c:v>
                </c:pt>
                <c:pt idx="4">
                  <c:v>LTM EV / Revenue:</c:v>
                </c:pt>
                <c:pt idx="6">
                  <c:v>FY 20 P / E:</c:v>
                </c:pt>
                <c:pt idx="7">
                  <c:v>FY 19 P / E:</c:v>
                </c:pt>
                <c:pt idx="8">
                  <c:v>LTM P / E:</c:v>
                </c:pt>
                <c:pt idx="9">
                  <c:v>FY 20 EV / EBITDA:</c:v>
                </c:pt>
                <c:pt idx="10">
                  <c:v>FY 19 EV / EBITDA:</c:v>
                </c:pt>
                <c:pt idx="11">
                  <c:v>LTM EV / EBITDA:</c:v>
                </c:pt>
                <c:pt idx="12">
                  <c:v>FY 20 EV / Revenue:</c:v>
                </c:pt>
                <c:pt idx="13">
                  <c:v>FY 19 EV / Revenue:</c:v>
                </c:pt>
                <c:pt idx="14">
                  <c:v>LTM EV / Revenue:</c:v>
                </c:pt>
              </c:strCache>
            </c:strRef>
          </c:cat>
          <c:val>
            <c:numRef>
              <c:f>ValGraph!$Q$34:$Q$49</c:f>
              <c:numCache>
                <c:formatCode>General</c:formatCode>
                <c:ptCount val="16"/>
                <c:pt idx="0" formatCode="_(&quot;$&quot;* #,##0.00_);_(&quot;$&quot;* \(#,##0.00\);_(&quot;$&quot;* &quot;-&quot;??_);_(@_)">
                  <c:v>7.542912200168872E-2</c:v>
                </c:pt>
                <c:pt idx="2" formatCode="_(* #,##0.00_);_(* \(#,##0.00\);_(* &quot;-&quot;??_);_(@_)">
                  <c:v>0.50567689139569461</c:v>
                </c:pt>
                <c:pt idx="3" formatCode="_(* #,##0.00_);_(* \(#,##0.00\);_(* &quot;-&quot;??_);_(@_)">
                  <c:v>0.50567689139569461</c:v>
                </c:pt>
                <c:pt idx="4" formatCode="_(* #,##0.00_);_(* \(#,##0.00\);_(* &quot;-&quot;??_);_(@_)">
                  <c:v>8.3493910668428262E-2</c:v>
                </c:pt>
                <c:pt idx="6" formatCode="_(* #,##0.00_);_(* \(#,##0.00\);_(* &quot;-&quot;??_);_(@_)">
                  <c:v>0.35756565454669287</c:v>
                </c:pt>
                <c:pt idx="7" formatCode="_(* #,##0.00_);_(* \(#,##0.00\);_(* &quot;-&quot;??_);_(@_)">
                  <c:v>0.46306758874757903</c:v>
                </c:pt>
                <c:pt idx="8" formatCode="_(* #,##0.00_);_(* \(#,##0.00\);_(* &quot;-&quot;??_);_(@_)">
                  <c:v>0.55193064675593351</c:v>
                </c:pt>
                <c:pt idx="9" formatCode="_(* #,##0.00_);_(* \(#,##0.00\);_(* &quot;-&quot;??_);_(@_)">
                  <c:v>0.19552291651744413</c:v>
                </c:pt>
                <c:pt idx="10" formatCode="_(* #,##0.00_);_(* \(#,##0.00\);_(* &quot;-&quot;??_);_(@_)">
                  <c:v>0.24511214837948225</c:v>
                </c:pt>
                <c:pt idx="11" formatCode="_(* #,##0.00_);_(* \(#,##0.00\);_(* &quot;-&quot;??_);_(@_)">
                  <c:v>0.30028083537918482</c:v>
                </c:pt>
                <c:pt idx="12" formatCode="_(* #,##0.00_);_(* \(#,##0.00\);_(* &quot;-&quot;??_);_(@_)">
                  <c:v>0.32804334798814816</c:v>
                </c:pt>
                <c:pt idx="13" formatCode="_(* #,##0.00_);_(* \(#,##0.00\);_(* &quot;-&quot;??_);_(@_)">
                  <c:v>0.38688059334442659</c:v>
                </c:pt>
                <c:pt idx="14" formatCode="_(* #,##0.00_);_(* \(#,##0.00\);_(* &quot;-&quot;??_);_(@_)">
                  <c:v>0.36097909193347544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2F-4786-BA0E-F3FEB1342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117512"/>
        <c:axId val="127117120"/>
      </c:barChart>
      <c:catAx>
        <c:axId val="127117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7120"/>
        <c:crosses val="autoZero"/>
        <c:auto val="1"/>
        <c:lblAlgn val="ctr"/>
        <c:lblOffset val="100"/>
        <c:noMultiLvlLbl val="0"/>
      </c:catAx>
      <c:valAx>
        <c:axId val="12711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Implied</a:t>
                </a:r>
                <a:r>
                  <a:rPr lang="en-US" sz="1200" b="1" baseline="0">
                    <a:solidFill>
                      <a:sysClr val="windowText" lastClr="000000"/>
                    </a:solidFill>
                  </a:rPr>
                  <a:t> Share Price</a:t>
                </a:r>
                <a:endParaRPr lang="en-US" sz="12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</xdr:row>
      <xdr:rowOff>2855</xdr:rowOff>
    </xdr:from>
    <xdr:to>
      <xdr:col>21</xdr:col>
      <xdr:colOff>57150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123825</xdr:colOff>
      <xdr:row>18</xdr:row>
      <xdr:rowOff>91440</xdr:rowOff>
    </xdr:from>
    <xdr:to>
      <xdr:col>8</xdr:col>
      <xdr:colOff>80010</xdr:colOff>
      <xdr:row>19</xdr:row>
      <xdr:rowOff>171974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667000" y="3691890"/>
          <a:ext cx="1727835" cy="280559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200" b="1">
              <a:solidFill>
                <a:schemeClr val="tx2"/>
              </a:solidFill>
            </a:rPr>
            <a:t>Precedent Transactions: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0.17589</cdr:x>
      <cdr:y>0.08367</cdr:y>
    </cdr:from>
    <cdr:to>
      <cdr:x>0.37799</cdr:x>
      <cdr:y>0.14582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BCA2E7B-BE8B-4947-840F-F145F442B927}"/>
            </a:ext>
          </a:extLst>
        </cdr:cNvPr>
        <cdr:cNvSpPr txBox="1"/>
      </cdr:nvSpPr>
      <cdr:spPr>
        <a:xfrm xmlns:a="http://schemas.openxmlformats.org/drawingml/2006/main">
          <a:off x="2075782" y="496265"/>
          <a:ext cx="2385079" cy="3686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chemeClr val="tx2"/>
              </a:solidFill>
            </a:rPr>
            <a:t>Public Company Comparables:</a:t>
          </a:r>
        </a:p>
      </cdr:txBody>
    </cdr:sp>
  </cdr:relSizeAnchor>
  <cdr:relSizeAnchor xmlns:cdr="http://schemas.openxmlformats.org/drawingml/2006/chartDrawing">
    <cdr:from>
      <cdr:x>0.16935</cdr:x>
      <cdr:y>0.78567</cdr:y>
    </cdr:from>
    <cdr:to>
      <cdr:x>0.37868</cdr:x>
      <cdr:y>0.84782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BD24198-946E-4951-81A5-54D72709922C}"/>
            </a:ext>
          </a:extLst>
        </cdr:cNvPr>
        <cdr:cNvSpPr txBox="1"/>
      </cdr:nvSpPr>
      <cdr:spPr>
        <a:xfrm xmlns:a="http://schemas.openxmlformats.org/drawingml/2006/main">
          <a:off x="1998620" y="4659968"/>
          <a:ext cx="2470403" cy="36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/>
              </a:solidFill>
            </a:rPr>
            <a:t>Discounted Cash Flow Analysis: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AG161"/>
  <sheetViews>
    <sheetView showGridLines="0" tabSelected="1" zoomScaleNormal="100" zoomScaleSheetLayoutView="55" workbookViewId="0">
      <selection activeCell="B2" sqref="B2"/>
    </sheetView>
  </sheetViews>
  <sheetFormatPr defaultColWidth="9.1796875" defaultRowHeight="15.75" customHeight="1" outlineLevelRow="2" outlineLevelCol="1" x14ac:dyDescent="0.35"/>
  <cols>
    <col min="1" max="2" width="2.7265625" style="8" customWidth="1"/>
    <col min="3" max="5" width="14.7265625" style="8" customWidth="1"/>
    <col min="6" max="6" width="12.26953125" style="8" customWidth="1"/>
    <col min="7" max="9" width="12.26953125" style="8" customWidth="1" outlineLevel="1"/>
    <col min="10" max="19" width="12.26953125" style="8" customWidth="1"/>
    <col min="20" max="21" width="2.7265625" style="8" customWidth="1"/>
    <col min="22" max="30" width="12.26953125" style="8" customWidth="1"/>
    <col min="31" max="16384" width="9.1796875" style="8"/>
  </cols>
  <sheetData>
    <row r="2" spans="2:33" ht="18.5" x14ac:dyDescent="0.45">
      <c r="B2" s="50" t="str">
        <f>Company_Name&amp;" - Cash Flow Model and DCF Analysis"</f>
        <v>Michael Hill International Limited - Cash Flow Model and DCF Analysis</v>
      </c>
    </row>
    <row r="3" spans="2:33" ht="15.5" x14ac:dyDescent="0.35">
      <c r="B3" s="220" t="s">
        <v>146</v>
      </c>
    </row>
    <row r="5" spans="2:33" ht="15.5" x14ac:dyDescent="0.35"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</row>
    <row r="6" spans="2:33" ht="15.5" x14ac:dyDescent="0.35">
      <c r="B6" s="78" t="str">
        <f>Company_Name&amp;" - DCF Assumptions &amp; Output:"</f>
        <v>Michael Hill International Limited - DCF Assumptions &amp; Output:</v>
      </c>
      <c r="C6" s="78"/>
      <c r="D6" s="78"/>
      <c r="E6" s="78"/>
      <c r="F6" s="78"/>
      <c r="G6" s="78"/>
      <c r="H6" s="273"/>
      <c r="I6" s="273"/>
      <c r="J6" s="273"/>
      <c r="K6" s="273"/>
      <c r="L6" s="273"/>
      <c r="M6" s="273"/>
      <c r="N6" s="273"/>
      <c r="O6" s="273"/>
      <c r="P6" s="273"/>
      <c r="Q6" s="273"/>
      <c r="R6" s="273"/>
      <c r="S6" s="273"/>
      <c r="U6" s="81" t="s">
        <v>285</v>
      </c>
      <c r="V6" s="81"/>
      <c r="W6" s="81"/>
      <c r="X6" s="81"/>
      <c r="Y6" s="81"/>
      <c r="Z6" s="81"/>
      <c r="AA6" s="81"/>
      <c r="AB6" s="81"/>
      <c r="AC6" s="81"/>
      <c r="AD6" s="81"/>
      <c r="AF6" s="220"/>
      <c r="AG6" s="220"/>
    </row>
    <row r="7" spans="2:33" ht="15.5" outlineLevel="1" x14ac:dyDescent="0.35">
      <c r="U7" s="293"/>
      <c r="AF7" s="220"/>
      <c r="AG7" s="220"/>
    </row>
    <row r="8" spans="2:33" ht="15.5" outlineLevel="1" x14ac:dyDescent="0.35">
      <c r="C8" s="220" t="s">
        <v>16</v>
      </c>
      <c r="D8" s="220"/>
      <c r="E8" s="79" t="s">
        <v>145</v>
      </c>
      <c r="F8" s="79"/>
      <c r="G8" s="80"/>
      <c r="I8" s="81" t="s">
        <v>24</v>
      </c>
      <c r="J8" s="231"/>
      <c r="K8" s="231"/>
      <c r="L8" s="231"/>
      <c r="N8" s="81" t="s">
        <v>277</v>
      </c>
      <c r="O8" s="231"/>
      <c r="P8" s="231"/>
      <c r="Q8" s="231"/>
      <c r="U8" s="293"/>
      <c r="V8" s="37" t="s">
        <v>278</v>
      </c>
      <c r="AF8" s="220"/>
      <c r="AG8" s="220"/>
    </row>
    <row r="9" spans="2:33" ht="15.5" outlineLevel="1" x14ac:dyDescent="0.35">
      <c r="C9" s="220" t="s">
        <v>116</v>
      </c>
      <c r="F9" s="82" t="s">
        <v>195</v>
      </c>
      <c r="U9" s="293"/>
      <c r="V9" s="8" t="s">
        <v>279</v>
      </c>
      <c r="AF9" s="220"/>
      <c r="AG9" s="220"/>
    </row>
    <row r="10" spans="2:33" ht="15.5" outlineLevel="1" x14ac:dyDescent="0.35">
      <c r="C10" s="220" t="s">
        <v>17</v>
      </c>
      <c r="F10" s="83">
        <v>0.68</v>
      </c>
      <c r="I10" s="8" t="s">
        <v>141</v>
      </c>
      <c r="L10" s="266">
        <v>7.7</v>
      </c>
      <c r="N10" s="8" t="s">
        <v>132</v>
      </c>
      <c r="Q10" s="267">
        <v>0.02</v>
      </c>
      <c r="U10" s="293"/>
      <c r="AF10" s="220"/>
      <c r="AG10" s="220"/>
    </row>
    <row r="11" spans="2:33" ht="15.5" outlineLevel="1" x14ac:dyDescent="0.35">
      <c r="C11" s="8" t="s">
        <v>20</v>
      </c>
      <c r="F11" s="84">
        <v>387.82082373291263</v>
      </c>
      <c r="U11" s="293"/>
      <c r="V11" s="8" t="s">
        <v>280</v>
      </c>
      <c r="AF11" s="220"/>
      <c r="AG11" s="220"/>
    </row>
    <row r="12" spans="2:33" ht="14.5" customHeight="1" outlineLevel="1" x14ac:dyDescent="0.35">
      <c r="I12" s="8" t="s">
        <v>10</v>
      </c>
      <c r="K12" s="85"/>
      <c r="L12" s="266">
        <v>7.5</v>
      </c>
      <c r="N12" s="8" t="s">
        <v>12</v>
      </c>
      <c r="P12" s="85"/>
      <c r="Q12" s="267">
        <v>1.4999999999999999E-2</v>
      </c>
      <c r="U12" s="293"/>
      <c r="V12" s="8" t="s">
        <v>286</v>
      </c>
      <c r="AF12" s="220"/>
      <c r="AG12" s="220"/>
    </row>
    <row r="13" spans="2:33" ht="15.5" outlineLevel="1" x14ac:dyDescent="0.35">
      <c r="C13" s="8" t="s">
        <v>226</v>
      </c>
      <c r="F13" s="268">
        <v>0.3</v>
      </c>
      <c r="I13" s="8" t="s">
        <v>11</v>
      </c>
      <c r="L13" s="234">
        <f>+S132*Terminal_Multiple</f>
        <v>833.8365427464189</v>
      </c>
      <c r="N13" s="8" t="s">
        <v>11</v>
      </c>
      <c r="Q13" s="234">
        <f>+S126*(1+Terminal_Growth_Rate)/(Discount_Rate-Terminal_Growth_Rate)</f>
        <v>829.67773431887144</v>
      </c>
      <c r="U13" s="293"/>
      <c r="AF13" s="220"/>
      <c r="AG13" s="220"/>
    </row>
    <row r="14" spans="2:33" ht="15.5" outlineLevel="1" x14ac:dyDescent="0.35">
      <c r="C14" s="8" t="s">
        <v>5</v>
      </c>
      <c r="F14" s="264">
        <f>WACC!L45</f>
        <v>9.1634005804689569E-2</v>
      </c>
      <c r="I14" s="8" t="s">
        <v>13</v>
      </c>
      <c r="K14" s="85"/>
      <c r="L14" s="86">
        <f>(L13*Discount_Rate-S126)/(S126+L13)</f>
        <v>1.5355508993912005E-2</v>
      </c>
      <c r="N14" s="8" t="s">
        <v>14</v>
      </c>
      <c r="Q14" s="54">
        <f>+Q13/S132</f>
        <v>7.4625933122289512</v>
      </c>
      <c r="U14" s="293"/>
      <c r="V14" s="8" t="s">
        <v>287</v>
      </c>
      <c r="AF14" s="220"/>
      <c r="AG14" s="220"/>
    </row>
    <row r="15" spans="2:33" ht="15.5" outlineLevel="1" x14ac:dyDescent="0.35">
      <c r="C15" s="220" t="s">
        <v>142</v>
      </c>
      <c r="F15" s="88">
        <v>43281</v>
      </c>
      <c r="U15" s="293"/>
      <c r="V15" s="8" t="s">
        <v>288</v>
      </c>
      <c r="AF15" s="220"/>
      <c r="AG15" s="220"/>
    </row>
    <row r="16" spans="2:33" ht="15.5" outlineLevel="1" x14ac:dyDescent="0.35">
      <c r="I16" s="87" t="s">
        <v>89</v>
      </c>
      <c r="L16" s="235">
        <f>+L13/((1+Discount_Rate)^$S$129)</f>
        <v>346.98473061667107</v>
      </c>
      <c r="N16" s="87" t="str">
        <f>+$I$16</f>
        <v>(+) PV of Terminal Value:</v>
      </c>
      <c r="Q16" s="235">
        <f>+Q13/((1+Discount_Rate)^$S$129)</f>
        <v>345.25412401940451</v>
      </c>
      <c r="U16" s="276"/>
      <c r="AF16" s="220"/>
      <c r="AG16" s="220"/>
    </row>
    <row r="17" spans="3:33" ht="15.5" outlineLevel="1" x14ac:dyDescent="0.35">
      <c r="C17" s="96" t="s">
        <v>117</v>
      </c>
      <c r="D17" s="97"/>
      <c r="E17" s="97"/>
      <c r="F17" s="98">
        <f>+Share_Price*DIluted_Shares</f>
        <v>263.7181601383806</v>
      </c>
      <c r="I17" s="89" t="s">
        <v>90</v>
      </c>
      <c r="J17" s="90"/>
      <c r="K17" s="90"/>
      <c r="L17" s="269">
        <f>SUM($J$130:$S$130)</f>
        <v>325.61928568452788</v>
      </c>
      <c r="N17" s="89" t="str">
        <f>+$I$17</f>
        <v>(+) Sum of PV of Free Cash Flows:</v>
      </c>
      <c r="O17" s="90"/>
      <c r="P17" s="90"/>
      <c r="Q17" s="269">
        <f>SUM($J$130:$S$130)</f>
        <v>325.61928568452788</v>
      </c>
      <c r="V17" s="8" t="s">
        <v>289</v>
      </c>
      <c r="AF17" s="220"/>
      <c r="AG17" s="220"/>
    </row>
    <row r="18" spans="3:33" ht="15.5" outlineLevel="1" x14ac:dyDescent="0.35">
      <c r="C18" s="87" t="s">
        <v>119</v>
      </c>
      <c r="F18" s="239">
        <v>-7.22</v>
      </c>
      <c r="I18" s="91" t="s">
        <v>18</v>
      </c>
      <c r="J18" s="92"/>
      <c r="K18" s="92"/>
      <c r="L18" s="93">
        <f>SUM(L16:L17)</f>
        <v>672.60401630119895</v>
      </c>
      <c r="N18" s="91" t="str">
        <f>+$I$18</f>
        <v>Implied Enterprise Value:</v>
      </c>
      <c r="O18" s="92"/>
      <c r="P18" s="92"/>
      <c r="Q18" s="93">
        <f>SUM(Q16:Q17)</f>
        <v>670.87340970393234</v>
      </c>
      <c r="V18" s="8" t="s">
        <v>291</v>
      </c>
      <c r="AF18" s="220"/>
      <c r="AG18" s="220"/>
    </row>
    <row r="19" spans="3:33" ht="15.5" outlineLevel="1" x14ac:dyDescent="0.35">
      <c r="C19" s="222" t="s">
        <v>189</v>
      </c>
      <c r="D19" s="220"/>
      <c r="E19" s="220"/>
      <c r="F19" s="100">
        <v>0</v>
      </c>
      <c r="AF19" s="220"/>
      <c r="AG19" s="220"/>
    </row>
    <row r="20" spans="3:33" ht="15.5" outlineLevel="1" x14ac:dyDescent="0.35">
      <c r="C20" s="222" t="s">
        <v>120</v>
      </c>
      <c r="D20" s="220"/>
      <c r="E20" s="220"/>
      <c r="F20" s="100">
        <v>35.213000000000001</v>
      </c>
      <c r="I20" s="94" t="s">
        <v>91</v>
      </c>
      <c r="L20" s="95">
        <f>+L16/L18</f>
        <v>0.51588263258494693</v>
      </c>
      <c r="N20" s="94" t="str">
        <f>+$I$20</f>
        <v>% of Implied EV from Terminal Value:</v>
      </c>
      <c r="Q20" s="95">
        <f>+Q16/Q18</f>
        <v>0.51463378787329028</v>
      </c>
      <c r="V20" s="8" t="s">
        <v>290</v>
      </c>
      <c r="AF20" s="220"/>
      <c r="AG20" s="220"/>
    </row>
    <row r="21" spans="3:33" ht="15.5" outlineLevel="1" x14ac:dyDescent="0.35">
      <c r="C21" s="222" t="s">
        <v>191</v>
      </c>
      <c r="D21" s="220"/>
      <c r="E21" s="220"/>
      <c r="F21" s="102">
        <v>0</v>
      </c>
      <c r="AF21" s="220"/>
      <c r="AG21" s="220"/>
    </row>
    <row r="22" spans="3:33" ht="15.5" outlineLevel="1" x14ac:dyDescent="0.35">
      <c r="C22" s="104" t="s">
        <v>118</v>
      </c>
      <c r="D22" s="105"/>
      <c r="E22" s="105"/>
      <c r="F22" s="106">
        <f>SUM(F17:F21)</f>
        <v>291.71116013838059</v>
      </c>
      <c r="I22" s="87" t="s">
        <v>93</v>
      </c>
      <c r="L22" s="99">
        <f>-F18</f>
        <v>7.22</v>
      </c>
      <c r="N22" s="87" t="str">
        <f>+$I$22</f>
        <v>(+) Cash &amp; Cash-Equivalents:</v>
      </c>
      <c r="Q22" s="99">
        <f>-F18</f>
        <v>7.22</v>
      </c>
      <c r="U22" s="81" t="s">
        <v>281</v>
      </c>
      <c r="V22" s="81"/>
      <c r="W22" s="81"/>
      <c r="X22" s="81"/>
      <c r="Y22" s="81"/>
      <c r="Z22" s="81"/>
      <c r="AA22" s="81"/>
      <c r="AB22" s="81"/>
      <c r="AC22" s="81"/>
      <c r="AD22" s="81"/>
      <c r="AE22" s="220"/>
      <c r="AF22" s="220"/>
      <c r="AG22" s="220"/>
    </row>
    <row r="23" spans="3:33" ht="15.5" outlineLevel="1" x14ac:dyDescent="0.35">
      <c r="I23" s="222" t="s">
        <v>190</v>
      </c>
      <c r="J23" s="220"/>
      <c r="K23" s="220"/>
      <c r="L23" s="101">
        <f t="shared" ref="L23:L25" si="0">-F19</f>
        <v>0</v>
      </c>
      <c r="N23" s="222" t="str">
        <f>+$I$23</f>
        <v>(+) Other Non-Core-Business Assets:</v>
      </c>
      <c r="O23" s="220"/>
      <c r="P23" s="220"/>
      <c r="Q23" s="101">
        <f t="shared" ref="Q23:Q25" si="1">-F19</f>
        <v>0</v>
      </c>
      <c r="U23" s="293"/>
      <c r="AE23" s="220"/>
      <c r="AF23" s="220"/>
      <c r="AG23" s="220"/>
    </row>
    <row r="24" spans="3:33" ht="15.5" outlineLevel="1" x14ac:dyDescent="0.35">
      <c r="C24" s="230" t="s">
        <v>276</v>
      </c>
      <c r="D24" s="97"/>
      <c r="E24" s="97"/>
      <c r="F24" s="97"/>
      <c r="I24" s="222" t="s">
        <v>94</v>
      </c>
      <c r="J24" s="220"/>
      <c r="K24" s="220"/>
      <c r="L24" s="101">
        <f t="shared" si="0"/>
        <v>-35.213000000000001</v>
      </c>
      <c r="N24" s="222" t="str">
        <f>+$I$24</f>
        <v>(-) Total Debt:</v>
      </c>
      <c r="O24" s="220"/>
      <c r="P24" s="220"/>
      <c r="Q24" s="101">
        <f t="shared" si="1"/>
        <v>-35.213000000000001</v>
      </c>
      <c r="U24" s="293"/>
      <c r="V24" s="8" t="s">
        <v>292</v>
      </c>
      <c r="AE24" s="220"/>
      <c r="AF24" s="220"/>
      <c r="AG24" s="220"/>
    </row>
    <row r="25" spans="3:33" ht="15.5" outlineLevel="1" x14ac:dyDescent="0.35">
      <c r="C25" s="87" t="s">
        <v>269</v>
      </c>
      <c r="F25" s="275">
        <v>100</v>
      </c>
      <c r="I25" s="222" t="s">
        <v>192</v>
      </c>
      <c r="J25" s="220"/>
      <c r="K25" s="220"/>
      <c r="L25" s="103">
        <f t="shared" si="0"/>
        <v>0</v>
      </c>
      <c r="N25" s="222" t="str">
        <f>+$I$25</f>
        <v>(-) Other Funding Sources:</v>
      </c>
      <c r="O25" s="220"/>
      <c r="P25" s="220"/>
      <c r="Q25" s="103">
        <f t="shared" si="1"/>
        <v>0</v>
      </c>
      <c r="U25" s="293"/>
      <c r="V25" s="8" t="s">
        <v>293</v>
      </c>
      <c r="AE25" s="220"/>
      <c r="AF25" s="220"/>
      <c r="AG25" s="220"/>
    </row>
    <row r="26" spans="3:33" ht="15.5" outlineLevel="1" x14ac:dyDescent="0.35">
      <c r="C26" s="87" t="s">
        <v>270</v>
      </c>
      <c r="F26" s="249">
        <v>3</v>
      </c>
      <c r="I26" s="104" t="s">
        <v>19</v>
      </c>
      <c r="J26" s="105"/>
      <c r="K26" s="105"/>
      <c r="L26" s="106">
        <f>+L18+SUM(L22:L25)</f>
        <v>644.6110163011989</v>
      </c>
      <c r="N26" s="104" t="str">
        <f t="shared" ref="N26" si="2">+I26</f>
        <v>Implied Equity Value:</v>
      </c>
      <c r="O26" s="105"/>
      <c r="P26" s="105"/>
      <c r="Q26" s="106">
        <f>+Q18+SUM(Q22:Q25)</f>
        <v>642.88040970393229</v>
      </c>
      <c r="U26" s="293"/>
      <c r="AE26" s="220"/>
      <c r="AF26" s="220"/>
      <c r="AG26" s="220"/>
    </row>
    <row r="27" spans="3:33" ht="15.5" outlineLevel="1" x14ac:dyDescent="0.35">
      <c r="C27" s="87"/>
      <c r="U27" s="293"/>
      <c r="V27" s="8" t="s">
        <v>282</v>
      </c>
      <c r="AE27" s="220"/>
      <c r="AF27" s="220"/>
      <c r="AG27" s="220"/>
    </row>
    <row r="28" spans="3:33" ht="15.5" outlineLevel="1" x14ac:dyDescent="0.35">
      <c r="C28" s="87" t="s">
        <v>271</v>
      </c>
      <c r="F28" s="270">
        <v>6.5000000000000002E-2</v>
      </c>
      <c r="I28" s="8" t="s">
        <v>20</v>
      </c>
      <c r="L28" s="107">
        <f>+DIluted_Shares</f>
        <v>387.82082373291263</v>
      </c>
      <c r="N28" s="8" t="s">
        <v>20</v>
      </c>
      <c r="Q28" s="107">
        <f>+DIluted_Shares</f>
        <v>387.82082373291263</v>
      </c>
      <c r="U28" s="293"/>
      <c r="V28" s="8" t="s">
        <v>283</v>
      </c>
      <c r="AF28" s="220"/>
      <c r="AG28" s="220"/>
    </row>
    <row r="29" spans="3:33" ht="15.5" outlineLevel="1" x14ac:dyDescent="0.35">
      <c r="C29" s="87" t="s">
        <v>267</v>
      </c>
      <c r="F29" s="270">
        <v>-5.0000000000000001E-3</v>
      </c>
      <c r="R29" s="108"/>
      <c r="S29" s="108"/>
      <c r="U29" s="293"/>
      <c r="AF29" s="220"/>
      <c r="AG29" s="220"/>
    </row>
    <row r="30" spans="3:33" ht="15.5" outlineLevel="1" x14ac:dyDescent="0.35">
      <c r="C30" s="87" t="s">
        <v>266</v>
      </c>
      <c r="F30" s="270">
        <v>0.03</v>
      </c>
      <c r="I30" s="109" t="s">
        <v>21</v>
      </c>
      <c r="J30" s="110"/>
      <c r="K30" s="110"/>
      <c r="L30" s="111">
        <f>+L26/L28</f>
        <v>1.6621361640579013</v>
      </c>
      <c r="N30" s="109" t="s">
        <v>21</v>
      </c>
      <c r="O30" s="110"/>
      <c r="P30" s="110"/>
      <c r="Q30" s="111">
        <f>+Q26/Q28</f>
        <v>1.6576737770705061</v>
      </c>
      <c r="R30" s="108"/>
      <c r="S30" s="108"/>
      <c r="U30" s="293"/>
      <c r="V30" s="37" t="s">
        <v>297</v>
      </c>
      <c r="AF30" s="220"/>
      <c r="AG30" s="220"/>
    </row>
    <row r="31" spans="3:33" ht="15.5" outlineLevel="1" x14ac:dyDescent="0.35">
      <c r="C31" s="87"/>
      <c r="I31" s="112" t="s">
        <v>23</v>
      </c>
      <c r="J31" s="113"/>
      <c r="K31" s="113"/>
      <c r="L31" s="114">
        <f>+L30/Share_Price-1</f>
        <v>1.4443178883204428</v>
      </c>
      <c r="N31" s="112" t="s">
        <v>23</v>
      </c>
      <c r="O31" s="113"/>
      <c r="P31" s="113"/>
      <c r="Q31" s="114">
        <f>+Q30/Share_Price-1</f>
        <v>1.4377555545154501</v>
      </c>
      <c r="R31" s="108"/>
      <c r="S31" s="108"/>
      <c r="U31" s="293"/>
      <c r="V31" s="8" t="s">
        <v>294</v>
      </c>
      <c r="AF31" s="220"/>
      <c r="AG31" s="220"/>
    </row>
    <row r="32" spans="3:33" ht="15.5" outlineLevel="1" x14ac:dyDescent="0.35">
      <c r="C32" s="87" t="s">
        <v>272</v>
      </c>
      <c r="F32" s="270">
        <v>5.0000000000000001E-3</v>
      </c>
      <c r="J32" s="115"/>
      <c r="K32" s="108"/>
      <c r="L32" s="108"/>
      <c r="M32" s="108"/>
      <c r="N32" s="108"/>
      <c r="O32" s="108"/>
      <c r="P32" s="108"/>
      <c r="Q32" s="108"/>
      <c r="R32" s="108"/>
      <c r="S32" s="108"/>
      <c r="U32" s="293"/>
      <c r="AF32" s="220"/>
      <c r="AG32" s="220"/>
    </row>
    <row r="33" spans="2:33" ht="15.5" outlineLevel="1" x14ac:dyDescent="0.35">
      <c r="C33" s="87" t="s">
        <v>273</v>
      </c>
      <c r="F33" s="270">
        <v>0.15</v>
      </c>
      <c r="J33" s="115"/>
      <c r="K33" s="108"/>
      <c r="L33" s="108"/>
      <c r="M33" s="108"/>
      <c r="N33" s="108"/>
      <c r="O33" s="108"/>
      <c r="P33" s="108"/>
      <c r="Q33" s="108"/>
      <c r="R33" s="108"/>
      <c r="S33" s="108"/>
      <c r="U33" s="293"/>
      <c r="V33" s="8" t="s">
        <v>295</v>
      </c>
      <c r="AF33" s="289"/>
      <c r="AG33" s="220"/>
    </row>
    <row r="34" spans="2:33" ht="15.5" x14ac:dyDescent="0.35">
      <c r="J34" s="115"/>
      <c r="K34" s="108"/>
      <c r="L34" s="108"/>
      <c r="M34" s="108"/>
      <c r="N34" s="108"/>
      <c r="O34" s="108"/>
      <c r="P34" s="108"/>
      <c r="Q34" s="108"/>
      <c r="R34" s="108"/>
      <c r="S34" s="108"/>
      <c r="V34" s="8" t="s">
        <v>296</v>
      </c>
      <c r="AF34" s="289"/>
      <c r="AG34" s="220"/>
    </row>
    <row r="35" spans="2:33" ht="15.5" x14ac:dyDescent="0.35">
      <c r="B35" s="116"/>
      <c r="C35" s="116"/>
      <c r="D35" s="116"/>
      <c r="E35" s="116"/>
      <c r="F35" s="116"/>
      <c r="G35" s="117" t="s">
        <v>2</v>
      </c>
      <c r="H35" s="118"/>
      <c r="I35" s="119"/>
      <c r="J35" s="117" t="s">
        <v>0</v>
      </c>
      <c r="K35" s="118"/>
      <c r="L35" s="118"/>
      <c r="M35" s="118"/>
      <c r="N35" s="118"/>
      <c r="O35" s="118"/>
      <c r="P35" s="118"/>
      <c r="Q35" s="118"/>
      <c r="R35" s="118"/>
      <c r="S35" s="118"/>
      <c r="AF35" s="289"/>
      <c r="AG35" s="220"/>
    </row>
    <row r="36" spans="2:33" ht="15.5" x14ac:dyDescent="0.35">
      <c r="B36" s="78" t="s">
        <v>152</v>
      </c>
      <c r="C36" s="78"/>
      <c r="D36" s="78"/>
      <c r="E36" s="78"/>
      <c r="F36" s="120" t="s">
        <v>92</v>
      </c>
      <c r="G36" s="121">
        <f>EOMONTH(H36,-12)</f>
        <v>42551</v>
      </c>
      <c r="H36" s="121">
        <f>EOMONTH(I36,-12)</f>
        <v>42916</v>
      </c>
      <c r="I36" s="122">
        <f>Hist_Year</f>
        <v>43281</v>
      </c>
      <c r="J36" s="121">
        <f>EOMONTH(I36,12)</f>
        <v>43646</v>
      </c>
      <c r="K36" s="121">
        <f t="shared" ref="K36:S36" si="3">EOMONTH(J36,12)</f>
        <v>44012</v>
      </c>
      <c r="L36" s="121">
        <f t="shared" si="3"/>
        <v>44377</v>
      </c>
      <c r="M36" s="121">
        <f t="shared" si="3"/>
        <v>44742</v>
      </c>
      <c r="N36" s="121">
        <f t="shared" si="3"/>
        <v>45107</v>
      </c>
      <c r="O36" s="121">
        <f t="shared" si="3"/>
        <v>45473</v>
      </c>
      <c r="P36" s="121">
        <f t="shared" si="3"/>
        <v>45838</v>
      </c>
      <c r="Q36" s="121">
        <f t="shared" si="3"/>
        <v>46203</v>
      </c>
      <c r="R36" s="121">
        <f t="shared" si="3"/>
        <v>46568</v>
      </c>
      <c r="S36" s="121">
        <f t="shared" si="3"/>
        <v>46934</v>
      </c>
      <c r="U36" s="276"/>
      <c r="V36" s="8" t="s">
        <v>298</v>
      </c>
      <c r="AF36" s="289"/>
      <c r="AG36" s="220"/>
    </row>
    <row r="37" spans="2:33" ht="15.5" outlineLevel="1" x14ac:dyDescent="0.35">
      <c r="B37" s="243" t="s">
        <v>194</v>
      </c>
      <c r="C37" s="240"/>
      <c r="D37" s="240"/>
      <c r="E37" s="240"/>
      <c r="F37" s="240"/>
      <c r="G37" s="240"/>
      <c r="H37" s="240"/>
      <c r="I37" s="240"/>
      <c r="J37" s="241"/>
      <c r="K37" s="242"/>
      <c r="L37" s="242"/>
      <c r="M37" s="242"/>
      <c r="N37" s="242"/>
      <c r="O37" s="242"/>
      <c r="P37" s="242"/>
      <c r="Q37" s="242"/>
      <c r="R37" s="242"/>
      <c r="S37" s="242"/>
      <c r="U37" s="290"/>
      <c r="V37" s="8" t="s">
        <v>299</v>
      </c>
      <c r="AE37" s="289"/>
      <c r="AF37" s="289"/>
      <c r="AG37" s="220"/>
    </row>
    <row r="38" spans="2:33" ht="15.5" outlineLevel="1" x14ac:dyDescent="0.35">
      <c r="C38" s="179" t="s">
        <v>201</v>
      </c>
      <c r="D38" s="220"/>
      <c r="J38" s="115"/>
      <c r="K38" s="108"/>
      <c r="L38" s="108"/>
      <c r="M38" s="108"/>
      <c r="N38" s="108"/>
      <c r="O38" s="108"/>
      <c r="P38" s="108"/>
      <c r="Q38" s="108"/>
      <c r="R38" s="108"/>
      <c r="S38" s="108"/>
      <c r="U38" s="289"/>
      <c r="AE38" s="292"/>
      <c r="AF38" s="289"/>
      <c r="AG38" s="220"/>
    </row>
    <row r="39" spans="2:33" ht="15.5" outlineLevel="1" x14ac:dyDescent="0.35">
      <c r="C39" s="222" t="str">
        <f>+$C$45</f>
        <v>Australia:</v>
      </c>
      <c r="F39" s="123" t="s">
        <v>155</v>
      </c>
      <c r="G39" s="124">
        <v>309.45699999999999</v>
      </c>
      <c r="H39" s="124">
        <v>321.98099999999999</v>
      </c>
      <c r="I39" s="124">
        <v>325.709</v>
      </c>
      <c r="J39" s="180">
        <f>+J51*AVERAGE(I45,J45)</f>
        <v>315.85074540059344</v>
      </c>
      <c r="K39" s="180">
        <f t="shared" ref="K39:S39" si="4">+K51*AVERAGE(J45,K45)</f>
        <v>309.93772563204743</v>
      </c>
      <c r="L39" s="180">
        <f t="shared" si="4"/>
        <v>333.25430510632043</v>
      </c>
      <c r="M39" s="180">
        <f t="shared" si="4"/>
        <v>354.87335209480415</v>
      </c>
      <c r="N39" s="180">
        <f t="shared" si="4"/>
        <v>373.19195418059178</v>
      </c>
      <c r="O39" s="180">
        <f t="shared" si="4"/>
        <v>388.63509084806492</v>
      </c>
      <c r="P39" s="180">
        <f t="shared" si="4"/>
        <v>403.57524311099462</v>
      </c>
      <c r="Q39" s="180">
        <f t="shared" si="4"/>
        <v>416.80901124552861</v>
      </c>
      <c r="R39" s="180">
        <f t="shared" si="4"/>
        <v>429.31328158289449</v>
      </c>
      <c r="S39" s="180">
        <f t="shared" si="4"/>
        <v>442.19268003038138</v>
      </c>
      <c r="U39" s="294"/>
      <c r="V39" s="8" t="s">
        <v>284</v>
      </c>
      <c r="AE39" s="292"/>
      <c r="AF39" s="289"/>
      <c r="AG39" s="220"/>
    </row>
    <row r="40" spans="2:33" ht="15.5" outlineLevel="1" x14ac:dyDescent="0.35">
      <c r="C40" s="222" t="str">
        <f>+$C$46</f>
        <v>New Zealand:</v>
      </c>
      <c r="F40" s="123" t="s">
        <v>156</v>
      </c>
      <c r="G40" s="125">
        <v>122.90300000000001</v>
      </c>
      <c r="H40" s="125">
        <v>121.97</v>
      </c>
      <c r="I40" s="125">
        <v>125.239</v>
      </c>
      <c r="J40" s="132">
        <f t="shared" ref="J40:S41" si="5">+J52*AVERAGE(I46,J46)</f>
        <v>121.3854923076923</v>
      </c>
      <c r="K40" s="132">
        <f t="shared" si="5"/>
        <v>120.09071372307692</v>
      </c>
      <c r="L40" s="132">
        <f t="shared" si="5"/>
        <v>124.89434227199999</v>
      </c>
      <c r="M40" s="132">
        <f t="shared" si="5"/>
        <v>129.89011596288</v>
      </c>
      <c r="N40" s="132">
        <f t="shared" si="5"/>
        <v>135.04895924782079</v>
      </c>
      <c r="O40" s="132">
        <f t="shared" si="5"/>
        <v>139.0373210349527</v>
      </c>
      <c r="P40" s="132">
        <f t="shared" si="5"/>
        <v>141.81806745565177</v>
      </c>
      <c r="Q40" s="132">
        <f t="shared" si="5"/>
        <v>144.65442880476479</v>
      </c>
      <c r="R40" s="132">
        <f t="shared" si="5"/>
        <v>147.54751738086009</v>
      </c>
      <c r="S40" s="132">
        <f t="shared" si="5"/>
        <v>150.49846772847729</v>
      </c>
      <c r="U40" s="294"/>
      <c r="AE40" s="292"/>
      <c r="AF40" s="289"/>
      <c r="AG40" s="220"/>
    </row>
    <row r="41" spans="2:33" ht="15.5" outlineLevel="1" x14ac:dyDescent="0.35">
      <c r="C41" s="222" t="str">
        <f>+$C$47</f>
        <v>Canada:</v>
      </c>
      <c r="F41" s="123" t="s">
        <v>157</v>
      </c>
      <c r="G41" s="125">
        <v>95.423000000000002</v>
      </c>
      <c r="H41" s="125">
        <v>112.721</v>
      </c>
      <c r="I41" s="125">
        <v>130.762</v>
      </c>
      <c r="J41" s="132">
        <f t="shared" si="5"/>
        <v>148.02011679245282</v>
      </c>
      <c r="K41" s="132">
        <f t="shared" si="5"/>
        <v>162.47178499999998</v>
      </c>
      <c r="L41" s="132">
        <f t="shared" si="5"/>
        <v>177.28456974099998</v>
      </c>
      <c r="M41" s="132">
        <f t="shared" si="5"/>
        <v>192.31947662234998</v>
      </c>
      <c r="N41" s="132">
        <f t="shared" si="5"/>
        <v>207.42221199239924</v>
      </c>
      <c r="O41" s="132">
        <f t="shared" si="5"/>
        <v>221.30767820453289</v>
      </c>
      <c r="P41" s="132">
        <f t="shared" si="5"/>
        <v>231.36711812292074</v>
      </c>
      <c r="Q41" s="132">
        <f t="shared" si="5"/>
        <v>238.30813166660838</v>
      </c>
      <c r="R41" s="132">
        <f t="shared" si="5"/>
        <v>245.45737561660667</v>
      </c>
      <c r="S41" s="132">
        <f t="shared" si="5"/>
        <v>252.82109688510488</v>
      </c>
      <c r="U41" s="81" t="s">
        <v>300</v>
      </c>
      <c r="V41" s="81"/>
      <c r="W41" s="81"/>
      <c r="X41" s="81"/>
      <c r="Y41" s="81"/>
      <c r="Z41" s="81"/>
      <c r="AA41" s="81"/>
      <c r="AB41" s="81"/>
      <c r="AC41" s="81"/>
      <c r="AD41" s="81"/>
      <c r="AE41" s="292"/>
      <c r="AF41" s="289"/>
      <c r="AG41" s="220"/>
    </row>
    <row r="42" spans="2:33" ht="15.5" outlineLevel="1" x14ac:dyDescent="0.35">
      <c r="B42" s="37"/>
      <c r="C42" s="87" t="s">
        <v>206</v>
      </c>
      <c r="F42" s="123" t="s">
        <v>155</v>
      </c>
      <c r="G42" s="125">
        <v>1.6279999999999999</v>
      </c>
      <c r="H42" s="125">
        <v>1.331</v>
      </c>
      <c r="I42" s="125">
        <v>1.5109999999999999</v>
      </c>
      <c r="J42" s="263">
        <f>+I42</f>
        <v>1.5109999999999999</v>
      </c>
      <c r="K42" s="263">
        <f t="shared" ref="K42:S42" si="6">+J42</f>
        <v>1.5109999999999999</v>
      </c>
      <c r="L42" s="263">
        <f t="shared" si="6"/>
        <v>1.5109999999999999</v>
      </c>
      <c r="M42" s="263">
        <f t="shared" si="6"/>
        <v>1.5109999999999999</v>
      </c>
      <c r="N42" s="263">
        <f t="shared" si="6"/>
        <v>1.5109999999999999</v>
      </c>
      <c r="O42" s="263">
        <f t="shared" si="6"/>
        <v>1.5109999999999999</v>
      </c>
      <c r="P42" s="263">
        <f t="shared" si="6"/>
        <v>1.5109999999999999</v>
      </c>
      <c r="Q42" s="263">
        <f t="shared" si="6"/>
        <v>1.5109999999999999</v>
      </c>
      <c r="R42" s="263">
        <f t="shared" si="6"/>
        <v>1.5109999999999999</v>
      </c>
      <c r="S42" s="263">
        <f t="shared" si="6"/>
        <v>1.5109999999999999</v>
      </c>
      <c r="U42" s="293"/>
      <c r="AE42" s="292"/>
      <c r="AF42" s="289"/>
      <c r="AG42" s="220"/>
    </row>
    <row r="43" spans="2:33" ht="15.5" outlineLevel="1" x14ac:dyDescent="0.35">
      <c r="B43" s="37"/>
      <c r="J43" s="115"/>
      <c r="K43" s="108"/>
      <c r="L43" s="108"/>
      <c r="M43" s="108"/>
      <c r="N43" s="108"/>
      <c r="O43" s="108"/>
      <c r="P43" s="108"/>
      <c r="Q43" s="108"/>
      <c r="R43" s="108"/>
      <c r="S43" s="108"/>
      <c r="U43" s="294"/>
      <c r="V43" s="8" t="s">
        <v>301</v>
      </c>
      <c r="AE43" s="292"/>
      <c r="AF43" s="289"/>
      <c r="AG43" s="220"/>
    </row>
    <row r="44" spans="2:33" ht="15.5" outlineLevel="1" x14ac:dyDescent="0.35">
      <c r="C44" s="179" t="s">
        <v>147</v>
      </c>
      <c r="D44" s="220"/>
      <c r="I44" s="135"/>
      <c r="J44" s="115"/>
      <c r="K44" s="108"/>
      <c r="L44" s="182"/>
      <c r="M44" s="108"/>
      <c r="N44" s="108"/>
      <c r="O44" s="108"/>
      <c r="P44" s="108"/>
      <c r="Q44" s="108"/>
      <c r="R44" s="108"/>
      <c r="S44" s="182"/>
      <c r="U44" s="294"/>
      <c r="V44" s="8" t="s">
        <v>302</v>
      </c>
      <c r="AE44" s="292"/>
      <c r="AF44" s="289"/>
      <c r="AG44" s="220"/>
    </row>
    <row r="45" spans="2:33" ht="15.5" outlineLevel="1" x14ac:dyDescent="0.35">
      <c r="C45" s="222" t="s">
        <v>149</v>
      </c>
      <c r="F45" s="123" t="s">
        <v>148</v>
      </c>
      <c r="G45" s="250">
        <v>168</v>
      </c>
      <c r="H45" s="250">
        <v>166</v>
      </c>
      <c r="I45" s="250">
        <v>171</v>
      </c>
      <c r="J45" s="249">
        <v>173</v>
      </c>
      <c r="K45" s="249">
        <v>175</v>
      </c>
      <c r="L45" s="249">
        <v>178</v>
      </c>
      <c r="M45" s="249">
        <v>180</v>
      </c>
      <c r="N45" s="249">
        <v>182</v>
      </c>
      <c r="O45" s="249">
        <v>184</v>
      </c>
      <c r="P45" s="249">
        <v>185</v>
      </c>
      <c r="Q45" s="249">
        <v>185</v>
      </c>
      <c r="R45" s="249">
        <v>185</v>
      </c>
      <c r="S45" s="249">
        <v>185</v>
      </c>
      <c r="U45" s="294"/>
      <c r="V45" s="289" t="s">
        <v>303</v>
      </c>
      <c r="W45" s="289"/>
      <c r="X45" s="289"/>
      <c r="Y45" s="289"/>
      <c r="Z45" s="289"/>
      <c r="AA45" s="289"/>
      <c r="AB45" s="289"/>
      <c r="AC45" s="289"/>
      <c r="AD45" s="289"/>
      <c r="AE45" s="292"/>
      <c r="AF45" s="289"/>
      <c r="AG45" s="220"/>
    </row>
    <row r="46" spans="2:33" ht="15.5" outlineLevel="1" x14ac:dyDescent="0.35">
      <c r="C46" s="222" t="s">
        <v>150</v>
      </c>
      <c r="F46" s="123" t="s">
        <v>148</v>
      </c>
      <c r="G46" s="250">
        <v>52</v>
      </c>
      <c r="H46" s="250">
        <v>52</v>
      </c>
      <c r="I46" s="250">
        <v>52</v>
      </c>
      <c r="J46" s="249">
        <v>53</v>
      </c>
      <c r="K46" s="249">
        <v>53</v>
      </c>
      <c r="L46" s="249">
        <v>53</v>
      </c>
      <c r="M46" s="249">
        <v>53</v>
      </c>
      <c r="N46" s="249">
        <v>54</v>
      </c>
      <c r="O46" s="249">
        <v>54</v>
      </c>
      <c r="P46" s="249">
        <v>54</v>
      </c>
      <c r="Q46" s="249">
        <v>54</v>
      </c>
      <c r="R46" s="249">
        <v>54</v>
      </c>
      <c r="S46" s="249">
        <v>54</v>
      </c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92"/>
      <c r="AF46" s="289"/>
      <c r="AG46" s="220"/>
    </row>
    <row r="47" spans="2:33" ht="15.5" outlineLevel="1" x14ac:dyDescent="0.35">
      <c r="C47" s="222" t="s">
        <v>151</v>
      </c>
      <c r="F47" s="123" t="s">
        <v>148</v>
      </c>
      <c r="G47" s="250">
        <v>67</v>
      </c>
      <c r="H47" s="250">
        <v>76</v>
      </c>
      <c r="I47" s="250">
        <v>83</v>
      </c>
      <c r="J47" s="274">
        <f t="shared" ref="J47:S47" si="7">MIN(CA_Max_Stores,I47+CA_New_Stores_per_Year)</f>
        <v>86</v>
      </c>
      <c r="K47" s="274">
        <f t="shared" si="7"/>
        <v>89</v>
      </c>
      <c r="L47" s="274">
        <f t="shared" si="7"/>
        <v>92</v>
      </c>
      <c r="M47" s="274">
        <f t="shared" si="7"/>
        <v>95</v>
      </c>
      <c r="N47" s="274">
        <f t="shared" si="7"/>
        <v>98</v>
      </c>
      <c r="O47" s="274">
        <f t="shared" si="7"/>
        <v>100</v>
      </c>
      <c r="P47" s="274">
        <f t="shared" si="7"/>
        <v>100</v>
      </c>
      <c r="Q47" s="274">
        <f t="shared" si="7"/>
        <v>100</v>
      </c>
      <c r="R47" s="274">
        <f t="shared" si="7"/>
        <v>100</v>
      </c>
      <c r="S47" s="274">
        <f t="shared" si="7"/>
        <v>100</v>
      </c>
      <c r="U47" s="294"/>
      <c r="V47" s="292" t="s">
        <v>304</v>
      </c>
      <c r="W47" s="292"/>
      <c r="X47" s="292"/>
      <c r="Y47" s="292"/>
      <c r="Z47" s="292"/>
      <c r="AA47" s="292"/>
      <c r="AB47" s="292"/>
      <c r="AC47" s="292"/>
      <c r="AD47" s="292"/>
      <c r="AE47" s="292"/>
      <c r="AF47" s="289"/>
      <c r="AG47" s="220"/>
    </row>
    <row r="48" spans="2:33" ht="15.5" outlineLevel="1" x14ac:dyDescent="0.35">
      <c r="C48" s="237" t="s">
        <v>160</v>
      </c>
      <c r="D48" s="21"/>
      <c r="E48" s="21"/>
      <c r="F48" s="248" t="s">
        <v>148</v>
      </c>
      <c r="G48" s="251">
        <f t="shared" ref="G48:I48" si="8">SUM(G45:G47)</f>
        <v>287</v>
      </c>
      <c r="H48" s="251">
        <f t="shared" si="8"/>
        <v>294</v>
      </c>
      <c r="I48" s="251">
        <f t="shared" si="8"/>
        <v>306</v>
      </c>
      <c r="J48" s="252">
        <f>SUM(J45:J47)</f>
        <v>312</v>
      </c>
      <c r="K48" s="252">
        <f t="shared" ref="K48:S48" si="9">SUM(K45:K47)</f>
        <v>317</v>
      </c>
      <c r="L48" s="252">
        <f t="shared" si="9"/>
        <v>323</v>
      </c>
      <c r="M48" s="252">
        <f t="shared" si="9"/>
        <v>328</v>
      </c>
      <c r="N48" s="252">
        <f t="shared" si="9"/>
        <v>334</v>
      </c>
      <c r="O48" s="252">
        <f t="shared" si="9"/>
        <v>338</v>
      </c>
      <c r="P48" s="252">
        <f t="shared" si="9"/>
        <v>339</v>
      </c>
      <c r="Q48" s="252">
        <f t="shared" si="9"/>
        <v>339</v>
      </c>
      <c r="R48" s="252">
        <f t="shared" si="9"/>
        <v>339</v>
      </c>
      <c r="S48" s="252">
        <f t="shared" si="9"/>
        <v>339</v>
      </c>
      <c r="U48" s="294"/>
      <c r="V48" s="292" t="s">
        <v>305</v>
      </c>
      <c r="W48" s="292"/>
      <c r="X48" s="292"/>
      <c r="Y48" s="292"/>
      <c r="Z48" s="292"/>
      <c r="AA48" s="292"/>
      <c r="AB48" s="292"/>
      <c r="AC48" s="292"/>
      <c r="AD48" s="292"/>
      <c r="AE48" s="292"/>
      <c r="AF48" s="289"/>
      <c r="AG48" s="220"/>
    </row>
    <row r="49" spans="2:33" ht="15.5" outlineLevel="1" x14ac:dyDescent="0.35">
      <c r="I49" s="135"/>
      <c r="J49" s="181"/>
      <c r="K49" s="181"/>
      <c r="L49" s="181"/>
      <c r="M49" s="108"/>
      <c r="N49" s="108"/>
      <c r="O49" s="108"/>
      <c r="P49" s="108"/>
      <c r="Q49" s="108"/>
      <c r="R49" s="108"/>
      <c r="S49" s="108"/>
      <c r="U49" s="294"/>
      <c r="V49" s="292"/>
      <c r="W49" s="292"/>
      <c r="X49" s="292"/>
      <c r="Y49" s="292"/>
      <c r="Z49" s="292"/>
      <c r="AA49" s="292"/>
      <c r="AB49" s="292"/>
      <c r="AC49" s="292"/>
      <c r="AD49" s="292"/>
      <c r="AE49" s="292"/>
      <c r="AF49" s="289"/>
      <c r="AG49" s="220"/>
    </row>
    <row r="50" spans="2:33" ht="15.5" outlineLevel="1" x14ac:dyDescent="0.35">
      <c r="C50" s="179" t="s">
        <v>202</v>
      </c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U50" s="294"/>
      <c r="V50" s="292" t="s">
        <v>320</v>
      </c>
      <c r="W50" s="292"/>
      <c r="X50" s="292"/>
      <c r="Y50" s="292"/>
      <c r="Z50" s="292"/>
      <c r="AA50" s="292"/>
      <c r="AB50" s="292"/>
      <c r="AC50" s="292"/>
      <c r="AD50" s="292"/>
      <c r="AE50" s="292"/>
      <c r="AF50" s="289"/>
      <c r="AG50" s="220"/>
    </row>
    <row r="51" spans="2:33" ht="15.5" outlineLevel="1" x14ac:dyDescent="0.35">
      <c r="C51" s="222" t="str">
        <f>+$C$45</f>
        <v>Australia:</v>
      </c>
      <c r="F51" s="123" t="s">
        <v>155</v>
      </c>
      <c r="G51" s="19">
        <v>1.8475044776119403</v>
      </c>
      <c r="H51" s="27">
        <f t="shared" ref="H51:I53" si="10">+H39/AVERAGE(G45,H45)</f>
        <v>1.9280299401197605</v>
      </c>
      <c r="I51" s="27">
        <f t="shared" si="10"/>
        <v>1.9329910979228486</v>
      </c>
      <c r="J51" s="27">
        <f>+I51*(1+J56)</f>
        <v>1.836341543026706</v>
      </c>
      <c r="K51" s="27">
        <f t="shared" ref="K51:S51" si="11">+J51*(1+K56)</f>
        <v>1.7812512967359049</v>
      </c>
      <c r="L51" s="27">
        <f t="shared" si="11"/>
        <v>1.8881263745400592</v>
      </c>
      <c r="M51" s="27">
        <f t="shared" si="11"/>
        <v>1.9825326932670622</v>
      </c>
      <c r="N51" s="27">
        <f t="shared" si="11"/>
        <v>2.0618340009977447</v>
      </c>
      <c r="O51" s="27">
        <f t="shared" si="11"/>
        <v>2.1236890210276771</v>
      </c>
      <c r="P51" s="27">
        <f t="shared" si="11"/>
        <v>2.1873996916585075</v>
      </c>
      <c r="Q51" s="27">
        <f t="shared" si="11"/>
        <v>2.2530216824082627</v>
      </c>
      <c r="R51" s="27">
        <f t="shared" si="11"/>
        <v>2.3206123328805108</v>
      </c>
      <c r="S51" s="27">
        <f t="shared" si="11"/>
        <v>2.3902307028669263</v>
      </c>
      <c r="U51" s="294"/>
      <c r="V51" s="292"/>
      <c r="W51" s="292"/>
      <c r="X51" s="292"/>
      <c r="Y51" s="292"/>
      <c r="Z51" s="292"/>
      <c r="AA51" s="292"/>
      <c r="AB51" s="292"/>
      <c r="AC51" s="292"/>
      <c r="AD51" s="292"/>
      <c r="AE51" s="292"/>
      <c r="AF51" s="289"/>
      <c r="AG51" s="220"/>
    </row>
    <row r="52" spans="2:33" ht="15.5" outlineLevel="1" x14ac:dyDescent="0.35">
      <c r="C52" s="222" t="str">
        <f>+$C$46</f>
        <v>New Zealand:</v>
      </c>
      <c r="F52" s="123" t="s">
        <v>156</v>
      </c>
      <c r="G52" s="19">
        <v>2.363519230769231</v>
      </c>
      <c r="H52" s="27">
        <f t="shared" si="10"/>
        <v>2.3455769230769232</v>
      </c>
      <c r="I52" s="27">
        <f t="shared" si="10"/>
        <v>2.4084423076923076</v>
      </c>
      <c r="J52" s="27">
        <f t="shared" ref="J52:S52" si="12">+I52*(1+J57)</f>
        <v>2.3121046153846154</v>
      </c>
      <c r="K52" s="27">
        <f t="shared" si="12"/>
        <v>2.2658625230769229</v>
      </c>
      <c r="L52" s="27">
        <f t="shared" si="12"/>
        <v>2.3564970239999998</v>
      </c>
      <c r="M52" s="27">
        <f t="shared" si="12"/>
        <v>2.45075690496</v>
      </c>
      <c r="N52" s="27">
        <f t="shared" si="12"/>
        <v>2.5242796121088</v>
      </c>
      <c r="O52" s="27">
        <f t="shared" si="12"/>
        <v>2.5747652043509759</v>
      </c>
      <c r="P52" s="27">
        <f t="shared" si="12"/>
        <v>2.6262605084379955</v>
      </c>
      <c r="Q52" s="27">
        <f t="shared" si="12"/>
        <v>2.6787857186067554</v>
      </c>
      <c r="R52" s="27">
        <f t="shared" si="12"/>
        <v>2.7323614329788906</v>
      </c>
      <c r="S52" s="27">
        <f t="shared" si="12"/>
        <v>2.7870086616384686</v>
      </c>
      <c r="U52" s="294"/>
      <c r="V52" s="295" t="s">
        <v>306</v>
      </c>
      <c r="W52" s="292"/>
      <c r="X52" s="292"/>
      <c r="Y52" s="292"/>
      <c r="Z52" s="292"/>
      <c r="AA52" s="292"/>
      <c r="AB52" s="292"/>
      <c r="AC52" s="292"/>
      <c r="AD52" s="292"/>
      <c r="AE52" s="292"/>
      <c r="AF52" s="289"/>
      <c r="AG52" s="220"/>
    </row>
    <row r="53" spans="2:33" ht="15.5" outlineLevel="1" x14ac:dyDescent="0.35">
      <c r="C53" s="222" t="str">
        <f>+$C$47</f>
        <v>Canada:</v>
      </c>
      <c r="F53" s="123" t="s">
        <v>157</v>
      </c>
      <c r="G53" s="19">
        <v>1.502724409448819</v>
      </c>
      <c r="H53" s="27">
        <f t="shared" si="10"/>
        <v>1.5765174825174826</v>
      </c>
      <c r="I53" s="27">
        <f t="shared" si="10"/>
        <v>1.6448050314465408</v>
      </c>
      <c r="J53" s="27">
        <f t="shared" ref="J53:S53" si="13">+I53*(1+J58)</f>
        <v>1.7517173584905659</v>
      </c>
      <c r="K53" s="27">
        <f t="shared" si="13"/>
        <v>1.8568203999999999</v>
      </c>
      <c r="L53" s="27">
        <f t="shared" si="13"/>
        <v>1.9589455219999998</v>
      </c>
      <c r="M53" s="27">
        <f t="shared" si="13"/>
        <v>2.0568927980999998</v>
      </c>
      <c r="N53" s="27">
        <f t="shared" si="13"/>
        <v>2.1494529740144999</v>
      </c>
      <c r="O53" s="27">
        <f t="shared" si="13"/>
        <v>2.2354310929750798</v>
      </c>
      <c r="P53" s="27">
        <f t="shared" si="13"/>
        <v>2.3136711812292075</v>
      </c>
      <c r="Q53" s="27">
        <f t="shared" si="13"/>
        <v>2.3830813166660838</v>
      </c>
      <c r="R53" s="27">
        <f t="shared" si="13"/>
        <v>2.4545737561660665</v>
      </c>
      <c r="S53" s="27">
        <f t="shared" si="13"/>
        <v>2.5282109688510488</v>
      </c>
      <c r="U53" s="294"/>
      <c r="V53" s="292" t="s">
        <v>307</v>
      </c>
      <c r="W53" s="292"/>
      <c r="X53" s="292"/>
      <c r="Y53" s="292"/>
      <c r="Z53" s="292"/>
      <c r="AA53" s="292"/>
      <c r="AB53" s="292"/>
      <c r="AC53" s="292"/>
      <c r="AD53" s="292"/>
      <c r="AE53" s="292"/>
      <c r="AF53" s="289"/>
      <c r="AG53" s="220"/>
    </row>
    <row r="54" spans="2:33" ht="15.5" outlineLevel="1" x14ac:dyDescent="0.35">
      <c r="C54" s="220"/>
      <c r="G54" s="27"/>
      <c r="J54" s="115"/>
      <c r="K54" s="108"/>
      <c r="L54" s="108"/>
      <c r="M54" s="108"/>
      <c r="N54" s="108"/>
      <c r="O54" s="108"/>
      <c r="P54" s="108"/>
      <c r="Q54" s="108"/>
      <c r="R54" s="108"/>
      <c r="S54" s="108"/>
      <c r="U54" s="294"/>
      <c r="V54" s="292"/>
      <c r="W54" s="292"/>
      <c r="X54" s="292"/>
      <c r="Y54" s="292"/>
      <c r="Z54" s="292"/>
      <c r="AA54" s="292"/>
      <c r="AB54" s="292"/>
      <c r="AC54" s="292"/>
      <c r="AD54" s="292"/>
      <c r="AE54" s="292"/>
      <c r="AF54" s="289"/>
      <c r="AG54" s="220"/>
    </row>
    <row r="55" spans="2:33" ht="15.5" outlineLevel="1" x14ac:dyDescent="0.35">
      <c r="C55" s="179" t="s">
        <v>262</v>
      </c>
      <c r="G55" s="27"/>
      <c r="J55" s="115"/>
      <c r="K55" s="108"/>
      <c r="L55" s="108"/>
      <c r="M55" s="108"/>
      <c r="N55" s="108"/>
      <c r="O55" s="108"/>
      <c r="P55" s="108"/>
      <c r="Q55" s="108"/>
      <c r="R55" s="108"/>
      <c r="S55" s="108"/>
      <c r="U55" s="290"/>
      <c r="V55" s="296" t="s">
        <v>308</v>
      </c>
      <c r="W55" s="292"/>
      <c r="X55" s="292"/>
      <c r="Y55" s="292"/>
      <c r="Z55" s="292"/>
      <c r="AA55" s="292"/>
      <c r="AB55" s="292"/>
      <c r="AC55" s="292"/>
      <c r="AD55" s="292"/>
      <c r="AE55" s="289"/>
      <c r="AF55" s="289"/>
      <c r="AG55" s="220"/>
    </row>
    <row r="56" spans="2:33" ht="15.5" outlineLevel="1" x14ac:dyDescent="0.35">
      <c r="C56" s="222" t="s">
        <v>203</v>
      </c>
      <c r="F56" s="128" t="s">
        <v>95</v>
      </c>
      <c r="G56" s="238">
        <v>3.8445571775684639E-2</v>
      </c>
      <c r="H56" s="86">
        <f t="shared" ref="H56:I58" si="14">+H51/G51-1</f>
        <v>4.3586071635348E-2</v>
      </c>
      <c r="I56" s="86">
        <f t="shared" si="14"/>
        <v>2.5731746690509372E-3</v>
      </c>
      <c r="J56" s="268">
        <v>-0.05</v>
      </c>
      <c r="K56" s="268">
        <v>-0.03</v>
      </c>
      <c r="L56" s="268">
        <v>0.06</v>
      </c>
      <c r="M56" s="268">
        <v>0.05</v>
      </c>
      <c r="N56" s="268">
        <v>0.04</v>
      </c>
      <c r="O56" s="268">
        <v>0.03</v>
      </c>
      <c r="P56" s="268">
        <v>0.03</v>
      </c>
      <c r="Q56" s="268">
        <v>0.03</v>
      </c>
      <c r="R56" s="268">
        <v>0.03</v>
      </c>
      <c r="S56" s="268">
        <v>0.03</v>
      </c>
      <c r="U56" s="290"/>
      <c r="V56" s="292" t="s">
        <v>309</v>
      </c>
      <c r="W56" s="292"/>
      <c r="X56" s="292"/>
      <c r="Y56" s="292"/>
      <c r="Z56" s="292"/>
      <c r="AA56" s="292"/>
      <c r="AB56" s="292"/>
      <c r="AC56" s="292"/>
      <c r="AD56" s="292"/>
      <c r="AE56" s="289"/>
      <c r="AF56" s="289"/>
      <c r="AG56" s="220"/>
    </row>
    <row r="57" spans="2:33" ht="15.5" outlineLevel="1" x14ac:dyDescent="0.35">
      <c r="C57" s="222" t="s">
        <v>204</v>
      </c>
      <c r="F57" s="128" t="s">
        <v>95</v>
      </c>
      <c r="G57" s="238">
        <v>7.8257283980944559E-2</v>
      </c>
      <c r="H57" s="86">
        <f t="shared" si="14"/>
        <v>-7.5913525300440599E-3</v>
      </c>
      <c r="I57" s="86">
        <f t="shared" si="14"/>
        <v>2.6801672542428268E-2</v>
      </c>
      <c r="J57" s="270">
        <v>-0.04</v>
      </c>
      <c r="K57" s="270">
        <v>-0.02</v>
      </c>
      <c r="L57" s="270">
        <v>0.04</v>
      </c>
      <c r="M57" s="270">
        <v>0.04</v>
      </c>
      <c r="N57" s="270">
        <v>0.03</v>
      </c>
      <c r="O57" s="270">
        <v>0.02</v>
      </c>
      <c r="P57" s="270">
        <v>0.02</v>
      </c>
      <c r="Q57" s="270">
        <v>0.02</v>
      </c>
      <c r="R57" s="270">
        <v>0.02</v>
      </c>
      <c r="S57" s="270">
        <v>0.02</v>
      </c>
      <c r="U57" s="290"/>
      <c r="V57" s="292" t="s">
        <v>310</v>
      </c>
      <c r="W57" s="292"/>
      <c r="X57" s="292"/>
      <c r="Y57" s="292"/>
      <c r="Z57" s="292"/>
      <c r="AA57" s="292"/>
      <c r="AB57" s="292"/>
      <c r="AC57" s="292"/>
      <c r="AD57" s="292"/>
      <c r="AE57" s="289"/>
      <c r="AF57" s="289"/>
      <c r="AG57" s="220"/>
    </row>
    <row r="58" spans="2:33" ht="15.5" outlineLevel="1" x14ac:dyDescent="0.35">
      <c r="C58" s="222" t="s">
        <v>193</v>
      </c>
      <c r="F58" s="128" t="s">
        <v>95</v>
      </c>
      <c r="G58" s="238">
        <v>8.2914539597995995E-2</v>
      </c>
      <c r="H58" s="86">
        <f t="shared" si="14"/>
        <v>4.9106191797157139E-2</v>
      </c>
      <c r="I58" s="86">
        <f t="shared" si="14"/>
        <v>4.3315440321037402E-2</v>
      </c>
      <c r="J58" s="271">
        <f>CA_Initial_Growth</f>
        <v>6.5000000000000002E-2</v>
      </c>
      <c r="K58" s="271">
        <f t="shared" ref="K58:S58" si="15">MAX(CA_Min_Growth,J58+CA_Growth_Change)</f>
        <v>6.0000000000000005E-2</v>
      </c>
      <c r="L58" s="271">
        <f t="shared" si="15"/>
        <v>5.5000000000000007E-2</v>
      </c>
      <c r="M58" s="271">
        <f t="shared" si="15"/>
        <v>5.000000000000001E-2</v>
      </c>
      <c r="N58" s="271">
        <f t="shared" si="15"/>
        <v>4.5000000000000012E-2</v>
      </c>
      <c r="O58" s="271">
        <f t="shared" si="15"/>
        <v>4.0000000000000015E-2</v>
      </c>
      <c r="P58" s="271">
        <f t="shared" si="15"/>
        <v>3.5000000000000017E-2</v>
      </c>
      <c r="Q58" s="271">
        <f t="shared" si="15"/>
        <v>3.0000000000000016E-2</v>
      </c>
      <c r="R58" s="271">
        <f t="shared" si="15"/>
        <v>0.03</v>
      </c>
      <c r="S58" s="271">
        <f t="shared" si="15"/>
        <v>0.03</v>
      </c>
      <c r="U58" s="290"/>
      <c r="V58" s="292"/>
      <c r="W58" s="292"/>
      <c r="X58" s="292"/>
      <c r="Y58" s="292"/>
      <c r="Z58" s="292"/>
      <c r="AA58" s="292"/>
      <c r="AB58" s="292"/>
      <c r="AC58" s="292"/>
      <c r="AD58" s="292"/>
      <c r="AE58" s="289"/>
      <c r="AF58" s="289"/>
      <c r="AG58" s="220"/>
    </row>
    <row r="59" spans="2:33" ht="15.5" outlineLevel="1" x14ac:dyDescent="0.35">
      <c r="C59" s="220"/>
      <c r="I59" s="86"/>
      <c r="J59" s="115"/>
      <c r="K59" s="108"/>
      <c r="L59" s="108"/>
      <c r="M59" s="108"/>
      <c r="N59" s="108"/>
      <c r="O59" s="108"/>
      <c r="P59" s="108"/>
      <c r="Q59" s="108"/>
      <c r="R59" s="108"/>
      <c r="S59" s="108"/>
      <c r="U59" s="290"/>
      <c r="V59" s="296" t="s">
        <v>311</v>
      </c>
      <c r="W59" s="292"/>
      <c r="X59" s="292"/>
      <c r="Y59" s="292"/>
      <c r="Z59" s="292"/>
      <c r="AA59" s="292"/>
      <c r="AB59" s="292"/>
      <c r="AC59" s="292"/>
      <c r="AD59" s="292"/>
      <c r="AE59" s="289"/>
      <c r="AF59" s="289"/>
      <c r="AG59" s="220"/>
    </row>
    <row r="60" spans="2:33" ht="15.5" outlineLevel="1" x14ac:dyDescent="0.35">
      <c r="B60" s="230" t="s">
        <v>268</v>
      </c>
      <c r="C60" s="97"/>
      <c r="D60" s="97"/>
      <c r="E60" s="97"/>
      <c r="F60" s="97"/>
      <c r="G60" s="246">
        <f t="shared" ref="G60:S60" si="16">+G36</f>
        <v>42551</v>
      </c>
      <c r="H60" s="246">
        <f t="shared" si="16"/>
        <v>42916</v>
      </c>
      <c r="I60" s="247">
        <f t="shared" si="16"/>
        <v>43281</v>
      </c>
      <c r="J60" s="246">
        <f t="shared" si="16"/>
        <v>43646</v>
      </c>
      <c r="K60" s="246">
        <f t="shared" si="16"/>
        <v>44012</v>
      </c>
      <c r="L60" s="246">
        <f t="shared" si="16"/>
        <v>44377</v>
      </c>
      <c r="M60" s="246">
        <f t="shared" si="16"/>
        <v>44742</v>
      </c>
      <c r="N60" s="246">
        <f t="shared" si="16"/>
        <v>45107</v>
      </c>
      <c r="O60" s="246">
        <f t="shared" si="16"/>
        <v>45473</v>
      </c>
      <c r="P60" s="246">
        <f t="shared" si="16"/>
        <v>45838</v>
      </c>
      <c r="Q60" s="246">
        <f t="shared" si="16"/>
        <v>46203</v>
      </c>
      <c r="R60" s="246">
        <f t="shared" si="16"/>
        <v>46568</v>
      </c>
      <c r="S60" s="246">
        <f t="shared" si="16"/>
        <v>46934</v>
      </c>
      <c r="U60" s="290"/>
      <c r="V60" s="292" t="s">
        <v>312</v>
      </c>
      <c r="W60" s="292"/>
      <c r="X60" s="292"/>
      <c r="Y60" s="292"/>
      <c r="Z60" s="292"/>
      <c r="AA60" s="292"/>
      <c r="AB60" s="292"/>
      <c r="AC60" s="292"/>
      <c r="AD60" s="292"/>
      <c r="AE60" s="289"/>
      <c r="AF60" s="289"/>
      <c r="AG60" s="220"/>
    </row>
    <row r="61" spans="2:33" ht="15.5" outlineLevel="1" x14ac:dyDescent="0.35">
      <c r="C61" s="179" t="s">
        <v>265</v>
      </c>
      <c r="D61" s="220"/>
      <c r="J61" s="115"/>
      <c r="K61" s="108"/>
      <c r="L61" s="108"/>
      <c r="M61" s="108"/>
      <c r="N61" s="108"/>
      <c r="O61" s="108"/>
      <c r="P61" s="108"/>
      <c r="Q61" s="108"/>
      <c r="R61" s="108"/>
      <c r="S61" s="108"/>
      <c r="U61" s="290"/>
      <c r="V61" s="289"/>
      <c r="W61" s="292"/>
      <c r="X61" s="292"/>
      <c r="Y61" s="292"/>
      <c r="Z61" s="292"/>
      <c r="AA61" s="292"/>
      <c r="AB61" s="292"/>
      <c r="AC61" s="292"/>
      <c r="AD61" s="292"/>
      <c r="AE61" s="289"/>
      <c r="AF61" s="289"/>
      <c r="AG61" s="220"/>
    </row>
    <row r="62" spans="2:33" ht="15.5" outlineLevel="1" x14ac:dyDescent="0.35">
      <c r="C62" s="222" t="str">
        <f>+$C$45</f>
        <v>Australia:</v>
      </c>
      <c r="F62" s="123" t="s">
        <v>155</v>
      </c>
      <c r="G62" s="17">
        <v>49.975000000000001</v>
      </c>
      <c r="H62" s="17">
        <v>51.688000000000002</v>
      </c>
      <c r="I62" s="17">
        <v>48.621000000000002</v>
      </c>
      <c r="J62" s="185">
        <f>+J67*J39</f>
        <v>45.798358083086043</v>
      </c>
      <c r="K62" s="185">
        <f t="shared" ref="K62:S62" si="17">+K67*K39</f>
        <v>44.940970216646875</v>
      </c>
      <c r="L62" s="185">
        <f t="shared" si="17"/>
        <v>48.988382850629101</v>
      </c>
      <c r="M62" s="185">
        <f t="shared" si="17"/>
        <v>52.876129462125817</v>
      </c>
      <c r="N62" s="185">
        <f t="shared" si="17"/>
        <v>56.351985081269355</v>
      </c>
      <c r="O62" s="185">
        <f t="shared" si="17"/>
        <v>59.461168899753929</v>
      </c>
      <c r="P62" s="185">
        <f t="shared" si="17"/>
        <v>62.554162682204165</v>
      </c>
      <c r="Q62" s="185">
        <f t="shared" si="17"/>
        <v>64.605396743056929</v>
      </c>
      <c r="R62" s="185">
        <f t="shared" si="17"/>
        <v>66.543558645348639</v>
      </c>
      <c r="S62" s="185">
        <f t="shared" si="17"/>
        <v>68.539865404709118</v>
      </c>
      <c r="U62" s="290"/>
      <c r="V62" s="292" t="s">
        <v>313</v>
      </c>
      <c r="W62" s="292"/>
      <c r="X62" s="292"/>
      <c r="Y62" s="292"/>
      <c r="Z62" s="292"/>
      <c r="AA62" s="292"/>
      <c r="AB62" s="292"/>
      <c r="AC62" s="292"/>
      <c r="AD62" s="292"/>
      <c r="AE62" s="289"/>
      <c r="AF62" s="289"/>
      <c r="AG62" s="220"/>
    </row>
    <row r="63" spans="2:33" ht="15.5" outlineLevel="1" x14ac:dyDescent="0.35">
      <c r="C63" s="222" t="str">
        <f>+$C$46</f>
        <v>New Zealand:</v>
      </c>
      <c r="F63" s="123" t="s">
        <v>156</v>
      </c>
      <c r="G63" s="125">
        <v>27.135999999999999</v>
      </c>
      <c r="H63" s="125">
        <v>27.835999999999999</v>
      </c>
      <c r="I63" s="125">
        <v>27.8</v>
      </c>
      <c r="J63" s="185">
        <f t="shared" ref="J63:S64" si="18">+J68*J40</f>
        <v>26.097880846153846</v>
      </c>
      <c r="K63" s="185">
        <f t="shared" si="18"/>
        <v>25.819503450461536</v>
      </c>
      <c r="L63" s="185">
        <f t="shared" si="18"/>
        <v>27.102072273023996</v>
      </c>
      <c r="M63" s="185">
        <f t="shared" si="18"/>
        <v>28.44593539587072</v>
      </c>
      <c r="N63" s="185">
        <f t="shared" si="18"/>
        <v>29.845819993768394</v>
      </c>
      <c r="O63" s="185">
        <f t="shared" si="18"/>
        <v>31.005322590794453</v>
      </c>
      <c r="P63" s="185">
        <f t="shared" si="18"/>
        <v>31.909065177521651</v>
      </c>
      <c r="Q63" s="185">
        <f t="shared" si="18"/>
        <v>32.547246481072079</v>
      </c>
      <c r="R63" s="185">
        <f t="shared" si="18"/>
        <v>33.198191410693518</v>
      </c>
      <c r="S63" s="185">
        <f t="shared" si="18"/>
        <v>33.862155238907391</v>
      </c>
      <c r="U63" s="290"/>
      <c r="V63" s="292" t="s">
        <v>314</v>
      </c>
      <c r="W63" s="292"/>
      <c r="X63" s="292"/>
      <c r="Y63" s="292"/>
      <c r="Z63" s="292"/>
      <c r="AA63" s="292"/>
      <c r="AB63" s="292"/>
      <c r="AC63" s="292"/>
      <c r="AD63" s="292"/>
      <c r="AE63" s="289"/>
      <c r="AF63" s="289"/>
      <c r="AG63" s="220"/>
    </row>
    <row r="64" spans="2:33" ht="15.5" outlineLevel="1" x14ac:dyDescent="0.35">
      <c r="C64" s="222" t="str">
        <f>+$C$47</f>
        <v>Canada:</v>
      </c>
      <c r="F64" s="123" t="s">
        <v>157</v>
      </c>
      <c r="G64" s="125">
        <v>8.9290000000000003</v>
      </c>
      <c r="H64" s="125">
        <v>12.385999999999999</v>
      </c>
      <c r="I64" s="125">
        <v>14.605</v>
      </c>
      <c r="J64" s="185">
        <f t="shared" si="18"/>
        <v>17.27268501792453</v>
      </c>
      <c r="K64" s="185">
        <f t="shared" si="18"/>
        <v>19.771430349999999</v>
      </c>
      <c r="L64" s="185">
        <f t="shared" si="18"/>
        <v>22.460442748614998</v>
      </c>
      <c r="M64" s="185">
        <f t="shared" si="18"/>
        <v>25.326834585821999</v>
      </c>
      <c r="N64" s="185">
        <f t="shared" si="18"/>
        <v>28.352847067670609</v>
      </c>
      <c r="O64" s="185">
        <f t="shared" si="18"/>
        <v>31.357410246850286</v>
      </c>
      <c r="P64" s="185">
        <f t="shared" si="18"/>
        <v>33.939582666867175</v>
      </c>
      <c r="Q64" s="185">
        <f t="shared" si="18"/>
        <v>35.746219749991255</v>
      </c>
      <c r="R64" s="185">
        <f t="shared" si="18"/>
        <v>36.818606342491002</v>
      </c>
      <c r="S64" s="185">
        <f t="shared" si="18"/>
        <v>37.923164532765732</v>
      </c>
      <c r="U64" s="290"/>
      <c r="V64" s="292"/>
      <c r="W64" s="292"/>
      <c r="X64" s="292"/>
      <c r="Y64" s="292"/>
      <c r="Z64" s="292"/>
      <c r="AA64" s="292"/>
      <c r="AB64" s="292"/>
      <c r="AC64" s="292"/>
      <c r="AD64" s="292"/>
      <c r="AE64" s="289"/>
      <c r="AF64" s="289"/>
      <c r="AG64" s="220"/>
    </row>
    <row r="65" spans="3:33" ht="15.5" outlineLevel="1" x14ac:dyDescent="0.35">
      <c r="J65" s="115"/>
      <c r="K65" s="108"/>
      <c r="L65" s="108"/>
      <c r="M65" s="108"/>
      <c r="N65" s="108"/>
      <c r="O65" s="108"/>
      <c r="P65" s="108"/>
      <c r="Q65" s="108"/>
      <c r="R65" s="108"/>
      <c r="S65" s="108"/>
      <c r="U65" s="290"/>
      <c r="V65" s="289" t="s">
        <v>315</v>
      </c>
      <c r="W65" s="292"/>
      <c r="X65" s="292"/>
      <c r="Y65" s="292"/>
      <c r="Z65" s="292"/>
      <c r="AA65" s="292"/>
      <c r="AB65" s="292"/>
      <c r="AC65" s="292"/>
      <c r="AD65" s="292"/>
      <c r="AE65" s="289"/>
      <c r="AF65" s="289"/>
      <c r="AG65" s="220"/>
    </row>
    <row r="66" spans="3:33" ht="15.5" outlineLevel="1" x14ac:dyDescent="0.35">
      <c r="C66" s="179" t="s">
        <v>158</v>
      </c>
      <c r="D66" s="220"/>
      <c r="I66" s="27"/>
      <c r="J66" s="115"/>
      <c r="K66" s="108"/>
      <c r="L66" s="108"/>
      <c r="M66" s="108"/>
      <c r="N66" s="108"/>
      <c r="O66" s="108"/>
      <c r="P66" s="108"/>
      <c r="Q66" s="108"/>
      <c r="R66" s="108"/>
      <c r="S66" s="108"/>
      <c r="U66" s="290"/>
      <c r="V66" s="292"/>
      <c r="W66" s="292"/>
      <c r="X66" s="292"/>
      <c r="Y66" s="292"/>
      <c r="Z66" s="292"/>
      <c r="AA66" s="292"/>
      <c r="AB66" s="292"/>
      <c r="AC66" s="292"/>
      <c r="AD66" s="292"/>
      <c r="AE66" s="289"/>
      <c r="AF66" s="289"/>
      <c r="AG66" s="220"/>
    </row>
    <row r="67" spans="3:33" ht="15.5" outlineLevel="1" x14ac:dyDescent="0.35">
      <c r="C67" s="222" t="str">
        <f>+$C$45</f>
        <v>Australia:</v>
      </c>
      <c r="F67" s="128" t="s">
        <v>95</v>
      </c>
      <c r="G67" s="86">
        <f t="shared" ref="G67:I69" si="19">+G62/G39</f>
        <v>0.16149254985345299</v>
      </c>
      <c r="H67" s="86">
        <f t="shared" si="19"/>
        <v>0.16053121146899973</v>
      </c>
      <c r="I67" s="86">
        <f t="shared" si="19"/>
        <v>0.14927742248448769</v>
      </c>
      <c r="J67" s="268">
        <v>0.14499999999999999</v>
      </c>
      <c r="K67" s="268">
        <v>0.14499999999999999</v>
      </c>
      <c r="L67" s="268">
        <v>0.14699999999999999</v>
      </c>
      <c r="M67" s="268">
        <v>0.14899999999999999</v>
      </c>
      <c r="N67" s="268">
        <v>0.151</v>
      </c>
      <c r="O67" s="268">
        <v>0.153</v>
      </c>
      <c r="P67" s="268">
        <v>0.155</v>
      </c>
      <c r="Q67" s="268">
        <v>0.155</v>
      </c>
      <c r="R67" s="268">
        <v>0.155</v>
      </c>
      <c r="S67" s="268">
        <v>0.155</v>
      </c>
      <c r="U67" s="290"/>
      <c r="V67" s="292" t="s">
        <v>316</v>
      </c>
      <c r="W67" s="292"/>
      <c r="X67" s="292"/>
      <c r="Y67" s="292"/>
      <c r="Z67" s="292"/>
      <c r="AA67" s="292"/>
      <c r="AB67" s="292"/>
      <c r="AC67" s="292"/>
      <c r="AD67" s="292"/>
      <c r="AE67" s="289"/>
      <c r="AF67" s="289"/>
      <c r="AG67" s="220"/>
    </row>
    <row r="68" spans="3:33" ht="15.5" outlineLevel="1" x14ac:dyDescent="0.35">
      <c r="C68" s="222" t="str">
        <f>+$C$46</f>
        <v>New Zealand:</v>
      </c>
      <c r="F68" s="128" t="s">
        <v>95</v>
      </c>
      <c r="G68" s="86">
        <f t="shared" si="19"/>
        <v>0.22079200670447424</v>
      </c>
      <c r="H68" s="86">
        <f t="shared" si="19"/>
        <v>0.22822005411166679</v>
      </c>
      <c r="I68" s="86">
        <f t="shared" si="19"/>
        <v>0.22197558268590456</v>
      </c>
      <c r="J68" s="268">
        <v>0.215</v>
      </c>
      <c r="K68" s="268">
        <v>0.215</v>
      </c>
      <c r="L68" s="268">
        <v>0.217</v>
      </c>
      <c r="M68" s="268">
        <v>0.219</v>
      </c>
      <c r="N68" s="268">
        <v>0.221</v>
      </c>
      <c r="O68" s="268">
        <v>0.223</v>
      </c>
      <c r="P68" s="268">
        <v>0.22500000000000001</v>
      </c>
      <c r="Q68" s="268">
        <v>0.22500000000000001</v>
      </c>
      <c r="R68" s="268">
        <v>0.22500000000000001</v>
      </c>
      <c r="S68" s="268">
        <v>0.22500000000000001</v>
      </c>
      <c r="U68" s="290"/>
      <c r="V68" s="289" t="s">
        <v>317</v>
      </c>
      <c r="W68" s="292"/>
      <c r="X68" s="292"/>
      <c r="Y68" s="292"/>
      <c r="Z68" s="292"/>
      <c r="AA68" s="292"/>
      <c r="AB68" s="292"/>
      <c r="AC68" s="292"/>
      <c r="AD68" s="292"/>
      <c r="AE68" s="289"/>
      <c r="AF68" s="289"/>
      <c r="AG68" s="220"/>
    </row>
    <row r="69" spans="3:33" ht="15.5" outlineLevel="1" x14ac:dyDescent="0.35">
      <c r="C69" s="222" t="str">
        <f>+$C$47</f>
        <v>Canada:</v>
      </c>
      <c r="F69" s="128" t="s">
        <v>95</v>
      </c>
      <c r="G69" s="86">
        <f t="shared" si="19"/>
        <v>9.3572828353751192E-2</v>
      </c>
      <c r="H69" s="86">
        <f t="shared" si="19"/>
        <v>0.10988192084882141</v>
      </c>
      <c r="I69" s="86">
        <f t="shared" si="19"/>
        <v>0.11169146999892936</v>
      </c>
      <c r="J69" s="271">
        <f t="shared" ref="J69:S69" si="20">MIN(I69+CA_Margin_Increase,CA_Max_Margin)</f>
        <v>0.11669146999892936</v>
      </c>
      <c r="K69" s="271">
        <f t="shared" si="20"/>
        <v>0.12169146999892937</v>
      </c>
      <c r="L69" s="271">
        <f t="shared" si="20"/>
        <v>0.12669146999892936</v>
      </c>
      <c r="M69" s="271">
        <f t="shared" si="20"/>
        <v>0.13169146999892936</v>
      </c>
      <c r="N69" s="271">
        <f t="shared" si="20"/>
        <v>0.13669146999892937</v>
      </c>
      <c r="O69" s="271">
        <f t="shared" si="20"/>
        <v>0.14169146999892937</v>
      </c>
      <c r="P69" s="271">
        <f t="shared" si="20"/>
        <v>0.14669146999892937</v>
      </c>
      <c r="Q69" s="271">
        <f t="shared" si="20"/>
        <v>0.15</v>
      </c>
      <c r="R69" s="271">
        <f t="shared" si="20"/>
        <v>0.15</v>
      </c>
      <c r="S69" s="271">
        <f t="shared" si="20"/>
        <v>0.15</v>
      </c>
      <c r="U69" s="290"/>
      <c r="V69" s="292" t="s">
        <v>318</v>
      </c>
      <c r="W69" s="292"/>
      <c r="X69" s="292"/>
      <c r="Y69" s="292"/>
      <c r="Z69" s="292"/>
      <c r="AA69" s="292"/>
      <c r="AB69" s="292"/>
      <c r="AC69" s="292"/>
      <c r="AD69" s="292"/>
      <c r="AE69" s="289"/>
      <c r="AF69" s="289"/>
      <c r="AG69" s="220"/>
    </row>
    <row r="70" spans="3:33" ht="15.5" outlineLevel="1" x14ac:dyDescent="0.35">
      <c r="J70" s="115"/>
      <c r="K70" s="108"/>
      <c r="L70" s="108"/>
      <c r="M70" s="108"/>
      <c r="N70" s="108"/>
      <c r="O70" s="108"/>
      <c r="P70" s="108"/>
      <c r="Q70" s="108"/>
      <c r="R70" s="108"/>
      <c r="S70" s="108"/>
      <c r="U70" s="290"/>
      <c r="V70" s="292"/>
      <c r="W70" s="292"/>
      <c r="X70" s="292"/>
      <c r="Y70" s="292"/>
      <c r="Z70" s="292"/>
      <c r="AA70" s="292"/>
      <c r="AB70" s="292"/>
      <c r="AC70" s="292"/>
      <c r="AD70" s="292"/>
      <c r="AE70" s="289"/>
      <c r="AF70" s="289"/>
      <c r="AG70" s="220"/>
    </row>
    <row r="71" spans="3:33" ht="15.5" outlineLevel="1" x14ac:dyDescent="0.35">
      <c r="C71" s="37" t="s">
        <v>153</v>
      </c>
      <c r="J71" s="115"/>
      <c r="K71" s="108"/>
      <c r="L71" s="108"/>
      <c r="M71" s="108"/>
      <c r="N71" s="108"/>
      <c r="O71" s="108"/>
      <c r="P71" s="108"/>
      <c r="Q71" s="108"/>
      <c r="R71" s="108"/>
      <c r="S71" s="108"/>
      <c r="U71" s="289"/>
      <c r="V71" s="289" t="s">
        <v>319</v>
      </c>
      <c r="W71" s="289"/>
      <c r="X71" s="289"/>
      <c r="Y71" s="289"/>
      <c r="Z71" s="289"/>
      <c r="AA71" s="289"/>
      <c r="AB71" s="289"/>
      <c r="AC71" s="289"/>
      <c r="AD71" s="289"/>
      <c r="AE71" s="289"/>
      <c r="AF71" s="289"/>
      <c r="AG71" s="220"/>
    </row>
    <row r="72" spans="3:33" ht="15.5" outlineLevel="1" x14ac:dyDescent="0.35">
      <c r="C72" s="222" t="s">
        <v>150</v>
      </c>
      <c r="F72" s="128" t="s">
        <v>154</v>
      </c>
      <c r="G72" s="256">
        <v>1.0900000000000001</v>
      </c>
      <c r="H72" s="256">
        <v>1.06</v>
      </c>
      <c r="I72" s="256">
        <v>1.0900000000000001</v>
      </c>
      <c r="J72" s="255">
        <f>AVERAGE(G72:I72)</f>
        <v>1.08</v>
      </c>
      <c r="K72" s="255">
        <f>+J72</f>
        <v>1.08</v>
      </c>
      <c r="L72" s="255">
        <f t="shared" ref="L72:S72" si="21">+K72</f>
        <v>1.08</v>
      </c>
      <c r="M72" s="255">
        <f t="shared" si="21"/>
        <v>1.08</v>
      </c>
      <c r="N72" s="255">
        <f t="shared" si="21"/>
        <v>1.08</v>
      </c>
      <c r="O72" s="255">
        <f t="shared" si="21"/>
        <v>1.08</v>
      </c>
      <c r="P72" s="255">
        <f t="shared" si="21"/>
        <v>1.08</v>
      </c>
      <c r="Q72" s="255">
        <f t="shared" si="21"/>
        <v>1.08</v>
      </c>
      <c r="R72" s="255">
        <f t="shared" si="21"/>
        <v>1.08</v>
      </c>
      <c r="S72" s="255">
        <f t="shared" si="21"/>
        <v>1.08</v>
      </c>
      <c r="U72" s="290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220"/>
    </row>
    <row r="73" spans="3:33" ht="15.5" outlineLevel="1" x14ac:dyDescent="0.35">
      <c r="C73" s="222" t="s">
        <v>151</v>
      </c>
      <c r="F73" s="128" t="s">
        <v>154</v>
      </c>
      <c r="G73" s="256">
        <v>0.97</v>
      </c>
      <c r="H73" s="256">
        <v>1</v>
      </c>
      <c r="I73" s="256">
        <v>0.98</v>
      </c>
      <c r="J73" s="255">
        <f t="shared" ref="J73" si="22">AVERAGE(G73:I73)</f>
        <v>0.98333333333333339</v>
      </c>
      <c r="K73" s="255">
        <f t="shared" ref="K73:S73" si="23">+J73</f>
        <v>0.98333333333333339</v>
      </c>
      <c r="L73" s="255">
        <f t="shared" si="23"/>
        <v>0.98333333333333339</v>
      </c>
      <c r="M73" s="255">
        <f t="shared" si="23"/>
        <v>0.98333333333333339</v>
      </c>
      <c r="N73" s="255">
        <f t="shared" si="23"/>
        <v>0.98333333333333339</v>
      </c>
      <c r="O73" s="255">
        <f t="shared" si="23"/>
        <v>0.98333333333333339</v>
      </c>
      <c r="P73" s="255">
        <f t="shared" si="23"/>
        <v>0.98333333333333339</v>
      </c>
      <c r="Q73" s="255">
        <f t="shared" si="23"/>
        <v>0.98333333333333339</v>
      </c>
      <c r="R73" s="255">
        <f t="shared" si="23"/>
        <v>0.98333333333333339</v>
      </c>
      <c r="S73" s="255">
        <f t="shared" si="23"/>
        <v>0.98333333333333339</v>
      </c>
      <c r="U73" s="290"/>
      <c r="V73" s="292"/>
      <c r="W73" s="292"/>
      <c r="X73" s="292"/>
      <c r="Y73" s="292"/>
      <c r="Z73" s="292"/>
      <c r="AA73" s="292"/>
      <c r="AB73" s="292"/>
      <c r="AC73" s="292"/>
      <c r="AD73" s="292"/>
      <c r="AE73" s="289"/>
      <c r="AF73" s="289"/>
      <c r="AG73" s="220"/>
    </row>
    <row r="74" spans="3:33" ht="15.5" outlineLevel="1" x14ac:dyDescent="0.35">
      <c r="J74" s="115"/>
      <c r="K74" s="108"/>
      <c r="L74" s="108"/>
      <c r="M74" s="108"/>
      <c r="N74" s="108"/>
      <c r="O74" s="108"/>
      <c r="P74" s="108"/>
      <c r="Q74" s="108"/>
      <c r="R74" s="108"/>
      <c r="S74" s="108"/>
      <c r="U74" s="290"/>
      <c r="V74" s="292"/>
      <c r="W74" s="292"/>
      <c r="X74" s="292"/>
      <c r="Y74" s="292"/>
      <c r="Z74" s="292"/>
      <c r="AA74" s="292"/>
      <c r="AB74" s="292"/>
      <c r="AC74" s="292"/>
      <c r="AD74" s="292"/>
      <c r="AE74" s="289"/>
      <c r="AF74" s="289"/>
      <c r="AG74" s="220"/>
    </row>
    <row r="75" spans="3:33" ht="15.5" outlineLevel="1" x14ac:dyDescent="0.35">
      <c r="C75" s="8" t="s">
        <v>159</v>
      </c>
      <c r="F75" s="123" t="s">
        <v>155</v>
      </c>
      <c r="G75" s="125">
        <v>-29.651567483211998</v>
      </c>
      <c r="H75" s="125">
        <v>-28.002377358490602</v>
      </c>
      <c r="I75" s="125">
        <v>-38.8816483804531</v>
      </c>
      <c r="J75" s="132">
        <f>-J76*J94</f>
        <v>-33.878589263149664</v>
      </c>
      <c r="K75" s="132">
        <f>-K76*K94</f>
        <v>-34.321405924167514</v>
      </c>
      <c r="L75" s="132">
        <f t="shared" ref="L75:S75" si="24">-L76*L94</f>
        <v>-36.821834110679504</v>
      </c>
      <c r="M75" s="132">
        <f t="shared" si="24"/>
        <v>-39.246730638470872</v>
      </c>
      <c r="N75" s="132">
        <f t="shared" si="24"/>
        <v>-41.491780612024868</v>
      </c>
      <c r="O75" s="132">
        <f t="shared" si="24"/>
        <v>-43.433407163226072</v>
      </c>
      <c r="P75" s="132">
        <f t="shared" si="24"/>
        <v>-45.053227004483666</v>
      </c>
      <c r="Q75" s="132">
        <f t="shared" si="24"/>
        <v>-46.391281979822018</v>
      </c>
      <c r="R75" s="132">
        <f t="shared" si="24"/>
        <v>-47.702176569187387</v>
      </c>
      <c r="S75" s="132">
        <f t="shared" si="24"/>
        <v>-49.050834048595988</v>
      </c>
      <c r="U75" s="290"/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220"/>
    </row>
    <row r="76" spans="3:33" ht="15.5" outlineLevel="1" x14ac:dyDescent="0.35">
      <c r="C76" s="87" t="s">
        <v>1</v>
      </c>
      <c r="F76" s="128" t="s">
        <v>95</v>
      </c>
      <c r="G76" s="29">
        <f>-G75/G$94</f>
        <v>5.6780461650895647E-2</v>
      </c>
      <c r="H76" s="29">
        <f>-H75/H$94</f>
        <v>5.0811878521030203E-2</v>
      </c>
      <c r="I76" s="29">
        <f>-I75/I$94</f>
        <v>6.7555783121075352E-2</v>
      </c>
      <c r="J76" s="271">
        <f>AVERAGE(G76:I76)</f>
        <v>5.8382707764333734E-2</v>
      </c>
      <c r="K76" s="271">
        <f>+J76</f>
        <v>5.8382707764333734E-2</v>
      </c>
      <c r="L76" s="271">
        <f t="shared" ref="L76:S76" si="25">+K76</f>
        <v>5.8382707764333734E-2</v>
      </c>
      <c r="M76" s="271">
        <f t="shared" si="25"/>
        <v>5.8382707764333734E-2</v>
      </c>
      <c r="N76" s="271">
        <f t="shared" si="25"/>
        <v>5.8382707764333734E-2</v>
      </c>
      <c r="O76" s="271">
        <f t="shared" si="25"/>
        <v>5.8382707764333734E-2</v>
      </c>
      <c r="P76" s="271">
        <f t="shared" si="25"/>
        <v>5.8382707764333734E-2</v>
      </c>
      <c r="Q76" s="271">
        <f t="shared" si="25"/>
        <v>5.8382707764333734E-2</v>
      </c>
      <c r="R76" s="271">
        <f t="shared" si="25"/>
        <v>5.8382707764333734E-2</v>
      </c>
      <c r="S76" s="271">
        <f t="shared" si="25"/>
        <v>5.8382707764333734E-2</v>
      </c>
      <c r="U76" s="290"/>
      <c r="V76" s="289"/>
      <c r="W76" s="289"/>
      <c r="X76" s="289"/>
      <c r="Y76" s="289"/>
      <c r="Z76" s="289"/>
      <c r="AA76" s="289"/>
      <c r="AB76" s="289"/>
      <c r="AC76" s="289"/>
      <c r="AD76" s="289"/>
      <c r="AE76" s="289"/>
      <c r="AF76" s="289"/>
      <c r="AG76" s="220"/>
    </row>
    <row r="77" spans="3:33" ht="15.5" outlineLevel="1" x14ac:dyDescent="0.35">
      <c r="J77" s="115"/>
      <c r="K77" s="108"/>
      <c r="L77" s="108"/>
      <c r="M77" s="108"/>
      <c r="N77" s="108"/>
      <c r="O77" s="108"/>
      <c r="P77" s="108"/>
      <c r="Q77" s="108"/>
      <c r="R77" s="108"/>
      <c r="S77" s="108"/>
      <c r="U77" s="290"/>
      <c r="V77" s="289"/>
      <c r="W77" s="289"/>
      <c r="X77" s="289"/>
      <c r="Y77" s="289"/>
      <c r="Z77" s="289"/>
      <c r="AA77" s="289"/>
      <c r="AB77" s="289"/>
      <c r="AC77" s="289"/>
      <c r="AD77" s="289"/>
      <c r="AE77" s="289"/>
      <c r="AF77" s="289"/>
      <c r="AG77" s="220"/>
    </row>
    <row r="78" spans="3:33" ht="15.5" outlineLevel="1" x14ac:dyDescent="0.35">
      <c r="C78" s="8" t="s">
        <v>161</v>
      </c>
      <c r="F78" s="123" t="s">
        <v>155</v>
      </c>
      <c r="G78" s="125">
        <v>24.548999999999999</v>
      </c>
      <c r="H78" s="125">
        <v>33.145000000000003</v>
      </c>
      <c r="I78" s="125">
        <v>24.555</v>
      </c>
      <c r="J78" s="185">
        <f>+J84+J86</f>
        <v>25.481999999999999</v>
      </c>
      <c r="K78" s="185">
        <f t="shared" ref="K78:S78" si="26">+K84+K86</f>
        <v>24.216000000000001</v>
      </c>
      <c r="L78" s="185">
        <f t="shared" si="26"/>
        <v>26.573999999999998</v>
      </c>
      <c r="M78" s="185">
        <f t="shared" si="26"/>
        <v>27.474999999999998</v>
      </c>
      <c r="N78" s="185">
        <f t="shared" si="26"/>
        <v>29.634</v>
      </c>
      <c r="O78" s="185">
        <f t="shared" si="26"/>
        <v>29.854000000000003</v>
      </c>
      <c r="P78" s="185">
        <f t="shared" si="26"/>
        <v>29.117000000000004</v>
      </c>
      <c r="Q78" s="185">
        <f t="shared" si="26"/>
        <v>29.492999999999999</v>
      </c>
      <c r="R78" s="185">
        <f t="shared" si="26"/>
        <v>29.831999999999997</v>
      </c>
      <c r="S78" s="185">
        <f t="shared" si="26"/>
        <v>30.170999999999999</v>
      </c>
      <c r="U78" s="290"/>
      <c r="V78" s="289"/>
      <c r="W78" s="289"/>
      <c r="X78" s="289"/>
      <c r="Y78" s="289"/>
      <c r="Z78" s="289"/>
      <c r="AA78" s="289"/>
      <c r="AB78" s="289"/>
      <c r="AC78" s="289"/>
      <c r="AD78" s="289"/>
      <c r="AE78" s="289"/>
      <c r="AF78" s="289"/>
      <c r="AG78" s="220"/>
    </row>
    <row r="79" spans="3:33" ht="15.5" outlineLevel="1" x14ac:dyDescent="0.35">
      <c r="C79" s="87" t="s">
        <v>1</v>
      </c>
      <c r="F79" s="128" t="s">
        <v>95</v>
      </c>
      <c r="G79" s="29">
        <f>+G78/G$94</f>
        <v>4.7009439007129443E-2</v>
      </c>
      <c r="H79" s="29">
        <f>+H78/H$94</f>
        <v>6.0143454679532492E-2</v>
      </c>
      <c r="I79" s="29">
        <f>+I78/I$94</f>
        <v>4.2663629851967561E-2</v>
      </c>
      <c r="J79" s="29">
        <f>IFERROR(+J78/J94,"N/A")</f>
        <v>4.3912931193653873E-2</v>
      </c>
      <c r="K79" s="29">
        <f t="shared" ref="K79:S79" si="27">IFERROR(+K78/K94,"N/A")</f>
        <v>4.119282451146844E-2</v>
      </c>
      <c r="L79" s="29">
        <f t="shared" si="27"/>
        <v>4.2134296500983673E-2</v>
      </c>
      <c r="M79" s="29">
        <f t="shared" si="27"/>
        <v>4.0871299844087258E-2</v>
      </c>
      <c r="N79" s="29">
        <f t="shared" si="27"/>
        <v>4.1697732330794601E-2</v>
      </c>
      <c r="O79" s="29">
        <f t="shared" si="27"/>
        <v>4.0129418146871425E-2</v>
      </c>
      <c r="P79" s="29">
        <f t="shared" si="27"/>
        <v>3.7731576959069542E-2</v>
      </c>
      <c r="Q79" s="29">
        <f t="shared" si="27"/>
        <v>3.7116482377926752E-2</v>
      </c>
      <c r="R79" s="29">
        <f t="shared" si="27"/>
        <v>3.6511393468586825E-2</v>
      </c>
      <c r="S79" s="29">
        <f t="shared" si="27"/>
        <v>3.5911003556281677E-2</v>
      </c>
      <c r="U79" s="290"/>
      <c r="V79" s="291"/>
      <c r="W79" s="289"/>
      <c r="X79" s="289"/>
      <c r="Y79" s="289"/>
      <c r="Z79" s="289"/>
      <c r="AA79" s="289"/>
      <c r="AB79" s="289"/>
      <c r="AC79" s="289"/>
      <c r="AD79" s="289"/>
      <c r="AE79" s="289"/>
      <c r="AF79" s="289"/>
      <c r="AG79" s="220"/>
    </row>
    <row r="80" spans="3:33" ht="15.5" outlineLevel="1" x14ac:dyDescent="0.35">
      <c r="J80" s="187"/>
      <c r="K80" s="186"/>
      <c r="L80" s="108"/>
      <c r="M80" s="108"/>
      <c r="N80" s="108"/>
      <c r="O80" s="108"/>
      <c r="P80" s="108"/>
      <c r="Q80" s="108"/>
      <c r="R80" s="108"/>
      <c r="S80" s="108"/>
      <c r="U80" s="292"/>
      <c r="V80" s="292"/>
      <c r="W80" s="292"/>
      <c r="X80" s="292"/>
      <c r="Y80" s="292"/>
      <c r="Z80" s="292"/>
      <c r="AA80" s="292"/>
      <c r="AB80" s="292"/>
      <c r="AC80" s="292"/>
      <c r="AD80" s="292"/>
      <c r="AE80" s="292"/>
      <c r="AF80" s="292"/>
    </row>
    <row r="81" spans="2:32" ht="15.5" outlineLevel="1" x14ac:dyDescent="0.35">
      <c r="C81" s="8" t="s">
        <v>208</v>
      </c>
      <c r="F81" s="128" t="s">
        <v>162</v>
      </c>
      <c r="G81" s="184">
        <v>0.5</v>
      </c>
      <c r="H81" s="184">
        <v>0.52500000000000002</v>
      </c>
      <c r="I81" s="184">
        <v>0.56000000000000005</v>
      </c>
      <c r="J81" s="258">
        <v>0.57499999999999996</v>
      </c>
      <c r="K81" s="258">
        <v>0.6</v>
      </c>
      <c r="L81" s="258">
        <v>0.625</v>
      </c>
      <c r="M81" s="258">
        <v>0.65</v>
      </c>
      <c r="N81" s="258">
        <v>0.67500000000000004</v>
      </c>
      <c r="O81" s="258">
        <v>0.7</v>
      </c>
      <c r="P81" s="258">
        <v>0.72499999999999998</v>
      </c>
      <c r="Q81" s="258">
        <v>0.74</v>
      </c>
      <c r="R81" s="258">
        <v>0.75</v>
      </c>
      <c r="S81" s="258">
        <v>0.75</v>
      </c>
      <c r="U81" s="292"/>
      <c r="V81" s="292"/>
      <c r="W81" s="292"/>
      <c r="X81" s="292"/>
      <c r="Y81" s="292"/>
      <c r="Z81" s="292"/>
      <c r="AA81" s="292"/>
      <c r="AB81" s="292"/>
      <c r="AC81" s="292"/>
      <c r="AD81" s="292"/>
      <c r="AE81" s="292"/>
      <c r="AF81" s="292"/>
    </row>
    <row r="82" spans="2:32" ht="15.5" outlineLevel="1" x14ac:dyDescent="0.35">
      <c r="H82" s="27"/>
      <c r="I82" s="27"/>
      <c r="J82" s="115"/>
      <c r="K82" s="186"/>
      <c r="L82" s="186"/>
      <c r="M82" s="186"/>
      <c r="N82" s="186"/>
      <c r="O82" s="186"/>
      <c r="P82" s="186"/>
      <c r="Q82" s="186"/>
      <c r="R82" s="186"/>
      <c r="S82" s="186"/>
      <c r="U82" s="292"/>
      <c r="V82" s="292"/>
      <c r="W82" s="292"/>
      <c r="X82" s="292"/>
      <c r="Y82" s="292"/>
      <c r="Z82" s="292"/>
      <c r="AA82" s="292"/>
      <c r="AB82" s="292"/>
      <c r="AC82" s="292"/>
      <c r="AD82" s="292"/>
      <c r="AE82" s="292"/>
      <c r="AF82" s="292"/>
    </row>
    <row r="83" spans="2:32" ht="15.5" outlineLevel="1" x14ac:dyDescent="0.35">
      <c r="C83" s="8" t="s">
        <v>209</v>
      </c>
      <c r="F83" s="123" t="s">
        <v>148</v>
      </c>
      <c r="G83" s="183">
        <v>8</v>
      </c>
      <c r="H83" s="135">
        <f>+H48-G48</f>
        <v>7</v>
      </c>
      <c r="I83" s="135">
        <f>+I48-H48</f>
        <v>12</v>
      </c>
      <c r="J83" s="135">
        <f>+J48-I48</f>
        <v>6</v>
      </c>
      <c r="K83" s="135">
        <f t="shared" ref="K83:S83" si="28">+K48-J48</f>
        <v>5</v>
      </c>
      <c r="L83" s="135">
        <f t="shared" si="28"/>
        <v>6</v>
      </c>
      <c r="M83" s="135">
        <f t="shared" si="28"/>
        <v>5</v>
      </c>
      <c r="N83" s="135">
        <f t="shared" si="28"/>
        <v>6</v>
      </c>
      <c r="O83" s="135">
        <f t="shared" si="28"/>
        <v>4</v>
      </c>
      <c r="P83" s="135">
        <f t="shared" si="28"/>
        <v>1</v>
      </c>
      <c r="Q83" s="135">
        <f t="shared" si="28"/>
        <v>0</v>
      </c>
      <c r="R83" s="135">
        <f t="shared" si="28"/>
        <v>0</v>
      </c>
      <c r="S83" s="135">
        <f t="shared" si="28"/>
        <v>0</v>
      </c>
    </row>
    <row r="84" spans="2:32" ht="15.5" outlineLevel="1" x14ac:dyDescent="0.35">
      <c r="C84" s="8" t="s">
        <v>210</v>
      </c>
      <c r="F84" s="123" t="s">
        <v>155</v>
      </c>
      <c r="G84" s="55">
        <f t="shared" ref="G84:I84" si="29">+G83*G81</f>
        <v>4</v>
      </c>
      <c r="H84" s="55">
        <f t="shared" si="29"/>
        <v>3.6750000000000003</v>
      </c>
      <c r="I84" s="55">
        <f t="shared" si="29"/>
        <v>6.7200000000000006</v>
      </c>
      <c r="J84" s="55">
        <f>+J81*J83</f>
        <v>3.4499999999999997</v>
      </c>
      <c r="K84" s="55">
        <f t="shared" ref="K84:S84" si="30">+K81*K83</f>
        <v>3</v>
      </c>
      <c r="L84" s="55">
        <f t="shared" si="30"/>
        <v>3.75</v>
      </c>
      <c r="M84" s="55">
        <f t="shared" si="30"/>
        <v>3.25</v>
      </c>
      <c r="N84" s="55">
        <f t="shared" si="30"/>
        <v>4.0500000000000007</v>
      </c>
      <c r="O84" s="55">
        <f t="shared" si="30"/>
        <v>2.8</v>
      </c>
      <c r="P84" s="55">
        <f t="shared" si="30"/>
        <v>0.72499999999999998</v>
      </c>
      <c r="Q84" s="55">
        <f t="shared" si="30"/>
        <v>0</v>
      </c>
      <c r="R84" s="55">
        <f t="shared" si="30"/>
        <v>0</v>
      </c>
      <c r="S84" s="55">
        <f t="shared" si="30"/>
        <v>0</v>
      </c>
    </row>
    <row r="85" spans="2:32" ht="15.5" outlineLevel="1" x14ac:dyDescent="0.35">
      <c r="F85" s="123"/>
      <c r="G85" s="55"/>
      <c r="H85" s="55"/>
      <c r="I85" s="55"/>
      <c r="J85" s="115"/>
      <c r="K85" s="108"/>
      <c r="L85" s="108"/>
      <c r="M85" s="108"/>
      <c r="N85" s="108"/>
      <c r="O85" s="108"/>
      <c r="P85" s="108"/>
      <c r="Q85" s="108"/>
      <c r="R85" s="108"/>
      <c r="S85" s="108"/>
    </row>
    <row r="86" spans="2:32" ht="15.5" outlineLevel="1" x14ac:dyDescent="0.35">
      <c r="C86" s="8" t="s">
        <v>163</v>
      </c>
      <c r="F86" s="123" t="s">
        <v>155</v>
      </c>
      <c r="G86" s="28">
        <f>+G78-G84</f>
        <v>20.548999999999999</v>
      </c>
      <c r="H86" s="28">
        <f t="shared" ref="H86:I86" si="31">+H78-H84</f>
        <v>29.470000000000002</v>
      </c>
      <c r="I86" s="28">
        <f t="shared" si="31"/>
        <v>17.835000000000001</v>
      </c>
      <c r="J86" s="55">
        <f>+J87*I48</f>
        <v>22.032</v>
      </c>
      <c r="K86" s="55">
        <f t="shared" ref="K86:S86" si="32">+K87*J48</f>
        <v>21.216000000000001</v>
      </c>
      <c r="L86" s="55">
        <f t="shared" si="32"/>
        <v>22.823999999999998</v>
      </c>
      <c r="M86" s="55">
        <f t="shared" si="32"/>
        <v>24.224999999999998</v>
      </c>
      <c r="N86" s="55">
        <f t="shared" si="32"/>
        <v>25.584</v>
      </c>
      <c r="O86" s="55">
        <f t="shared" si="32"/>
        <v>27.054000000000002</v>
      </c>
      <c r="P86" s="55">
        <f t="shared" si="32"/>
        <v>28.392000000000003</v>
      </c>
      <c r="Q86" s="55">
        <f t="shared" si="32"/>
        <v>29.492999999999999</v>
      </c>
      <c r="R86" s="55">
        <f t="shared" si="32"/>
        <v>29.831999999999997</v>
      </c>
      <c r="S86" s="55">
        <f t="shared" si="32"/>
        <v>30.170999999999999</v>
      </c>
    </row>
    <row r="87" spans="2:32" ht="15.5" outlineLevel="1" x14ac:dyDescent="0.35">
      <c r="C87" s="8" t="s">
        <v>164</v>
      </c>
      <c r="F87" s="128" t="s">
        <v>162</v>
      </c>
      <c r="G87" s="143">
        <f>+G86/(G48-G83)</f>
        <v>7.3652329749103934E-2</v>
      </c>
      <c r="H87" s="143">
        <f>+H86/(H48-H83)</f>
        <v>0.1026829268292683</v>
      </c>
      <c r="I87" s="143">
        <f>+I86/(I48-I83)</f>
        <v>6.0663265306122455E-2</v>
      </c>
      <c r="J87" s="258">
        <v>7.1999999999999995E-2</v>
      </c>
      <c r="K87" s="258">
        <v>6.8000000000000005E-2</v>
      </c>
      <c r="L87" s="258">
        <v>7.1999999999999995E-2</v>
      </c>
      <c r="M87" s="258">
        <v>7.4999999999999997E-2</v>
      </c>
      <c r="N87" s="258">
        <v>7.8E-2</v>
      </c>
      <c r="O87" s="258">
        <v>8.1000000000000003E-2</v>
      </c>
      <c r="P87" s="258">
        <v>8.4000000000000005E-2</v>
      </c>
      <c r="Q87" s="258">
        <v>8.6999999999999994E-2</v>
      </c>
      <c r="R87" s="258">
        <v>8.7999999999999995E-2</v>
      </c>
      <c r="S87" s="258">
        <v>8.8999999999999996E-2</v>
      </c>
    </row>
    <row r="88" spans="2:32" ht="15.5" outlineLevel="1" x14ac:dyDescent="0.35">
      <c r="J88" s="186"/>
      <c r="K88" s="186"/>
      <c r="L88" s="186"/>
      <c r="M88" s="186"/>
      <c r="N88" s="186"/>
      <c r="O88" s="186"/>
      <c r="P88" s="186"/>
      <c r="Q88" s="186"/>
      <c r="R88" s="186"/>
      <c r="S88" s="186"/>
    </row>
    <row r="89" spans="2:32" ht="15.5" outlineLevel="1" x14ac:dyDescent="0.35">
      <c r="C89" s="8" t="s">
        <v>224</v>
      </c>
      <c r="F89" s="123" t="s">
        <v>155</v>
      </c>
      <c r="G89" s="17">
        <v>-5.508</v>
      </c>
      <c r="H89" s="17">
        <v>-3.1640000000000001</v>
      </c>
      <c r="I89" s="17">
        <v>-2.69</v>
      </c>
      <c r="J89" s="262">
        <v>-2.7</v>
      </c>
      <c r="K89" s="262">
        <v>-2.8</v>
      </c>
      <c r="L89" s="262">
        <v>-2.9</v>
      </c>
      <c r="M89" s="186"/>
      <c r="N89" s="186"/>
      <c r="O89" s="186"/>
      <c r="P89" s="186"/>
      <c r="Q89" s="186"/>
      <c r="R89" s="186"/>
      <c r="S89" s="186"/>
    </row>
    <row r="90" spans="2:32" ht="15.5" outlineLevel="1" x14ac:dyDescent="0.35">
      <c r="J90" s="186"/>
      <c r="K90" s="186"/>
      <c r="L90" s="186"/>
      <c r="M90" s="186"/>
      <c r="N90" s="186"/>
      <c r="O90" s="186"/>
      <c r="P90" s="186"/>
      <c r="Q90" s="186"/>
      <c r="R90" s="186"/>
      <c r="S90" s="186"/>
    </row>
    <row r="91" spans="2:32" ht="15.5" x14ac:dyDescent="0.35">
      <c r="B91" s="116"/>
      <c r="C91" s="116"/>
      <c r="D91" s="116"/>
      <c r="E91" s="116"/>
      <c r="F91" s="116"/>
      <c r="G91" s="117" t="str">
        <f>+$G$35</f>
        <v>Historical</v>
      </c>
      <c r="H91" s="118"/>
      <c r="I91" s="119"/>
      <c r="J91" s="117" t="str">
        <f>+$J$35</f>
        <v>Projected</v>
      </c>
      <c r="K91" s="118"/>
      <c r="L91" s="118"/>
      <c r="M91" s="118"/>
      <c r="N91" s="118"/>
      <c r="O91" s="118"/>
      <c r="P91" s="118"/>
      <c r="Q91" s="118"/>
      <c r="R91" s="118"/>
      <c r="S91" s="118"/>
    </row>
    <row r="92" spans="2:32" ht="15.5" x14ac:dyDescent="0.35">
      <c r="B92" s="78" t="s">
        <v>225</v>
      </c>
      <c r="C92" s="78"/>
      <c r="D92" s="78"/>
      <c r="E92" s="78"/>
      <c r="F92" s="120" t="str">
        <f>+$F$36</f>
        <v>Units:</v>
      </c>
      <c r="G92" s="121">
        <f>+$G$36</f>
        <v>42551</v>
      </c>
      <c r="H92" s="121">
        <f>+$H$36</f>
        <v>42916</v>
      </c>
      <c r="I92" s="122">
        <f>+$I$36</f>
        <v>43281</v>
      </c>
      <c r="J92" s="121">
        <f>+$J$36</f>
        <v>43646</v>
      </c>
      <c r="K92" s="121">
        <f>+$K$36</f>
        <v>44012</v>
      </c>
      <c r="L92" s="121">
        <f>+$L$36</f>
        <v>44377</v>
      </c>
      <c r="M92" s="121">
        <f>+$M$36</f>
        <v>44742</v>
      </c>
      <c r="N92" s="121">
        <f>+$N$36</f>
        <v>45107</v>
      </c>
      <c r="O92" s="121">
        <f>+$O$36</f>
        <v>45473</v>
      </c>
      <c r="P92" s="121">
        <f>+$P$36</f>
        <v>45838</v>
      </c>
      <c r="Q92" s="121">
        <f>+$Q$36</f>
        <v>46203</v>
      </c>
      <c r="R92" s="121">
        <f>+$R$36</f>
        <v>46568</v>
      </c>
      <c r="S92" s="121">
        <f>+$S$36</f>
        <v>46934</v>
      </c>
    </row>
    <row r="93" spans="2:32" ht="15.5" outlineLevel="1" x14ac:dyDescent="0.35">
      <c r="H93" s="253"/>
      <c r="J93" s="37"/>
      <c r="K93" s="37"/>
      <c r="L93" s="37"/>
      <c r="M93" s="37"/>
      <c r="N93" s="37"/>
    </row>
    <row r="94" spans="2:32" ht="15.5" outlineLevel="1" x14ac:dyDescent="0.35">
      <c r="C94" s="37" t="s">
        <v>205</v>
      </c>
      <c r="F94" s="123" t="s">
        <v>155</v>
      </c>
      <c r="G94" s="85">
        <f t="shared" ref="G94:I94" si="33">+G39+G40/G72+G41/G73+G42</f>
        <v>522.21427267568333</v>
      </c>
      <c r="H94" s="85">
        <f t="shared" si="33"/>
        <v>551.09903773584904</v>
      </c>
      <c r="I94" s="85">
        <f t="shared" si="33"/>
        <v>575.54877738251264</v>
      </c>
      <c r="J94" s="133">
        <f>+J39+J40/J72+J41/J73+J42</f>
        <v>580.28465209087562</v>
      </c>
      <c r="K94" s="133">
        <f t="shared" ref="K94:S94" si="34">+K39+K40/K72+K41/K73+K42</f>
        <v>587.86937499898931</v>
      </c>
      <c r="L94" s="133">
        <f t="shared" si="34"/>
        <v>630.69760757438064</v>
      </c>
      <c r="M94" s="133">
        <f t="shared" si="34"/>
        <v>672.2321067548512</v>
      </c>
      <c r="N94" s="133">
        <f t="shared" si="34"/>
        <v>710.68612952159765</v>
      </c>
      <c r="O94" s="133">
        <f t="shared" si="34"/>
        <v>743.94300686683357</v>
      </c>
      <c r="P94" s="133">
        <f t="shared" si="34"/>
        <v>771.68786323416964</v>
      </c>
      <c r="Q94" s="133">
        <f t="shared" si="34"/>
        <v>794.60654971817985</v>
      </c>
      <c r="R94" s="133">
        <f t="shared" si="34"/>
        <v>817.06002335042206</v>
      </c>
      <c r="S94" s="133">
        <f t="shared" si="34"/>
        <v>840.16031333444539</v>
      </c>
    </row>
    <row r="95" spans="2:32" ht="15.5" outlineLevel="1" x14ac:dyDescent="0.35">
      <c r="C95" s="127" t="s">
        <v>3</v>
      </c>
      <c r="F95" s="128" t="s">
        <v>95</v>
      </c>
      <c r="G95" s="244">
        <v>5.5312573006468524E-2</v>
      </c>
      <c r="H95" s="129">
        <f>IFERROR(+H94/G94-1,"N/A")</f>
        <v>5.531209423321215E-2</v>
      </c>
      <c r="I95" s="129">
        <f>IFERROR(+I94/H94-1,"N/A")</f>
        <v>4.4365418867566175E-2</v>
      </c>
      <c r="J95" s="129">
        <f>IFERROR(+J94/I94-1,"N/A")</f>
        <v>8.2284506447929395E-3</v>
      </c>
      <c r="K95" s="129">
        <f t="shared" ref="K95:S95" si="35">IFERROR(+K94/J94-1,"N/A")</f>
        <v>1.307069363420954E-2</v>
      </c>
      <c r="L95" s="129">
        <f t="shared" si="35"/>
        <v>7.285331469336187E-2</v>
      </c>
      <c r="M95" s="129">
        <f t="shared" si="35"/>
        <v>6.5854854500256188E-2</v>
      </c>
      <c r="N95" s="129">
        <f t="shared" si="35"/>
        <v>5.7203490253359579E-2</v>
      </c>
      <c r="O95" s="129">
        <f t="shared" si="35"/>
        <v>4.679545014846842E-2</v>
      </c>
      <c r="P95" s="129">
        <f t="shared" si="35"/>
        <v>3.729433049473152E-2</v>
      </c>
      <c r="Q95" s="129">
        <f t="shared" si="35"/>
        <v>2.9699425863660922E-2</v>
      </c>
      <c r="R95" s="129">
        <f t="shared" si="35"/>
        <v>2.8257347790810128E-2</v>
      </c>
      <c r="S95" s="129">
        <f t="shared" si="35"/>
        <v>2.827245162393166E-2</v>
      </c>
    </row>
    <row r="96" spans="2:32" ht="15.5" outlineLevel="1" x14ac:dyDescent="0.35">
      <c r="C96" s="87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</row>
    <row r="97" spans="3:19" ht="15.5" outlineLevel="1" x14ac:dyDescent="0.35">
      <c r="C97" s="131" t="s">
        <v>97</v>
      </c>
      <c r="F97" s="123" t="s">
        <v>155</v>
      </c>
      <c r="G97" s="257">
        <f>+G62+G63/G72+G64/G73+G75</f>
        <v>54.423999999999957</v>
      </c>
      <c r="H97" s="257">
        <f>+H62+H63/H72+H64/H73+H75</f>
        <v>62.331999999999951</v>
      </c>
      <c r="I97" s="257">
        <f>+I62+I63/I72+I64/I73+I75</f>
        <v>50.146999999999991</v>
      </c>
      <c r="J97" s="134">
        <f>+J62+J63/J72+J64/J73+J75</f>
        <v>53.649915698225541</v>
      </c>
      <c r="K97" s="134">
        <f t="shared" ref="K97:S97" si="36">+K62+K63/K72+K64/K73+K75</f>
        <v>54.633051270778658</v>
      </c>
      <c r="L97" s="134">
        <f t="shared" si="36"/>
        <v>60.102188322791207</v>
      </c>
      <c r="M97" s="134">
        <f t="shared" si="36"/>
        <v>65.724330862538153</v>
      </c>
      <c r="N97" s="134">
        <f t="shared" si="36"/>
        <v>71.328626779624116</v>
      </c>
      <c r="O97" s="134">
        <f t="shared" si="36"/>
        <v>76.625285541499153</v>
      </c>
      <c r="P97" s="134">
        <f t="shared" si="36"/>
        <v>81.56119622836033</v>
      </c>
      <c r="Q97" s="134">
        <f t="shared" si="36"/>
        <v>84.702541978907931</v>
      </c>
      <c r="R97" s="134">
        <f t="shared" si="36"/>
        <v>87.023098714961222</v>
      </c>
      <c r="S97" s="134">
        <f t="shared" si="36"/>
        <v>89.408808832866981</v>
      </c>
    </row>
    <row r="98" spans="3:19" ht="15.5" outlineLevel="1" x14ac:dyDescent="0.35">
      <c r="C98" s="127" t="s">
        <v>4</v>
      </c>
      <c r="F98" s="128" t="s">
        <v>95</v>
      </c>
      <c r="G98" s="129">
        <f t="shared" ref="G98:I98" si="37">+G97/G94</f>
        <v>0.10421775667131088</v>
      </c>
      <c r="H98" s="129">
        <f t="shared" si="37"/>
        <v>0.11310489718161461</v>
      </c>
      <c r="I98" s="129">
        <f t="shared" si="37"/>
        <v>8.7129018374531339E-2</v>
      </c>
      <c r="J98" s="129">
        <f t="shared" ref="J98:S98" si="38">+J97/J94</f>
        <v>9.2454479891747474E-2</v>
      </c>
      <c r="K98" s="129">
        <f t="shared" si="38"/>
        <v>9.2933997915561742E-2</v>
      </c>
      <c r="L98" s="129">
        <f t="shared" si="38"/>
        <v>9.5294777720721133E-2</v>
      </c>
      <c r="M98" s="129">
        <f t="shared" si="38"/>
        <v>9.7770294221466603E-2</v>
      </c>
      <c r="N98" s="129">
        <f t="shared" si="38"/>
        <v>0.10036586309576546</v>
      </c>
      <c r="O98" s="129">
        <f t="shared" si="38"/>
        <v>0.10299886528164535</v>
      </c>
      <c r="P98" s="129">
        <f t="shared" si="38"/>
        <v>0.1056919515184995</v>
      </c>
      <c r="Q98" s="129">
        <f t="shared" si="38"/>
        <v>0.1065968333748936</v>
      </c>
      <c r="R98" s="129">
        <f t="shared" si="38"/>
        <v>0.10650759580442551</v>
      </c>
      <c r="S98" s="129">
        <f t="shared" si="38"/>
        <v>0.10641874820058982</v>
      </c>
    </row>
    <row r="99" spans="3:19" ht="15.5" outlineLevel="1" x14ac:dyDescent="0.35">
      <c r="C99" s="127" t="s">
        <v>22</v>
      </c>
      <c r="F99" s="128" t="s">
        <v>95</v>
      </c>
      <c r="G99" s="244">
        <v>0.12080398698463601</v>
      </c>
      <c r="H99" s="129">
        <f t="shared" ref="H99:J99" si="39">IFERROR(+H97/G97-1,"N/A")</f>
        <v>0.14530354255475531</v>
      </c>
      <c r="I99" s="129">
        <f t="shared" si="39"/>
        <v>-0.19548546492973062</v>
      </c>
      <c r="J99" s="129">
        <f t="shared" si="39"/>
        <v>6.9852946302382035E-2</v>
      </c>
      <c r="K99" s="129">
        <f t="shared" ref="K99" si="40">IFERROR(+K97/J97-1,"N/A")</f>
        <v>1.8325016167465069E-2</v>
      </c>
      <c r="L99" s="129">
        <f t="shared" ref="L99" si="41">IFERROR(+L97/K97-1,"N/A")</f>
        <v>0.10010674719421719</v>
      </c>
      <c r="M99" s="129">
        <f t="shared" ref="M99" si="42">IFERROR(+M97/L97-1,"N/A")</f>
        <v>9.3543058857558981E-2</v>
      </c>
      <c r="N99" s="129">
        <f t="shared" ref="N99" si="43">IFERROR(+N97/M97-1,"N/A")</f>
        <v>8.5269729543649531E-2</v>
      </c>
      <c r="O99" s="129">
        <f t="shared" ref="O99" si="44">IFERROR(+O97/N97-1,"N/A")</f>
        <v>7.4257125098447618E-2</v>
      </c>
      <c r="P99" s="129">
        <f t="shared" ref="P99" si="45">IFERROR(+P97/O97-1,"N/A")</f>
        <v>6.4416212637641079E-2</v>
      </c>
      <c r="Q99" s="129">
        <f t="shared" ref="Q99" si="46">IFERROR(+Q97/P97-1,"N/A")</f>
        <v>3.8515199577900505E-2</v>
      </c>
      <c r="R99" s="129">
        <f t="shared" ref="R99" si="47">IFERROR(+R97/Q97-1,"N/A")</f>
        <v>2.7396541849135314E-2</v>
      </c>
      <c r="S99" s="129">
        <f t="shared" ref="S99" si="48">IFERROR(+S97/R97-1,"N/A")</f>
        <v>2.7414676713822805E-2</v>
      </c>
    </row>
    <row r="100" spans="3:19" ht="15.5" outlineLevel="1" x14ac:dyDescent="0.35">
      <c r="C100" s="87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</row>
    <row r="101" spans="3:19" ht="15.5" outlineLevel="1" x14ac:dyDescent="0.35">
      <c r="C101" s="8" t="s">
        <v>96</v>
      </c>
      <c r="F101" s="123" t="s">
        <v>155</v>
      </c>
      <c r="G101" s="55">
        <f t="shared" ref="G101:I101" si="49">-G97*Tax_Rate</f>
        <v>-16.327199999999987</v>
      </c>
      <c r="H101" s="55">
        <f t="shared" si="49"/>
        <v>-18.699599999999986</v>
      </c>
      <c r="I101" s="55">
        <f t="shared" si="49"/>
        <v>-15.044099999999997</v>
      </c>
      <c r="J101" s="55">
        <f t="shared" ref="J101:S101" si="50">-J97*Tax_Rate</f>
        <v>-16.09497470946766</v>
      </c>
      <c r="K101" s="55">
        <f t="shared" si="50"/>
        <v>-16.389915381233596</v>
      </c>
      <c r="L101" s="55">
        <f t="shared" si="50"/>
        <v>-18.030656496837363</v>
      </c>
      <c r="M101" s="55">
        <f t="shared" si="50"/>
        <v>-19.717299258761447</v>
      </c>
      <c r="N101" s="55">
        <f t="shared" si="50"/>
        <v>-21.398588033887233</v>
      </c>
      <c r="O101" s="55">
        <f t="shared" si="50"/>
        <v>-22.987585662449746</v>
      </c>
      <c r="P101" s="55">
        <f t="shared" si="50"/>
        <v>-24.468358868508098</v>
      </c>
      <c r="Q101" s="55">
        <f t="shared" si="50"/>
        <v>-25.410762593672377</v>
      </c>
      <c r="R101" s="55">
        <f t="shared" si="50"/>
        <v>-26.106929614488365</v>
      </c>
      <c r="S101" s="55">
        <f t="shared" si="50"/>
        <v>-26.822642649860093</v>
      </c>
    </row>
    <row r="102" spans="3:19" ht="15.5" outlineLevel="1" x14ac:dyDescent="0.35">
      <c r="C102" s="37"/>
      <c r="G102" s="254"/>
      <c r="H102" s="254"/>
      <c r="I102" s="254"/>
      <c r="J102" s="135"/>
      <c r="K102" s="135"/>
      <c r="L102" s="135"/>
      <c r="M102" s="135"/>
      <c r="N102" s="135"/>
      <c r="O102" s="135"/>
      <c r="P102" s="135"/>
      <c r="Q102" s="135"/>
      <c r="R102" s="135"/>
      <c r="S102" s="135"/>
    </row>
    <row r="103" spans="3:19" ht="15.5" outlineLevel="1" x14ac:dyDescent="0.35">
      <c r="C103" s="37" t="s">
        <v>98</v>
      </c>
      <c r="F103" s="123" t="s">
        <v>155</v>
      </c>
      <c r="G103" s="134">
        <f>+G97+G101</f>
        <v>38.096799999999973</v>
      </c>
      <c r="H103" s="134">
        <f t="shared" ref="H103:I103" si="51">+H97+H101</f>
        <v>43.632399999999961</v>
      </c>
      <c r="I103" s="134">
        <f t="shared" si="51"/>
        <v>35.102899999999991</v>
      </c>
      <c r="J103" s="134">
        <f>+J97+J101</f>
        <v>37.554940988757878</v>
      </c>
      <c r="K103" s="134">
        <f t="shared" ref="K103:S103" si="52">+K97+K101</f>
        <v>38.243135889545059</v>
      </c>
      <c r="L103" s="134">
        <f t="shared" si="52"/>
        <v>42.071531825953841</v>
      </c>
      <c r="M103" s="134">
        <f t="shared" si="52"/>
        <v>46.00703160377671</v>
      </c>
      <c r="N103" s="134">
        <f t="shared" si="52"/>
        <v>49.93003874573688</v>
      </c>
      <c r="O103" s="134">
        <f t="shared" si="52"/>
        <v>53.637699879049407</v>
      </c>
      <c r="P103" s="134">
        <f t="shared" si="52"/>
        <v>57.092837359852233</v>
      </c>
      <c r="Q103" s="134">
        <f t="shared" si="52"/>
        <v>59.291779385235557</v>
      </c>
      <c r="R103" s="134">
        <f t="shared" si="52"/>
        <v>60.916169100472857</v>
      </c>
      <c r="S103" s="134">
        <f t="shared" si="52"/>
        <v>62.586166183006888</v>
      </c>
    </row>
    <row r="104" spans="3:19" ht="15.5" outlineLevel="1" x14ac:dyDescent="0.35">
      <c r="C104" s="37"/>
      <c r="G104" s="135"/>
      <c r="H104" s="135"/>
      <c r="I104" s="135"/>
      <c r="J104" s="135"/>
      <c r="K104" s="135"/>
      <c r="L104" s="135"/>
      <c r="M104" s="135"/>
      <c r="N104" s="135"/>
    </row>
    <row r="105" spans="3:19" ht="15.5" outlineLevel="1" x14ac:dyDescent="0.35">
      <c r="C105" s="37" t="s">
        <v>6</v>
      </c>
      <c r="G105" s="135"/>
      <c r="H105" s="135"/>
      <c r="I105" s="135"/>
      <c r="J105" s="135"/>
      <c r="K105" s="135"/>
      <c r="L105" s="135"/>
      <c r="M105" s="135"/>
      <c r="N105" s="135"/>
    </row>
    <row r="106" spans="3:19" ht="15.5" outlineLevel="1" x14ac:dyDescent="0.35">
      <c r="C106" s="87" t="s">
        <v>196</v>
      </c>
      <c r="F106" s="123" t="s">
        <v>155</v>
      </c>
      <c r="G106" s="17">
        <v>16.795999999999999</v>
      </c>
      <c r="H106" s="17">
        <v>17.427</v>
      </c>
      <c r="I106" s="17">
        <v>18.693999999999999</v>
      </c>
      <c r="J106" s="55">
        <f>+J107*J94</f>
        <v>19.679153479091241</v>
      </c>
      <c r="K106" s="55">
        <f t="shared" ref="K106:S106" si="53">+K107*K94</f>
        <v>18.337306250010105</v>
      </c>
      <c r="L106" s="55">
        <f t="shared" si="53"/>
        <v>20.267023924256193</v>
      </c>
      <c r="M106" s="55">
        <f t="shared" si="53"/>
        <v>20.752678932451484</v>
      </c>
      <c r="N106" s="55">
        <f t="shared" si="53"/>
        <v>22.527138704784026</v>
      </c>
      <c r="O106" s="55">
        <f t="shared" si="53"/>
        <v>22.414569931331666</v>
      </c>
      <c r="P106" s="55">
        <f t="shared" si="53"/>
        <v>21.400121367658304</v>
      </c>
      <c r="Q106" s="55">
        <f t="shared" si="53"/>
        <v>21.5469345028182</v>
      </c>
      <c r="R106" s="55">
        <f t="shared" si="53"/>
        <v>21.661399766495776</v>
      </c>
      <c r="S106" s="55">
        <f t="shared" si="53"/>
        <v>21.769396866655541</v>
      </c>
    </row>
    <row r="107" spans="3:19" ht="15.5" outlineLevel="1" x14ac:dyDescent="0.35">
      <c r="C107" s="136" t="s">
        <v>1</v>
      </c>
      <c r="F107" s="128" t="s">
        <v>95</v>
      </c>
      <c r="G107" s="86">
        <f>+G106/G94</f>
        <v>3.2163042794563779E-2</v>
      </c>
      <c r="H107" s="86">
        <f>+H106/H94</f>
        <v>3.1622265340178389E-2</v>
      </c>
      <c r="I107" s="86">
        <f>+I106/I94</f>
        <v>3.2480305292310392E-2</v>
      </c>
      <c r="J107" s="270">
        <v>3.3912931193653871E-2</v>
      </c>
      <c r="K107" s="270">
        <v>3.1192824511468438E-2</v>
      </c>
      <c r="L107" s="270">
        <v>3.2134296500983671E-2</v>
      </c>
      <c r="M107" s="270">
        <v>3.0871299844087256E-2</v>
      </c>
      <c r="N107" s="270">
        <v>3.1697732330794599E-2</v>
      </c>
      <c r="O107" s="270">
        <v>3.0129418146871423E-2</v>
      </c>
      <c r="P107" s="270">
        <v>2.773157695906954E-2</v>
      </c>
      <c r="Q107" s="270">
        <v>2.711648237792675E-2</v>
      </c>
      <c r="R107" s="270">
        <v>2.6511393468586823E-2</v>
      </c>
      <c r="S107" s="270">
        <v>2.5911003556281675E-2</v>
      </c>
    </row>
    <row r="108" spans="3:19" ht="15.5" outlineLevel="1" x14ac:dyDescent="0.35">
      <c r="C108" s="8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3:19" ht="15.5" outlineLevel="1" x14ac:dyDescent="0.35">
      <c r="C109" s="87" t="s">
        <v>264</v>
      </c>
      <c r="F109" s="123" t="s">
        <v>155</v>
      </c>
      <c r="G109" s="17">
        <v>-19.501000000000001</v>
      </c>
      <c r="H109" s="17">
        <v>3.4449999999999998</v>
      </c>
      <c r="I109" s="17">
        <v>-6.3010000000000002</v>
      </c>
      <c r="J109" s="55">
        <f>-J101*J110</f>
        <v>4.0237436773669151</v>
      </c>
      <c r="K109" s="55">
        <f t="shared" ref="K109:M109" si="54">-K101*K110</f>
        <v>3.2779830762467195</v>
      </c>
      <c r="L109" s="55">
        <f t="shared" si="54"/>
        <v>2.7045984745256044</v>
      </c>
      <c r="M109" s="55">
        <f t="shared" si="54"/>
        <v>1.9717299258761447</v>
      </c>
      <c r="N109" s="55">
        <f t="shared" ref="N109" si="55">-N101*N110</f>
        <v>2.1398588033887234</v>
      </c>
      <c r="O109" s="55">
        <f t="shared" ref="O109" si="56">-O101*O110</f>
        <v>2.2987585662449748</v>
      </c>
      <c r="P109" s="55">
        <f t="shared" ref="P109" si="57">-P101*P110</f>
        <v>2.4468358868508098</v>
      </c>
      <c r="Q109" s="55">
        <f t="shared" ref="Q109" si="58">-Q101*Q110</f>
        <v>2.5410762593672378</v>
      </c>
      <c r="R109" s="55">
        <f t="shared" ref="R109" si="59">-R101*R110</f>
        <v>2.6106929614488368</v>
      </c>
      <c r="S109" s="55">
        <f t="shared" ref="S109" si="60">-S101*S110</f>
        <v>2.6822642649860096</v>
      </c>
    </row>
    <row r="110" spans="3:19" ht="15.5" outlineLevel="1" x14ac:dyDescent="0.35">
      <c r="C110" s="136" t="s">
        <v>207</v>
      </c>
      <c r="F110" s="128" t="s">
        <v>95</v>
      </c>
      <c r="G110" s="238">
        <v>-0.88814501070273721</v>
      </c>
      <c r="H110" s="238">
        <v>0.27985377741673434</v>
      </c>
      <c r="I110" s="238">
        <v>-1.0632804589942626</v>
      </c>
      <c r="J110" s="270">
        <v>0.25</v>
      </c>
      <c r="K110" s="270">
        <v>0.2</v>
      </c>
      <c r="L110" s="270">
        <v>0.15</v>
      </c>
      <c r="M110" s="270">
        <v>0.1</v>
      </c>
      <c r="N110" s="270">
        <v>0.1</v>
      </c>
      <c r="O110" s="270">
        <v>0.1</v>
      </c>
      <c r="P110" s="270">
        <v>0.1</v>
      </c>
      <c r="Q110" s="270">
        <v>0.1</v>
      </c>
      <c r="R110" s="270">
        <v>0.1</v>
      </c>
      <c r="S110" s="270">
        <v>0.1</v>
      </c>
    </row>
    <row r="111" spans="3:19" ht="15.5" outlineLevel="1" x14ac:dyDescent="0.35">
      <c r="C111" s="87"/>
      <c r="G111" s="137"/>
      <c r="H111" s="137"/>
      <c r="I111" s="137"/>
      <c r="J111" s="95"/>
      <c r="K111" s="95"/>
      <c r="L111" s="95"/>
      <c r="M111" s="135"/>
      <c r="N111" s="135"/>
    </row>
    <row r="112" spans="3:19" ht="15.5" hidden="1" outlineLevel="2" x14ac:dyDescent="0.35">
      <c r="C112" s="87" t="s">
        <v>100</v>
      </c>
      <c r="F112" s="123" t="s">
        <v>155</v>
      </c>
      <c r="G112" s="17">
        <v>-6.28</v>
      </c>
      <c r="H112" s="17">
        <v>-0.57899999999999996</v>
      </c>
      <c r="I112" s="17">
        <v>-1.3480000000000001</v>
      </c>
      <c r="J112" s="137"/>
      <c r="K112" s="135"/>
      <c r="L112" s="135"/>
      <c r="M112" s="135"/>
      <c r="N112" s="135"/>
    </row>
    <row r="113" spans="3:19" ht="15.5" hidden="1" outlineLevel="2" x14ac:dyDescent="0.35">
      <c r="C113" s="87" t="s">
        <v>101</v>
      </c>
      <c r="F113" s="123" t="s">
        <v>155</v>
      </c>
      <c r="G113" s="17">
        <v>-19.472000000000001</v>
      </c>
      <c r="H113" s="17">
        <v>-6.0730000000000004</v>
      </c>
      <c r="I113" s="17">
        <v>12.169</v>
      </c>
      <c r="J113" s="137"/>
      <c r="K113" s="135"/>
      <c r="L113" s="135"/>
      <c r="M113" s="135"/>
      <c r="N113" s="135"/>
    </row>
    <row r="114" spans="3:19" ht="15.5" hidden="1" outlineLevel="2" x14ac:dyDescent="0.35">
      <c r="C114" s="87" t="s">
        <v>102</v>
      </c>
      <c r="F114" s="123" t="s">
        <v>155</v>
      </c>
      <c r="G114" s="17">
        <f>2.762+0.192</f>
        <v>2.9540000000000002</v>
      </c>
      <c r="H114" s="17">
        <v>1.2029999999999998</v>
      </c>
      <c r="I114" s="17">
        <v>-0.55299999999999994</v>
      </c>
      <c r="J114" s="137"/>
      <c r="K114" s="135"/>
      <c r="L114" s="135"/>
      <c r="M114" s="135"/>
      <c r="N114" s="135"/>
    </row>
    <row r="115" spans="3:19" ht="15.5" hidden="1" outlineLevel="2" x14ac:dyDescent="0.35">
      <c r="C115" s="87" t="s">
        <v>103</v>
      </c>
      <c r="F115" s="123" t="s">
        <v>155</v>
      </c>
      <c r="G115" s="17">
        <v>2.9990000000000001</v>
      </c>
      <c r="H115" s="17">
        <v>3.05</v>
      </c>
      <c r="I115" s="17">
        <v>2.258</v>
      </c>
      <c r="J115" s="137"/>
      <c r="K115" s="135"/>
      <c r="L115" s="135"/>
      <c r="M115" s="135"/>
      <c r="N115" s="135"/>
    </row>
    <row r="116" spans="3:19" ht="15.5" hidden="1" outlineLevel="2" x14ac:dyDescent="0.35">
      <c r="C116" s="87" t="s">
        <v>104</v>
      </c>
      <c r="F116" s="123" t="s">
        <v>155</v>
      </c>
      <c r="G116" s="17">
        <v>36.557000000000002</v>
      </c>
      <c r="H116" s="17">
        <v>-26.11</v>
      </c>
      <c r="I116" s="17">
        <v>3.665</v>
      </c>
      <c r="J116" s="137"/>
      <c r="K116" s="135"/>
      <c r="L116" s="135"/>
      <c r="M116" s="135"/>
      <c r="N116" s="135"/>
    </row>
    <row r="117" spans="3:19" ht="15.5" hidden="1" outlineLevel="2" x14ac:dyDescent="0.35">
      <c r="C117" s="87" t="s">
        <v>165</v>
      </c>
      <c r="F117" s="123" t="s">
        <v>155</v>
      </c>
      <c r="G117" s="17">
        <v>10.791</v>
      </c>
      <c r="H117" s="17">
        <v>7.1989999999999998</v>
      </c>
      <c r="I117" s="17">
        <v>2.4540000000000002</v>
      </c>
      <c r="J117" s="137"/>
      <c r="K117" s="135"/>
      <c r="L117" s="135"/>
      <c r="M117" s="135"/>
      <c r="N117" s="135"/>
    </row>
    <row r="118" spans="3:19" ht="15.5" hidden="1" outlineLevel="2" x14ac:dyDescent="0.35">
      <c r="C118" s="89" t="s">
        <v>166</v>
      </c>
      <c r="D118" s="90"/>
      <c r="E118" s="90"/>
      <c r="F118" s="126" t="s">
        <v>155</v>
      </c>
      <c r="G118" s="130">
        <v>0.4</v>
      </c>
      <c r="H118" s="130">
        <v>0.83</v>
      </c>
      <c r="I118" s="130">
        <v>2.0299999999999998</v>
      </c>
      <c r="J118" s="138"/>
      <c r="K118" s="67"/>
      <c r="L118" s="67"/>
      <c r="M118" s="67"/>
      <c r="N118" s="67"/>
      <c r="O118" s="90"/>
      <c r="P118" s="90"/>
      <c r="Q118" s="90"/>
      <c r="R118" s="90"/>
      <c r="S118" s="90"/>
    </row>
    <row r="119" spans="3:19" ht="15.5" outlineLevel="1" collapsed="1" x14ac:dyDescent="0.35">
      <c r="C119" s="131" t="s">
        <v>9</v>
      </c>
      <c r="F119" s="123" t="s">
        <v>155</v>
      </c>
      <c r="G119" s="134">
        <f t="shared" ref="G119" si="61">SUM(G112:G118)</f>
        <v>27.948999999999998</v>
      </c>
      <c r="H119" s="134">
        <f>SUM(H112:H118)</f>
        <v>-20.480000000000004</v>
      </c>
      <c r="I119" s="134">
        <f>SUM(I112:I118)</f>
        <v>20.675000000000001</v>
      </c>
      <c r="J119" s="134">
        <f>+J120*(J94-I94)</f>
        <v>1.4207624125088956</v>
      </c>
      <c r="K119" s="134">
        <f t="shared" ref="K119:S119" si="62">+K120*(K94-J94)</f>
        <v>2.2754168724341071</v>
      </c>
      <c r="L119" s="134">
        <f t="shared" si="62"/>
        <v>12.848469772617397</v>
      </c>
      <c r="M119" s="134">
        <f t="shared" si="62"/>
        <v>10.38362479511764</v>
      </c>
      <c r="N119" s="134">
        <f t="shared" si="62"/>
        <v>9.613505691686612</v>
      </c>
      <c r="O119" s="134">
        <f t="shared" si="62"/>
        <v>8.3142193363089802</v>
      </c>
      <c r="P119" s="134">
        <f t="shared" si="62"/>
        <v>6.9362140918340174</v>
      </c>
      <c r="Q119" s="134">
        <f t="shared" si="62"/>
        <v>5.7296716210025522</v>
      </c>
      <c r="R119" s="134">
        <f t="shared" si="62"/>
        <v>5.6133684080605519</v>
      </c>
      <c r="S119" s="134">
        <f t="shared" si="62"/>
        <v>5.7750724960058335</v>
      </c>
    </row>
    <row r="120" spans="3:19" ht="15.5" outlineLevel="1" x14ac:dyDescent="0.35">
      <c r="C120" s="87" t="s">
        <v>8</v>
      </c>
      <c r="F120" s="128" t="s">
        <v>95</v>
      </c>
      <c r="G120" s="238">
        <v>0.74436831248466506</v>
      </c>
      <c r="H120" s="86">
        <f>IFERROR(+H119/(H94-G94),"N/A")</f>
        <v>-0.70902428866362799</v>
      </c>
      <c r="I120" s="86">
        <f>IFERROR(+I119/(I94-H94),"N/A")</f>
        <v>0.84561227639989611</v>
      </c>
      <c r="J120" s="270">
        <v>0.3</v>
      </c>
      <c r="K120" s="270">
        <v>0.3</v>
      </c>
      <c r="L120" s="270">
        <v>0.3</v>
      </c>
      <c r="M120" s="270">
        <v>0.25</v>
      </c>
      <c r="N120" s="270">
        <v>0.25</v>
      </c>
      <c r="O120" s="270">
        <v>0.25</v>
      </c>
      <c r="P120" s="270">
        <v>0.25</v>
      </c>
      <c r="Q120" s="270">
        <v>0.25</v>
      </c>
      <c r="R120" s="270">
        <v>0.25</v>
      </c>
      <c r="S120" s="270">
        <v>0.25</v>
      </c>
    </row>
    <row r="121" spans="3:19" ht="15.5" outlineLevel="1" x14ac:dyDescent="0.35">
      <c r="C121" s="127" t="s">
        <v>1</v>
      </c>
      <c r="F121" s="128" t="s">
        <v>95</v>
      </c>
      <c r="G121" s="95">
        <f t="shared" ref="G121:J121" si="63">+G119/G94</f>
        <v>5.3520176414935873E-2</v>
      </c>
      <c r="H121" s="95">
        <f t="shared" si="63"/>
        <v>-3.7162104445220258E-2</v>
      </c>
      <c r="I121" s="95">
        <f t="shared" si="63"/>
        <v>3.5922237718974931E-2</v>
      </c>
      <c r="J121" s="95">
        <f t="shared" si="63"/>
        <v>2.4483887474700894E-3</v>
      </c>
      <c r="K121" s="95">
        <f t="shared" ref="K121:S121" si="64">+K119/K94</f>
        <v>3.8706164484891207E-3</v>
      </c>
      <c r="L121" s="95">
        <f t="shared" si="64"/>
        <v>2.0371838450492501E-2</v>
      </c>
      <c r="M121" s="95">
        <f t="shared" si="64"/>
        <v>1.5446487442029198E-2</v>
      </c>
      <c r="N121" s="95">
        <f t="shared" si="64"/>
        <v>1.3527076570578347E-2</v>
      </c>
      <c r="O121" s="95">
        <f t="shared" si="64"/>
        <v>1.1175882103287561E-2</v>
      </c>
      <c r="P121" s="95">
        <f t="shared" si="64"/>
        <v>8.9883674764095842E-3</v>
      </c>
      <c r="Q121" s="95">
        <f t="shared" si="64"/>
        <v>7.2107027346234101E-3</v>
      </c>
      <c r="R121" s="95">
        <f t="shared" si="64"/>
        <v>6.8702032257587043E-3</v>
      </c>
      <c r="S121" s="95">
        <f t="shared" si="64"/>
        <v>6.8737744503612743E-3</v>
      </c>
    </row>
    <row r="122" spans="3:19" ht="15.5" outlineLevel="1" x14ac:dyDescent="0.35">
      <c r="C122" s="87"/>
      <c r="I122" s="86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</row>
    <row r="123" spans="3:19" ht="14.5" customHeight="1" outlineLevel="1" x14ac:dyDescent="0.35">
      <c r="C123" s="37" t="s">
        <v>99</v>
      </c>
      <c r="F123" s="123" t="s">
        <v>155</v>
      </c>
      <c r="G123" s="134">
        <f t="shared" ref="G123:I123" si="65">-G78</f>
        <v>-24.548999999999999</v>
      </c>
      <c r="H123" s="134">
        <f t="shared" si="65"/>
        <v>-33.145000000000003</v>
      </c>
      <c r="I123" s="134">
        <f t="shared" si="65"/>
        <v>-24.555</v>
      </c>
      <c r="J123" s="134">
        <f>-J78</f>
        <v>-25.481999999999999</v>
      </c>
      <c r="K123" s="134">
        <f t="shared" ref="K123:S123" si="66">-K78</f>
        <v>-24.216000000000001</v>
      </c>
      <c r="L123" s="134">
        <f t="shared" si="66"/>
        <v>-26.573999999999998</v>
      </c>
      <c r="M123" s="134">
        <f t="shared" si="66"/>
        <v>-27.474999999999998</v>
      </c>
      <c r="N123" s="134">
        <f t="shared" si="66"/>
        <v>-29.634</v>
      </c>
      <c r="O123" s="134">
        <f t="shared" si="66"/>
        <v>-29.854000000000003</v>
      </c>
      <c r="P123" s="134">
        <f t="shared" si="66"/>
        <v>-29.117000000000004</v>
      </c>
      <c r="Q123" s="134">
        <f t="shared" si="66"/>
        <v>-29.492999999999999</v>
      </c>
      <c r="R123" s="134">
        <f t="shared" si="66"/>
        <v>-29.831999999999997</v>
      </c>
      <c r="S123" s="134">
        <f t="shared" si="66"/>
        <v>-30.170999999999999</v>
      </c>
    </row>
    <row r="124" spans="3:19" ht="15.5" outlineLevel="1" x14ac:dyDescent="0.35">
      <c r="C124" s="87" t="s">
        <v>1</v>
      </c>
      <c r="F124" s="128" t="s">
        <v>95</v>
      </c>
      <c r="G124" s="95">
        <f t="shared" ref="G124:J124" si="67">+G79</f>
        <v>4.7009439007129443E-2</v>
      </c>
      <c r="H124" s="95">
        <f t="shared" si="67"/>
        <v>6.0143454679532492E-2</v>
      </c>
      <c r="I124" s="95">
        <f t="shared" si="67"/>
        <v>4.2663629851967561E-2</v>
      </c>
      <c r="J124" s="95">
        <f t="shared" si="67"/>
        <v>4.3912931193653873E-2</v>
      </c>
      <c r="K124" s="95">
        <f t="shared" ref="K124:S124" si="68">+K79</f>
        <v>4.119282451146844E-2</v>
      </c>
      <c r="L124" s="95">
        <f t="shared" si="68"/>
        <v>4.2134296500983673E-2</v>
      </c>
      <c r="M124" s="95">
        <f t="shared" si="68"/>
        <v>4.0871299844087258E-2</v>
      </c>
      <c r="N124" s="95">
        <f t="shared" si="68"/>
        <v>4.1697732330794601E-2</v>
      </c>
      <c r="O124" s="95">
        <f t="shared" si="68"/>
        <v>4.0129418146871425E-2</v>
      </c>
      <c r="P124" s="95">
        <f t="shared" si="68"/>
        <v>3.7731576959069542E-2</v>
      </c>
      <c r="Q124" s="95">
        <f t="shared" si="68"/>
        <v>3.7116482377926752E-2</v>
      </c>
      <c r="R124" s="95">
        <f t="shared" si="68"/>
        <v>3.6511393468586825E-2</v>
      </c>
      <c r="S124" s="95">
        <f t="shared" si="68"/>
        <v>3.5911003556281677E-2</v>
      </c>
    </row>
    <row r="125" spans="3:19" ht="15.5" outlineLevel="1" x14ac:dyDescent="0.35">
      <c r="C125" s="37"/>
      <c r="G125" s="137"/>
      <c r="H125" s="137"/>
      <c r="I125" s="137"/>
      <c r="J125" s="135"/>
      <c r="K125" s="135"/>
      <c r="L125" s="135"/>
      <c r="M125" s="135"/>
      <c r="N125" s="135"/>
      <c r="O125" s="135"/>
      <c r="P125" s="135"/>
      <c r="Q125" s="135"/>
      <c r="R125" s="135"/>
      <c r="S125" s="135"/>
    </row>
    <row r="126" spans="3:19" ht="15.5" outlineLevel="1" x14ac:dyDescent="0.35">
      <c r="C126" s="139" t="s">
        <v>7</v>
      </c>
      <c r="D126" s="139"/>
      <c r="E126" s="139"/>
      <c r="F126" s="140" t="s">
        <v>155</v>
      </c>
      <c r="G126" s="141">
        <f t="shared" ref="G126:I126" si="69">+G103+G106+G109+G119+G123</f>
        <v>38.791799999999974</v>
      </c>
      <c r="H126" s="141">
        <f t="shared" si="69"/>
        <v>10.879399999999954</v>
      </c>
      <c r="I126" s="141">
        <f t="shared" si="69"/>
        <v>43.615899999999989</v>
      </c>
      <c r="J126" s="141">
        <f>+J103+J106+J109+J119+J123</f>
        <v>37.196600557724928</v>
      </c>
      <c r="K126" s="141">
        <f t="shared" ref="K126:S126" si="70">+K103+K106+K109+K119+K123</f>
        <v>37.917842088235986</v>
      </c>
      <c r="L126" s="141">
        <f t="shared" si="70"/>
        <v>51.317623997353039</v>
      </c>
      <c r="M126" s="141">
        <f t="shared" si="70"/>
        <v>51.640065257221991</v>
      </c>
      <c r="N126" s="141">
        <f t="shared" si="70"/>
        <v>54.576541945596233</v>
      </c>
      <c r="O126" s="141">
        <f t="shared" si="70"/>
        <v>56.811247712935028</v>
      </c>
      <c r="P126" s="141">
        <f t="shared" si="70"/>
        <v>58.75900870619536</v>
      </c>
      <c r="Q126" s="141">
        <f t="shared" si="70"/>
        <v>59.616461768423562</v>
      </c>
      <c r="R126" s="141">
        <f t="shared" si="70"/>
        <v>60.969630236478025</v>
      </c>
      <c r="S126" s="141">
        <f t="shared" si="70"/>
        <v>62.641899810654273</v>
      </c>
    </row>
    <row r="127" spans="3:19" ht="15.5" outlineLevel="1" x14ac:dyDescent="0.35">
      <c r="C127" s="127" t="s">
        <v>22</v>
      </c>
      <c r="F127" s="128" t="s">
        <v>95</v>
      </c>
      <c r="G127" s="95" t="str">
        <f t="shared" ref="G127:J127" si="71">IFERROR(+G126/F126-1,"N/A")</f>
        <v>N/A</v>
      </c>
      <c r="H127" s="95">
        <f t="shared" si="71"/>
        <v>-0.71954382111683501</v>
      </c>
      <c r="I127" s="95">
        <f t="shared" si="71"/>
        <v>3.0090354247477045</v>
      </c>
      <c r="J127" s="95">
        <f t="shared" si="71"/>
        <v>-0.14717796588572207</v>
      </c>
      <c r="K127" s="95">
        <f t="shared" ref="K127" si="72">IFERROR(+K126/J126-1,"N/A")</f>
        <v>1.9389985098013707E-2</v>
      </c>
      <c r="L127" s="95">
        <f t="shared" ref="L127" si="73">IFERROR(+L126/K126-1,"N/A")</f>
        <v>0.35338988642695823</v>
      </c>
      <c r="M127" s="95">
        <f t="shared" ref="M127" si="74">IFERROR(+M126/L126-1,"N/A")</f>
        <v>6.2832460810262614E-3</v>
      </c>
      <c r="N127" s="95">
        <f t="shared" ref="N127" si="75">IFERROR(+N126/M126-1,"N/A")</f>
        <v>5.6864310177523913E-2</v>
      </c>
      <c r="O127" s="95">
        <f t="shared" ref="O127" si="76">IFERROR(+O126/N126-1,"N/A")</f>
        <v>4.0946268995320834E-2</v>
      </c>
      <c r="P127" s="95">
        <f t="shared" ref="P127" si="77">IFERROR(+P126/O126-1,"N/A")</f>
        <v>3.4284777604292271E-2</v>
      </c>
      <c r="Q127" s="95">
        <f t="shared" ref="Q127" si="78">IFERROR(+Q126/P126-1,"N/A")</f>
        <v>1.4592708098865481E-2</v>
      </c>
      <c r="R127" s="95">
        <f t="shared" ref="R127" si="79">IFERROR(+R126/Q126-1,"N/A")</f>
        <v>2.2697899672589728E-2</v>
      </c>
      <c r="S127" s="95">
        <f t="shared" ref="S127" si="80">IFERROR(+S126/R126-1,"N/A")</f>
        <v>2.7427910710466019E-2</v>
      </c>
    </row>
    <row r="128" spans="3:19" ht="15.5" outlineLevel="1" x14ac:dyDescent="0.35">
      <c r="J128" s="51"/>
      <c r="K128" s="51"/>
      <c r="L128" s="51"/>
      <c r="M128" s="51"/>
      <c r="N128" s="51"/>
      <c r="O128" s="51"/>
      <c r="P128" s="51"/>
      <c r="Q128" s="51"/>
      <c r="R128" s="51"/>
      <c r="S128" s="51"/>
    </row>
    <row r="129" spans="2:19" ht="15.5" outlineLevel="1" x14ac:dyDescent="0.35">
      <c r="C129" s="8" t="s">
        <v>140</v>
      </c>
      <c r="F129" s="128" t="s">
        <v>130</v>
      </c>
      <c r="J129" s="142">
        <v>1</v>
      </c>
      <c r="K129" s="108">
        <f>+J129+1</f>
        <v>2</v>
      </c>
      <c r="L129" s="108">
        <f t="shared" ref="L129:S129" si="81">+K129+1</f>
        <v>3</v>
      </c>
      <c r="M129" s="108">
        <f t="shared" si="81"/>
        <v>4</v>
      </c>
      <c r="N129" s="108">
        <f t="shared" si="81"/>
        <v>5</v>
      </c>
      <c r="O129" s="108">
        <f t="shared" si="81"/>
        <v>6</v>
      </c>
      <c r="P129" s="108">
        <f t="shared" si="81"/>
        <v>7</v>
      </c>
      <c r="Q129" s="108">
        <f t="shared" si="81"/>
        <v>8</v>
      </c>
      <c r="R129" s="108">
        <f t="shared" si="81"/>
        <v>9</v>
      </c>
      <c r="S129" s="108">
        <f t="shared" si="81"/>
        <v>10</v>
      </c>
    </row>
    <row r="130" spans="2:19" ht="15.5" outlineLevel="1" x14ac:dyDescent="0.35">
      <c r="C130" s="8" t="s">
        <v>129</v>
      </c>
      <c r="F130" s="123" t="s">
        <v>155</v>
      </c>
      <c r="J130" s="51">
        <f t="shared" ref="J130:S130" si="82">+J126/((1+Discount_Rate)^J129)</f>
        <v>34.074241329909597</v>
      </c>
      <c r="K130" s="51">
        <f t="shared" si="82"/>
        <v>31.819217958420115</v>
      </c>
      <c r="L130" s="51">
        <f t="shared" si="82"/>
        <v>39.448943098100607</v>
      </c>
      <c r="M130" s="51">
        <f t="shared" si="82"/>
        <v>36.36457851636839</v>
      </c>
      <c r="N130" s="51">
        <f t="shared" si="82"/>
        <v>35.20632829706318</v>
      </c>
      <c r="O130" s="51">
        <f t="shared" si="82"/>
        <v>33.571596241029148</v>
      </c>
      <c r="P130" s="51">
        <f t="shared" si="82"/>
        <v>31.807905183732739</v>
      </c>
      <c r="Q130" s="51">
        <f t="shared" si="82"/>
        <v>29.563084777233769</v>
      </c>
      <c r="R130" s="51">
        <f t="shared" si="82"/>
        <v>27.696191716959977</v>
      </c>
      <c r="S130" s="51">
        <f t="shared" si="82"/>
        <v>26.067198565710402</v>
      </c>
    </row>
    <row r="131" spans="2:19" ht="15.5" outlineLevel="1" x14ac:dyDescent="0.35">
      <c r="J131" s="51"/>
      <c r="K131" s="51"/>
      <c r="L131" s="51"/>
      <c r="M131" s="51"/>
      <c r="N131" s="51"/>
      <c r="O131" s="51"/>
      <c r="P131" s="51"/>
      <c r="Q131" s="51"/>
      <c r="R131" s="51"/>
      <c r="S131" s="51"/>
    </row>
    <row r="132" spans="2:19" ht="15.5" outlineLevel="1" x14ac:dyDescent="0.35">
      <c r="C132" s="144" t="s">
        <v>15</v>
      </c>
      <c r="D132" s="144"/>
      <c r="E132" s="144"/>
      <c r="F132" s="145" t="s">
        <v>155</v>
      </c>
      <c r="G132" s="146">
        <f t="shared" ref="G132:I132" si="83">+G97+G106</f>
        <v>71.219999999999956</v>
      </c>
      <c r="H132" s="146">
        <f t="shared" si="83"/>
        <v>79.758999999999958</v>
      </c>
      <c r="I132" s="146">
        <f t="shared" si="83"/>
        <v>68.840999999999994</v>
      </c>
      <c r="J132" s="146">
        <f>+J97+J106</f>
        <v>73.329069177316782</v>
      </c>
      <c r="K132" s="146">
        <f t="shared" ref="K132:L132" si="84">+K97+K106</f>
        <v>72.970357520788767</v>
      </c>
      <c r="L132" s="146">
        <f t="shared" si="84"/>
        <v>80.3692122470474</v>
      </c>
      <c r="M132" s="146">
        <f t="shared" ref="M132:S132" si="85">+M97+M106</f>
        <v>86.477009794989641</v>
      </c>
      <c r="N132" s="146">
        <f t="shared" si="85"/>
        <v>93.855765484408138</v>
      </c>
      <c r="O132" s="146">
        <f t="shared" si="85"/>
        <v>99.039855472830823</v>
      </c>
      <c r="P132" s="146">
        <f t="shared" si="85"/>
        <v>102.96131759601863</v>
      </c>
      <c r="Q132" s="146">
        <f t="shared" si="85"/>
        <v>106.24947648172613</v>
      </c>
      <c r="R132" s="146">
        <f t="shared" si="85"/>
        <v>108.684498481457</v>
      </c>
      <c r="S132" s="146">
        <f t="shared" si="85"/>
        <v>111.17820569952252</v>
      </c>
    </row>
    <row r="133" spans="2:19" ht="15.5" outlineLevel="1" x14ac:dyDescent="0.35">
      <c r="C133" s="127" t="s">
        <v>22</v>
      </c>
      <c r="F133" s="128" t="s">
        <v>95</v>
      </c>
      <c r="G133" s="245"/>
      <c r="H133" s="95">
        <f t="shared" ref="H133" si="86">IFERROR(+H132/G132-1,"N/A")</f>
        <v>0.11989609660207812</v>
      </c>
      <c r="I133" s="95">
        <f t="shared" ref="I133:J133" si="87">IFERROR(+I132/H132-1,"N/A")</f>
        <v>-0.13688737321180011</v>
      </c>
      <c r="J133" s="95">
        <f t="shared" si="87"/>
        <v>6.5194712123832987E-2</v>
      </c>
      <c r="K133" s="95">
        <f t="shared" ref="K133" si="88">IFERROR(+K132/J132-1,"N/A")</f>
        <v>-4.8918070357693022E-3</v>
      </c>
      <c r="L133" s="95">
        <f t="shared" ref="L133" si="89">IFERROR(+L132/K132-1,"N/A")</f>
        <v>0.10139534706474129</v>
      </c>
      <c r="M133" s="95">
        <f t="shared" ref="M133" si="90">IFERROR(+M132/L132-1,"N/A")</f>
        <v>7.5996732793242261E-2</v>
      </c>
      <c r="N133" s="95">
        <f t="shared" ref="N133" si="91">IFERROR(+N132/M132-1,"N/A")</f>
        <v>8.5326212214220432E-2</v>
      </c>
      <c r="O133" s="95">
        <f t="shared" ref="O133" si="92">IFERROR(+O132/N132-1,"N/A")</f>
        <v>5.52346460727966E-2</v>
      </c>
      <c r="P133" s="95">
        <f t="shared" ref="P133" si="93">IFERROR(+P132/O132-1,"N/A")</f>
        <v>3.9594788425994398E-2</v>
      </c>
      <c r="Q133" s="95">
        <f t="shared" ref="Q133" si="94">IFERROR(+Q132/P132-1,"N/A")</f>
        <v>3.1935866425184978E-2</v>
      </c>
      <c r="R133" s="95">
        <f t="shared" ref="R133" si="95">IFERROR(+R132/Q132-1,"N/A")</f>
        <v>2.291796703722726E-2</v>
      </c>
      <c r="S133" s="95">
        <f t="shared" ref="S133" si="96">IFERROR(+S132/R132-1,"N/A")</f>
        <v>2.294446082843149E-2</v>
      </c>
    </row>
    <row r="134" spans="2:19" ht="15.5" outlineLevel="1" x14ac:dyDescent="0.35"/>
    <row r="135" spans="2:19" ht="15.5" outlineLevel="1" x14ac:dyDescent="0.35">
      <c r="C135" s="144" t="s">
        <v>223</v>
      </c>
      <c r="D135" s="144"/>
      <c r="E135" s="144"/>
      <c r="F135" s="145" t="s">
        <v>155</v>
      </c>
      <c r="G135" s="146">
        <v>26.33</v>
      </c>
      <c r="H135" s="146">
        <v>44.131999999999998</v>
      </c>
      <c r="I135" s="146">
        <v>34.817999999999998</v>
      </c>
      <c r="J135" s="146">
        <f>(J97+J89)*(1-Tax_Rate)</f>
        <v>35.664940988757877</v>
      </c>
      <c r="K135" s="146">
        <f>(K97+K89)*(1-Tax_Rate)</f>
        <v>36.283135889545058</v>
      </c>
      <c r="L135" s="146">
        <f>(L97+L89)*(1-Tax_Rate)</f>
        <v>40.041531825953847</v>
      </c>
      <c r="M135" s="146"/>
      <c r="N135" s="146"/>
      <c r="O135" s="146"/>
      <c r="P135" s="146"/>
      <c r="Q135" s="146"/>
      <c r="R135" s="146"/>
      <c r="S135" s="146"/>
    </row>
    <row r="137" spans="2:19" ht="15.5" x14ac:dyDescent="0.35">
      <c r="B137" s="272" t="s">
        <v>126</v>
      </c>
      <c r="C137" s="272"/>
      <c r="D137" s="272"/>
      <c r="E137" s="272"/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  <c r="R137" s="272"/>
      <c r="S137" s="272"/>
    </row>
    <row r="138" spans="2:19" ht="15.5" outlineLevel="1" x14ac:dyDescent="0.35">
      <c r="B138" s="220"/>
      <c r="C138" s="220"/>
      <c r="D138" s="220"/>
      <c r="E138" s="220"/>
      <c r="F138" s="220"/>
      <c r="G138" s="220"/>
      <c r="H138" s="220"/>
      <c r="I138" s="220"/>
      <c r="J138" s="220"/>
      <c r="K138" s="253"/>
      <c r="L138" s="253"/>
      <c r="M138" s="253"/>
      <c r="N138" s="253"/>
      <c r="O138" s="253"/>
    </row>
    <row r="139" spans="2:19" ht="15.5" outlineLevel="1" x14ac:dyDescent="0.35">
      <c r="B139" s="220"/>
      <c r="C139" s="147"/>
      <c r="D139" s="148"/>
      <c r="E139" s="149" t="s">
        <v>127</v>
      </c>
      <c r="F139" s="150"/>
      <c r="G139" s="150"/>
      <c r="H139" s="150"/>
      <c r="I139" s="150"/>
      <c r="J139" s="150"/>
      <c r="K139" s="150"/>
      <c r="L139" s="150"/>
      <c r="M139" s="150"/>
      <c r="N139" s="150"/>
      <c r="O139" s="151"/>
    </row>
    <row r="140" spans="2:19" ht="15.5" outlineLevel="1" x14ac:dyDescent="0.35">
      <c r="B140" s="220"/>
      <c r="C140" s="152"/>
      <c r="D140" s="153">
        <f>+$L$30</f>
        <v>1.6621361640579013</v>
      </c>
      <c r="E140" s="154">
        <v>7.9100000000000004E-2</v>
      </c>
      <c r="F140" s="155">
        <f>+E140+0.25%</f>
        <v>8.1600000000000006E-2</v>
      </c>
      <c r="G140" s="155">
        <f t="shared" ref="G140:O140" si="97">+F140+0.25%</f>
        <v>8.4100000000000008E-2</v>
      </c>
      <c r="H140" s="155">
        <f t="shared" si="97"/>
        <v>8.660000000000001E-2</v>
      </c>
      <c r="I140" s="155">
        <f t="shared" si="97"/>
        <v>8.9100000000000013E-2</v>
      </c>
      <c r="J140" s="156">
        <f t="shared" si="97"/>
        <v>9.1600000000000015E-2</v>
      </c>
      <c r="K140" s="155">
        <f t="shared" si="97"/>
        <v>9.4100000000000017E-2</v>
      </c>
      <c r="L140" s="155">
        <f t="shared" si="97"/>
        <v>9.6600000000000019E-2</v>
      </c>
      <c r="M140" s="155">
        <f t="shared" si="97"/>
        <v>9.9100000000000021E-2</v>
      </c>
      <c r="N140" s="155">
        <f t="shared" si="97"/>
        <v>0.10160000000000002</v>
      </c>
      <c r="O140" s="157">
        <f t="shared" si="97"/>
        <v>0.10410000000000003</v>
      </c>
    </row>
    <row r="141" spans="2:19" ht="15.5" outlineLevel="1" x14ac:dyDescent="0.35">
      <c r="B141" s="220"/>
      <c r="C141" s="297" t="s">
        <v>128</v>
      </c>
      <c r="D141" s="158">
        <v>7.9</v>
      </c>
      <c r="E141" s="175">
        <f t="dataTable" ref="E141:O149" dt2D="1" dtr="1" r1="F14" r2="L12"/>
        <v>1.8781173135630183</v>
      </c>
      <c r="F141" s="175">
        <v>1.8429871667663633</v>
      </c>
      <c r="G141" s="175">
        <v>1.8086593675366984</v>
      </c>
      <c r="H141" s="175">
        <v>1.7751130675331703</v>
      </c>
      <c r="I141" s="175">
        <v>1.7423280153468486</v>
      </c>
      <c r="J141" s="176">
        <v>1.7102845379508218</v>
      </c>
      <c r="K141" s="175">
        <v>1.6789635227701774</v>
      </c>
      <c r="L141" s="175">
        <v>1.6483464003496613</v>
      </c>
      <c r="M141" s="175">
        <v>1.6184151275978151</v>
      </c>
      <c r="N141" s="175">
        <v>1.5891521715870669</v>
      </c>
      <c r="O141" s="175">
        <v>1.5605404938900704</v>
      </c>
    </row>
    <row r="142" spans="2:19" ht="15.5" outlineLevel="1" x14ac:dyDescent="0.35">
      <c r="B142" s="220"/>
      <c r="C142" s="298"/>
      <c r="D142" s="159">
        <f>+D141-0.1</f>
        <v>7.8000000000000007</v>
      </c>
      <c r="E142" s="177">
        <v>1.8647275900014586</v>
      </c>
      <c r="F142" s="177">
        <v>1.82990373269623</v>
      </c>
      <c r="G142" s="177">
        <v>1.7958745335791444</v>
      </c>
      <c r="H142" s="177">
        <v>1.762619354419602</v>
      </c>
      <c r="I142" s="177">
        <v>1.7301181477134386</v>
      </c>
      <c r="J142" s="178">
        <v>1.6983514383299472</v>
      </c>
      <c r="K142" s="177">
        <v>1.6673003057721034</v>
      </c>
      <c r="L142" s="177">
        <v>1.6369463670280306</v>
      </c>
      <c r="M142" s="177">
        <v>1.6072717599927369</v>
      </c>
      <c r="N142" s="177">
        <v>1.5782591274398168</v>
      </c>
      <c r="O142" s="177">
        <v>1.5498916015236388</v>
      </c>
    </row>
    <row r="143" spans="2:19" ht="15.5" outlineLevel="1" x14ac:dyDescent="0.35">
      <c r="B143" s="220"/>
      <c r="C143" s="298"/>
      <c r="D143" s="159">
        <f t="shared" ref="D143:D149" si="98">+D142-0.1</f>
        <v>7.7000000000000011</v>
      </c>
      <c r="E143" s="177">
        <v>1.8513378664398983</v>
      </c>
      <c r="F143" s="177">
        <v>1.8168202986260966</v>
      </c>
      <c r="G143" s="177">
        <v>1.7830896996215906</v>
      </c>
      <c r="H143" s="177">
        <v>1.750125641306034</v>
      </c>
      <c r="I143" s="177">
        <v>1.7179082800800285</v>
      </c>
      <c r="J143" s="178">
        <v>1.6864183387090723</v>
      </c>
      <c r="K143" s="177">
        <v>1.6556370887740293</v>
      </c>
      <c r="L143" s="177">
        <v>1.6255463337064002</v>
      </c>
      <c r="M143" s="177">
        <v>1.5961283923876586</v>
      </c>
      <c r="N143" s="177">
        <v>1.5673660832925669</v>
      </c>
      <c r="O143" s="177">
        <v>1.539242709157207</v>
      </c>
    </row>
    <row r="144" spans="2:19" ht="15.5" outlineLevel="1" x14ac:dyDescent="0.35">
      <c r="B144" s="220"/>
      <c r="C144" s="298"/>
      <c r="D144" s="159">
        <f t="shared" si="98"/>
        <v>7.6000000000000014</v>
      </c>
      <c r="E144" s="177">
        <v>1.8379481428783386</v>
      </c>
      <c r="F144" s="177">
        <v>1.803736864555963</v>
      </c>
      <c r="G144" s="177">
        <v>1.7703048656640368</v>
      </c>
      <c r="H144" s="177">
        <v>1.7376319281924659</v>
      </c>
      <c r="I144" s="177">
        <v>1.7056984124466186</v>
      </c>
      <c r="J144" s="178">
        <v>1.6744852390881975</v>
      </c>
      <c r="K144" s="177">
        <v>1.6439738717759551</v>
      </c>
      <c r="L144" s="177">
        <v>1.61414630038477</v>
      </c>
      <c r="M144" s="177">
        <v>1.5849850247825803</v>
      </c>
      <c r="N144" s="177">
        <v>1.556473039145317</v>
      </c>
      <c r="O144" s="177">
        <v>1.5285938167907751</v>
      </c>
    </row>
    <row r="145" spans="2:15" ht="15.5" outlineLevel="1" x14ac:dyDescent="0.35">
      <c r="B145" s="220"/>
      <c r="C145" s="298"/>
      <c r="D145" s="160">
        <f t="shared" si="98"/>
        <v>7.5000000000000018</v>
      </c>
      <c r="E145" s="178">
        <v>1.8245584193167785</v>
      </c>
      <c r="F145" s="178">
        <v>1.7906534304858297</v>
      </c>
      <c r="G145" s="178">
        <v>1.7575200317064827</v>
      </c>
      <c r="H145" s="178">
        <v>1.7251382150788976</v>
      </c>
      <c r="I145" s="178">
        <v>1.6934885448132087</v>
      </c>
      <c r="J145" s="178">
        <v>1.6625521394673231</v>
      </c>
      <c r="K145" s="178">
        <v>1.6323106547778812</v>
      </c>
      <c r="L145" s="178">
        <v>1.6027462670631396</v>
      </c>
      <c r="M145" s="178">
        <v>1.5738416571775025</v>
      </c>
      <c r="N145" s="178">
        <v>1.5455799949980669</v>
      </c>
      <c r="O145" s="178">
        <v>1.5179449244243435</v>
      </c>
    </row>
    <row r="146" spans="2:15" ht="15.5" outlineLevel="1" x14ac:dyDescent="0.35">
      <c r="B146" s="220"/>
      <c r="C146" s="298"/>
      <c r="D146" s="159">
        <f t="shared" si="98"/>
        <v>7.4000000000000021</v>
      </c>
      <c r="E146" s="177">
        <v>1.8111686957552184</v>
      </c>
      <c r="F146" s="177">
        <v>1.7775699964156961</v>
      </c>
      <c r="G146" s="177">
        <v>1.7447351977489292</v>
      </c>
      <c r="H146" s="177">
        <v>1.7126445019653298</v>
      </c>
      <c r="I146" s="177">
        <v>1.6812786771797985</v>
      </c>
      <c r="J146" s="178">
        <v>1.6506190398464482</v>
      </c>
      <c r="K146" s="177">
        <v>1.6206474377798072</v>
      </c>
      <c r="L146" s="177">
        <v>1.5913462337415094</v>
      </c>
      <c r="M146" s="177">
        <v>1.5626982895724237</v>
      </c>
      <c r="N146" s="177">
        <v>1.5346869508508165</v>
      </c>
      <c r="O146" s="177">
        <v>1.5072960320579118</v>
      </c>
    </row>
    <row r="147" spans="2:15" ht="15.5" outlineLevel="1" x14ac:dyDescent="0.35">
      <c r="B147" s="220"/>
      <c r="C147" s="298"/>
      <c r="D147" s="159">
        <f t="shared" si="98"/>
        <v>7.3000000000000025</v>
      </c>
      <c r="E147" s="177">
        <v>1.7977789721936583</v>
      </c>
      <c r="F147" s="177">
        <v>1.7644865623455626</v>
      </c>
      <c r="G147" s="177">
        <v>1.7319503637913751</v>
      </c>
      <c r="H147" s="177">
        <v>1.7001507888517615</v>
      </c>
      <c r="I147" s="177">
        <v>1.6690688095463886</v>
      </c>
      <c r="J147" s="178">
        <v>1.6386859402255733</v>
      </c>
      <c r="K147" s="177">
        <v>1.6089842207817329</v>
      </c>
      <c r="L147" s="177">
        <v>1.5799462004198788</v>
      </c>
      <c r="M147" s="177">
        <v>1.5515549219673459</v>
      </c>
      <c r="N147" s="177">
        <v>1.5237939067035666</v>
      </c>
      <c r="O147" s="177">
        <v>1.49664713969148</v>
      </c>
    </row>
    <row r="148" spans="2:15" ht="15.5" outlineLevel="1" x14ac:dyDescent="0.35">
      <c r="B148" s="220"/>
      <c r="C148" s="298"/>
      <c r="D148" s="159">
        <f t="shared" si="98"/>
        <v>7.2000000000000028</v>
      </c>
      <c r="E148" s="177">
        <v>1.7843892486320985</v>
      </c>
      <c r="F148" s="177">
        <v>1.7514031282754294</v>
      </c>
      <c r="G148" s="177">
        <v>1.7191655298338211</v>
      </c>
      <c r="H148" s="177">
        <v>1.6876570757381935</v>
      </c>
      <c r="I148" s="177">
        <v>1.6568589419129787</v>
      </c>
      <c r="J148" s="178">
        <v>1.6267528406046987</v>
      </c>
      <c r="K148" s="177">
        <v>1.5973210037836589</v>
      </c>
      <c r="L148" s="177">
        <v>1.5685461670982483</v>
      </c>
      <c r="M148" s="177">
        <v>1.5404115543622674</v>
      </c>
      <c r="N148" s="177">
        <v>1.5129008625563165</v>
      </c>
      <c r="O148" s="177">
        <v>1.4859982473250479</v>
      </c>
    </row>
    <row r="149" spans="2:15" ht="15.5" outlineLevel="1" x14ac:dyDescent="0.35">
      <c r="B149" s="220"/>
      <c r="C149" s="299"/>
      <c r="D149" s="161">
        <f t="shared" si="98"/>
        <v>7.1000000000000032</v>
      </c>
      <c r="E149" s="177">
        <v>1.7709995250705386</v>
      </c>
      <c r="F149" s="177">
        <v>1.7383196942052959</v>
      </c>
      <c r="G149" s="177">
        <v>1.7063806958762677</v>
      </c>
      <c r="H149" s="177">
        <v>1.6751633626246256</v>
      </c>
      <c r="I149" s="177">
        <v>1.6446490742795685</v>
      </c>
      <c r="J149" s="178">
        <v>1.6148197409838241</v>
      </c>
      <c r="K149" s="177">
        <v>1.5856577867855848</v>
      </c>
      <c r="L149" s="177">
        <v>1.5571461337766179</v>
      </c>
      <c r="M149" s="177">
        <v>1.5292681867571893</v>
      </c>
      <c r="N149" s="177">
        <v>1.5020078184090664</v>
      </c>
      <c r="O149" s="177">
        <v>1.4753493549586165</v>
      </c>
    </row>
    <row r="150" spans="2:15" ht="15.5" outlineLevel="1" x14ac:dyDescent="0.35">
      <c r="B150" s="220"/>
      <c r="C150" s="220"/>
      <c r="D150" s="220"/>
      <c r="E150" s="220"/>
      <c r="F150" s="220"/>
      <c r="G150" s="220"/>
      <c r="H150" s="220"/>
      <c r="I150" s="220"/>
      <c r="J150" s="220"/>
      <c r="K150" s="220"/>
      <c r="L150" s="220"/>
      <c r="M150" s="220"/>
      <c r="N150" s="220"/>
      <c r="O150" s="220"/>
    </row>
    <row r="151" spans="2:15" ht="15.5" outlineLevel="1" x14ac:dyDescent="0.35">
      <c r="B151" s="220"/>
      <c r="C151" s="147"/>
      <c r="D151" s="148"/>
      <c r="E151" s="149" t="str">
        <f>+E139</f>
        <v>Weighted Average Cost of Capital (WACC):</v>
      </c>
      <c r="F151" s="150"/>
      <c r="G151" s="150"/>
      <c r="H151" s="150"/>
      <c r="I151" s="150"/>
      <c r="J151" s="150"/>
      <c r="K151" s="150"/>
      <c r="L151" s="150"/>
      <c r="M151" s="150"/>
      <c r="N151" s="150"/>
      <c r="O151" s="151"/>
    </row>
    <row r="152" spans="2:15" ht="15.5" outlineLevel="1" x14ac:dyDescent="0.35">
      <c r="B152" s="220"/>
      <c r="C152" s="152"/>
      <c r="D152" s="153">
        <f>+$Q$30</f>
        <v>1.6576737770705061</v>
      </c>
      <c r="E152" s="155">
        <f>+E140</f>
        <v>7.9100000000000004E-2</v>
      </c>
      <c r="F152" s="155">
        <f t="shared" ref="F152:O152" si="99">+F140</f>
        <v>8.1600000000000006E-2</v>
      </c>
      <c r="G152" s="155">
        <f t="shared" si="99"/>
        <v>8.4100000000000008E-2</v>
      </c>
      <c r="H152" s="155">
        <f t="shared" si="99"/>
        <v>8.660000000000001E-2</v>
      </c>
      <c r="I152" s="155">
        <f t="shared" si="99"/>
        <v>8.9100000000000013E-2</v>
      </c>
      <c r="J152" s="156">
        <f t="shared" si="99"/>
        <v>9.1600000000000015E-2</v>
      </c>
      <c r="K152" s="155">
        <f t="shared" si="99"/>
        <v>9.4100000000000017E-2</v>
      </c>
      <c r="L152" s="155">
        <f t="shared" si="99"/>
        <v>9.6600000000000019E-2</v>
      </c>
      <c r="M152" s="155">
        <f t="shared" si="99"/>
        <v>9.9100000000000021E-2</v>
      </c>
      <c r="N152" s="155">
        <f t="shared" si="99"/>
        <v>0.10160000000000002</v>
      </c>
      <c r="O152" s="157">
        <f t="shared" si="99"/>
        <v>0.10410000000000003</v>
      </c>
    </row>
    <row r="153" spans="2:15" ht="15.5" outlineLevel="1" x14ac:dyDescent="0.35">
      <c r="B153" s="220"/>
      <c r="C153" s="297" t="s">
        <v>131</v>
      </c>
      <c r="D153" s="162">
        <v>1.9E-2</v>
      </c>
      <c r="E153" s="175">
        <f t="dataTable" ref="E153:O161" dt2D="1" dtr="1" r1="F14" r2="Q12" ca="1"/>
        <v>2.0994647423456199</v>
      </c>
      <c r="F153" s="175">
        <v>2.009356128347215</v>
      </c>
      <c r="G153" s="175">
        <v>1.9262016122224936</v>
      </c>
      <c r="H153" s="175">
        <v>1.8492291867100275</v>
      </c>
      <c r="I153" s="175">
        <v>1.7777769826965264</v>
      </c>
      <c r="J153" s="176">
        <v>1.7112743058417723</v>
      </c>
      <c r="K153" s="175">
        <v>1.6492264608334886</v>
      </c>
      <c r="L153" s="175">
        <v>1.5912025091028048</v>
      </c>
      <c r="M153" s="175">
        <v>1.5368253191068653</v>
      </c>
      <c r="N153" s="175">
        <v>1.4857634234650379</v>
      </c>
      <c r="O153" s="175">
        <v>1.4377243113864606</v>
      </c>
    </row>
    <row r="154" spans="2:15" ht="15.5" outlineLevel="1" x14ac:dyDescent="0.35">
      <c r="B154" s="220"/>
      <c r="C154" s="298"/>
      <c r="D154" s="163">
        <f>+D153-0.1%</f>
        <v>1.7999999999999999E-2</v>
      </c>
      <c r="E154" s="177">
        <v>2.0772948858975702</v>
      </c>
      <c r="F154" s="177">
        <v>1.9893297581579168</v>
      </c>
      <c r="G154" s="177">
        <v>1.908053675836205</v>
      </c>
      <c r="H154" s="177">
        <v>1.832734818768488</v>
      </c>
      <c r="I154" s="177">
        <v>1.7627443046943934</v>
      </c>
      <c r="J154" s="178">
        <v>1.6975387063786458</v>
      </c>
      <c r="K154" s="177">
        <v>1.6366460147721895</v>
      </c>
      <c r="L154" s="177">
        <v>1.5796542809646787</v>
      </c>
      <c r="M154" s="177">
        <v>1.5262023588906508</v>
      </c>
      <c r="N154" s="177">
        <v>1.475972309038132</v>
      </c>
      <c r="O154" s="177">
        <v>1.4286831255574193</v>
      </c>
    </row>
    <row r="155" spans="2:15" ht="15.5" outlineLevel="1" x14ac:dyDescent="0.35">
      <c r="B155" s="220"/>
      <c r="C155" s="298"/>
      <c r="D155" s="163">
        <f t="shared" ref="D155:D161" si="100">+D154-0.1%</f>
        <v>1.6999999999999998E-2</v>
      </c>
      <c r="E155" s="177">
        <v>2.055839034488105</v>
      </c>
      <c r="F155" s="177">
        <v>1.9699233994295877</v>
      </c>
      <c r="G155" s="177">
        <v>1.8904466615478681</v>
      </c>
      <c r="H155" s="177">
        <v>1.8167144269172224</v>
      </c>
      <c r="I155" s="177">
        <v>1.7481286219211685</v>
      </c>
      <c r="J155" s="178">
        <v>1.684171353549919</v>
      </c>
      <c r="K155" s="177">
        <v>1.6243919097241533</v>
      </c>
      <c r="L155" s="177">
        <v>1.5683962093124351</v>
      </c>
      <c r="M155" s="177">
        <v>1.515838179678485</v>
      </c>
      <c r="N155" s="177">
        <v>1.4664126630373941</v>
      </c>
      <c r="O155" s="177">
        <v>1.4198495444546475</v>
      </c>
    </row>
    <row r="156" spans="2:15" ht="15.5" outlineLevel="1" x14ac:dyDescent="0.35">
      <c r="B156" s="220"/>
      <c r="C156" s="298"/>
      <c r="D156" s="163">
        <f t="shared" si="100"/>
        <v>1.5999999999999997E-2</v>
      </c>
      <c r="E156" s="177">
        <v>2.0350632417603975</v>
      </c>
      <c r="F156" s="177">
        <v>1.9511086979795613</v>
      </c>
      <c r="G156" s="177">
        <v>1.8733567401901727</v>
      </c>
      <c r="H156" s="177">
        <v>1.8011478705291657</v>
      </c>
      <c r="I156" s="177">
        <v>1.733912821029564</v>
      </c>
      <c r="J156" s="178">
        <v>1.6711576343939099</v>
      </c>
      <c r="K156" s="177">
        <v>1.6124516101831095</v>
      </c>
      <c r="L156" s="177">
        <v>1.5574174942768724</v>
      </c>
      <c r="M156" s="177">
        <v>1.5057234391958543</v>
      </c>
      <c r="N156" s="177">
        <v>1.457076373251627</v>
      </c>
      <c r="O156" s="177">
        <v>1.4112164986777052</v>
      </c>
    </row>
    <row r="157" spans="2:15" ht="15.5" outlineLevel="1" x14ac:dyDescent="0.35">
      <c r="B157" s="220"/>
      <c r="C157" s="298"/>
      <c r="D157" s="164">
        <f t="shared" si="100"/>
        <v>1.4999999999999996E-2</v>
      </c>
      <c r="E157" s="178">
        <v>2.0149356796950215</v>
      </c>
      <c r="F157" s="178">
        <v>1.9328590025790853</v>
      </c>
      <c r="G157" s="178">
        <v>1.8567614619976784</v>
      </c>
      <c r="H157" s="178">
        <v>1.7860161341519483</v>
      </c>
      <c r="I157" s="178">
        <v>1.7200807124697164</v>
      </c>
      <c r="J157" s="178">
        <v>1.6584836990278753</v>
      </c>
      <c r="K157" s="178">
        <v>1.6008132145495508</v>
      </c>
      <c r="L157" s="178">
        <v>1.5467078653941424</v>
      </c>
      <c r="M157" s="178">
        <v>1.4958492395094805</v>
      </c>
      <c r="N157" s="178">
        <v>1.4479557021676093</v>
      </c>
      <c r="O157" s="178">
        <v>1.4027772361954189</v>
      </c>
    </row>
    <row r="158" spans="2:15" ht="15.5" outlineLevel="1" x14ac:dyDescent="0.35">
      <c r="B158" s="220"/>
      <c r="C158" s="298"/>
      <c r="D158" s="163">
        <f t="shared" si="100"/>
        <v>1.3999999999999995E-2</v>
      </c>
      <c r="E158" s="177">
        <v>1.9954264759112237</v>
      </c>
      <c r="F158" s="177">
        <v>1.9151492389951914</v>
      </c>
      <c r="G158" s="177">
        <v>1.8406396582186646</v>
      </c>
      <c r="H158" s="177">
        <v>1.7713012500165277</v>
      </c>
      <c r="I158" s="177">
        <v>1.7066169689846984</v>
      </c>
      <c r="J158" s="178">
        <v>1.6461364114805528</v>
      </c>
      <c r="K158" s="177">
        <v>1.5894654155610248</v>
      </c>
      <c r="L158" s="177">
        <v>1.5362575495594197</v>
      </c>
      <c r="M158" s="177">
        <v>1.4862071009203193</v>
      </c>
      <c r="N158" s="177">
        <v>1.439043265583227</v>
      </c>
      <c r="O158" s="177">
        <v>1.3945253047338275</v>
      </c>
    </row>
    <row r="159" spans="2:15" ht="15.5" outlineLevel="1" x14ac:dyDescent="0.35">
      <c r="B159" s="220"/>
      <c r="C159" s="298"/>
      <c r="D159" s="163">
        <f t="shared" si="100"/>
        <v>1.2999999999999994E-2</v>
      </c>
      <c r="E159" s="177">
        <v>1.976507565736618</v>
      </c>
      <c r="F159" s="177">
        <v>1.8979557950493118</v>
      </c>
      <c r="G159" s="177">
        <v>1.8249713510297778</v>
      </c>
      <c r="H159" s="177">
        <v>1.7569862268630476</v>
      </c>
      <c r="I159" s="177">
        <v>1.6935070689552658</v>
      </c>
      <c r="J159" s="178">
        <v>1.6341033042779456</v>
      </c>
      <c r="K159" s="177">
        <v>1.5783974636498974</v>
      </c>
      <c r="L159" s="177">
        <v>1.5260572412805526</v>
      </c>
      <c r="M159" s="177">
        <v>1.4767889376758541</v>
      </c>
      <c r="N159" s="177">
        <v>1.4303320126689212</v>
      </c>
      <c r="O159" s="177">
        <v>1.386454535324082</v>
      </c>
    </row>
    <row r="160" spans="2:15" ht="15.5" outlineLevel="1" x14ac:dyDescent="0.35">
      <c r="B160" s="220"/>
      <c r="C160" s="298"/>
      <c r="D160" s="163">
        <f t="shared" si="100"/>
        <v>1.1999999999999993E-2</v>
      </c>
      <c r="E160" s="177">
        <v>1.9581525575046232</v>
      </c>
      <c r="F160" s="177">
        <v>1.8812564155846361</v>
      </c>
      <c r="G160" s="177">
        <v>1.8097376709473791</v>
      </c>
      <c r="H160" s="177">
        <v>1.7430549844911623</v>
      </c>
      <c r="I160" s="177">
        <v>1.6807372441535746</v>
      </c>
      <c r="J160" s="178">
        <v>1.6223725364522887</v>
      </c>
      <c r="K160" s="177">
        <v>1.5675991329789927</v>
      </c>
      <c r="L160" s="177">
        <v>1.5160980750413744</v>
      </c>
      <c r="M160" s="177">
        <v>1.4675870353554867</v>
      </c>
      <c r="N160" s="177">
        <v>1.4218152073643096</v>
      </c>
      <c r="O160" s="177">
        <v>1.3785590269221486</v>
      </c>
    </row>
    <row r="161" spans="2:15" ht="15.5" outlineLevel="1" x14ac:dyDescent="0.35">
      <c r="B161" s="220"/>
      <c r="C161" s="299"/>
      <c r="D161" s="165">
        <f t="shared" si="100"/>
        <v>1.0999999999999992E-2</v>
      </c>
      <c r="E161" s="177">
        <v>1.9403366097199706</v>
      </c>
      <c r="F161" s="177">
        <v>1.8650301063597523</v>
      </c>
      <c r="G161" s="177">
        <v>1.794920781017713</v>
      </c>
      <c r="H161" s="177">
        <v>1.7294922935047765</v>
      </c>
      <c r="I161" s="177">
        <v>1.6682944315106976</v>
      </c>
      <c r="J161" s="178">
        <v>1.6109328546768955</v>
      </c>
      <c r="K161" s="177">
        <v>1.5570606899295294</v>
      </c>
      <c r="L161" s="177">
        <v>1.5063715996021769</v>
      </c>
      <c r="M161" s="177">
        <v>1.4585940297960809</v>
      </c>
      <c r="N161" s="177">
        <v>1.4134864110068193</v>
      </c>
      <c r="O161" s="177">
        <v>1.3708331320197196</v>
      </c>
    </row>
  </sheetData>
  <mergeCells count="2">
    <mergeCell ref="C141:C149"/>
    <mergeCell ref="C153:C161"/>
  </mergeCells>
  <dataValidations disablePrompts="1" count="1">
    <dataValidation type="whole" showInputMessage="1" showErrorMessage="1" sqref="G6" xr:uid="{00000000-0002-0000-0000-000000000000}">
      <formula1>0</formula1>
      <formula2>1</formula2>
    </dataValidation>
  </dataValidations>
  <pageMargins left="0.75" right="0.75" top="1" bottom="1" header="0.5" footer="0.5"/>
  <pageSetup scale="38" orientation="portrait" horizontalDpi="200" verticalDpi="200" r:id="rId1"/>
  <headerFooter alignWithMargins="0"/>
  <rowBreaks count="4" manualBreakCount="4">
    <brk id="34" max="19" man="1"/>
    <brk id="60" max="19" man="1"/>
    <brk id="90" max="19" man="1"/>
    <brk id="136" max="1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O45"/>
  <sheetViews>
    <sheetView showGridLines="0" topLeftCell="A28" zoomScaleNormal="100" workbookViewId="0">
      <selection activeCell="B2" sqref="B2"/>
    </sheetView>
  </sheetViews>
  <sheetFormatPr defaultColWidth="9.1796875" defaultRowHeight="15.5" outlineLevelRow="1" outlineLevelCol="1" x14ac:dyDescent="0.35"/>
  <cols>
    <col min="1" max="1" width="2.54296875" style="220" customWidth="1"/>
    <col min="2" max="2" width="36.81640625" style="220" bestFit="1" customWidth="1"/>
    <col min="3" max="3" width="12.26953125" style="220" hidden="1" customWidth="1" outlineLevel="1"/>
    <col min="4" max="4" width="12.26953125" style="220" customWidth="1" collapsed="1"/>
    <col min="5" max="12" width="12.26953125" style="220" customWidth="1"/>
    <col min="13" max="13" width="2.54296875" style="220" customWidth="1"/>
    <col min="14" max="14" width="2.54296875" style="276" customWidth="1"/>
    <col min="15" max="26" width="12.26953125" style="220" customWidth="1"/>
    <col min="27" max="16384" width="9.1796875" style="220"/>
  </cols>
  <sheetData>
    <row r="1" spans="2:15" ht="15.75" customHeight="1" x14ac:dyDescent="0.35"/>
    <row r="2" spans="2:15" ht="18.5" x14ac:dyDescent="0.45">
      <c r="B2" s="50" t="str">
        <f>"WACC Analysis - "&amp;Company_Name</f>
        <v>WACC Analysis - Michael Hill International Limited</v>
      </c>
      <c r="C2" s="179"/>
    </row>
    <row r="3" spans="2:15" ht="15.75" customHeight="1" x14ac:dyDescent="0.35">
      <c r="B3" s="8" t="str">
        <f>'Pub-Comps'!$B$3</f>
        <v>($ AUD in Millions Except Per Share Amounts in AUD as Stated)</v>
      </c>
    </row>
    <row r="4" spans="2:15" ht="15.75" customHeight="1" x14ac:dyDescent="0.35">
      <c r="O4" s="277"/>
    </row>
    <row r="5" spans="2:15" ht="15.75" customHeight="1" x14ac:dyDescent="0.35">
      <c r="B5" s="279" t="s">
        <v>113</v>
      </c>
      <c r="C5" s="279"/>
      <c r="D5" s="280"/>
      <c r="E5" s="280"/>
      <c r="F5" s="280"/>
      <c r="G5" s="281"/>
      <c r="H5" s="281"/>
    </row>
    <row r="6" spans="2:15" ht="15.75" customHeight="1" x14ac:dyDescent="0.35">
      <c r="B6" s="8" t="s">
        <v>51</v>
      </c>
      <c r="C6" s="8"/>
      <c r="F6" s="189">
        <v>2.1000000000000001E-2</v>
      </c>
      <c r="G6" s="282"/>
      <c r="H6" s="282"/>
    </row>
    <row r="7" spans="2:15" ht="15.75" customHeight="1" x14ac:dyDescent="0.35">
      <c r="B7" s="8" t="s">
        <v>52</v>
      </c>
      <c r="C7" s="8"/>
      <c r="F7" s="189">
        <v>5.96E-2</v>
      </c>
      <c r="G7" s="282"/>
      <c r="H7" s="282"/>
    </row>
    <row r="8" spans="2:15" ht="15.75" customHeight="1" x14ac:dyDescent="0.35">
      <c r="B8" s="8" t="s">
        <v>53</v>
      </c>
      <c r="C8" s="8"/>
      <c r="F8" s="259">
        <f>2.69/AVERAGE(35.213,45.034)</f>
        <v>6.7043004722917993E-2</v>
      </c>
      <c r="G8" s="282"/>
      <c r="H8" s="282"/>
      <c r="I8" s="276"/>
      <c r="J8" s="276"/>
    </row>
    <row r="9" spans="2:15" ht="15.75" customHeight="1" x14ac:dyDescent="0.35">
      <c r="B9" s="8" t="s">
        <v>54</v>
      </c>
      <c r="C9" s="8"/>
      <c r="F9" s="189">
        <v>0.1</v>
      </c>
      <c r="G9" s="282"/>
      <c r="H9" s="282"/>
      <c r="I9" s="276"/>
      <c r="J9" s="276"/>
    </row>
    <row r="10" spans="2:15" ht="15.75" customHeight="1" x14ac:dyDescent="0.35"/>
    <row r="11" spans="2:15" ht="15.75" hidden="1" customHeight="1" outlineLevel="1" x14ac:dyDescent="0.35">
      <c r="B11" s="283"/>
      <c r="C11" s="284"/>
      <c r="D11" s="284"/>
      <c r="E11" s="285">
        <v>6</v>
      </c>
      <c r="F11" s="284"/>
      <c r="G11" s="285">
        <v>7</v>
      </c>
      <c r="H11" s="284"/>
      <c r="I11" s="286">
        <v>4</v>
      </c>
      <c r="J11" s="283"/>
      <c r="K11" s="284"/>
    </row>
    <row r="12" spans="2:15" ht="15.75" customHeight="1" collapsed="1" x14ac:dyDescent="0.35">
      <c r="B12" s="53" t="s">
        <v>114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</row>
    <row r="13" spans="2:15" ht="15.75" customHeight="1" x14ac:dyDescent="0.35">
      <c r="B13" s="53"/>
      <c r="C13" s="53"/>
      <c r="D13" s="10" t="s">
        <v>55</v>
      </c>
      <c r="E13" s="10"/>
      <c r="F13" s="10"/>
      <c r="G13" s="10" t="s">
        <v>56</v>
      </c>
      <c r="H13" s="10"/>
      <c r="I13" s="10" t="s">
        <v>27</v>
      </c>
      <c r="J13" s="10"/>
      <c r="K13" s="10"/>
      <c r="L13" s="10" t="s">
        <v>57</v>
      </c>
    </row>
    <row r="14" spans="2:15" ht="15.75" customHeight="1" x14ac:dyDescent="0.35">
      <c r="B14" s="12" t="s">
        <v>58</v>
      </c>
      <c r="C14" s="12" t="s">
        <v>30</v>
      </c>
      <c r="D14" s="13" t="s">
        <v>59</v>
      </c>
      <c r="E14" s="13" t="s">
        <v>60</v>
      </c>
      <c r="F14" s="13" t="s">
        <v>61</v>
      </c>
      <c r="G14" s="13" t="s">
        <v>62</v>
      </c>
      <c r="H14" s="13" t="s">
        <v>63</v>
      </c>
      <c r="I14" s="13" t="s">
        <v>32</v>
      </c>
      <c r="J14" s="13" t="s">
        <v>64</v>
      </c>
      <c r="K14" s="13" t="s">
        <v>65</v>
      </c>
      <c r="L14" s="13" t="s">
        <v>59</v>
      </c>
    </row>
    <row r="15" spans="2:15" ht="15.75" customHeight="1" x14ac:dyDescent="0.35">
      <c r="B15" s="8" t="str">
        <f>+'Pub-Comps'!B8</f>
        <v>Accent Group Limited</v>
      </c>
      <c r="C15" s="8" t="str">
        <f>+'Pub-Comps'!C8</f>
        <v>ASX:AX1</v>
      </c>
      <c r="D15" s="287">
        <v>1.5</v>
      </c>
      <c r="E15" s="101">
        <f t="shared" ref="E15:E23" si="0">VLOOKUP($C15,Pub_Comps_Data,E$11,FALSE)</f>
        <v>71.5</v>
      </c>
      <c r="F15" s="288">
        <f>+E15/($E15+$G15+$I15)</f>
        <v>7.861259156185775E-2</v>
      </c>
      <c r="G15" s="101">
        <f t="shared" ref="G15:G23" si="1">VLOOKUP($C15,Pub_Comps_Data,G$11,FALSE)</f>
        <v>0</v>
      </c>
      <c r="H15" s="288">
        <f>+G15/($E15+$G15+$I15)</f>
        <v>0</v>
      </c>
      <c r="I15" s="55">
        <f t="shared" ref="I15:I23" si="2">VLOOKUP($C15,Pub_Comps_Data,I$11,FALSE)</f>
        <v>838.02350736000005</v>
      </c>
      <c r="J15" s="288">
        <f>+I15/($E15+$G15+$I15)</f>
        <v>0.92138740843814226</v>
      </c>
      <c r="K15" s="261">
        <f t="shared" ref="K15:K23" si="3">Tax_Rate</f>
        <v>0.3</v>
      </c>
      <c r="L15" s="278">
        <f>D15/(1+(E15/I15)*(1-K15)+G15/I15)</f>
        <v>1.4154630789255527</v>
      </c>
    </row>
    <row r="16" spans="2:15" ht="15.75" customHeight="1" x14ac:dyDescent="0.35">
      <c r="B16" s="8" t="str">
        <f>+'Pub-Comps'!B9</f>
        <v>Vita Group Limited</v>
      </c>
      <c r="C16" s="8" t="str">
        <f>+'Pub-Comps'!C9</f>
        <v>ASX:VTG</v>
      </c>
      <c r="D16" s="287">
        <v>1.97</v>
      </c>
      <c r="E16" s="101">
        <f t="shared" si="0"/>
        <v>9.8000000000000007</v>
      </c>
      <c r="F16" s="288">
        <f t="shared" ref="F16:F23" si="4">+E16/($E16+$G16+$I16)</f>
        <v>3.9391105988518763E-2</v>
      </c>
      <c r="G16" s="101">
        <f t="shared" si="1"/>
        <v>0</v>
      </c>
      <c r="H16" s="288">
        <f t="shared" ref="H16:H23" si="5">+G16/($E16+$G16+$I16)</f>
        <v>0</v>
      </c>
      <c r="I16" s="55">
        <f t="shared" si="2"/>
        <v>238.98712476</v>
      </c>
      <c r="J16" s="288">
        <f t="shared" ref="J16:J23" si="6">+I16/($E16+$G16+$I16)</f>
        <v>0.9606088940114812</v>
      </c>
      <c r="K16" s="261">
        <f t="shared" si="3"/>
        <v>0.3</v>
      </c>
      <c r="L16" s="278">
        <f t="shared" ref="L16:L23" si="7">D16/(1+(E16/I16)*(1-K16)+G16/I16)</f>
        <v>1.9150300669035978</v>
      </c>
    </row>
    <row r="17" spans="2:12" ht="15.75" customHeight="1" x14ac:dyDescent="0.35">
      <c r="B17" s="8" t="str">
        <f>+'Pub-Comps'!B10</f>
        <v>Noni B Limited</v>
      </c>
      <c r="C17" s="8" t="str">
        <f>+'Pub-Comps'!C10</f>
        <v>ASX:NBL</v>
      </c>
      <c r="D17" s="287">
        <v>1.27</v>
      </c>
      <c r="E17" s="101">
        <f t="shared" si="0"/>
        <v>22</v>
      </c>
      <c r="F17" s="288">
        <f t="shared" si="4"/>
        <v>6.9271685943560743E-2</v>
      </c>
      <c r="G17" s="101">
        <f t="shared" si="1"/>
        <v>0</v>
      </c>
      <c r="H17" s="288">
        <f t="shared" si="5"/>
        <v>0</v>
      </c>
      <c r="I17" s="55">
        <f t="shared" si="2"/>
        <v>295.59007594999997</v>
      </c>
      <c r="J17" s="288">
        <f t="shared" si="6"/>
        <v>0.9307283140564393</v>
      </c>
      <c r="K17" s="261">
        <f t="shared" si="3"/>
        <v>0.3</v>
      </c>
      <c r="L17" s="278">
        <f t="shared" si="7"/>
        <v>1.2071105333819576</v>
      </c>
    </row>
    <row r="18" spans="2:12" ht="15.75" customHeight="1" x14ac:dyDescent="0.35">
      <c r="B18" s="8" t="str">
        <f>+'Pub-Comps'!B11</f>
        <v>Adairs Limited</v>
      </c>
      <c r="C18" s="8" t="str">
        <f>+'Pub-Comps'!C11</f>
        <v>ASX:ADH</v>
      </c>
      <c r="D18" s="287">
        <v>1.41</v>
      </c>
      <c r="E18" s="101">
        <f t="shared" si="0"/>
        <v>25</v>
      </c>
      <c r="F18" s="288">
        <f t="shared" si="4"/>
        <v>7.7659950375291706E-2</v>
      </c>
      <c r="G18" s="101">
        <f t="shared" si="1"/>
        <v>0</v>
      </c>
      <c r="H18" s="288">
        <f t="shared" si="5"/>
        <v>0</v>
      </c>
      <c r="I18" s="55">
        <f t="shared" si="2"/>
        <v>296.91624999999999</v>
      </c>
      <c r="J18" s="288">
        <f t="shared" si="6"/>
        <v>0.92234004962470828</v>
      </c>
      <c r="K18" s="261">
        <f t="shared" si="3"/>
        <v>0.3</v>
      </c>
      <c r="L18" s="278">
        <f t="shared" si="7"/>
        <v>1.3315212318065621</v>
      </c>
    </row>
    <row r="19" spans="2:12" ht="15.75" customHeight="1" x14ac:dyDescent="0.35">
      <c r="B19" s="8" t="str">
        <f>+'Pub-Comps'!B12</f>
        <v>Baby Bunting Group Limited</v>
      </c>
      <c r="C19" s="8" t="str">
        <f>+'Pub-Comps'!C12</f>
        <v>ASX:BBN</v>
      </c>
      <c r="D19" s="287">
        <v>1.17</v>
      </c>
      <c r="E19" s="101">
        <f t="shared" si="0"/>
        <v>13</v>
      </c>
      <c r="F19" s="288">
        <f t="shared" si="4"/>
        <v>4.2261568378184129E-2</v>
      </c>
      <c r="G19" s="101">
        <f t="shared" si="1"/>
        <v>0</v>
      </c>
      <c r="H19" s="288">
        <f t="shared" si="5"/>
        <v>0</v>
      </c>
      <c r="I19" s="55">
        <f t="shared" si="2"/>
        <v>294.60808221000002</v>
      </c>
      <c r="J19" s="288">
        <f t="shared" si="6"/>
        <v>0.95773843162181582</v>
      </c>
      <c r="K19" s="261">
        <f t="shared" si="3"/>
        <v>0.3</v>
      </c>
      <c r="L19" s="278">
        <f t="shared" si="7"/>
        <v>1.1349433102914985</v>
      </c>
    </row>
    <row r="20" spans="2:12" ht="15.75" customHeight="1" x14ac:dyDescent="0.35">
      <c r="B20" s="8" t="str">
        <f>+'Pub-Comps'!B13</f>
        <v>MotorCycle Holdings Limited</v>
      </c>
      <c r="C20" s="8" t="str">
        <f>+'Pub-Comps'!C13</f>
        <v>ASX:MTO</v>
      </c>
      <c r="D20" s="287">
        <v>1.25</v>
      </c>
      <c r="E20" s="101">
        <f t="shared" si="0"/>
        <v>78.8</v>
      </c>
      <c r="F20" s="288">
        <f t="shared" si="4"/>
        <v>0.42609440829321782</v>
      </c>
      <c r="G20" s="101">
        <f t="shared" si="1"/>
        <v>0</v>
      </c>
      <c r="H20" s="288">
        <f t="shared" si="5"/>
        <v>0</v>
      </c>
      <c r="I20" s="55">
        <f t="shared" si="2"/>
        <v>106.13554120000001</v>
      </c>
      <c r="J20" s="288">
        <f t="shared" si="6"/>
        <v>0.57390559170678224</v>
      </c>
      <c r="K20" s="261">
        <f t="shared" si="3"/>
        <v>0.3</v>
      </c>
      <c r="L20" s="278">
        <f t="shared" si="7"/>
        <v>0.82252383117953176</v>
      </c>
    </row>
    <row r="21" spans="2:12" ht="15.75" customHeight="1" x14ac:dyDescent="0.35">
      <c r="B21" s="8" t="str">
        <f>+'Pub-Comps'!B14</f>
        <v>Nick Scali Limited</v>
      </c>
      <c r="C21" s="8" t="str">
        <f>+'Pub-Comps'!C14</f>
        <v>ASX:NCK</v>
      </c>
      <c r="D21" s="287">
        <v>1.1599999999999999</v>
      </c>
      <c r="E21" s="101">
        <f t="shared" si="0"/>
        <v>33.700000000000003</v>
      </c>
      <c r="F21" s="288">
        <f t="shared" si="4"/>
        <v>6.5871774824081311E-2</v>
      </c>
      <c r="G21" s="101">
        <f t="shared" si="1"/>
        <v>0</v>
      </c>
      <c r="H21" s="288">
        <f t="shared" si="5"/>
        <v>0</v>
      </c>
      <c r="I21" s="55">
        <f t="shared" si="2"/>
        <v>477.90000000000003</v>
      </c>
      <c r="J21" s="288">
        <f t="shared" si="6"/>
        <v>0.93412822517591876</v>
      </c>
      <c r="K21" s="261">
        <f t="shared" si="3"/>
        <v>0.3</v>
      </c>
      <c r="L21" s="278">
        <f t="shared" si="7"/>
        <v>1.1054338072543817</v>
      </c>
    </row>
    <row r="22" spans="2:12" ht="15.75" customHeight="1" x14ac:dyDescent="0.35">
      <c r="B22" s="8" t="str">
        <f>+'Pub-Comps'!B15</f>
        <v>Beacon Lighting Group Limited</v>
      </c>
      <c r="C22" s="8" t="str">
        <f>+'Pub-Comps'!C15</f>
        <v>ASX:BLX</v>
      </c>
      <c r="D22" s="287">
        <v>1.1200000000000001</v>
      </c>
      <c r="E22" s="101">
        <f t="shared" si="0"/>
        <v>33.4</v>
      </c>
      <c r="F22" s="288">
        <f t="shared" si="4"/>
        <v>0.1166988764323859</v>
      </c>
      <c r="G22" s="101">
        <f t="shared" si="1"/>
        <v>0</v>
      </c>
      <c r="H22" s="288">
        <f t="shared" si="5"/>
        <v>0</v>
      </c>
      <c r="I22" s="55">
        <f t="shared" si="2"/>
        <v>252.80669728000001</v>
      </c>
      <c r="J22" s="288">
        <f t="shared" si="6"/>
        <v>0.88330112356761403</v>
      </c>
      <c r="K22" s="261">
        <f t="shared" si="3"/>
        <v>0.3</v>
      </c>
      <c r="L22" s="278">
        <f t="shared" si="7"/>
        <v>1.0251887717334451</v>
      </c>
    </row>
    <row r="23" spans="2:12" ht="15.75" customHeight="1" x14ac:dyDescent="0.35">
      <c r="B23" s="8" t="str">
        <f>+'Pub-Comps'!B16</f>
        <v>Lovisa Holdings Limited</v>
      </c>
      <c r="C23" s="8" t="str">
        <f>+'Pub-Comps'!C16</f>
        <v>ASX:LOV</v>
      </c>
      <c r="D23" s="287">
        <v>1.7</v>
      </c>
      <c r="E23" s="101">
        <f t="shared" si="0"/>
        <v>0</v>
      </c>
      <c r="F23" s="288">
        <f t="shared" si="4"/>
        <v>0</v>
      </c>
      <c r="G23" s="101">
        <f t="shared" si="1"/>
        <v>0</v>
      </c>
      <c r="H23" s="288">
        <f t="shared" si="5"/>
        <v>0</v>
      </c>
      <c r="I23" s="55">
        <f t="shared" si="2"/>
        <v>993.37606000000005</v>
      </c>
      <c r="J23" s="288">
        <f t="shared" si="6"/>
        <v>1</v>
      </c>
      <c r="K23" s="261">
        <f t="shared" si="3"/>
        <v>0.3</v>
      </c>
      <c r="L23" s="278">
        <f t="shared" si="7"/>
        <v>1.7</v>
      </c>
    </row>
    <row r="24" spans="2:12" ht="15.75" customHeight="1" x14ac:dyDescent="0.35"/>
    <row r="25" spans="2:12" ht="15.75" customHeight="1" x14ac:dyDescent="0.35">
      <c r="B25" s="190" t="s">
        <v>66</v>
      </c>
      <c r="C25" s="32"/>
      <c r="D25" s="191">
        <f>MEDIAN(D15:D23)</f>
        <v>1.27</v>
      </c>
      <c r="E25" s="192">
        <f t="shared" ref="E25:L25" si="8">MEDIAN(E15:E23)</f>
        <v>25</v>
      </c>
      <c r="F25" s="193">
        <f t="shared" si="8"/>
        <v>6.9271685943560743E-2</v>
      </c>
      <c r="G25" s="192">
        <f t="shared" si="8"/>
        <v>0</v>
      </c>
      <c r="H25" s="193">
        <f t="shared" si="8"/>
        <v>0</v>
      </c>
      <c r="I25" s="192">
        <f t="shared" si="8"/>
        <v>295.59007594999997</v>
      </c>
      <c r="J25" s="193">
        <f t="shared" si="8"/>
        <v>0.9307283140564393</v>
      </c>
      <c r="K25" s="193">
        <f t="shared" si="8"/>
        <v>0.3</v>
      </c>
      <c r="L25" s="194">
        <f t="shared" si="8"/>
        <v>1.2071105333819576</v>
      </c>
    </row>
    <row r="26" spans="2:12" ht="15.75" customHeight="1" x14ac:dyDescent="0.35"/>
    <row r="27" spans="2:12" ht="15.75" customHeight="1" x14ac:dyDescent="0.35">
      <c r="B27" s="44" t="str">
        <f>Company_Name</f>
        <v>Michael Hill International Limited</v>
      </c>
      <c r="C27" s="45" t="str">
        <f>Ticker</f>
        <v>ASX:MHJ</v>
      </c>
      <c r="D27" s="195">
        <v>1.22</v>
      </c>
      <c r="E27" s="49"/>
      <c r="F27" s="49"/>
      <c r="G27" s="49"/>
      <c r="H27" s="49"/>
      <c r="I27" s="49"/>
      <c r="J27" s="49"/>
      <c r="K27" s="196"/>
      <c r="L27" s="197"/>
    </row>
    <row r="28" spans="2:12" ht="15.75" customHeight="1" x14ac:dyDescent="0.35"/>
    <row r="29" spans="2:12" ht="15.75" customHeight="1" x14ac:dyDescent="0.35">
      <c r="B29" s="53" t="str">
        <f>TEXT(Company_Name,"")&amp; " - Levered Beta &amp; WACC Calculation"</f>
        <v>Michael Hill International Limited - Levered Beta &amp; WACC Calculation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2:12" ht="15.75" customHeight="1" x14ac:dyDescent="0.35">
      <c r="B30" s="53"/>
      <c r="C30" s="53"/>
      <c r="D30" s="10" t="s">
        <v>57</v>
      </c>
      <c r="E30" s="10"/>
      <c r="F30" s="10"/>
      <c r="G30" s="10" t="s">
        <v>56</v>
      </c>
      <c r="H30" s="10"/>
      <c r="I30" s="10" t="s">
        <v>27</v>
      </c>
      <c r="J30" s="10"/>
      <c r="K30" s="10"/>
      <c r="L30" s="10" t="s">
        <v>55</v>
      </c>
    </row>
    <row r="31" spans="2:12" ht="15.75" customHeight="1" x14ac:dyDescent="0.35">
      <c r="B31" s="12"/>
      <c r="C31" s="12" t="s">
        <v>30</v>
      </c>
      <c r="D31" s="13" t="s">
        <v>59</v>
      </c>
      <c r="E31" s="13" t="s">
        <v>60</v>
      </c>
      <c r="F31" s="13" t="s">
        <v>61</v>
      </c>
      <c r="G31" s="13" t="s">
        <v>62</v>
      </c>
      <c r="H31" s="13" t="s">
        <v>63</v>
      </c>
      <c r="I31" s="13" t="s">
        <v>32</v>
      </c>
      <c r="J31" s="13" t="s">
        <v>64</v>
      </c>
      <c r="K31" s="13" t="s">
        <v>65</v>
      </c>
      <c r="L31" s="13" t="s">
        <v>59</v>
      </c>
    </row>
    <row r="32" spans="2:12" ht="15.75" customHeight="1" x14ac:dyDescent="0.35">
      <c r="B32" s="21" t="s">
        <v>71</v>
      </c>
      <c r="C32" s="21" t="str">
        <f>Ticker</f>
        <v>ASX:MHJ</v>
      </c>
      <c r="D32" s="198">
        <f>L25</f>
        <v>1.2071105333819576</v>
      </c>
      <c r="E32" s="99">
        <f>VLOOKUP($C32,Pub_Comps_Data,E$11,FALSE)</f>
        <v>35.213000000000001</v>
      </c>
      <c r="F32" s="199">
        <f t="shared" ref="F32" si="9">+E32/($E32+$G32+$I32)</f>
        <v>0.11779635145328868</v>
      </c>
      <c r="G32" s="99">
        <f>VLOOKUP($C32,Pub_Comps_Data,G$11,FALSE)</f>
        <v>0</v>
      </c>
      <c r="H32" s="199">
        <f t="shared" ref="H32" si="10">+G32/($E32+$G32+$I32)</f>
        <v>0</v>
      </c>
      <c r="I32" s="99">
        <f>VLOOKUP($C32,Pub_Comps_Data,I$11,FALSE)</f>
        <v>263.7181601383806</v>
      </c>
      <c r="J32" s="199">
        <f t="shared" ref="J32" si="11">+I32/($E32+$G32+$I32)</f>
        <v>0.88220364854671129</v>
      </c>
      <c r="K32" s="200">
        <f>Tax_Rate</f>
        <v>0.3</v>
      </c>
      <c r="L32" s="201">
        <f>D32*(1+(E32/I32)*(1-K32)+(G32/I32))</f>
        <v>1.3199362418305995</v>
      </c>
    </row>
    <row r="33" spans="2:12" ht="15.75" customHeight="1" x14ac:dyDescent="0.35">
      <c r="B33" s="8" t="s">
        <v>115</v>
      </c>
      <c r="C33" s="8" t="str">
        <f>Ticker</f>
        <v>ASX:MHJ</v>
      </c>
      <c r="D33" s="202">
        <f>L25</f>
        <v>1.2071105333819576</v>
      </c>
      <c r="E33" s="55">
        <f>+F33*($E32+$G32+$I32)</f>
        <v>20.707465443850165</v>
      </c>
      <c r="F33" s="203">
        <f>+F25</f>
        <v>6.9271685943560743E-2</v>
      </c>
      <c r="G33" s="55">
        <f>+H33*($E32+$G32+$I32)</f>
        <v>0</v>
      </c>
      <c r="H33" s="203">
        <f>+H25</f>
        <v>0</v>
      </c>
      <c r="I33" s="55">
        <f>+J33*($E32+$G32+$I32)</f>
        <v>278.22369469453048</v>
      </c>
      <c r="J33" s="203">
        <f>+J25</f>
        <v>0.9307283140564393</v>
      </c>
      <c r="K33" s="204">
        <f>Tax_Rate</f>
        <v>0.3</v>
      </c>
      <c r="L33" s="27">
        <f>D33*(1+(E33/I33)*(1-K33)+(G33/I33))</f>
        <v>1.27</v>
      </c>
    </row>
    <row r="34" spans="2:12" ht="15.75" customHeight="1" x14ac:dyDescent="0.35"/>
    <row r="35" spans="2:12" ht="15.75" customHeight="1" x14ac:dyDescent="0.35">
      <c r="B35" s="205" t="s">
        <v>67</v>
      </c>
      <c r="C35" s="206"/>
      <c r="D35" s="206"/>
      <c r="E35" s="206"/>
      <c r="F35" s="206"/>
      <c r="G35" s="206"/>
      <c r="H35" s="206"/>
      <c r="I35" s="206"/>
      <c r="J35" s="206"/>
      <c r="K35" s="206"/>
      <c r="L35" s="207">
        <f>+Risk_Free_Rate+Equity_Risk_Premium*L32</f>
        <v>9.9668200013103739E-2</v>
      </c>
    </row>
    <row r="36" spans="2:12" ht="15.75" customHeight="1" x14ac:dyDescent="0.35">
      <c r="B36" s="208" t="s">
        <v>121</v>
      </c>
      <c r="C36" s="209"/>
      <c r="D36" s="209"/>
      <c r="E36" s="209"/>
      <c r="F36" s="209"/>
      <c r="G36" s="209"/>
      <c r="H36" s="209"/>
      <c r="I36" s="209"/>
      <c r="J36" s="209"/>
      <c r="K36" s="209"/>
      <c r="L36" s="210">
        <f>+Risk_Free_Rate+Equity_Risk_Premium*L33</f>
        <v>9.6692E-2</v>
      </c>
    </row>
    <row r="37" spans="2:12" ht="15.75" customHeight="1" x14ac:dyDescent="0.35">
      <c r="B37" s="211" t="s">
        <v>68</v>
      </c>
      <c r="C37" s="212"/>
      <c r="D37" s="212"/>
      <c r="E37" s="212"/>
      <c r="F37" s="212"/>
      <c r="G37" s="212"/>
      <c r="H37" s="212"/>
      <c r="I37" s="212"/>
      <c r="J37" s="212"/>
      <c r="K37" s="212"/>
      <c r="L37" s="213">
        <f>+Risk_Free_Rate+Equity_Risk_Premium*D27</f>
        <v>9.3712000000000004E-2</v>
      </c>
    </row>
    <row r="38" spans="2:12" ht="15.75" customHeight="1" x14ac:dyDescent="0.3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2:12" ht="15.75" customHeight="1" x14ac:dyDescent="0.35">
      <c r="B39" s="8" t="s">
        <v>144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 ht="15.75" customHeight="1" x14ac:dyDescent="0.35"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</row>
    <row r="41" spans="2:12" ht="15.75" customHeight="1" x14ac:dyDescent="0.35">
      <c r="B41" s="205" t="s">
        <v>69</v>
      </c>
      <c r="C41" s="206"/>
      <c r="D41" s="206"/>
      <c r="E41" s="206"/>
      <c r="F41" s="206"/>
      <c r="G41" s="206"/>
      <c r="H41" s="206"/>
      <c r="I41" s="206"/>
      <c r="J41" s="206"/>
      <c r="K41" s="206"/>
      <c r="L41" s="214">
        <f>+L35*J32+Cost_of_Debt*(1-Tax_Rate)*F32+Cost_of_Preferred*H32</f>
        <v>9.3455844638421243E-2</v>
      </c>
    </row>
    <row r="42" spans="2:12" ht="15.75" customHeight="1" x14ac:dyDescent="0.35">
      <c r="B42" s="208" t="s">
        <v>122</v>
      </c>
      <c r="C42" s="209"/>
      <c r="D42" s="209"/>
      <c r="E42" s="209"/>
      <c r="F42" s="209"/>
      <c r="G42" s="209"/>
      <c r="H42" s="209"/>
      <c r="I42" s="209"/>
      <c r="J42" s="209"/>
      <c r="K42" s="209"/>
      <c r="L42" s="215">
        <f>+L36*J33+Cost_of_Debt*(1-Tax_Rate)*F33+Cost_of_Preferred*H33</f>
        <v>9.324490952026028E-2</v>
      </c>
    </row>
    <row r="43" spans="2:12" ht="15.75" customHeight="1" x14ac:dyDescent="0.35">
      <c r="B43" s="211" t="s">
        <v>70</v>
      </c>
      <c r="C43" s="212"/>
      <c r="D43" s="212"/>
      <c r="E43" s="212"/>
      <c r="F43" s="212"/>
      <c r="G43" s="212"/>
      <c r="H43" s="212"/>
      <c r="I43" s="212"/>
      <c r="J43" s="212"/>
      <c r="K43" s="212"/>
      <c r="L43" s="216">
        <f>+L37*J32+Cost_of_Debt*(1-Tax_Rate)*F32+Cost_of_Preferred*H32</f>
        <v>8.8201263255387158E-2</v>
      </c>
    </row>
    <row r="44" spans="2:12" ht="15.75" customHeight="1" x14ac:dyDescent="0.35"/>
    <row r="45" spans="2:12" ht="15.75" customHeight="1" x14ac:dyDescent="0.35">
      <c r="B45" s="44" t="s">
        <v>123</v>
      </c>
      <c r="C45" s="45"/>
      <c r="D45" s="45"/>
      <c r="E45" s="45"/>
      <c r="F45" s="45"/>
      <c r="G45" s="45"/>
      <c r="H45" s="45"/>
      <c r="I45" s="45"/>
      <c r="J45" s="45"/>
      <c r="K45" s="45"/>
      <c r="L45" s="217">
        <f>AVERAGE(L41:L43)</f>
        <v>9.1634005804689569E-2</v>
      </c>
    </row>
  </sheetData>
  <pageMargins left="0.7" right="0.7" top="0.75" bottom="0.75" header="0.3" footer="0.3"/>
  <pageSetup scale="57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Y47"/>
  <sheetViews>
    <sheetView showGridLines="0" zoomScaleNormal="100" workbookViewId="0"/>
  </sheetViews>
  <sheetFormatPr defaultRowHeight="14.5" outlineLevelCol="1" x14ac:dyDescent="0.35"/>
  <cols>
    <col min="1" max="1" width="2.54296875" customWidth="1"/>
    <col min="2" max="2" width="36.81640625" bestFit="1" customWidth="1"/>
    <col min="3" max="3" width="10.7265625" hidden="1" customWidth="1" outlineLevel="1"/>
    <col min="4" max="5" width="12.7265625" hidden="1" customWidth="1" outlineLevel="1"/>
    <col min="6" max="6" width="12.7265625" customWidth="1" collapsed="1"/>
    <col min="7" max="10" width="12.7265625" hidden="1" customWidth="1" outlineLevel="1"/>
    <col min="11" max="11" width="12.7265625" customWidth="1" collapsed="1"/>
    <col min="12" max="25" width="12.7265625" customWidth="1"/>
    <col min="26" max="26" width="2.54296875" customWidth="1"/>
  </cols>
  <sheetData>
    <row r="1" spans="1:2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899999999999999" customHeight="1" x14ac:dyDescent="0.45">
      <c r="A2" s="1"/>
      <c r="B2" s="4" t="s">
        <v>211</v>
      </c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219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5" x14ac:dyDescent="0.35">
      <c r="A3" s="1"/>
      <c r="B3" s="8" t="s">
        <v>181</v>
      </c>
      <c r="C3" s="8"/>
      <c r="D3" s="37"/>
      <c r="E3" s="3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5" x14ac:dyDescent="0.35">
      <c r="A4" s="1"/>
      <c r="B4" s="173"/>
      <c r="C4" s="8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8"/>
      <c r="V4" s="8"/>
      <c r="W4" s="8"/>
      <c r="X4" s="8"/>
      <c r="Y4" s="8"/>
    </row>
    <row r="5" spans="1:25" ht="15.5" x14ac:dyDescent="0.35">
      <c r="A5" s="1"/>
      <c r="B5" s="52" t="s">
        <v>107</v>
      </c>
      <c r="C5" s="53"/>
      <c r="D5" s="53"/>
      <c r="E5" s="53"/>
      <c r="F5" s="11" t="s">
        <v>197</v>
      </c>
      <c r="G5" s="11"/>
      <c r="H5" s="11"/>
      <c r="I5" s="11"/>
      <c r="J5" s="11"/>
      <c r="K5" s="14"/>
      <c r="L5" s="9"/>
      <c r="M5" s="9"/>
      <c r="N5" s="9"/>
      <c r="O5" s="9"/>
      <c r="P5" s="9"/>
      <c r="Q5" s="9"/>
      <c r="R5" s="9"/>
      <c r="S5" s="9"/>
      <c r="T5" s="9"/>
      <c r="U5" s="10" t="s">
        <v>0</v>
      </c>
      <c r="V5" s="10" t="s">
        <v>0</v>
      </c>
      <c r="W5" s="11"/>
      <c r="X5" s="11"/>
      <c r="Y5" s="15"/>
    </row>
    <row r="6" spans="1:25" ht="15.5" x14ac:dyDescent="0.35">
      <c r="A6" s="1"/>
      <c r="B6" s="9"/>
      <c r="C6" s="9"/>
      <c r="D6" s="10" t="s">
        <v>26</v>
      </c>
      <c r="E6" s="10" t="s">
        <v>105</v>
      </c>
      <c r="F6" s="10" t="s">
        <v>27</v>
      </c>
      <c r="G6" s="10"/>
      <c r="H6" s="10"/>
      <c r="I6" s="10" t="s">
        <v>56</v>
      </c>
      <c r="J6" s="10" t="s">
        <v>110</v>
      </c>
      <c r="K6" s="10" t="s">
        <v>28</v>
      </c>
      <c r="L6" s="11" t="s">
        <v>34</v>
      </c>
      <c r="M6" s="11"/>
      <c r="N6" s="11"/>
      <c r="O6" s="11" t="s">
        <v>35</v>
      </c>
      <c r="P6" s="11"/>
      <c r="Q6" s="11"/>
      <c r="R6" s="11" t="s">
        <v>106</v>
      </c>
      <c r="S6" s="11"/>
      <c r="T6" s="11"/>
      <c r="U6" s="10" t="s">
        <v>34</v>
      </c>
      <c r="V6" s="10" t="s">
        <v>35</v>
      </c>
      <c r="W6" s="11" t="s">
        <v>37</v>
      </c>
      <c r="X6" s="11"/>
      <c r="Y6" s="11"/>
    </row>
    <row r="7" spans="1:25" ht="15.5" x14ac:dyDescent="0.35">
      <c r="A7" s="1"/>
      <c r="B7" s="12" t="s">
        <v>29</v>
      </c>
      <c r="C7" s="12" t="s">
        <v>30</v>
      </c>
      <c r="D7" s="13" t="s">
        <v>31</v>
      </c>
      <c r="E7" s="13" t="s">
        <v>50</v>
      </c>
      <c r="F7" s="13" t="s">
        <v>32</v>
      </c>
      <c r="G7" s="13" t="s">
        <v>109</v>
      </c>
      <c r="H7" s="13" t="s">
        <v>60</v>
      </c>
      <c r="I7" s="13" t="s">
        <v>62</v>
      </c>
      <c r="J7" s="13" t="s">
        <v>111</v>
      </c>
      <c r="K7" s="13" t="s">
        <v>32</v>
      </c>
      <c r="L7" s="121">
        <f>Hist_Year</f>
        <v>43281</v>
      </c>
      <c r="M7" s="121">
        <f>EOMONTH(Hist_Year,12)</f>
        <v>43646</v>
      </c>
      <c r="N7" s="121">
        <f>EOMONTH(M7,12)</f>
        <v>44012</v>
      </c>
      <c r="O7" s="121">
        <f>$L$7</f>
        <v>43281</v>
      </c>
      <c r="P7" s="121">
        <f>+$M$7</f>
        <v>43646</v>
      </c>
      <c r="Q7" s="121">
        <f>+$N$7</f>
        <v>44012</v>
      </c>
      <c r="R7" s="121">
        <f>$L$7</f>
        <v>43281</v>
      </c>
      <c r="S7" s="121">
        <f>+$M$7</f>
        <v>43646</v>
      </c>
      <c r="T7" s="121">
        <f>+$N$7</f>
        <v>44012</v>
      </c>
      <c r="U7" s="13" t="s">
        <v>36</v>
      </c>
      <c r="V7" s="13" t="s">
        <v>36</v>
      </c>
      <c r="W7" s="121">
        <f>$L$7</f>
        <v>43281</v>
      </c>
      <c r="X7" s="121">
        <f>+$M$7</f>
        <v>43646</v>
      </c>
      <c r="Y7" s="121">
        <f>+$N$7</f>
        <v>44012</v>
      </c>
    </row>
    <row r="8" spans="1:25" ht="15.5" x14ac:dyDescent="0.35">
      <c r="A8" s="1"/>
      <c r="B8" s="8" t="s">
        <v>212</v>
      </c>
      <c r="C8" s="8" t="s">
        <v>213</v>
      </c>
      <c r="D8" s="16">
        <v>1.56</v>
      </c>
      <c r="E8" s="17">
        <v>537.19455600000003</v>
      </c>
      <c r="F8" s="51">
        <f t="shared" ref="F8:F16" si="0">+D8*E8</f>
        <v>838.02350736000005</v>
      </c>
      <c r="G8" s="18">
        <v>-40.1</v>
      </c>
      <c r="H8" s="18">
        <v>71.5</v>
      </c>
      <c r="I8" s="18">
        <v>0</v>
      </c>
      <c r="J8" s="18">
        <v>0.2</v>
      </c>
      <c r="K8" s="51">
        <f t="shared" ref="K8:K16" si="1">+F8+G8+H8+I8+J8</f>
        <v>869.62350736000008</v>
      </c>
      <c r="L8" s="18">
        <v>703.2</v>
      </c>
      <c r="M8" s="18">
        <v>764.44</v>
      </c>
      <c r="N8" s="18">
        <v>848.91</v>
      </c>
      <c r="O8" s="18">
        <v>89.7</v>
      </c>
      <c r="P8" s="18">
        <v>106.92</v>
      </c>
      <c r="Q8" s="18">
        <v>117.14</v>
      </c>
      <c r="R8" s="18">
        <v>44</v>
      </c>
      <c r="S8" s="18">
        <v>55.4</v>
      </c>
      <c r="T8" s="18">
        <v>60.85</v>
      </c>
      <c r="U8" s="29">
        <f t="shared" ref="U8" si="2">IFERROR(+N8/M8-1,"N/A")</f>
        <v>0.11049918894877275</v>
      </c>
      <c r="V8" s="29">
        <f t="shared" ref="V8" si="3">IFERROR(+Q8/P8-1,"N/A")</f>
        <v>9.5585484474373317E-2</v>
      </c>
      <c r="W8" s="29">
        <f t="shared" ref="W8:Y8" si="4">O8/L8</f>
        <v>0.12755972696245732</v>
      </c>
      <c r="X8" s="29">
        <f t="shared" si="4"/>
        <v>0.13986709225053634</v>
      </c>
      <c r="Y8" s="29">
        <f t="shared" si="4"/>
        <v>0.13798871494033527</v>
      </c>
    </row>
    <row r="9" spans="1:25" ht="15.5" x14ac:dyDescent="0.35">
      <c r="A9" s="1"/>
      <c r="B9" s="8" t="s">
        <v>217</v>
      </c>
      <c r="C9" s="8" t="s">
        <v>218</v>
      </c>
      <c r="D9" s="19">
        <v>1.48</v>
      </c>
      <c r="E9" s="17">
        <v>161.47778700000001</v>
      </c>
      <c r="F9" s="55">
        <f t="shared" si="0"/>
        <v>238.98712476</v>
      </c>
      <c r="G9" s="17">
        <v>-27.1</v>
      </c>
      <c r="H9" s="17">
        <v>9.8000000000000007</v>
      </c>
      <c r="I9" s="17">
        <v>0</v>
      </c>
      <c r="J9" s="17">
        <v>0</v>
      </c>
      <c r="K9" s="55">
        <f t="shared" si="1"/>
        <v>221.68712476000002</v>
      </c>
      <c r="L9" s="17">
        <v>684.5</v>
      </c>
      <c r="M9" s="17">
        <v>724</v>
      </c>
      <c r="N9" s="17">
        <v>743.65</v>
      </c>
      <c r="O9" s="17">
        <v>27.7</v>
      </c>
      <c r="P9" s="17">
        <v>47.15</v>
      </c>
      <c r="Q9" s="17">
        <v>47.55</v>
      </c>
      <c r="R9" s="17">
        <v>22</v>
      </c>
      <c r="S9" s="17">
        <v>25.3</v>
      </c>
      <c r="T9" s="17">
        <v>25.25</v>
      </c>
      <c r="U9" s="29">
        <f t="shared" ref="U9" si="5">IFERROR(+N9/M9-1,"N/A")</f>
        <v>2.7140883977900598E-2</v>
      </c>
      <c r="V9" s="29">
        <f t="shared" ref="V9" si="6">IFERROR(+Q9/P9-1,"N/A")</f>
        <v>8.4835630965005571E-3</v>
      </c>
      <c r="W9" s="29">
        <f t="shared" ref="W9" si="7">O9/L9</f>
        <v>4.0467494521548575E-2</v>
      </c>
      <c r="X9" s="29">
        <f t="shared" ref="X9" si="8">P9/M9</f>
        <v>6.5124309392265198E-2</v>
      </c>
      <c r="Y9" s="29">
        <f t="shared" ref="Y9" si="9">Q9/N9</f>
        <v>6.3941370268271361E-2</v>
      </c>
    </row>
    <row r="10" spans="1:25" ht="15.5" x14ac:dyDescent="0.35">
      <c r="A10" s="1"/>
      <c r="B10" s="8" t="s">
        <v>214</v>
      </c>
      <c r="C10" s="8" t="s">
        <v>215</v>
      </c>
      <c r="D10" s="19">
        <v>3.05</v>
      </c>
      <c r="E10" s="17">
        <v>96.914778999999996</v>
      </c>
      <c r="F10" s="55">
        <f t="shared" si="0"/>
        <v>295.59007594999997</v>
      </c>
      <c r="G10" s="17">
        <v>-64.7</v>
      </c>
      <c r="H10" s="17">
        <v>22</v>
      </c>
      <c r="I10" s="17">
        <v>0</v>
      </c>
      <c r="J10" s="17">
        <v>0</v>
      </c>
      <c r="K10" s="55">
        <f t="shared" si="1"/>
        <v>252.89007594999998</v>
      </c>
      <c r="L10" s="17">
        <v>364.2</v>
      </c>
      <c r="M10" s="17">
        <v>894.17</v>
      </c>
      <c r="N10" s="17">
        <v>921.15</v>
      </c>
      <c r="O10" s="17">
        <v>36.799999999999997</v>
      </c>
      <c r="P10" s="17">
        <v>45.95</v>
      </c>
      <c r="Q10" s="17">
        <v>79.91</v>
      </c>
      <c r="R10" s="17">
        <v>17.3</v>
      </c>
      <c r="S10" s="17">
        <v>16.440000000000001</v>
      </c>
      <c r="T10" s="17">
        <v>38.92</v>
      </c>
      <c r="U10" s="29">
        <f t="shared" ref="U10" si="10">IFERROR(+N10/M10-1,"N/A")</f>
        <v>3.0173233277788425E-2</v>
      </c>
      <c r="V10" s="29">
        <f t="shared" ref="V10" si="11">IFERROR(+Q10/P10-1,"N/A")</f>
        <v>0.73906420021762775</v>
      </c>
      <c r="W10" s="29">
        <f t="shared" ref="W10" si="12">O10/L10</f>
        <v>0.10104338275672707</v>
      </c>
      <c r="X10" s="29">
        <f t="shared" ref="X10" si="13">P10/M10</f>
        <v>5.1388438440117659E-2</v>
      </c>
      <c r="Y10" s="29">
        <f t="shared" ref="Y10" si="14">Q10/N10</f>
        <v>8.675025782988656E-2</v>
      </c>
    </row>
    <row r="11" spans="1:25" ht="15.5" x14ac:dyDescent="0.35">
      <c r="A11" s="1"/>
      <c r="B11" s="8" t="s">
        <v>183</v>
      </c>
      <c r="C11" s="8" t="s">
        <v>182</v>
      </c>
      <c r="D11" s="19">
        <v>1.79</v>
      </c>
      <c r="E11" s="17">
        <v>165.875</v>
      </c>
      <c r="F11" s="55">
        <f t="shared" si="0"/>
        <v>296.91624999999999</v>
      </c>
      <c r="G11" s="17">
        <v>-14.8</v>
      </c>
      <c r="H11" s="17">
        <v>25</v>
      </c>
      <c r="I11" s="17">
        <v>0</v>
      </c>
      <c r="J11" s="17">
        <v>0</v>
      </c>
      <c r="K11" s="55">
        <f t="shared" si="1"/>
        <v>307.11624999999998</v>
      </c>
      <c r="L11" s="17">
        <v>314.8</v>
      </c>
      <c r="M11" s="17">
        <v>349.38</v>
      </c>
      <c r="N11" s="17">
        <v>380.1</v>
      </c>
      <c r="O11" s="17">
        <v>51</v>
      </c>
      <c r="P11" s="17">
        <v>54.92</v>
      </c>
      <c r="Q11" s="17">
        <v>59.62</v>
      </c>
      <c r="R11" s="17">
        <v>30.6</v>
      </c>
      <c r="S11" s="17">
        <v>32.880000000000003</v>
      </c>
      <c r="T11" s="17">
        <v>35.54</v>
      </c>
      <c r="U11" s="29">
        <f t="shared" ref="U11:U16" si="15">IFERROR(+N11/M11-1,"N/A")</f>
        <v>8.7927185299673694E-2</v>
      </c>
      <c r="V11" s="29">
        <f t="shared" ref="V11:V16" si="16">IFERROR(+Q11/P11-1,"N/A")</f>
        <v>8.5579024034959872E-2</v>
      </c>
      <c r="W11" s="29">
        <f t="shared" ref="W11:W16" si="17">O11/L11</f>
        <v>0.16200762388818296</v>
      </c>
      <c r="X11" s="29">
        <f t="shared" ref="X11:X16" si="18">P11/M11</f>
        <v>0.15719274142767189</v>
      </c>
      <c r="Y11" s="29">
        <f t="shared" ref="Y11:Y16" si="19">Q11/N11</f>
        <v>0.15685345961589053</v>
      </c>
    </row>
    <row r="12" spans="1:25" ht="15.5" x14ac:dyDescent="0.35">
      <c r="A12" s="1"/>
      <c r="B12" s="8" t="s">
        <v>184</v>
      </c>
      <c r="C12" s="8" t="s">
        <v>185</v>
      </c>
      <c r="D12" s="19">
        <v>2.33</v>
      </c>
      <c r="E12" s="17">
        <v>126.441237</v>
      </c>
      <c r="F12" s="55">
        <f t="shared" si="0"/>
        <v>294.60808221000002</v>
      </c>
      <c r="G12" s="17">
        <v>-6.5</v>
      </c>
      <c r="H12" s="17">
        <v>13</v>
      </c>
      <c r="I12" s="17">
        <v>0</v>
      </c>
      <c r="J12" s="17">
        <v>0</v>
      </c>
      <c r="K12" s="55">
        <f t="shared" si="1"/>
        <v>301.10808221000002</v>
      </c>
      <c r="L12" s="17">
        <v>303.10000000000002</v>
      </c>
      <c r="M12" s="17">
        <v>356.7</v>
      </c>
      <c r="N12" s="17">
        <v>406.02</v>
      </c>
      <c r="O12" s="17">
        <v>17.100000000000001</v>
      </c>
      <c r="P12" s="17">
        <v>26.18</v>
      </c>
      <c r="Q12" s="17">
        <v>33.06</v>
      </c>
      <c r="R12" s="17">
        <v>8.6999999999999993</v>
      </c>
      <c r="S12" s="17">
        <v>14.05</v>
      </c>
      <c r="T12" s="17">
        <v>18.149999999999999</v>
      </c>
      <c r="U12" s="29">
        <f t="shared" si="15"/>
        <v>0.13826745164003373</v>
      </c>
      <c r="V12" s="29">
        <f t="shared" si="16"/>
        <v>0.26279602750190989</v>
      </c>
      <c r="W12" s="29">
        <f t="shared" si="17"/>
        <v>5.6417024084460574E-2</v>
      </c>
      <c r="X12" s="29">
        <f t="shared" si="18"/>
        <v>7.3395009812167095E-2</v>
      </c>
      <c r="Y12" s="29">
        <f t="shared" si="19"/>
        <v>8.1424560366484419E-2</v>
      </c>
    </row>
    <row r="13" spans="1:25" ht="15.5" x14ac:dyDescent="0.35">
      <c r="A13" s="1"/>
      <c r="B13" s="8" t="s">
        <v>219</v>
      </c>
      <c r="C13" s="8" t="s">
        <v>220</v>
      </c>
      <c r="D13" s="19">
        <v>1.72</v>
      </c>
      <c r="E13" s="17">
        <v>61.706710000000001</v>
      </c>
      <c r="F13" s="55">
        <f t="shared" si="0"/>
        <v>106.13554120000001</v>
      </c>
      <c r="G13" s="17">
        <v>-5.0999999999999996</v>
      </c>
      <c r="H13" s="17">
        <v>78.8</v>
      </c>
      <c r="I13" s="17">
        <v>0</v>
      </c>
      <c r="J13" s="17">
        <v>0</v>
      </c>
      <c r="K13" s="55">
        <f t="shared" si="1"/>
        <v>179.83554120000002</v>
      </c>
      <c r="L13" s="17">
        <v>302.39999999999998</v>
      </c>
      <c r="M13" s="17">
        <v>333.45</v>
      </c>
      <c r="N13" s="17">
        <v>344.47</v>
      </c>
      <c r="O13" s="17">
        <v>20.399999999999999</v>
      </c>
      <c r="P13" s="17">
        <v>19.989999999999998</v>
      </c>
      <c r="Q13" s="17">
        <v>22.62</v>
      </c>
      <c r="R13" s="17">
        <v>9.1</v>
      </c>
      <c r="S13" s="17">
        <v>10.050000000000001</v>
      </c>
      <c r="T13" s="17">
        <v>11.67</v>
      </c>
      <c r="U13" s="29">
        <f t="shared" si="15"/>
        <v>3.3048433048433079E-2</v>
      </c>
      <c r="V13" s="29">
        <f t="shared" si="16"/>
        <v>0.13156578289144583</v>
      </c>
      <c r="W13" s="29">
        <f t="shared" si="17"/>
        <v>6.7460317460317457E-2</v>
      </c>
      <c r="X13" s="29">
        <f t="shared" si="18"/>
        <v>5.9949017843754684E-2</v>
      </c>
      <c r="Y13" s="29">
        <f t="shared" si="19"/>
        <v>6.5666095741283709E-2</v>
      </c>
    </row>
    <row r="14" spans="1:25" ht="15.5" x14ac:dyDescent="0.35">
      <c r="A14" s="1"/>
      <c r="B14" s="8" t="s">
        <v>221</v>
      </c>
      <c r="C14" s="8" t="s">
        <v>222</v>
      </c>
      <c r="D14" s="19">
        <v>5.9</v>
      </c>
      <c r="E14" s="17">
        <v>81</v>
      </c>
      <c r="F14" s="55">
        <f t="shared" si="0"/>
        <v>477.90000000000003</v>
      </c>
      <c r="G14" s="17">
        <v>-38.200000000000003</v>
      </c>
      <c r="H14" s="17">
        <v>33.700000000000003</v>
      </c>
      <c r="I14" s="17">
        <v>0</v>
      </c>
      <c r="J14" s="17">
        <v>0</v>
      </c>
      <c r="K14" s="55">
        <f t="shared" si="1"/>
        <v>473.40000000000003</v>
      </c>
      <c r="L14" s="17">
        <v>250.8</v>
      </c>
      <c r="M14" s="17">
        <v>272</v>
      </c>
      <c r="N14" s="17">
        <v>290.02999999999997</v>
      </c>
      <c r="O14" s="17">
        <v>61.6</v>
      </c>
      <c r="P14" s="17">
        <v>67.37</v>
      </c>
      <c r="Q14" s="17">
        <v>70.819999999999993</v>
      </c>
      <c r="R14" s="17">
        <v>41</v>
      </c>
      <c r="S14" s="17">
        <v>45.85</v>
      </c>
      <c r="T14" s="17">
        <v>48.03</v>
      </c>
      <c r="U14" s="29">
        <f t="shared" si="15"/>
        <v>6.628676470588224E-2</v>
      </c>
      <c r="V14" s="29">
        <f t="shared" si="16"/>
        <v>5.1209737271782574E-2</v>
      </c>
      <c r="W14" s="29">
        <f t="shared" si="17"/>
        <v>0.24561403508771928</v>
      </c>
      <c r="X14" s="29">
        <f t="shared" si="18"/>
        <v>0.24768382352941179</v>
      </c>
      <c r="Y14" s="29">
        <f t="shared" si="19"/>
        <v>0.2441816363824432</v>
      </c>
    </row>
    <row r="15" spans="1:25" ht="15.5" x14ac:dyDescent="0.35">
      <c r="A15" s="1"/>
      <c r="B15" s="260" t="s">
        <v>187</v>
      </c>
      <c r="C15" s="8" t="s">
        <v>188</v>
      </c>
      <c r="D15" s="19">
        <v>1.1599999999999999</v>
      </c>
      <c r="E15" s="17">
        <v>217.93680800000001</v>
      </c>
      <c r="F15" s="55">
        <f t="shared" si="0"/>
        <v>252.80669728000001</v>
      </c>
      <c r="G15" s="17">
        <v>-23.1</v>
      </c>
      <c r="H15" s="17">
        <v>33.4</v>
      </c>
      <c r="I15" s="17">
        <v>0</v>
      </c>
      <c r="J15" s="17">
        <v>0</v>
      </c>
      <c r="K15" s="55">
        <f t="shared" si="1"/>
        <v>263.10669727999999</v>
      </c>
      <c r="L15" s="17">
        <v>237.7</v>
      </c>
      <c r="M15" s="17">
        <v>244.85</v>
      </c>
      <c r="N15" s="17">
        <v>271.86</v>
      </c>
      <c r="O15" s="17">
        <v>33.1</v>
      </c>
      <c r="P15" s="17">
        <v>34.17</v>
      </c>
      <c r="Q15" s="17">
        <v>38.07</v>
      </c>
      <c r="R15" s="17">
        <v>19.600000000000001</v>
      </c>
      <c r="S15" s="17">
        <v>19.53</v>
      </c>
      <c r="T15" s="17">
        <v>21.77</v>
      </c>
      <c r="U15" s="29">
        <f t="shared" si="15"/>
        <v>0.11031243618541975</v>
      </c>
      <c r="V15" s="29">
        <f t="shared" si="16"/>
        <v>0.11413520632133456</v>
      </c>
      <c r="W15" s="29">
        <f t="shared" si="17"/>
        <v>0.13925115692048803</v>
      </c>
      <c r="X15" s="29">
        <f t="shared" si="18"/>
        <v>0.1395548294874413</v>
      </c>
      <c r="Y15" s="29">
        <f t="shared" si="19"/>
        <v>0.14003531229309202</v>
      </c>
    </row>
    <row r="16" spans="1:25" ht="15.5" x14ac:dyDescent="0.35">
      <c r="A16" s="1"/>
      <c r="B16" s="8" t="s">
        <v>216</v>
      </c>
      <c r="C16" s="8" t="s">
        <v>186</v>
      </c>
      <c r="D16" s="19">
        <v>9.41</v>
      </c>
      <c r="E16" s="17">
        <v>105.566</v>
      </c>
      <c r="F16" s="55">
        <f t="shared" si="0"/>
        <v>993.37606000000005</v>
      </c>
      <c r="G16" s="17">
        <v>-32.299999999999997</v>
      </c>
      <c r="H16" s="17">
        <v>0</v>
      </c>
      <c r="I16" s="17">
        <v>0</v>
      </c>
      <c r="J16" s="17">
        <v>0</v>
      </c>
      <c r="K16" s="55">
        <f t="shared" si="1"/>
        <v>961.0760600000001</v>
      </c>
      <c r="L16" s="17">
        <v>217</v>
      </c>
      <c r="M16" s="17">
        <v>245.66</v>
      </c>
      <c r="N16" s="17">
        <v>295.23</v>
      </c>
      <c r="O16" s="17">
        <v>58.6</v>
      </c>
      <c r="P16" s="17">
        <v>60.58</v>
      </c>
      <c r="Q16" s="17">
        <v>71.22</v>
      </c>
      <c r="R16" s="17">
        <v>36</v>
      </c>
      <c r="S16" s="17">
        <v>36.380000000000003</v>
      </c>
      <c r="T16" s="17">
        <v>42.36</v>
      </c>
      <c r="U16" s="29">
        <f t="shared" si="15"/>
        <v>0.20178295204754537</v>
      </c>
      <c r="V16" s="29">
        <f t="shared" si="16"/>
        <v>0.1756355232750082</v>
      </c>
      <c r="W16" s="29">
        <f t="shared" si="17"/>
        <v>0.27004608294930876</v>
      </c>
      <c r="X16" s="29">
        <f t="shared" si="18"/>
        <v>0.24660099324269316</v>
      </c>
      <c r="Y16" s="29">
        <f t="shared" si="19"/>
        <v>0.24123564678386342</v>
      </c>
    </row>
    <row r="17" spans="1:25" ht="15.5" x14ac:dyDescent="0.35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5" x14ac:dyDescent="0.35">
      <c r="A18" s="1"/>
      <c r="B18" s="20" t="s">
        <v>45</v>
      </c>
      <c r="C18" s="21"/>
      <c r="D18" s="22">
        <f>MAX(D8:D16)</f>
        <v>9.41</v>
      </c>
      <c r="E18" s="22"/>
      <c r="F18" s="23">
        <f>MAX(F8:F16)</f>
        <v>993.37606000000005</v>
      </c>
      <c r="G18" s="23"/>
      <c r="H18" s="23"/>
      <c r="I18" s="23"/>
      <c r="J18" s="23"/>
      <c r="K18" s="23">
        <f t="shared" ref="K18:Y18" si="20">MAX(K8:K16)</f>
        <v>961.0760600000001</v>
      </c>
      <c r="L18" s="23">
        <f t="shared" si="20"/>
        <v>703.2</v>
      </c>
      <c r="M18" s="23">
        <f t="shared" si="20"/>
        <v>894.17</v>
      </c>
      <c r="N18" s="23">
        <f t="shared" si="20"/>
        <v>921.15</v>
      </c>
      <c r="O18" s="23">
        <f t="shared" si="20"/>
        <v>89.7</v>
      </c>
      <c r="P18" s="23">
        <f t="shared" si="20"/>
        <v>106.92</v>
      </c>
      <c r="Q18" s="23">
        <f t="shared" si="20"/>
        <v>117.14</v>
      </c>
      <c r="R18" s="23">
        <f t="shared" si="20"/>
        <v>44</v>
      </c>
      <c r="S18" s="23">
        <f t="shared" si="20"/>
        <v>55.4</v>
      </c>
      <c r="T18" s="23">
        <f t="shared" si="20"/>
        <v>60.85</v>
      </c>
      <c r="U18" s="24">
        <f t="shared" si="20"/>
        <v>0.20178295204754537</v>
      </c>
      <c r="V18" s="24">
        <f t="shared" si="20"/>
        <v>0.73906420021762775</v>
      </c>
      <c r="W18" s="24">
        <f t="shared" si="20"/>
        <v>0.27004608294930876</v>
      </c>
      <c r="X18" s="24">
        <f t="shared" si="20"/>
        <v>0.24768382352941179</v>
      </c>
      <c r="Y18" s="25">
        <f t="shared" si="20"/>
        <v>0.2441816363824432</v>
      </c>
    </row>
    <row r="19" spans="1:25" ht="15.5" x14ac:dyDescent="0.35">
      <c r="A19" s="1"/>
      <c r="B19" s="26" t="s">
        <v>46</v>
      </c>
      <c r="C19" s="8"/>
      <c r="D19" s="27">
        <f>QUARTILE(D8:D16,3)</f>
        <v>3.05</v>
      </c>
      <c r="E19" s="27"/>
      <c r="F19" s="28">
        <f>QUARTILE(F8:F16,3)</f>
        <v>477.90000000000003</v>
      </c>
      <c r="G19" s="28"/>
      <c r="H19" s="28"/>
      <c r="I19" s="28"/>
      <c r="J19" s="28"/>
      <c r="K19" s="28">
        <f t="shared" ref="K19:Y19" si="21">QUARTILE(K8:K16,3)</f>
        <v>473.40000000000003</v>
      </c>
      <c r="L19" s="28">
        <f t="shared" si="21"/>
        <v>364.2</v>
      </c>
      <c r="M19" s="28">
        <f t="shared" si="21"/>
        <v>724</v>
      </c>
      <c r="N19" s="28">
        <f t="shared" si="21"/>
        <v>743.65</v>
      </c>
      <c r="O19" s="28">
        <f t="shared" si="21"/>
        <v>58.6</v>
      </c>
      <c r="P19" s="28">
        <f t="shared" si="21"/>
        <v>60.58</v>
      </c>
      <c r="Q19" s="28">
        <f t="shared" si="21"/>
        <v>71.22</v>
      </c>
      <c r="R19" s="28">
        <f t="shared" si="21"/>
        <v>36</v>
      </c>
      <c r="S19" s="28">
        <f t="shared" si="21"/>
        <v>36.380000000000003</v>
      </c>
      <c r="T19" s="28">
        <f t="shared" si="21"/>
        <v>42.36</v>
      </c>
      <c r="U19" s="29">
        <f t="shared" si="21"/>
        <v>0.11049918894877275</v>
      </c>
      <c r="V19" s="29">
        <f t="shared" si="21"/>
        <v>0.1756355232750082</v>
      </c>
      <c r="W19" s="29">
        <f t="shared" si="21"/>
        <v>0.16200762388818296</v>
      </c>
      <c r="X19" s="29">
        <f t="shared" si="21"/>
        <v>0.15719274142767189</v>
      </c>
      <c r="Y19" s="30">
        <f t="shared" si="21"/>
        <v>0.15685345961589053</v>
      </c>
    </row>
    <row r="20" spans="1:25" ht="15.5" x14ac:dyDescent="0.35">
      <c r="A20" s="1"/>
      <c r="B20" s="31" t="s">
        <v>47</v>
      </c>
      <c r="C20" s="32"/>
      <c r="D20" s="33">
        <f>MEDIAN(D8:D16)</f>
        <v>1.79</v>
      </c>
      <c r="E20" s="33"/>
      <c r="F20" s="34">
        <f>MEDIAN(F8:F16)</f>
        <v>295.59007594999997</v>
      </c>
      <c r="G20" s="34"/>
      <c r="H20" s="34"/>
      <c r="I20" s="34"/>
      <c r="J20" s="34"/>
      <c r="K20" s="34">
        <f t="shared" ref="K20:Y20" si="22">MEDIAN(K8:K16)</f>
        <v>301.10808221000002</v>
      </c>
      <c r="L20" s="34">
        <f t="shared" si="22"/>
        <v>303.10000000000002</v>
      </c>
      <c r="M20" s="34">
        <f t="shared" si="22"/>
        <v>349.38</v>
      </c>
      <c r="N20" s="34">
        <f t="shared" si="22"/>
        <v>380.1</v>
      </c>
      <c r="O20" s="34">
        <f t="shared" si="22"/>
        <v>36.799999999999997</v>
      </c>
      <c r="P20" s="34">
        <f t="shared" si="22"/>
        <v>47.15</v>
      </c>
      <c r="Q20" s="34">
        <f t="shared" si="22"/>
        <v>59.62</v>
      </c>
      <c r="R20" s="34">
        <f t="shared" si="22"/>
        <v>22</v>
      </c>
      <c r="S20" s="34">
        <f t="shared" si="22"/>
        <v>25.3</v>
      </c>
      <c r="T20" s="34">
        <f t="shared" si="22"/>
        <v>35.54</v>
      </c>
      <c r="U20" s="35">
        <f t="shared" si="22"/>
        <v>8.7927185299673694E-2</v>
      </c>
      <c r="V20" s="35">
        <f t="shared" si="22"/>
        <v>0.11413520632133456</v>
      </c>
      <c r="W20" s="35">
        <f t="shared" si="22"/>
        <v>0.12755972696245732</v>
      </c>
      <c r="X20" s="35">
        <f t="shared" si="22"/>
        <v>0.1395548294874413</v>
      </c>
      <c r="Y20" s="36">
        <f t="shared" si="22"/>
        <v>0.13798871494033527</v>
      </c>
    </row>
    <row r="21" spans="1:25" ht="15.5" x14ac:dyDescent="0.35">
      <c r="A21" s="1"/>
      <c r="B21" s="26" t="s">
        <v>48</v>
      </c>
      <c r="C21" s="37"/>
      <c r="D21" s="27">
        <f>QUARTILE(D8:D16,1)</f>
        <v>1.56</v>
      </c>
      <c r="E21" s="27"/>
      <c r="F21" s="28">
        <f>QUARTILE(F8:F16,1)</f>
        <v>252.80669728000001</v>
      </c>
      <c r="G21" s="28"/>
      <c r="H21" s="28"/>
      <c r="I21" s="28"/>
      <c r="J21" s="28"/>
      <c r="K21" s="28">
        <f t="shared" ref="K21:Y21" si="23">QUARTILE(K8:K16,1)</f>
        <v>252.89007594999998</v>
      </c>
      <c r="L21" s="28">
        <f t="shared" si="23"/>
        <v>250.8</v>
      </c>
      <c r="M21" s="28">
        <f t="shared" si="23"/>
        <v>272</v>
      </c>
      <c r="N21" s="28">
        <f t="shared" si="23"/>
        <v>295.23</v>
      </c>
      <c r="O21" s="28">
        <f t="shared" si="23"/>
        <v>27.7</v>
      </c>
      <c r="P21" s="28">
        <f t="shared" si="23"/>
        <v>34.17</v>
      </c>
      <c r="Q21" s="28">
        <f t="shared" si="23"/>
        <v>38.07</v>
      </c>
      <c r="R21" s="28">
        <f t="shared" si="23"/>
        <v>17.3</v>
      </c>
      <c r="S21" s="28">
        <f t="shared" si="23"/>
        <v>16.440000000000001</v>
      </c>
      <c r="T21" s="28">
        <f t="shared" si="23"/>
        <v>21.77</v>
      </c>
      <c r="U21" s="29">
        <f t="shared" si="23"/>
        <v>3.3048433048433079E-2</v>
      </c>
      <c r="V21" s="29">
        <f t="shared" si="23"/>
        <v>8.5579024034959872E-2</v>
      </c>
      <c r="W21" s="29">
        <f t="shared" si="23"/>
        <v>6.7460317460317457E-2</v>
      </c>
      <c r="X21" s="29">
        <f t="shared" si="23"/>
        <v>6.5124309392265198E-2</v>
      </c>
      <c r="Y21" s="30">
        <f t="shared" si="23"/>
        <v>8.1424560366484419E-2</v>
      </c>
    </row>
    <row r="22" spans="1:25" ht="15.5" x14ac:dyDescent="0.35">
      <c r="A22" s="1"/>
      <c r="B22" s="38" t="s">
        <v>49</v>
      </c>
      <c r="C22" s="39"/>
      <c r="D22" s="40">
        <f>MIN(D8:D16)</f>
        <v>1.1599999999999999</v>
      </c>
      <c r="E22" s="40"/>
      <c r="F22" s="41">
        <f>MIN(F8:F16)</f>
        <v>106.13554120000001</v>
      </c>
      <c r="G22" s="41"/>
      <c r="H22" s="41"/>
      <c r="I22" s="41"/>
      <c r="J22" s="41"/>
      <c r="K22" s="41">
        <f t="shared" ref="K22:Y22" si="24">MIN(K8:K16)</f>
        <v>179.83554120000002</v>
      </c>
      <c r="L22" s="41">
        <f t="shared" si="24"/>
        <v>217</v>
      </c>
      <c r="M22" s="41">
        <f t="shared" si="24"/>
        <v>244.85</v>
      </c>
      <c r="N22" s="41">
        <f t="shared" si="24"/>
        <v>271.86</v>
      </c>
      <c r="O22" s="41">
        <f t="shared" si="24"/>
        <v>17.100000000000001</v>
      </c>
      <c r="P22" s="41">
        <f t="shared" si="24"/>
        <v>19.989999999999998</v>
      </c>
      <c r="Q22" s="41">
        <f t="shared" si="24"/>
        <v>22.62</v>
      </c>
      <c r="R22" s="41">
        <f t="shared" si="24"/>
        <v>8.6999999999999993</v>
      </c>
      <c r="S22" s="41">
        <f t="shared" si="24"/>
        <v>10.050000000000001</v>
      </c>
      <c r="T22" s="41">
        <f t="shared" si="24"/>
        <v>11.67</v>
      </c>
      <c r="U22" s="42">
        <f t="shared" si="24"/>
        <v>2.7140883977900598E-2</v>
      </c>
      <c r="V22" s="42">
        <f t="shared" si="24"/>
        <v>8.4835630965005571E-3</v>
      </c>
      <c r="W22" s="42">
        <f t="shared" si="24"/>
        <v>4.0467494521548575E-2</v>
      </c>
      <c r="X22" s="42">
        <f t="shared" si="24"/>
        <v>5.1388438440117659E-2</v>
      </c>
      <c r="Y22" s="43">
        <f t="shared" si="24"/>
        <v>6.3941370268271361E-2</v>
      </c>
    </row>
    <row r="23" spans="1:25" ht="15.5" x14ac:dyDescent="0.35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5" x14ac:dyDescent="0.35">
      <c r="A24" s="1"/>
      <c r="B24" s="44" t="str">
        <f>Company_Name</f>
        <v>Michael Hill International Limited</v>
      </c>
      <c r="C24" s="45" t="str">
        <f>Ticker</f>
        <v>ASX:MHJ</v>
      </c>
      <c r="D24" s="46">
        <f>Share_Price</f>
        <v>0.68</v>
      </c>
      <c r="E24" s="47">
        <f>DIluted_Shares</f>
        <v>387.82082373291263</v>
      </c>
      <c r="F24" s="48">
        <f>Equity_Value</f>
        <v>263.7181601383806</v>
      </c>
      <c r="G24" s="48">
        <f>+'MHJ-DCF'!F18+'MHJ-DCF'!F19</f>
        <v>-7.22</v>
      </c>
      <c r="H24" s="48">
        <f>+'MHJ-DCF'!F20</f>
        <v>35.213000000000001</v>
      </c>
      <c r="I24" s="48">
        <v>0</v>
      </c>
      <c r="J24" s="48">
        <f>+'MHJ-DCF'!F21</f>
        <v>0</v>
      </c>
      <c r="K24" s="48">
        <f>Enterprise_Value</f>
        <v>291.71116013838059</v>
      </c>
      <c r="L24" s="48">
        <f>'MHJ-DCF'!I94</f>
        <v>575.54877738251264</v>
      </c>
      <c r="M24" s="48">
        <f>'MHJ-DCF'!J94</f>
        <v>580.28465209087562</v>
      </c>
      <c r="N24" s="48">
        <f>'MHJ-DCF'!K94</f>
        <v>587.86937499898931</v>
      </c>
      <c r="O24" s="48">
        <f>'MHJ-DCF'!I132</f>
        <v>68.840999999999994</v>
      </c>
      <c r="P24" s="48">
        <f>'MHJ-DCF'!J132</f>
        <v>73.329069177316782</v>
      </c>
      <c r="Q24" s="48">
        <f>'MHJ-DCF'!K132</f>
        <v>72.970357520788767</v>
      </c>
      <c r="R24" s="48">
        <f>+'MHJ-DCF'!I135</f>
        <v>34.817999999999998</v>
      </c>
      <c r="S24" s="48">
        <f>+'MHJ-DCF'!J135</f>
        <v>35.664940988757877</v>
      </c>
      <c r="T24" s="48">
        <f>+'MHJ-DCF'!K135</f>
        <v>36.283135889545058</v>
      </c>
      <c r="U24" s="73">
        <f>IFERROR(+N24/M24-1,"N/A")</f>
        <v>1.307069363420954E-2</v>
      </c>
      <c r="V24" s="73">
        <f>IFERROR(+Q24/P24-1,"N/A")</f>
        <v>-4.8918070357693022E-3</v>
      </c>
      <c r="W24" s="73">
        <f>O24/L24</f>
        <v>0.11960932366684174</v>
      </c>
      <c r="X24" s="73">
        <f>P24/M24</f>
        <v>0.12636741108540134</v>
      </c>
      <c r="Y24" s="73">
        <f>Q24/N24</f>
        <v>0.12412682242703019</v>
      </c>
    </row>
    <row r="25" spans="1:25" ht="15.5" x14ac:dyDescent="0.35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5" x14ac:dyDescent="0.35">
      <c r="A26" s="1"/>
      <c r="B26" s="53" t="s">
        <v>108</v>
      </c>
      <c r="C26" s="53"/>
      <c r="D26" s="53"/>
      <c r="E26" s="53"/>
      <c r="F26" s="11" t="s">
        <v>25</v>
      </c>
      <c r="G26" s="11"/>
      <c r="H26" s="11"/>
      <c r="I26" s="11"/>
      <c r="J26" s="11"/>
      <c r="K26" s="14"/>
      <c r="L26" s="11" t="s">
        <v>38</v>
      </c>
      <c r="M26" s="14"/>
      <c r="N26" s="14"/>
      <c r="O26" s="11" t="s">
        <v>38</v>
      </c>
      <c r="P26" s="14"/>
      <c r="Q26" s="14"/>
      <c r="R26" s="9"/>
      <c r="S26" s="9"/>
      <c r="T26" s="9"/>
      <c r="U26" s="8"/>
      <c r="V26" s="8"/>
      <c r="W26" s="8"/>
      <c r="X26" s="8"/>
      <c r="Y26" s="8"/>
    </row>
    <row r="27" spans="1:25" ht="15.5" x14ac:dyDescent="0.35">
      <c r="A27" s="1"/>
      <c r="B27" s="9"/>
      <c r="C27" s="9"/>
      <c r="D27" s="10"/>
      <c r="E27" s="10"/>
      <c r="F27" s="10" t="s">
        <v>27</v>
      </c>
      <c r="G27" s="10"/>
      <c r="H27" s="10"/>
      <c r="I27" s="10"/>
      <c r="J27" s="10"/>
      <c r="K27" s="10" t="s">
        <v>28</v>
      </c>
      <c r="L27" s="11" t="s">
        <v>34</v>
      </c>
      <c r="M27" s="14"/>
      <c r="N27" s="14"/>
      <c r="O27" s="11" t="s">
        <v>35</v>
      </c>
      <c r="P27" s="15"/>
      <c r="Q27" s="15"/>
      <c r="R27" s="11" t="s">
        <v>112</v>
      </c>
      <c r="S27" s="11"/>
      <c r="T27" s="11"/>
      <c r="U27" s="108"/>
      <c r="V27" s="108"/>
      <c r="W27" s="108"/>
      <c r="X27" s="108"/>
      <c r="Y27" s="8"/>
    </row>
    <row r="28" spans="1:25" ht="15.5" x14ac:dyDescent="0.35">
      <c r="A28" s="1"/>
      <c r="B28" s="12" t="s">
        <v>29</v>
      </c>
      <c r="C28" s="12"/>
      <c r="D28" s="13"/>
      <c r="E28" s="13"/>
      <c r="F28" s="13" t="s">
        <v>32</v>
      </c>
      <c r="G28" s="13"/>
      <c r="H28" s="13"/>
      <c r="I28" s="13"/>
      <c r="J28" s="13"/>
      <c r="K28" s="13" t="s">
        <v>32</v>
      </c>
      <c r="L28" s="121">
        <f>$L$7</f>
        <v>43281</v>
      </c>
      <c r="M28" s="121">
        <f>+$M$7</f>
        <v>43646</v>
      </c>
      <c r="N28" s="121">
        <f>+$N$7</f>
        <v>44012</v>
      </c>
      <c r="O28" s="121">
        <f>$L$7</f>
        <v>43281</v>
      </c>
      <c r="P28" s="121">
        <f>+$M$7</f>
        <v>43646</v>
      </c>
      <c r="Q28" s="121">
        <f>+$N$7</f>
        <v>44012</v>
      </c>
      <c r="R28" s="121">
        <f>$L$7</f>
        <v>43281</v>
      </c>
      <c r="S28" s="121">
        <f>+$M$7</f>
        <v>43646</v>
      </c>
      <c r="T28" s="121">
        <f>+$N$7</f>
        <v>44012</v>
      </c>
      <c r="U28" s="174"/>
      <c r="V28" s="174"/>
      <c r="W28" s="174"/>
      <c r="X28" s="174"/>
      <c r="Y28" s="8"/>
    </row>
    <row r="29" spans="1:25" ht="15.5" x14ac:dyDescent="0.35">
      <c r="A29" s="1"/>
      <c r="B29" s="8" t="str">
        <f t="shared" ref="B29:C34" si="25">+B8</f>
        <v>Accent Group Limited</v>
      </c>
      <c r="C29" s="8" t="str">
        <f t="shared" si="25"/>
        <v>ASX:AX1</v>
      </c>
      <c r="D29" s="16"/>
      <c r="E29" s="17"/>
      <c r="F29" s="51">
        <f t="shared" ref="F29:F34" si="26">+F8</f>
        <v>838.02350736000005</v>
      </c>
      <c r="G29" s="18"/>
      <c r="H29" s="18"/>
      <c r="I29" s="18"/>
      <c r="J29" s="18"/>
      <c r="K29" s="51">
        <f t="shared" ref="K29:K34" si="27">+K8</f>
        <v>869.62350736000008</v>
      </c>
      <c r="L29" s="54">
        <f t="shared" ref="L29:Q34" si="28">IFERROR(IF(OR(+$K8/L8&lt;0,+$K8/L8&gt;=100),"NM",+$K8/L8),"N/A")</f>
        <v>1.2366659660978385</v>
      </c>
      <c r="M29" s="54">
        <f t="shared" si="28"/>
        <v>1.1375955043692114</v>
      </c>
      <c r="N29" s="54">
        <f t="shared" si="28"/>
        <v>1.0244001217561345</v>
      </c>
      <c r="O29" s="54">
        <f t="shared" si="28"/>
        <v>9.6947994131549624</v>
      </c>
      <c r="P29" s="54">
        <f t="shared" si="28"/>
        <v>8.1334035480733267</v>
      </c>
      <c r="Q29" s="54">
        <f t="shared" si="28"/>
        <v>7.423796374935975</v>
      </c>
      <c r="R29" s="54">
        <f t="shared" ref="R29:T34" si="29">IFERROR(IF(OR(+$F8/R8&lt;0,+$F8/R8&gt;=100),"NM",+$F8/R8),"N/A")</f>
        <v>19.045988803636366</v>
      </c>
      <c r="S29" s="54">
        <f t="shared" si="29"/>
        <v>15.126778111191337</v>
      </c>
      <c r="T29" s="54">
        <f t="shared" si="29"/>
        <v>13.77195574954807</v>
      </c>
      <c r="U29" s="8"/>
      <c r="V29" s="8"/>
      <c r="W29" s="8"/>
      <c r="X29" s="8"/>
      <c r="Y29" s="8"/>
    </row>
    <row r="30" spans="1:25" ht="15.5" x14ac:dyDescent="0.35">
      <c r="A30" s="1"/>
      <c r="B30" s="8" t="str">
        <f t="shared" si="25"/>
        <v>Vita Group Limited</v>
      </c>
      <c r="C30" s="8" t="str">
        <f t="shared" si="25"/>
        <v>ASX:VTG</v>
      </c>
      <c r="D30" s="19"/>
      <c r="E30" s="17"/>
      <c r="F30" s="55">
        <f t="shared" si="26"/>
        <v>238.98712476</v>
      </c>
      <c r="G30" s="17"/>
      <c r="H30" s="17"/>
      <c r="I30" s="17"/>
      <c r="J30" s="17"/>
      <c r="K30" s="55">
        <f t="shared" si="27"/>
        <v>221.68712476000002</v>
      </c>
      <c r="L30" s="54">
        <f t="shared" si="28"/>
        <v>0.32386723850986121</v>
      </c>
      <c r="M30" s="54">
        <f t="shared" si="28"/>
        <v>0.30619768613259674</v>
      </c>
      <c r="N30" s="54">
        <f t="shared" si="28"/>
        <v>0.29810680395347278</v>
      </c>
      <c r="O30" s="54">
        <f t="shared" si="28"/>
        <v>8.003145298194946</v>
      </c>
      <c r="P30" s="54">
        <f t="shared" si="28"/>
        <v>4.7017417764581131</v>
      </c>
      <c r="Q30" s="54">
        <f t="shared" si="28"/>
        <v>4.6621897951629867</v>
      </c>
      <c r="R30" s="54">
        <f t="shared" si="29"/>
        <v>10.863051125454545</v>
      </c>
      <c r="S30" s="54">
        <f t="shared" si="29"/>
        <v>9.4461314134387351</v>
      </c>
      <c r="T30" s="54">
        <f t="shared" si="29"/>
        <v>9.4648366241584156</v>
      </c>
      <c r="U30" s="8"/>
      <c r="V30" s="8"/>
      <c r="W30" s="8"/>
      <c r="X30" s="8"/>
      <c r="Y30" s="8"/>
    </row>
    <row r="31" spans="1:25" ht="15.5" x14ac:dyDescent="0.35">
      <c r="A31" s="1"/>
      <c r="B31" s="8" t="str">
        <f t="shared" si="25"/>
        <v>Noni B Limited</v>
      </c>
      <c r="C31" s="8" t="str">
        <f t="shared" si="25"/>
        <v>ASX:NBL</v>
      </c>
      <c r="D31" s="19"/>
      <c r="E31" s="17"/>
      <c r="F31" s="55">
        <f t="shared" si="26"/>
        <v>295.59007594999997</v>
      </c>
      <c r="G31" s="17"/>
      <c r="H31" s="17"/>
      <c r="I31" s="17"/>
      <c r="J31" s="17"/>
      <c r="K31" s="55">
        <f t="shared" si="27"/>
        <v>252.89007594999998</v>
      </c>
      <c r="L31" s="54">
        <f t="shared" si="28"/>
        <v>0.69437143314113126</v>
      </c>
      <c r="M31" s="54">
        <f t="shared" si="28"/>
        <v>0.28282102502879763</v>
      </c>
      <c r="N31" s="54">
        <f t="shared" si="28"/>
        <v>0.27453734565488791</v>
      </c>
      <c r="O31" s="54">
        <f t="shared" si="28"/>
        <v>6.8720129334239131</v>
      </c>
      <c r="P31" s="54">
        <f t="shared" si="28"/>
        <v>5.5035925125136007</v>
      </c>
      <c r="Q31" s="54">
        <f t="shared" si="28"/>
        <v>3.1646862213740459</v>
      </c>
      <c r="R31" s="54">
        <f t="shared" si="29"/>
        <v>17.086131557803466</v>
      </c>
      <c r="S31" s="54">
        <f t="shared" si="29"/>
        <v>17.979931627128952</v>
      </c>
      <c r="T31" s="54">
        <f t="shared" si="29"/>
        <v>7.5948118178314479</v>
      </c>
      <c r="U31" s="8"/>
      <c r="V31" s="8"/>
      <c r="W31" s="8"/>
      <c r="X31" s="8"/>
      <c r="Y31" s="8"/>
    </row>
    <row r="32" spans="1:25" ht="15.5" x14ac:dyDescent="0.35">
      <c r="A32" s="1"/>
      <c r="B32" s="8" t="str">
        <f t="shared" si="25"/>
        <v>Adairs Limited</v>
      </c>
      <c r="C32" s="8" t="str">
        <f t="shared" si="25"/>
        <v>ASX:ADH</v>
      </c>
      <c r="D32" s="19"/>
      <c r="E32" s="17"/>
      <c r="F32" s="55">
        <f t="shared" si="26"/>
        <v>296.91624999999999</v>
      </c>
      <c r="G32" s="17"/>
      <c r="H32" s="17"/>
      <c r="I32" s="17"/>
      <c r="J32" s="17"/>
      <c r="K32" s="55">
        <f t="shared" si="27"/>
        <v>307.11624999999998</v>
      </c>
      <c r="L32" s="54">
        <f t="shared" si="28"/>
        <v>0.97559164548919941</v>
      </c>
      <c r="M32" s="54">
        <f t="shared" si="28"/>
        <v>0.87903214265269902</v>
      </c>
      <c r="N32" s="54">
        <f t="shared" si="28"/>
        <v>0.80798802946592996</v>
      </c>
      <c r="O32" s="54">
        <f t="shared" si="28"/>
        <v>6.0218872549019604</v>
      </c>
      <c r="P32" s="54">
        <f t="shared" si="28"/>
        <v>5.5920657319737792</v>
      </c>
      <c r="Q32" s="54">
        <f t="shared" si="28"/>
        <v>5.1512286145588728</v>
      </c>
      <c r="R32" s="54">
        <f t="shared" si="29"/>
        <v>9.7031454248366007</v>
      </c>
      <c r="S32" s="54">
        <f t="shared" si="29"/>
        <v>9.0302995742092449</v>
      </c>
      <c r="T32" s="54">
        <f t="shared" si="29"/>
        <v>8.3544245920090034</v>
      </c>
      <c r="U32" s="8"/>
      <c r="V32" s="8"/>
      <c r="W32" s="8"/>
      <c r="X32" s="8"/>
      <c r="Y32" s="8"/>
    </row>
    <row r="33" spans="1:25" ht="15.5" x14ac:dyDescent="0.35">
      <c r="A33" s="1"/>
      <c r="B33" s="8" t="str">
        <f t="shared" si="25"/>
        <v>Baby Bunting Group Limited</v>
      </c>
      <c r="C33" s="8" t="str">
        <f t="shared" si="25"/>
        <v>ASX:BBN</v>
      </c>
      <c r="D33" s="19"/>
      <c r="E33" s="17"/>
      <c r="F33" s="55">
        <f t="shared" si="26"/>
        <v>294.60808221000002</v>
      </c>
      <c r="G33" s="17"/>
      <c r="H33" s="17"/>
      <c r="I33" s="17"/>
      <c r="J33" s="17"/>
      <c r="K33" s="55">
        <f t="shared" si="27"/>
        <v>301.10808221000002</v>
      </c>
      <c r="L33" s="54">
        <f t="shared" si="28"/>
        <v>0.99342818281095346</v>
      </c>
      <c r="M33" s="54">
        <f t="shared" si="28"/>
        <v>0.84414937541351287</v>
      </c>
      <c r="N33" s="54">
        <f t="shared" si="28"/>
        <v>0.74160899022215665</v>
      </c>
      <c r="O33" s="54">
        <f t="shared" si="28"/>
        <v>17.608659778362572</v>
      </c>
      <c r="P33" s="54">
        <f t="shared" si="28"/>
        <v>11.50145462987013</v>
      </c>
      <c r="Q33" s="54">
        <f t="shared" si="28"/>
        <v>9.1079274715668479</v>
      </c>
      <c r="R33" s="54">
        <f t="shared" si="29"/>
        <v>33.862997955172418</v>
      </c>
      <c r="S33" s="54">
        <f t="shared" si="29"/>
        <v>20.968546776512454</v>
      </c>
      <c r="T33" s="54">
        <f t="shared" si="29"/>
        <v>16.231850259504135</v>
      </c>
      <c r="U33" s="8"/>
      <c r="V33" s="8"/>
      <c r="W33" s="8"/>
      <c r="X33" s="8"/>
      <c r="Y33" s="8"/>
    </row>
    <row r="34" spans="1:25" ht="15.5" x14ac:dyDescent="0.35">
      <c r="A34" s="1"/>
      <c r="B34" s="8" t="str">
        <f t="shared" si="25"/>
        <v>MotorCycle Holdings Limited</v>
      </c>
      <c r="C34" s="8" t="str">
        <f t="shared" si="25"/>
        <v>ASX:MTO</v>
      </c>
      <c r="D34" s="19"/>
      <c r="E34" s="17"/>
      <c r="F34" s="55">
        <f t="shared" si="26"/>
        <v>106.13554120000001</v>
      </c>
      <c r="G34" s="17"/>
      <c r="H34" s="17"/>
      <c r="I34" s="17"/>
      <c r="J34" s="17"/>
      <c r="K34" s="55">
        <f t="shared" si="27"/>
        <v>179.83554120000002</v>
      </c>
      <c r="L34" s="54">
        <f t="shared" si="28"/>
        <v>0.59469425000000009</v>
      </c>
      <c r="M34" s="54">
        <f t="shared" si="28"/>
        <v>0.53931786234817825</v>
      </c>
      <c r="N34" s="54">
        <f t="shared" si="28"/>
        <v>0.52206445031497661</v>
      </c>
      <c r="O34" s="54">
        <f t="shared" si="28"/>
        <v>8.8154677058823552</v>
      </c>
      <c r="P34" s="54">
        <f t="shared" si="28"/>
        <v>8.996275197598802</v>
      </c>
      <c r="Q34" s="54">
        <f t="shared" si="28"/>
        <v>7.9502891777188331</v>
      </c>
      <c r="R34" s="54">
        <f t="shared" si="29"/>
        <v>11.663246285714287</v>
      </c>
      <c r="S34" s="54">
        <f t="shared" si="29"/>
        <v>10.560750368159203</v>
      </c>
      <c r="T34" s="54">
        <f t="shared" si="29"/>
        <v>9.0947336075407037</v>
      </c>
      <c r="U34" s="8"/>
      <c r="V34" s="8"/>
      <c r="W34" s="8"/>
      <c r="X34" s="8"/>
      <c r="Y34" s="8"/>
    </row>
    <row r="35" spans="1:25" ht="15.5" x14ac:dyDescent="0.35">
      <c r="A35" s="1"/>
      <c r="B35" s="8" t="str">
        <f t="shared" ref="B35" si="30">+B14</f>
        <v>Nick Scali Limited</v>
      </c>
      <c r="C35" s="8" t="str">
        <f>+C14</f>
        <v>ASX:NCK</v>
      </c>
      <c r="D35" s="19"/>
      <c r="E35" s="17"/>
      <c r="F35" s="55">
        <f t="shared" ref="F35:F37" si="31">+F14</f>
        <v>477.90000000000003</v>
      </c>
      <c r="G35" s="17"/>
      <c r="H35" s="17"/>
      <c r="I35" s="17"/>
      <c r="J35" s="17"/>
      <c r="K35" s="55">
        <f t="shared" ref="K35:K37" si="32">+K14</f>
        <v>473.40000000000003</v>
      </c>
      <c r="L35" s="54">
        <f t="shared" ref="L35:Q35" si="33">IFERROR(IF(OR(+$K14/L14&lt;0,+$K14/L14&gt;=100),"NM",+$K14/L14),"N/A")</f>
        <v>1.8875598086124403</v>
      </c>
      <c r="M35" s="54">
        <f t="shared" si="33"/>
        <v>1.7404411764705883</v>
      </c>
      <c r="N35" s="54">
        <f t="shared" si="33"/>
        <v>1.6322449401786026</v>
      </c>
      <c r="O35" s="54">
        <f t="shared" si="33"/>
        <v>7.6850649350649354</v>
      </c>
      <c r="P35" s="54">
        <f t="shared" si="33"/>
        <v>7.0268665578150511</v>
      </c>
      <c r="Q35" s="54">
        <f t="shared" si="33"/>
        <v>6.6845523863315455</v>
      </c>
      <c r="R35" s="54">
        <f t="shared" ref="R35:T35" si="34">IFERROR(IF(OR(+$F14/R14&lt;0,+$F14/R14&gt;=100),"NM",+$F14/R14),"N/A")</f>
        <v>11.65609756097561</v>
      </c>
      <c r="S35" s="54">
        <f t="shared" si="34"/>
        <v>10.423118865866957</v>
      </c>
      <c r="T35" s="54">
        <f t="shared" si="34"/>
        <v>9.9500312304809491</v>
      </c>
      <c r="U35" s="8"/>
      <c r="V35" s="8"/>
      <c r="W35" s="8"/>
      <c r="X35" s="8"/>
      <c r="Y35" s="8"/>
    </row>
    <row r="36" spans="1:25" ht="15.5" x14ac:dyDescent="0.35">
      <c r="A36" s="1"/>
      <c r="B36" s="8" t="str">
        <f t="shared" ref="B36" si="35">+B15</f>
        <v>Beacon Lighting Group Limited</v>
      </c>
      <c r="C36" s="8" t="str">
        <f>+C15</f>
        <v>ASX:BLX</v>
      </c>
      <c r="D36" s="19"/>
      <c r="E36" s="17"/>
      <c r="F36" s="55">
        <f t="shared" si="31"/>
        <v>252.80669728000001</v>
      </c>
      <c r="G36" s="17"/>
      <c r="H36" s="17"/>
      <c r="I36" s="17"/>
      <c r="J36" s="17"/>
      <c r="K36" s="55">
        <f t="shared" si="32"/>
        <v>263.10669727999999</v>
      </c>
      <c r="L36" s="54">
        <f t="shared" ref="L36:Q36" si="36">IFERROR(IF(OR(+$K15/L15&lt;0,+$K15/L15&gt;=100),"NM",+$K15/L15),"N/A")</f>
        <v>1.1068855586032815</v>
      </c>
      <c r="M36" s="54">
        <f t="shared" si="36"/>
        <v>1.0745627824382276</v>
      </c>
      <c r="N36" s="54">
        <f t="shared" si="36"/>
        <v>0.96780216758625759</v>
      </c>
      <c r="O36" s="54">
        <f t="shared" si="36"/>
        <v>7.948842818126888</v>
      </c>
      <c r="P36" s="54">
        <f t="shared" si="36"/>
        <v>7.6999326098917171</v>
      </c>
      <c r="Q36" s="54">
        <f t="shared" si="36"/>
        <v>6.9111294268452843</v>
      </c>
      <c r="R36" s="54">
        <f t="shared" ref="R36:T36" si="37">IFERROR(IF(OR(+$F15/R15&lt;0,+$F15/R15&gt;=100),"NM",+$F15/R15),"N/A")</f>
        <v>12.898300881632652</v>
      </c>
      <c r="S36" s="54">
        <f t="shared" si="37"/>
        <v>12.944531350742448</v>
      </c>
      <c r="T36" s="54">
        <f t="shared" si="37"/>
        <v>11.612618157096923</v>
      </c>
      <c r="U36" s="8"/>
      <c r="V36" s="8"/>
      <c r="W36" s="8"/>
      <c r="X36" s="8"/>
      <c r="Y36" s="8"/>
    </row>
    <row r="37" spans="1:25" ht="15.5" x14ac:dyDescent="0.35">
      <c r="A37" s="1"/>
      <c r="B37" s="8" t="str">
        <f t="shared" ref="B37" si="38">+B16</f>
        <v>Lovisa Holdings Limited</v>
      </c>
      <c r="C37" s="8" t="str">
        <f>+C16</f>
        <v>ASX:LOV</v>
      </c>
      <c r="D37" s="19"/>
      <c r="E37" s="17"/>
      <c r="F37" s="55">
        <f t="shared" si="31"/>
        <v>993.37606000000005</v>
      </c>
      <c r="G37" s="17"/>
      <c r="H37" s="17"/>
      <c r="I37" s="17"/>
      <c r="J37" s="17"/>
      <c r="K37" s="55">
        <f t="shared" si="32"/>
        <v>961.0760600000001</v>
      </c>
      <c r="L37" s="54">
        <f t="shared" ref="L37:Q37" si="39">IFERROR(IF(OR(+$K16/L16&lt;0,+$K16/L16&gt;=100),"NM",+$K16/L16),"N/A")</f>
        <v>4.4289219354838716</v>
      </c>
      <c r="M37" s="54">
        <f t="shared" si="39"/>
        <v>3.9122203858992108</v>
      </c>
      <c r="N37" s="54">
        <f t="shared" si="39"/>
        <v>3.2553468820919282</v>
      </c>
      <c r="O37" s="54">
        <f t="shared" si="39"/>
        <v>16.400615358361776</v>
      </c>
      <c r="P37" s="54">
        <f t="shared" si="39"/>
        <v>15.864576758005944</v>
      </c>
      <c r="Q37" s="54">
        <f t="shared" si="39"/>
        <v>13.494468688570628</v>
      </c>
      <c r="R37" s="54">
        <f t="shared" ref="R37:T37" si="40">IFERROR(IF(OR(+$F16/R16&lt;0,+$F16/R16&gt;=100),"NM",+$F16/R16),"N/A")</f>
        <v>27.593779444444447</v>
      </c>
      <c r="S37" s="54">
        <f t="shared" si="40"/>
        <v>27.305554150632215</v>
      </c>
      <c r="T37" s="54">
        <f t="shared" si="40"/>
        <v>23.450804060434372</v>
      </c>
      <c r="U37" s="8"/>
      <c r="V37" s="8"/>
      <c r="W37" s="8"/>
      <c r="X37" s="8"/>
      <c r="Y37" s="8"/>
    </row>
    <row r="38" spans="1:25" ht="15.5" x14ac:dyDescent="0.35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5" x14ac:dyDescent="0.35">
      <c r="A39" s="1"/>
      <c r="B39" s="20" t="s">
        <v>45</v>
      </c>
      <c r="C39" s="21"/>
      <c r="D39" s="22"/>
      <c r="E39" s="22"/>
      <c r="F39" s="23">
        <f>MAX(F29:F37)</f>
        <v>993.37606000000005</v>
      </c>
      <c r="G39" s="23"/>
      <c r="H39" s="23"/>
      <c r="I39" s="23"/>
      <c r="J39" s="23"/>
      <c r="K39" s="23">
        <f t="shared" ref="K39:T39" si="41">MAX(K29:K37)</f>
        <v>961.0760600000001</v>
      </c>
      <c r="L39" s="56">
        <f t="shared" si="41"/>
        <v>4.4289219354838716</v>
      </c>
      <c r="M39" s="56">
        <f t="shared" si="41"/>
        <v>3.9122203858992108</v>
      </c>
      <c r="N39" s="56">
        <f t="shared" si="41"/>
        <v>3.2553468820919282</v>
      </c>
      <c r="O39" s="56">
        <f t="shared" si="41"/>
        <v>17.608659778362572</v>
      </c>
      <c r="P39" s="56">
        <f t="shared" si="41"/>
        <v>15.864576758005944</v>
      </c>
      <c r="Q39" s="56">
        <f t="shared" si="41"/>
        <v>13.494468688570628</v>
      </c>
      <c r="R39" s="56">
        <f t="shared" si="41"/>
        <v>33.862997955172418</v>
      </c>
      <c r="S39" s="56">
        <f t="shared" si="41"/>
        <v>27.305554150632215</v>
      </c>
      <c r="T39" s="57">
        <f t="shared" si="41"/>
        <v>23.450804060434372</v>
      </c>
      <c r="U39" s="8"/>
      <c r="V39" s="8"/>
      <c r="W39" s="8"/>
      <c r="X39" s="8"/>
      <c r="Y39" s="8"/>
    </row>
    <row r="40" spans="1:25" ht="15.5" x14ac:dyDescent="0.35">
      <c r="A40" s="1"/>
      <c r="B40" s="26" t="s">
        <v>46</v>
      </c>
      <c r="C40" s="8"/>
      <c r="D40" s="27"/>
      <c r="E40" s="27"/>
      <c r="F40" s="28">
        <f>QUARTILE(F29:F37,3)</f>
        <v>477.90000000000003</v>
      </c>
      <c r="G40" s="28"/>
      <c r="H40" s="28"/>
      <c r="I40" s="28"/>
      <c r="J40" s="28"/>
      <c r="K40" s="28">
        <f t="shared" ref="K40:T40" si="42">QUARTILE(K29:K37,3)</f>
        <v>473.40000000000003</v>
      </c>
      <c r="L40" s="54">
        <f t="shared" si="42"/>
        <v>1.2366659660978385</v>
      </c>
      <c r="M40" s="54">
        <f t="shared" si="42"/>
        <v>1.1375955043692114</v>
      </c>
      <c r="N40" s="54">
        <f t="shared" si="42"/>
        <v>1.0244001217561345</v>
      </c>
      <c r="O40" s="54">
        <f t="shared" si="42"/>
        <v>9.6947994131549624</v>
      </c>
      <c r="P40" s="54">
        <f t="shared" si="42"/>
        <v>8.996275197598802</v>
      </c>
      <c r="Q40" s="54">
        <f t="shared" si="42"/>
        <v>7.9502891777188331</v>
      </c>
      <c r="R40" s="54">
        <f t="shared" si="42"/>
        <v>19.045988803636366</v>
      </c>
      <c r="S40" s="54">
        <f t="shared" si="42"/>
        <v>17.979931627128952</v>
      </c>
      <c r="T40" s="58">
        <f t="shared" si="42"/>
        <v>13.77195574954807</v>
      </c>
      <c r="U40" s="8"/>
      <c r="V40" s="8"/>
      <c r="W40" s="8"/>
      <c r="X40" s="8"/>
      <c r="Y40" s="8"/>
    </row>
    <row r="41" spans="1:25" ht="15.5" x14ac:dyDescent="0.35">
      <c r="A41" s="1"/>
      <c r="B41" s="31" t="s">
        <v>47</v>
      </c>
      <c r="C41" s="32"/>
      <c r="D41" s="33"/>
      <c r="E41" s="33"/>
      <c r="F41" s="34">
        <f>MEDIAN(F29:F37)</f>
        <v>295.59007594999997</v>
      </c>
      <c r="G41" s="34"/>
      <c r="H41" s="34"/>
      <c r="I41" s="34"/>
      <c r="J41" s="34"/>
      <c r="K41" s="34">
        <f t="shared" ref="K41:T41" si="43">MEDIAN(K29:K37)</f>
        <v>301.10808221000002</v>
      </c>
      <c r="L41" s="59">
        <f t="shared" si="43"/>
        <v>0.99342818281095346</v>
      </c>
      <c r="M41" s="59">
        <f t="shared" si="43"/>
        <v>0.87903214265269902</v>
      </c>
      <c r="N41" s="59">
        <f t="shared" si="43"/>
        <v>0.80798802946592996</v>
      </c>
      <c r="O41" s="59">
        <f t="shared" si="43"/>
        <v>8.003145298194946</v>
      </c>
      <c r="P41" s="59">
        <f t="shared" si="43"/>
        <v>7.6999326098917171</v>
      </c>
      <c r="Q41" s="59">
        <f t="shared" si="43"/>
        <v>6.9111294268452843</v>
      </c>
      <c r="R41" s="59">
        <f t="shared" si="43"/>
        <v>12.898300881632652</v>
      </c>
      <c r="S41" s="59">
        <f t="shared" si="43"/>
        <v>12.944531350742448</v>
      </c>
      <c r="T41" s="60">
        <f t="shared" si="43"/>
        <v>9.9500312304809491</v>
      </c>
      <c r="U41" s="8"/>
      <c r="V41" s="8"/>
      <c r="W41" s="8"/>
      <c r="X41" s="8"/>
      <c r="Y41" s="8"/>
    </row>
    <row r="42" spans="1:25" ht="15.5" x14ac:dyDescent="0.35">
      <c r="A42" s="1"/>
      <c r="B42" s="26" t="s">
        <v>48</v>
      </c>
      <c r="C42" s="37"/>
      <c r="D42" s="27"/>
      <c r="E42" s="27"/>
      <c r="F42" s="28">
        <f>QUARTILE(F29:F37,1)</f>
        <v>252.80669728000001</v>
      </c>
      <c r="G42" s="28"/>
      <c r="H42" s="28"/>
      <c r="I42" s="28"/>
      <c r="J42" s="28"/>
      <c r="K42" s="28">
        <f t="shared" ref="K42:T42" si="44">QUARTILE(K29:K37,1)</f>
        <v>252.89007594999998</v>
      </c>
      <c r="L42" s="54">
        <f t="shared" si="44"/>
        <v>0.69437143314113126</v>
      </c>
      <c r="M42" s="54">
        <f t="shared" si="44"/>
        <v>0.53931786234817825</v>
      </c>
      <c r="N42" s="54">
        <f t="shared" si="44"/>
        <v>0.52206445031497661</v>
      </c>
      <c r="O42" s="54">
        <f t="shared" si="44"/>
        <v>7.6850649350649354</v>
      </c>
      <c r="P42" s="54">
        <f t="shared" si="44"/>
        <v>5.5920657319737792</v>
      </c>
      <c r="Q42" s="54">
        <f t="shared" si="44"/>
        <v>5.1512286145588728</v>
      </c>
      <c r="R42" s="54">
        <f t="shared" si="44"/>
        <v>11.65609756097561</v>
      </c>
      <c r="S42" s="54">
        <f t="shared" si="44"/>
        <v>10.423118865866957</v>
      </c>
      <c r="T42" s="58">
        <f t="shared" si="44"/>
        <v>9.0947336075407037</v>
      </c>
      <c r="U42" s="8"/>
      <c r="V42" s="8"/>
      <c r="W42" s="8"/>
      <c r="X42" s="8"/>
      <c r="Y42" s="8"/>
    </row>
    <row r="43" spans="1:25" ht="15.5" x14ac:dyDescent="0.35">
      <c r="A43" s="1"/>
      <c r="B43" s="38" t="s">
        <v>49</v>
      </c>
      <c r="C43" s="39"/>
      <c r="D43" s="40"/>
      <c r="E43" s="40"/>
      <c r="F43" s="41">
        <f>MIN(F29:F37)</f>
        <v>106.13554120000001</v>
      </c>
      <c r="G43" s="41"/>
      <c r="H43" s="41"/>
      <c r="I43" s="41"/>
      <c r="J43" s="41"/>
      <c r="K43" s="41">
        <f t="shared" ref="K43:T43" si="45">MIN(K29:K37)</f>
        <v>179.83554120000002</v>
      </c>
      <c r="L43" s="61">
        <f t="shared" si="45"/>
        <v>0.32386723850986121</v>
      </c>
      <c r="M43" s="61">
        <f t="shared" si="45"/>
        <v>0.28282102502879763</v>
      </c>
      <c r="N43" s="61">
        <f t="shared" si="45"/>
        <v>0.27453734565488791</v>
      </c>
      <c r="O43" s="61">
        <f t="shared" si="45"/>
        <v>6.0218872549019604</v>
      </c>
      <c r="P43" s="61">
        <f t="shared" si="45"/>
        <v>4.7017417764581131</v>
      </c>
      <c r="Q43" s="61">
        <f t="shared" si="45"/>
        <v>3.1646862213740459</v>
      </c>
      <c r="R43" s="61">
        <f t="shared" si="45"/>
        <v>9.7031454248366007</v>
      </c>
      <c r="S43" s="61">
        <f t="shared" si="45"/>
        <v>9.0302995742092449</v>
      </c>
      <c r="T43" s="62">
        <f t="shared" si="45"/>
        <v>7.5948118178314479</v>
      </c>
      <c r="U43" s="8"/>
      <c r="V43" s="8"/>
      <c r="W43" s="8"/>
      <c r="X43" s="8"/>
      <c r="Y43" s="8"/>
    </row>
    <row r="44" spans="1:25" ht="15.5" x14ac:dyDescent="0.35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5" customHeight="1" x14ac:dyDescent="0.35">
      <c r="A45" s="1"/>
      <c r="B45" s="44" t="str">
        <f>Company_Name</f>
        <v>Michael Hill International Limited</v>
      </c>
      <c r="C45" s="45" t="str">
        <f>Ticker</f>
        <v>ASX:MHJ</v>
      </c>
      <c r="D45" s="46"/>
      <c r="E45" s="46"/>
      <c r="F45" s="49">
        <f>+F24</f>
        <v>263.7181601383806</v>
      </c>
      <c r="G45" s="49"/>
      <c r="H45" s="49"/>
      <c r="I45" s="49"/>
      <c r="J45" s="49"/>
      <c r="K45" s="265">
        <f>+K24</f>
        <v>291.71116013838059</v>
      </c>
      <c r="L45" s="68">
        <f t="shared" ref="L45:Q45" si="46">IFERROR(IF(OR(+$K24/L24&lt;0,+$K24/L24&gt;=100),"NM",+$K24/L24),"N/A")</f>
        <v>0.50684003094408081</v>
      </c>
      <c r="M45" s="68">
        <f t="shared" si="46"/>
        <v>0.5027035595156446</v>
      </c>
      <c r="N45" s="69">
        <f t="shared" si="46"/>
        <v>0.49621765062839363</v>
      </c>
      <c r="O45" s="70">
        <f t="shared" si="46"/>
        <v>4.2374625606597904</v>
      </c>
      <c r="P45" s="70">
        <f t="shared" si="46"/>
        <v>3.9781107739550707</v>
      </c>
      <c r="Q45" s="70">
        <f t="shared" si="46"/>
        <v>3.9976665874944359</v>
      </c>
      <c r="R45" s="70">
        <f>IFERROR(IF(OR(+$F24/R24&lt;0,+$F24/R24&gt;=100),"NM",+$F24/R24),"N/A")</f>
        <v>7.5741903652817681</v>
      </c>
      <c r="S45" s="70">
        <f>IFERROR(IF(OR(+$F24/S24&lt;0,+$F24/S24&gt;=100),"NM",+$F24/S24),"N/A")</f>
        <v>7.3943248699474511</v>
      </c>
      <c r="T45" s="70">
        <f>IFERROR(IF(OR(+$F24/T24&lt;0,+$F24/T24&gt;=100),"NM",+$F24/T24),"N/A")</f>
        <v>7.2683397857672682</v>
      </c>
      <c r="U45" s="8"/>
      <c r="V45" s="8"/>
      <c r="W45" s="8"/>
      <c r="X45" s="8"/>
      <c r="Y45" s="8"/>
    </row>
    <row r="46" spans="1: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</row>
    <row r="47" spans="1: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</sheetData>
  <pageMargins left="0.7" right="0.7" top="0.75" bottom="0.75" header="0.3" footer="0.3"/>
  <pageSetup scale="36" orientation="portrait" horizontalDpi="1200" verticalDpi="1200" r:id="rId1"/>
  <ignoredErrors>
    <ignoredError sqref="Y18:Y20 Y22 Y8 Y16 Y10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2:M39"/>
  <sheetViews>
    <sheetView showGridLines="0" zoomScaleNormal="100" workbookViewId="0"/>
  </sheetViews>
  <sheetFormatPr defaultRowHeight="14.5" x14ac:dyDescent="0.35"/>
  <cols>
    <col min="1" max="1" width="2.7265625" customWidth="1"/>
    <col min="2" max="2" width="76.453125" bestFit="1" customWidth="1"/>
    <col min="3" max="3" width="47.7265625" bestFit="1" customWidth="1"/>
    <col min="4" max="4" width="11.7265625" bestFit="1" customWidth="1"/>
    <col min="5" max="5" width="16.26953125" customWidth="1"/>
    <col min="6" max="10" width="12.453125" customWidth="1"/>
    <col min="11" max="13" width="10.7265625" customWidth="1"/>
    <col min="14" max="14" width="2.81640625" customWidth="1"/>
  </cols>
  <sheetData>
    <row r="2" spans="2:13" ht="18.5" x14ac:dyDescent="0.45">
      <c r="B2" s="3" t="s">
        <v>263</v>
      </c>
    </row>
    <row r="3" spans="2:13" ht="18.5" x14ac:dyDescent="0.45">
      <c r="B3" s="3" t="s">
        <v>261</v>
      </c>
    </row>
    <row r="4" spans="2:13" ht="15.5" x14ac:dyDescent="0.35">
      <c r="B4" s="8" t="s">
        <v>180</v>
      </c>
    </row>
    <row r="6" spans="2:13" ht="15.5" x14ac:dyDescent="0.35">
      <c r="B6" s="53" t="str">
        <f>Company_Name&amp;" - Comparable M&amp;A Transactions:"</f>
        <v>Michael Hill International Limited - Comparable M&amp;A Transactions:</v>
      </c>
      <c r="C6" s="53"/>
      <c r="D6" s="53"/>
      <c r="E6" s="53"/>
      <c r="F6" s="10"/>
      <c r="G6" s="10"/>
      <c r="H6" s="10"/>
      <c r="I6" s="10"/>
      <c r="J6" s="10"/>
      <c r="K6" s="11" t="s">
        <v>42</v>
      </c>
      <c r="L6" s="11"/>
      <c r="M6" s="11"/>
    </row>
    <row r="7" spans="2:13" ht="15.5" x14ac:dyDescent="0.35">
      <c r="B7" s="53"/>
      <c r="C7" s="53"/>
      <c r="D7" s="53"/>
      <c r="E7" s="53"/>
      <c r="F7" s="10" t="s">
        <v>43</v>
      </c>
      <c r="G7" s="10" t="s">
        <v>43</v>
      </c>
      <c r="H7" s="10"/>
      <c r="I7" s="10"/>
      <c r="J7" s="10"/>
      <c r="K7" s="10" t="s">
        <v>33</v>
      </c>
      <c r="L7" s="10" t="s">
        <v>33</v>
      </c>
      <c r="M7" s="10"/>
    </row>
    <row r="8" spans="2:13" ht="15.5" x14ac:dyDescent="0.35">
      <c r="B8" s="9"/>
      <c r="C8" s="9"/>
      <c r="D8" s="9"/>
      <c r="E8" s="10" t="s">
        <v>125</v>
      </c>
      <c r="F8" s="10" t="s">
        <v>28</v>
      </c>
      <c r="G8" s="10" t="s">
        <v>27</v>
      </c>
      <c r="H8" s="10" t="s">
        <v>33</v>
      </c>
      <c r="I8" s="10" t="s">
        <v>33</v>
      </c>
      <c r="J8" s="10" t="s">
        <v>33</v>
      </c>
      <c r="K8" s="10" t="s">
        <v>44</v>
      </c>
      <c r="L8" s="10" t="s">
        <v>44</v>
      </c>
      <c r="M8" s="10" t="s">
        <v>33</v>
      </c>
    </row>
    <row r="9" spans="2:13" ht="15.5" x14ac:dyDescent="0.35">
      <c r="B9" s="13" t="s">
        <v>39</v>
      </c>
      <c r="C9" s="13" t="s">
        <v>40</v>
      </c>
      <c r="D9" s="13" t="s">
        <v>175</v>
      </c>
      <c r="E9" s="13" t="s">
        <v>41</v>
      </c>
      <c r="F9" s="13" t="s">
        <v>32</v>
      </c>
      <c r="G9" s="13" t="s">
        <v>32</v>
      </c>
      <c r="H9" s="13" t="s">
        <v>34</v>
      </c>
      <c r="I9" s="13" t="s">
        <v>35</v>
      </c>
      <c r="J9" s="13" t="s">
        <v>106</v>
      </c>
      <c r="K9" s="13" t="s">
        <v>34</v>
      </c>
      <c r="L9" s="13" t="s">
        <v>35</v>
      </c>
      <c r="M9" s="13" t="s">
        <v>176</v>
      </c>
    </row>
    <row r="10" spans="2:13" ht="15.5" x14ac:dyDescent="0.35">
      <c r="B10" s="74" t="s">
        <v>227</v>
      </c>
      <c r="C10" s="75" t="s">
        <v>248</v>
      </c>
      <c r="D10" s="218" t="s">
        <v>177</v>
      </c>
      <c r="E10" s="71">
        <v>43413</v>
      </c>
      <c r="F10" s="76">
        <v>1249.28</v>
      </c>
      <c r="G10" s="76">
        <v>1249.28</v>
      </c>
      <c r="H10" s="76" t="s">
        <v>124</v>
      </c>
      <c r="I10" s="76" t="s">
        <v>124</v>
      </c>
      <c r="J10" s="76" t="s">
        <v>124</v>
      </c>
      <c r="K10" s="54" t="str">
        <f t="shared" ref="K10:K33" si="0">IFERROR(IF(OR(+$F10/H10&lt;0,+$F10/H10&gt;=100),"NM",+$F10/H10),"N/A")</f>
        <v>N/A</v>
      </c>
      <c r="L10" s="54" t="str">
        <f t="shared" ref="L10:L33" si="1">IFERROR(IF(OR(+$F10/I10&lt;0,+$F10/I10&gt;=100),"NM",+$F10/I10),"N/A")</f>
        <v>N/A</v>
      </c>
      <c r="M10" s="54" t="str">
        <f t="shared" ref="M10:M33" si="2">IFERROR(IF(OR(+$G10/J10&lt;0,+$G10/J10&gt;=100),"NM",+$G10/J10),"N/A")</f>
        <v>N/A</v>
      </c>
    </row>
    <row r="11" spans="2:13" ht="15.5" x14ac:dyDescent="0.35">
      <c r="B11" s="188" t="s">
        <v>228</v>
      </c>
      <c r="C11" s="75" t="s">
        <v>247</v>
      </c>
      <c r="D11" s="218" t="s">
        <v>177</v>
      </c>
      <c r="E11" s="71">
        <v>43409</v>
      </c>
      <c r="F11" s="77">
        <v>698.26</v>
      </c>
      <c r="G11" s="77">
        <v>481.44</v>
      </c>
      <c r="H11" s="77">
        <v>650.09</v>
      </c>
      <c r="I11" s="77">
        <v>63.99</v>
      </c>
      <c r="J11" s="77">
        <v>15.28</v>
      </c>
      <c r="K11" s="54">
        <f t="shared" si="0"/>
        <v>1.0740974326631696</v>
      </c>
      <c r="L11" s="54">
        <f t="shared" si="1"/>
        <v>10.912017502734802</v>
      </c>
      <c r="M11" s="54">
        <f t="shared" si="2"/>
        <v>31.507853403141361</v>
      </c>
    </row>
    <row r="12" spans="2:13" ht="15.5" x14ac:dyDescent="0.35">
      <c r="B12" s="74" t="s">
        <v>229</v>
      </c>
      <c r="C12" s="75" t="s">
        <v>249</v>
      </c>
      <c r="D12" s="218" t="s">
        <v>177</v>
      </c>
      <c r="E12" s="71">
        <v>43234</v>
      </c>
      <c r="F12" s="77">
        <v>109.4</v>
      </c>
      <c r="G12" s="77">
        <v>109.4</v>
      </c>
      <c r="H12" s="76" t="s">
        <v>124</v>
      </c>
      <c r="I12" s="76" t="s">
        <v>124</v>
      </c>
      <c r="J12" s="76" t="s">
        <v>124</v>
      </c>
      <c r="K12" s="54" t="str">
        <f t="shared" si="0"/>
        <v>N/A</v>
      </c>
      <c r="L12" s="54" t="str">
        <f t="shared" si="1"/>
        <v>N/A</v>
      </c>
      <c r="M12" s="54" t="str">
        <f t="shared" si="2"/>
        <v>N/A</v>
      </c>
    </row>
    <row r="13" spans="2:13" ht="15.5" x14ac:dyDescent="0.35">
      <c r="B13" s="74" t="s">
        <v>230</v>
      </c>
      <c r="C13" s="75" t="s">
        <v>250</v>
      </c>
      <c r="D13" s="218" t="s">
        <v>179</v>
      </c>
      <c r="E13" s="71">
        <v>43217</v>
      </c>
      <c r="F13" s="77">
        <v>233.3</v>
      </c>
      <c r="G13" s="77">
        <v>233.3</v>
      </c>
      <c r="H13" s="77">
        <v>777.67</v>
      </c>
      <c r="I13" s="77">
        <v>77.77</v>
      </c>
      <c r="J13" s="77" t="s">
        <v>260</v>
      </c>
      <c r="K13" s="54">
        <f t="shared" si="0"/>
        <v>0.29999871410752638</v>
      </c>
      <c r="L13" s="54">
        <f t="shared" si="1"/>
        <v>2.9998714157130002</v>
      </c>
      <c r="M13" s="54" t="str">
        <f t="shared" si="2"/>
        <v>N/A</v>
      </c>
    </row>
    <row r="14" spans="2:13" ht="15.5" x14ac:dyDescent="0.35">
      <c r="B14" s="74" t="s">
        <v>231</v>
      </c>
      <c r="C14" s="75" t="s">
        <v>251</v>
      </c>
      <c r="D14" s="218" t="s">
        <v>177</v>
      </c>
      <c r="E14" s="71">
        <v>42880</v>
      </c>
      <c r="F14" s="77">
        <v>225.78</v>
      </c>
      <c r="G14" s="77" t="s">
        <v>260</v>
      </c>
      <c r="H14" s="76" t="s">
        <v>124</v>
      </c>
      <c r="I14" s="76" t="s">
        <v>124</v>
      </c>
      <c r="J14" s="76" t="s">
        <v>124</v>
      </c>
      <c r="K14" s="54" t="str">
        <f t="shared" si="0"/>
        <v>N/A</v>
      </c>
      <c r="L14" s="54" t="str">
        <f t="shared" si="1"/>
        <v>N/A</v>
      </c>
      <c r="M14" s="54" t="str">
        <f t="shared" si="2"/>
        <v>N/A</v>
      </c>
    </row>
    <row r="15" spans="2:13" ht="15.5" x14ac:dyDescent="0.35">
      <c r="B15" s="74" t="s">
        <v>232</v>
      </c>
      <c r="C15" s="75" t="s">
        <v>252</v>
      </c>
      <c r="D15" s="218" t="s">
        <v>178</v>
      </c>
      <c r="E15" s="71">
        <v>42856</v>
      </c>
      <c r="F15" s="77">
        <v>132.87</v>
      </c>
      <c r="G15" s="77">
        <v>132.87</v>
      </c>
      <c r="H15" s="76" t="s">
        <v>124</v>
      </c>
      <c r="I15" s="76" t="s">
        <v>124</v>
      </c>
      <c r="J15" s="76" t="s">
        <v>124</v>
      </c>
      <c r="K15" s="54" t="str">
        <f t="shared" si="0"/>
        <v>N/A</v>
      </c>
      <c r="L15" s="54" t="str">
        <f t="shared" si="1"/>
        <v>N/A</v>
      </c>
      <c r="M15" s="54" t="str">
        <f t="shared" si="2"/>
        <v>N/A</v>
      </c>
    </row>
    <row r="16" spans="2:13" ht="15.5" x14ac:dyDescent="0.35">
      <c r="B16" s="74" t="s">
        <v>233</v>
      </c>
      <c r="C16" s="75" t="s">
        <v>253</v>
      </c>
      <c r="D16" s="218" t="s">
        <v>179</v>
      </c>
      <c r="E16" s="71">
        <v>42844</v>
      </c>
      <c r="F16" s="77">
        <v>437.95</v>
      </c>
      <c r="G16" s="77">
        <v>401.52</v>
      </c>
      <c r="H16" s="77">
        <v>1115.33</v>
      </c>
      <c r="I16" s="76" t="s">
        <v>124</v>
      </c>
      <c r="J16" s="76" t="s">
        <v>124</v>
      </c>
      <c r="K16" s="54">
        <f t="shared" si="0"/>
        <v>0.39266405458474174</v>
      </c>
      <c r="L16" s="54" t="str">
        <f t="shared" si="1"/>
        <v>N/A</v>
      </c>
      <c r="M16" s="54" t="str">
        <f t="shared" si="2"/>
        <v>N/A</v>
      </c>
    </row>
    <row r="17" spans="2:13" ht="15.5" x14ac:dyDescent="0.35">
      <c r="B17" s="74" t="s">
        <v>234</v>
      </c>
      <c r="C17" s="75" t="s">
        <v>274</v>
      </c>
      <c r="D17" s="218" t="s">
        <v>177</v>
      </c>
      <c r="E17" s="71">
        <v>42774</v>
      </c>
      <c r="F17" s="77">
        <v>93.48</v>
      </c>
      <c r="G17" s="77">
        <v>102.92</v>
      </c>
      <c r="H17" s="77">
        <v>594.38</v>
      </c>
      <c r="I17" s="77">
        <v>8.91</v>
      </c>
      <c r="J17" s="77">
        <v>0.76</v>
      </c>
      <c r="K17" s="54">
        <f t="shared" si="0"/>
        <v>0.15727312493690906</v>
      </c>
      <c r="L17" s="54">
        <f t="shared" si="1"/>
        <v>10.491582491582491</v>
      </c>
      <c r="M17" s="54" t="str">
        <f t="shared" si="2"/>
        <v>NM</v>
      </c>
    </row>
    <row r="18" spans="2:13" ht="15.5" x14ac:dyDescent="0.35">
      <c r="B18" s="74" t="s">
        <v>235</v>
      </c>
      <c r="C18" s="75" t="s">
        <v>254</v>
      </c>
      <c r="D18" s="218" t="s">
        <v>178</v>
      </c>
      <c r="E18" s="71">
        <v>42726</v>
      </c>
      <c r="F18" s="77">
        <v>234.92</v>
      </c>
      <c r="G18" s="77">
        <v>234.92</v>
      </c>
      <c r="H18" s="76" t="s">
        <v>124</v>
      </c>
      <c r="I18" s="76" t="s">
        <v>124</v>
      </c>
      <c r="J18" s="76" t="s">
        <v>124</v>
      </c>
      <c r="K18" s="54" t="str">
        <f t="shared" si="0"/>
        <v>N/A</v>
      </c>
      <c r="L18" s="54" t="str">
        <f t="shared" si="1"/>
        <v>N/A</v>
      </c>
      <c r="M18" s="54" t="str">
        <f t="shared" si="2"/>
        <v>N/A</v>
      </c>
    </row>
    <row r="19" spans="2:13" ht="15.5" x14ac:dyDescent="0.35">
      <c r="B19" s="74" t="s">
        <v>173</v>
      </c>
      <c r="C19" s="75" t="s">
        <v>168</v>
      </c>
      <c r="D19" s="218" t="s">
        <v>177</v>
      </c>
      <c r="E19" s="71">
        <v>42626</v>
      </c>
      <c r="F19" s="77">
        <v>650.92999999999995</v>
      </c>
      <c r="G19" s="77">
        <v>650.92999999999995</v>
      </c>
      <c r="H19" s="77">
        <v>1563.73</v>
      </c>
      <c r="I19" s="76" t="s">
        <v>124</v>
      </c>
      <c r="J19" s="76" t="s">
        <v>124</v>
      </c>
      <c r="K19" s="54">
        <f t="shared" si="0"/>
        <v>0.41626751421281166</v>
      </c>
      <c r="L19" s="54" t="str">
        <f t="shared" si="1"/>
        <v>N/A</v>
      </c>
      <c r="M19" s="54" t="str">
        <f t="shared" si="2"/>
        <v>N/A</v>
      </c>
    </row>
    <row r="20" spans="2:13" ht="15.5" x14ac:dyDescent="0.35">
      <c r="B20" s="74" t="s">
        <v>236</v>
      </c>
      <c r="C20" s="75" t="s">
        <v>255</v>
      </c>
      <c r="D20" s="218" t="s">
        <v>179</v>
      </c>
      <c r="E20" s="71">
        <v>42625</v>
      </c>
      <c r="F20" s="77">
        <v>18429.98</v>
      </c>
      <c r="G20" s="77">
        <v>13078.17</v>
      </c>
      <c r="H20" s="77">
        <v>14071</v>
      </c>
      <c r="I20" s="77">
        <v>1894</v>
      </c>
      <c r="J20" s="77">
        <v>868</v>
      </c>
      <c r="K20" s="54">
        <f t="shared" si="0"/>
        <v>1.3097846634922892</v>
      </c>
      <c r="L20" s="54">
        <f t="shared" si="1"/>
        <v>9.730718057022175</v>
      </c>
      <c r="M20" s="54">
        <f t="shared" si="2"/>
        <v>15.067016129032258</v>
      </c>
    </row>
    <row r="21" spans="2:13" ht="15.5" x14ac:dyDescent="0.35">
      <c r="B21" s="74" t="s">
        <v>237</v>
      </c>
      <c r="C21" s="75" t="s">
        <v>256</v>
      </c>
      <c r="D21" s="218" t="s">
        <v>177</v>
      </c>
      <c r="E21" s="71">
        <v>42606</v>
      </c>
      <c r="F21" s="77">
        <v>672.43</v>
      </c>
      <c r="G21" s="77">
        <v>634.79</v>
      </c>
      <c r="H21" s="76" t="s">
        <v>124</v>
      </c>
      <c r="I21" s="76" t="s">
        <v>124</v>
      </c>
      <c r="J21" s="76" t="s">
        <v>124</v>
      </c>
      <c r="K21" s="54" t="str">
        <f t="shared" si="0"/>
        <v>N/A</v>
      </c>
      <c r="L21" s="54" t="str">
        <f t="shared" si="1"/>
        <v>N/A</v>
      </c>
      <c r="M21" s="54" t="str">
        <f t="shared" si="2"/>
        <v>N/A</v>
      </c>
    </row>
    <row r="22" spans="2:13" ht="15.5" x14ac:dyDescent="0.35">
      <c r="B22" s="74" t="s">
        <v>239</v>
      </c>
      <c r="C22" s="75" t="s">
        <v>247</v>
      </c>
      <c r="D22" s="218" t="s">
        <v>177</v>
      </c>
      <c r="E22" s="71">
        <v>42415</v>
      </c>
      <c r="F22" s="77">
        <v>715.22</v>
      </c>
      <c r="G22" s="77">
        <v>546.6</v>
      </c>
      <c r="H22" s="77">
        <v>509.9</v>
      </c>
      <c r="I22" s="77">
        <v>64.959999999999994</v>
      </c>
      <c r="J22" s="77">
        <v>25.61</v>
      </c>
      <c r="K22" s="54">
        <f t="shared" si="0"/>
        <v>1.4026671896450285</v>
      </c>
      <c r="L22" s="54">
        <f t="shared" si="1"/>
        <v>11.010160098522169</v>
      </c>
      <c r="M22" s="54">
        <f t="shared" si="2"/>
        <v>21.343225302616165</v>
      </c>
    </row>
    <row r="23" spans="2:13" ht="15.5" x14ac:dyDescent="0.35">
      <c r="B23" s="74" t="s">
        <v>172</v>
      </c>
      <c r="C23" s="75" t="s">
        <v>167</v>
      </c>
      <c r="D23" s="218" t="s">
        <v>179</v>
      </c>
      <c r="E23" s="71">
        <v>42403</v>
      </c>
      <c r="F23" s="77">
        <v>2294.61</v>
      </c>
      <c r="G23" s="77">
        <v>1876.81</v>
      </c>
      <c r="H23" s="77">
        <v>3067.02</v>
      </c>
      <c r="I23" s="77">
        <v>162.47</v>
      </c>
      <c r="J23" s="77">
        <v>42.5</v>
      </c>
      <c r="K23" s="54">
        <f t="shared" si="0"/>
        <v>0.74815619069976724</v>
      </c>
      <c r="L23" s="54">
        <f t="shared" si="1"/>
        <v>14.123284298639749</v>
      </c>
      <c r="M23" s="54">
        <f t="shared" si="2"/>
        <v>44.160235294117648</v>
      </c>
    </row>
    <row r="24" spans="2:13" ht="15.5" x14ac:dyDescent="0.35">
      <c r="B24" s="188" t="s">
        <v>240</v>
      </c>
      <c r="C24" s="75" t="s">
        <v>247</v>
      </c>
      <c r="D24" s="218" t="s">
        <v>177</v>
      </c>
      <c r="E24" s="71">
        <v>42396</v>
      </c>
      <c r="F24" s="77">
        <v>675.35</v>
      </c>
      <c r="G24" s="77">
        <v>508.62</v>
      </c>
      <c r="H24" s="77">
        <v>509.9</v>
      </c>
      <c r="I24" s="77">
        <v>64.959999999999994</v>
      </c>
      <c r="J24" s="77">
        <v>25.61</v>
      </c>
      <c r="K24" s="54">
        <f t="shared" si="0"/>
        <v>1.3244753873308492</v>
      </c>
      <c r="L24" s="54">
        <f t="shared" si="1"/>
        <v>10.396397783251233</v>
      </c>
      <c r="M24" s="54">
        <f t="shared" si="2"/>
        <v>19.860210855134714</v>
      </c>
    </row>
    <row r="25" spans="2:13" ht="15.5" x14ac:dyDescent="0.35">
      <c r="B25" s="74" t="s">
        <v>241</v>
      </c>
      <c r="C25" s="75" t="s">
        <v>247</v>
      </c>
      <c r="D25" s="218" t="s">
        <v>177</v>
      </c>
      <c r="E25" s="71">
        <v>42396</v>
      </c>
      <c r="F25" s="77">
        <v>699.24</v>
      </c>
      <c r="G25" s="77">
        <v>532.51</v>
      </c>
      <c r="H25" s="77">
        <v>509.9</v>
      </c>
      <c r="I25" s="77">
        <v>64.959999999999994</v>
      </c>
      <c r="J25" s="77">
        <v>25.61</v>
      </c>
      <c r="K25" s="54">
        <f t="shared" si="0"/>
        <v>1.3713277113159443</v>
      </c>
      <c r="L25" s="54">
        <f t="shared" si="1"/>
        <v>10.764162561576356</v>
      </c>
      <c r="M25" s="54">
        <f t="shared" si="2"/>
        <v>20.793049590003903</v>
      </c>
    </row>
    <row r="26" spans="2:13" ht="15.5" x14ac:dyDescent="0.35">
      <c r="B26" s="74" t="s">
        <v>242</v>
      </c>
      <c r="C26" s="75" t="s">
        <v>257</v>
      </c>
      <c r="D26" s="218" t="s">
        <v>177</v>
      </c>
      <c r="E26" s="71">
        <v>42314</v>
      </c>
      <c r="F26" s="77">
        <v>200</v>
      </c>
      <c r="G26" s="77">
        <v>200</v>
      </c>
      <c r="H26" s="76" t="s">
        <v>124</v>
      </c>
      <c r="I26" s="76" t="s">
        <v>124</v>
      </c>
      <c r="J26" s="76" t="s">
        <v>124</v>
      </c>
      <c r="K26" s="54" t="str">
        <f t="shared" si="0"/>
        <v>N/A</v>
      </c>
      <c r="L26" s="54" t="str">
        <f t="shared" si="1"/>
        <v>N/A</v>
      </c>
      <c r="M26" s="54" t="str">
        <f t="shared" si="2"/>
        <v>N/A</v>
      </c>
    </row>
    <row r="27" spans="2:13" ht="15.5" x14ac:dyDescent="0.35">
      <c r="B27" s="74" t="s">
        <v>243</v>
      </c>
      <c r="C27" s="75" t="s">
        <v>258</v>
      </c>
      <c r="D27" s="218" t="s">
        <v>179</v>
      </c>
      <c r="E27" s="71">
        <v>42195</v>
      </c>
      <c r="F27" s="77">
        <v>362.5</v>
      </c>
      <c r="G27" s="77">
        <v>362.5</v>
      </c>
      <c r="H27" s="76" t="s">
        <v>124</v>
      </c>
      <c r="I27" s="76" t="s">
        <v>124</v>
      </c>
      <c r="J27" s="76" t="s">
        <v>124</v>
      </c>
      <c r="K27" s="54" t="str">
        <f t="shared" si="0"/>
        <v>N/A</v>
      </c>
      <c r="L27" s="54" t="str">
        <f t="shared" si="1"/>
        <v>N/A</v>
      </c>
      <c r="M27" s="54" t="str">
        <f t="shared" si="2"/>
        <v>N/A</v>
      </c>
    </row>
    <row r="28" spans="2:13" ht="15.5" x14ac:dyDescent="0.35">
      <c r="B28" s="74" t="s">
        <v>244</v>
      </c>
      <c r="C28" s="75" t="s">
        <v>275</v>
      </c>
      <c r="D28" s="218" t="s">
        <v>178</v>
      </c>
      <c r="E28" s="71">
        <v>42186</v>
      </c>
      <c r="F28" s="77">
        <v>293</v>
      </c>
      <c r="G28" s="77">
        <v>245.81</v>
      </c>
      <c r="H28" s="77">
        <v>309.52</v>
      </c>
      <c r="I28" s="77">
        <v>37.47</v>
      </c>
      <c r="J28" s="77">
        <v>18.77</v>
      </c>
      <c r="K28" s="54">
        <f t="shared" si="0"/>
        <v>0.94662703540966664</v>
      </c>
      <c r="L28" s="54">
        <f t="shared" si="1"/>
        <v>7.8195890045369634</v>
      </c>
      <c r="M28" s="54">
        <f t="shared" si="2"/>
        <v>13.095897709110282</v>
      </c>
    </row>
    <row r="29" spans="2:13" ht="15.5" x14ac:dyDescent="0.35">
      <c r="B29" s="74" t="s">
        <v>245</v>
      </c>
      <c r="C29" s="75" t="s">
        <v>171</v>
      </c>
      <c r="D29" s="218" t="s">
        <v>178</v>
      </c>
      <c r="E29" s="71">
        <v>42082</v>
      </c>
      <c r="F29" s="77">
        <v>152.4</v>
      </c>
      <c r="G29" s="77">
        <v>152.4</v>
      </c>
      <c r="H29" s="77">
        <v>138.25</v>
      </c>
      <c r="I29" s="77">
        <v>20.21</v>
      </c>
      <c r="J29" s="77" t="s">
        <v>260</v>
      </c>
      <c r="K29" s="54">
        <f t="shared" si="0"/>
        <v>1.1023508137432187</v>
      </c>
      <c r="L29" s="54">
        <f t="shared" si="1"/>
        <v>7.5408213755566553</v>
      </c>
      <c r="M29" s="54" t="str">
        <f t="shared" si="2"/>
        <v>N/A</v>
      </c>
    </row>
    <row r="30" spans="2:13" ht="15.5" x14ac:dyDescent="0.35">
      <c r="B30" s="74" t="s">
        <v>174</v>
      </c>
      <c r="C30" s="75" t="s">
        <v>169</v>
      </c>
      <c r="D30" s="218" t="s">
        <v>179</v>
      </c>
      <c r="E30" s="71">
        <v>41997</v>
      </c>
      <c r="F30" s="77">
        <v>726.5</v>
      </c>
      <c r="G30" s="77">
        <v>674.97</v>
      </c>
      <c r="H30" s="77">
        <v>1356.88</v>
      </c>
      <c r="I30" s="77">
        <v>54.84</v>
      </c>
      <c r="J30" s="77">
        <v>2.5099999999999998</v>
      </c>
      <c r="K30" s="54">
        <f t="shared" si="0"/>
        <v>0.53541949177524906</v>
      </c>
      <c r="L30" s="54">
        <f t="shared" si="1"/>
        <v>13.247629467541939</v>
      </c>
      <c r="M30" s="54" t="str">
        <f t="shared" si="2"/>
        <v>NM</v>
      </c>
    </row>
    <row r="31" spans="2:13" ht="15.5" x14ac:dyDescent="0.35">
      <c r="B31" s="74" t="s">
        <v>246</v>
      </c>
      <c r="C31" s="75" t="s">
        <v>169</v>
      </c>
      <c r="D31" s="218" t="s">
        <v>179</v>
      </c>
      <c r="E31" s="71">
        <v>41971</v>
      </c>
      <c r="F31" s="77">
        <v>572.62</v>
      </c>
      <c r="G31" s="77">
        <v>518.01</v>
      </c>
      <c r="H31" s="77">
        <v>1356.88</v>
      </c>
      <c r="I31" s="77">
        <v>54.84</v>
      </c>
      <c r="J31" s="77">
        <v>2.5099999999999998</v>
      </c>
      <c r="K31" s="54">
        <f t="shared" si="0"/>
        <v>0.42201226342786391</v>
      </c>
      <c r="L31" s="54">
        <f t="shared" si="1"/>
        <v>10.441648431801605</v>
      </c>
      <c r="M31" s="54" t="str">
        <f t="shared" si="2"/>
        <v>NM</v>
      </c>
    </row>
    <row r="32" spans="2:13" ht="15.5" x14ac:dyDescent="0.35">
      <c r="B32" s="74" t="s">
        <v>238</v>
      </c>
      <c r="C32" s="75" t="s">
        <v>259</v>
      </c>
      <c r="D32" s="218" t="s">
        <v>179</v>
      </c>
      <c r="E32" s="71">
        <v>41899</v>
      </c>
      <c r="F32" s="77">
        <v>342.71</v>
      </c>
      <c r="G32" s="77">
        <v>342.71</v>
      </c>
      <c r="H32" s="76" t="s">
        <v>124</v>
      </c>
      <c r="I32" s="77">
        <v>50.24</v>
      </c>
      <c r="J32" s="76" t="s">
        <v>124</v>
      </c>
      <c r="K32" s="54" t="str">
        <f t="shared" si="0"/>
        <v>N/A</v>
      </c>
      <c r="L32" s="54">
        <f t="shared" si="1"/>
        <v>6.8214570063694264</v>
      </c>
      <c r="M32" s="54" t="str">
        <f t="shared" si="2"/>
        <v>N/A</v>
      </c>
    </row>
    <row r="33" spans="2:13" ht="15.5" x14ac:dyDescent="0.35">
      <c r="B33" s="74" t="s">
        <v>247</v>
      </c>
      <c r="C33" s="75" t="s">
        <v>170</v>
      </c>
      <c r="D33" s="218" t="s">
        <v>177</v>
      </c>
      <c r="E33" s="71">
        <v>41806</v>
      </c>
      <c r="F33" s="77">
        <v>193.2</v>
      </c>
      <c r="G33" s="77">
        <v>193.2</v>
      </c>
      <c r="H33" s="77">
        <v>78.91</v>
      </c>
      <c r="I33" s="76" t="s">
        <v>124</v>
      </c>
      <c r="J33" s="76" t="s">
        <v>124</v>
      </c>
      <c r="K33" s="54">
        <f t="shared" si="0"/>
        <v>2.4483588898745405</v>
      </c>
      <c r="L33" s="54" t="str">
        <f t="shared" si="1"/>
        <v>N/A</v>
      </c>
      <c r="M33" s="54" t="str">
        <f t="shared" si="2"/>
        <v>N/A</v>
      </c>
    </row>
    <row r="34" spans="2:13" x14ac:dyDescent="0.35">
      <c r="F34" s="7"/>
      <c r="G34" s="7"/>
    </row>
    <row r="35" spans="2:13" ht="15.5" x14ac:dyDescent="0.35">
      <c r="C35" s="20" t="s">
        <v>45</v>
      </c>
      <c r="D35" s="21"/>
      <c r="E35" s="63"/>
      <c r="F35" s="23">
        <f t="shared" ref="F35:M35" si="3">MAX(F10:F33)</f>
        <v>18429.98</v>
      </c>
      <c r="G35" s="23">
        <f t="shared" si="3"/>
        <v>13078.17</v>
      </c>
      <c r="H35" s="23">
        <f t="shared" si="3"/>
        <v>14071</v>
      </c>
      <c r="I35" s="23">
        <f t="shared" si="3"/>
        <v>1894</v>
      </c>
      <c r="J35" s="23">
        <f t="shared" si="3"/>
        <v>868</v>
      </c>
      <c r="K35" s="56">
        <f t="shared" si="3"/>
        <v>2.4483588898745405</v>
      </c>
      <c r="L35" s="56">
        <f t="shared" si="3"/>
        <v>14.123284298639749</v>
      </c>
      <c r="M35" s="57">
        <f t="shared" si="3"/>
        <v>44.160235294117648</v>
      </c>
    </row>
    <row r="36" spans="2:13" ht="15.5" x14ac:dyDescent="0.35">
      <c r="C36" s="26" t="s">
        <v>46</v>
      </c>
      <c r="D36" s="8"/>
      <c r="E36" s="64"/>
      <c r="F36" s="28">
        <f t="shared" ref="F36:M36" si="4">QUARTILE(F10:F33,3)</f>
        <v>698.505</v>
      </c>
      <c r="G36" s="28">
        <f t="shared" si="4"/>
        <v>590.69499999999994</v>
      </c>
      <c r="H36" s="28">
        <f t="shared" si="4"/>
        <v>1356.88</v>
      </c>
      <c r="I36" s="28">
        <f t="shared" si="4"/>
        <v>64.959999999999994</v>
      </c>
      <c r="J36" s="28">
        <f t="shared" si="4"/>
        <v>25.61</v>
      </c>
      <c r="K36" s="54">
        <f t="shared" si="4"/>
        <v>1.3171300254115692</v>
      </c>
      <c r="L36" s="54">
        <f t="shared" si="4"/>
        <v>10.912017502734802</v>
      </c>
      <c r="M36" s="58">
        <f t="shared" si="4"/>
        <v>26.425539352878765</v>
      </c>
    </row>
    <row r="37" spans="2:13" ht="15.5" x14ac:dyDescent="0.35">
      <c r="C37" s="31" t="s">
        <v>47</v>
      </c>
      <c r="D37" s="32"/>
      <c r="E37" s="65"/>
      <c r="F37" s="34">
        <f t="shared" ref="F37:M37" si="5">MEDIAN(F10:F33)</f>
        <v>400.22500000000002</v>
      </c>
      <c r="G37" s="34">
        <f t="shared" si="5"/>
        <v>401.52</v>
      </c>
      <c r="H37" s="34">
        <f t="shared" si="5"/>
        <v>650.09</v>
      </c>
      <c r="I37" s="34">
        <f t="shared" si="5"/>
        <v>63.99</v>
      </c>
      <c r="J37" s="34">
        <f t="shared" si="5"/>
        <v>22.189999999999998</v>
      </c>
      <c r="K37" s="59">
        <f t="shared" si="5"/>
        <v>0.94662703540966664</v>
      </c>
      <c r="L37" s="59">
        <f t="shared" si="5"/>
        <v>10.441648431801605</v>
      </c>
      <c r="M37" s="60">
        <f t="shared" si="5"/>
        <v>20.793049590003903</v>
      </c>
    </row>
    <row r="38" spans="2:13" ht="15.5" x14ac:dyDescent="0.35">
      <c r="C38" s="26" t="s">
        <v>48</v>
      </c>
      <c r="D38" s="8"/>
      <c r="E38" s="64"/>
      <c r="F38" s="28">
        <f t="shared" ref="F38:M38" si="6">QUARTILE(F10:F33,1)</f>
        <v>219.33500000000001</v>
      </c>
      <c r="G38" s="28">
        <f t="shared" si="6"/>
        <v>216.65</v>
      </c>
      <c r="H38" s="28">
        <f t="shared" si="6"/>
        <v>509.9</v>
      </c>
      <c r="I38" s="28">
        <f t="shared" si="6"/>
        <v>50.24</v>
      </c>
      <c r="J38" s="28">
        <f t="shared" si="6"/>
        <v>5.7024999999999997</v>
      </c>
      <c r="K38" s="54">
        <f t="shared" si="6"/>
        <v>0.41913988882033781</v>
      </c>
      <c r="L38" s="54">
        <f t="shared" si="6"/>
        <v>7.8195890045369634</v>
      </c>
      <c r="M38" s="58">
        <f t="shared" si="6"/>
        <v>17.463613492083486</v>
      </c>
    </row>
    <row r="39" spans="2:13" ht="15.5" x14ac:dyDescent="0.35">
      <c r="C39" s="38" t="s">
        <v>49</v>
      </c>
      <c r="D39" s="90"/>
      <c r="E39" s="66"/>
      <c r="F39" s="41">
        <f t="shared" ref="F39:M39" si="7">MIN(F10:F33)</f>
        <v>93.48</v>
      </c>
      <c r="G39" s="41">
        <f t="shared" si="7"/>
        <v>102.92</v>
      </c>
      <c r="H39" s="41">
        <f t="shared" si="7"/>
        <v>78.91</v>
      </c>
      <c r="I39" s="41">
        <f t="shared" si="7"/>
        <v>8.91</v>
      </c>
      <c r="J39" s="41">
        <f t="shared" si="7"/>
        <v>0.76</v>
      </c>
      <c r="K39" s="61">
        <f t="shared" si="7"/>
        <v>0.15727312493690906</v>
      </c>
      <c r="L39" s="61">
        <f t="shared" si="7"/>
        <v>2.9998714157130002</v>
      </c>
      <c r="M39" s="62">
        <f t="shared" si="7"/>
        <v>13.095897709110282</v>
      </c>
    </row>
  </sheetData>
  <sortState xmlns:xlrd2="http://schemas.microsoft.com/office/spreadsheetml/2017/richdata2" ref="B10:M34">
    <sortCondition descending="1" ref="E10:E34"/>
  </sortState>
  <pageMargins left="0.7" right="0.7" top="0.75" bottom="0.75" header="0.3" footer="0.3"/>
  <pageSetup scale="35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45"/>
  <sheetViews>
    <sheetView showGridLines="0" zoomScaleNormal="100" workbookViewId="0"/>
  </sheetViews>
  <sheetFormatPr defaultRowHeight="14.5" x14ac:dyDescent="0.35"/>
  <cols>
    <col min="1" max="1" width="2.7265625" customWidth="1"/>
    <col min="2" max="2" width="42.54296875" bestFit="1" customWidth="1"/>
    <col min="3" max="7" width="10.7265625" customWidth="1"/>
    <col min="8" max="8" width="9.81640625" customWidth="1"/>
    <col min="9" max="13" width="10.7265625" customWidth="1"/>
    <col min="14" max="14" width="2.81640625" customWidth="1"/>
  </cols>
  <sheetData>
    <row r="1" spans="1:14" ht="15.5" x14ac:dyDescent="0.35">
      <c r="A1" s="220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0"/>
    </row>
    <row r="2" spans="1:14" ht="18.5" x14ac:dyDescent="0.45">
      <c r="A2" s="220"/>
      <c r="B2" s="6" t="str">
        <f>"Valuation Summary - "&amp;Company_Name</f>
        <v>Valuation Summary - Michael Hill International Limited</v>
      </c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0"/>
    </row>
    <row r="3" spans="1:14" ht="15.5" x14ac:dyDescent="0.35">
      <c r="A3" s="220"/>
      <c r="B3" s="8" t="str">
        <f>'Pub-Comps'!$B$3</f>
        <v>($ AUD in Millions Except Per Share Amounts in AUD as Stated)</v>
      </c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0"/>
    </row>
    <row r="4" spans="1:14" ht="15.5" x14ac:dyDescent="0.35">
      <c r="A4" s="220"/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0"/>
    </row>
    <row r="5" spans="1:14" ht="15.5" x14ac:dyDescent="0.35">
      <c r="A5" s="220"/>
      <c r="B5" s="53" t="s">
        <v>200</v>
      </c>
      <c r="C5" s="11" t="s">
        <v>199</v>
      </c>
      <c r="D5" s="11"/>
      <c r="E5" s="11"/>
      <c r="F5" s="14"/>
      <c r="G5" s="14"/>
      <c r="H5" s="14"/>
      <c r="I5" s="11" t="s">
        <v>198</v>
      </c>
      <c r="J5" s="14"/>
      <c r="K5" s="14"/>
      <c r="L5" s="14"/>
      <c r="M5" s="14"/>
      <c r="N5" s="220"/>
    </row>
    <row r="6" spans="1:14" ht="15.5" x14ac:dyDescent="0.35">
      <c r="A6" s="220"/>
      <c r="B6" s="9"/>
      <c r="C6" s="10"/>
      <c r="D6" s="11"/>
      <c r="E6" s="11"/>
      <c r="F6" s="14"/>
      <c r="G6" s="11"/>
      <c r="H6" s="11"/>
      <c r="I6" s="11"/>
      <c r="J6" s="11"/>
      <c r="K6" s="11"/>
      <c r="L6" s="11"/>
      <c r="M6" s="11"/>
      <c r="N6" s="220"/>
    </row>
    <row r="7" spans="1:14" ht="15.5" x14ac:dyDescent="0.35">
      <c r="A7" s="220"/>
      <c r="B7" s="9"/>
      <c r="C7" s="10"/>
      <c r="D7" s="10" t="s">
        <v>73</v>
      </c>
      <c r="E7" s="10"/>
      <c r="F7" s="10" t="s">
        <v>74</v>
      </c>
      <c r="G7" s="11"/>
      <c r="H7" s="10" t="s">
        <v>75</v>
      </c>
      <c r="I7" s="10"/>
      <c r="J7" s="10" t="s">
        <v>74</v>
      </c>
      <c r="K7" s="10"/>
      <c r="L7" s="10" t="s">
        <v>73</v>
      </c>
      <c r="M7" s="10"/>
      <c r="N7" s="220"/>
    </row>
    <row r="8" spans="1:14" ht="15.5" x14ac:dyDescent="0.35">
      <c r="A8" s="220"/>
      <c r="B8" s="9"/>
      <c r="C8" s="10" t="s">
        <v>45</v>
      </c>
      <c r="D8" s="10" t="s">
        <v>76</v>
      </c>
      <c r="E8" s="10" t="s">
        <v>47</v>
      </c>
      <c r="F8" s="10" t="s">
        <v>76</v>
      </c>
      <c r="G8" s="10" t="s">
        <v>49</v>
      </c>
      <c r="H8" s="10" t="s">
        <v>77</v>
      </c>
      <c r="I8" s="10" t="s">
        <v>49</v>
      </c>
      <c r="J8" s="10" t="s">
        <v>76</v>
      </c>
      <c r="K8" s="10" t="s">
        <v>47</v>
      </c>
      <c r="L8" s="10" t="s">
        <v>76</v>
      </c>
      <c r="M8" s="10" t="s">
        <v>45</v>
      </c>
      <c r="N8" s="220"/>
    </row>
    <row r="9" spans="1:14" ht="15.5" x14ac:dyDescent="0.35">
      <c r="A9" s="220"/>
      <c r="B9" s="12" t="s">
        <v>72</v>
      </c>
      <c r="C9" s="13" t="s">
        <v>78</v>
      </c>
      <c r="D9" s="13" t="s">
        <v>78</v>
      </c>
      <c r="E9" s="13" t="s">
        <v>78</v>
      </c>
      <c r="F9" s="13" t="s">
        <v>78</v>
      </c>
      <c r="G9" s="13" t="s">
        <v>78</v>
      </c>
      <c r="H9" s="13" t="s">
        <v>79</v>
      </c>
      <c r="I9" s="13" t="s">
        <v>78</v>
      </c>
      <c r="J9" s="13" t="s">
        <v>78</v>
      </c>
      <c r="K9" s="13" t="s">
        <v>78</v>
      </c>
      <c r="L9" s="13" t="s">
        <v>78</v>
      </c>
      <c r="M9" s="13" t="s">
        <v>78</v>
      </c>
      <c r="N9" s="220"/>
    </row>
    <row r="10" spans="1:14" ht="15.5" x14ac:dyDescent="0.35">
      <c r="A10" s="220"/>
      <c r="B10" s="220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</row>
    <row r="11" spans="1:14" ht="15.5" x14ac:dyDescent="0.35">
      <c r="A11" s="220"/>
      <c r="B11" s="179" t="s">
        <v>80</v>
      </c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</row>
    <row r="12" spans="1:14" ht="15.5" x14ac:dyDescent="0.35">
      <c r="A12" s="220"/>
      <c r="B12" s="222" t="s">
        <v>81</v>
      </c>
      <c r="C12" s="223">
        <f t="array" ref="C12:G12">TRANSPOSE('Pub-Comps'!L39:L43)</f>
        <v>4.4289219354838716</v>
      </c>
      <c r="D12" s="223">
        <v>1.2366659660978385</v>
      </c>
      <c r="E12" s="223">
        <v>0.99342818281095346</v>
      </c>
      <c r="F12" s="223">
        <v>0.69437143314113126</v>
      </c>
      <c r="G12" s="223">
        <v>0.32386723850986121</v>
      </c>
      <c r="H12" s="224">
        <f t="array" ref="H12:H20">TRANSPOSE('Pub-Comps'!L24:T24)</f>
        <v>575.54877738251264</v>
      </c>
      <c r="I12" s="225">
        <f t="shared" ref="I12:M17" si="0">(I32+SUM($E$31:$E$34))/DIluted_Shares</f>
        <v>0.40845767804282507</v>
      </c>
      <c r="J12" s="225">
        <f t="shared" si="0"/>
        <v>0.95830756537630657</v>
      </c>
      <c r="K12" s="225">
        <f t="shared" si="0"/>
        <v>1.4021252670245099</v>
      </c>
      <c r="L12" s="225">
        <f t="shared" si="0"/>
        <v>1.7631043589579853</v>
      </c>
      <c r="M12" s="225">
        <f t="shared" si="0"/>
        <v>6.5005988611549181</v>
      </c>
      <c r="N12" s="220"/>
    </row>
    <row r="13" spans="1:14" ht="15.5" x14ac:dyDescent="0.35">
      <c r="A13" s="220"/>
      <c r="B13" s="222" t="str">
        <f>"FY "&amp;TEXT(EOMONTH(Hist_Year,12),"YY")&amp;" EV / Revenue:"</f>
        <v>FY 19 EV / Revenue:</v>
      </c>
      <c r="C13" s="223">
        <f t="array" ref="C13:G13">TRANSPOSE('Pub-Comps'!M39:M43)</f>
        <v>3.9122203858992108</v>
      </c>
      <c r="D13" s="223">
        <v>1.1375955043692114</v>
      </c>
      <c r="E13" s="223">
        <v>0.87903214265269902</v>
      </c>
      <c r="F13" s="223">
        <v>0.53931786234817825</v>
      </c>
      <c r="G13" s="223">
        <v>0.28282102502879763</v>
      </c>
      <c r="H13" s="226">
        <v>580.28465209087562</v>
      </c>
      <c r="I13" s="227">
        <f t="shared" si="0"/>
        <v>0.35099636683399799</v>
      </c>
      <c r="J13" s="227">
        <f t="shared" si="0"/>
        <v>0.73478488178179713</v>
      </c>
      <c r="K13" s="227">
        <f t="shared" si="0"/>
        <v>1.2430891576052447</v>
      </c>
      <c r="L13" s="227">
        <f t="shared" si="0"/>
        <v>1.6299697509496713</v>
      </c>
      <c r="M13" s="227">
        <f t="shared" si="0"/>
        <v>5.7815576377573157</v>
      </c>
      <c r="N13" s="220"/>
    </row>
    <row r="14" spans="1:14" ht="15.5" x14ac:dyDescent="0.35">
      <c r="A14" s="220"/>
      <c r="B14" s="222" t="str">
        <f>"FY "&amp;TEXT(EOMONTH(Hist_Year,24),"YY")&amp;" EV / Revenue:"</f>
        <v>FY 20 EV / Revenue:</v>
      </c>
      <c r="C14" s="223">
        <f t="array" ref="C14:G14">TRANSPOSE('Pub-Comps'!N39:N43)</f>
        <v>3.2553468820919282</v>
      </c>
      <c r="D14" s="223">
        <v>1.0244001217561345</v>
      </c>
      <c r="E14" s="223">
        <v>0.80798802946592996</v>
      </c>
      <c r="F14" s="223">
        <v>0.52206445031497661</v>
      </c>
      <c r="G14" s="223">
        <v>0.27453734565488791</v>
      </c>
      <c r="H14" s="226">
        <v>587.86937499898931</v>
      </c>
      <c r="I14" s="227">
        <f t="shared" si="0"/>
        <v>0.34397095163691038</v>
      </c>
      <c r="J14" s="227">
        <f t="shared" si="0"/>
        <v>0.71917928344131399</v>
      </c>
      <c r="K14" s="227">
        <f t="shared" si="0"/>
        <v>1.152590037807365</v>
      </c>
      <c r="L14" s="227">
        <f t="shared" si="0"/>
        <v>1.4806333857955132</v>
      </c>
      <c r="M14" s="227">
        <f t="shared" si="0"/>
        <v>4.8623632914538035</v>
      </c>
      <c r="N14" s="220"/>
    </row>
    <row r="15" spans="1:14" ht="15.5" x14ac:dyDescent="0.35">
      <c r="A15" s="220"/>
      <c r="B15" s="222" t="s">
        <v>82</v>
      </c>
      <c r="C15" s="223">
        <f t="array" ref="C15:G15">TRANSPOSE('Pub-Comps'!O39:O43)</f>
        <v>17.608659778362572</v>
      </c>
      <c r="D15" s="223">
        <v>9.6947994131549624</v>
      </c>
      <c r="E15" s="223">
        <v>8.003145298194946</v>
      </c>
      <c r="F15" s="223">
        <v>7.6850649350649354</v>
      </c>
      <c r="G15" s="223">
        <v>6.0218872549019604</v>
      </c>
      <c r="H15" s="226">
        <v>68.840999999999994</v>
      </c>
      <c r="I15" s="227">
        <f t="shared" si="0"/>
        <v>0.99674828389546377</v>
      </c>
      <c r="J15" s="227">
        <f t="shared" si="0"/>
        <v>1.2919743462250886</v>
      </c>
      <c r="K15" s="227">
        <f t="shared" si="0"/>
        <v>1.3484359102728025</v>
      </c>
      <c r="L15" s="227">
        <f t="shared" si="0"/>
        <v>1.6487167456519873</v>
      </c>
      <c r="M15" s="227">
        <f t="shared" si="0"/>
        <v>3.0534841744800296</v>
      </c>
      <c r="N15" s="220"/>
    </row>
    <row r="16" spans="1:14" ht="15.5" x14ac:dyDescent="0.35">
      <c r="A16" s="220"/>
      <c r="B16" s="222" t="str">
        <f>"FY "&amp;TEXT(EOMONTH(Hist_Year,12),"YY")&amp;" EV / EBITDA:"</f>
        <v>FY 19 EV / EBITDA:</v>
      </c>
      <c r="C16" s="223">
        <f t="array" ref="C16:G16">TRANSPOSE('Pub-Comps'!P39:P43)</f>
        <v>15.864576758005944</v>
      </c>
      <c r="D16" s="223">
        <v>8.996275197598802</v>
      </c>
      <c r="E16" s="223">
        <v>7.6999326098917171</v>
      </c>
      <c r="F16" s="223">
        <v>5.5920657319737792</v>
      </c>
      <c r="G16" s="223">
        <v>4.7017417764581131</v>
      </c>
      <c r="H16" s="226">
        <v>73.329069177316782</v>
      </c>
      <c r="I16" s="227">
        <f t="shared" si="0"/>
        <v>0.81682397796653805</v>
      </c>
      <c r="J16" s="227">
        <f t="shared" si="0"/>
        <v>0.98516621987047637</v>
      </c>
      <c r="K16" s="227">
        <f t="shared" si="0"/>
        <v>1.3837211881665268</v>
      </c>
      <c r="L16" s="227">
        <f t="shared" si="0"/>
        <v>1.628833336546009</v>
      </c>
      <c r="M16" s="227">
        <f t="shared" si="0"/>
        <v>2.927490163185682</v>
      </c>
      <c r="N16" s="220"/>
    </row>
    <row r="17" spans="1:14" ht="15.5" x14ac:dyDescent="0.35">
      <c r="A17" s="220"/>
      <c r="B17" s="222" t="str">
        <f>"FY "&amp;TEXT(EOMONTH(Hist_Year,24),"YY")&amp;" EV / EBITDA:"</f>
        <v>FY 20 EV / EBITDA:</v>
      </c>
      <c r="C17" s="223">
        <f t="array" ref="C17:G17">TRANSPOSE('Pub-Comps'!Q39:Q43)</f>
        <v>13.494468688570628</v>
      </c>
      <c r="D17" s="223">
        <v>7.9502891777188331</v>
      </c>
      <c r="E17" s="223">
        <v>6.9111294268452843</v>
      </c>
      <c r="F17" s="223">
        <v>5.1512286145588728</v>
      </c>
      <c r="G17" s="223">
        <v>3.1646862213740459</v>
      </c>
      <c r="H17" s="226">
        <v>72.970357520788767</v>
      </c>
      <c r="I17" s="227">
        <f t="shared" si="0"/>
        <v>0.52327072863559587</v>
      </c>
      <c r="J17" s="227">
        <f t="shared" si="0"/>
        <v>0.89704825627225371</v>
      </c>
      <c r="K17" s="227">
        <f t="shared" si="0"/>
        <v>1.2281820779107422</v>
      </c>
      <c r="L17" s="227">
        <f t="shared" si="0"/>
        <v>1.4237049944281863</v>
      </c>
      <c r="M17" s="227">
        <f t="shared" si="0"/>
        <v>2.4668690957578847</v>
      </c>
      <c r="N17" s="220"/>
    </row>
    <row r="18" spans="1:14" ht="15.5" x14ac:dyDescent="0.35">
      <c r="A18" s="220"/>
      <c r="B18" s="222" t="s">
        <v>83</v>
      </c>
      <c r="C18" s="223">
        <f t="array" ref="C18:G18">TRANSPOSE('Pub-Comps'!R39:R43)</f>
        <v>33.862997955172418</v>
      </c>
      <c r="D18" s="223">
        <v>19.045988803636366</v>
      </c>
      <c r="E18" s="223">
        <v>12.898300881632652</v>
      </c>
      <c r="F18" s="223">
        <v>11.65609756097561</v>
      </c>
      <c r="G18" s="223">
        <v>9.7031454248366007</v>
      </c>
      <c r="H18" s="226">
        <v>34.817999999999998</v>
      </c>
      <c r="I18" s="227">
        <f t="shared" ref="I18:M20" si="1">+I38/DIluted_Shares</f>
        <v>0.87113454649002997</v>
      </c>
      <c r="J18" s="227">
        <f t="shared" si="1"/>
        <v>1.0464678017329649</v>
      </c>
      <c r="K18" s="227">
        <f t="shared" si="1"/>
        <v>1.1579910428068463</v>
      </c>
      <c r="L18" s="227">
        <f t="shared" si="1"/>
        <v>1.7099216895627798</v>
      </c>
      <c r="M18" s="227">
        <f t="shared" si="1"/>
        <v>3.0401716221797948</v>
      </c>
      <c r="N18" s="220"/>
    </row>
    <row r="19" spans="1:14" ht="14.5" customHeight="1" x14ac:dyDescent="0.35">
      <c r="A19" s="220"/>
      <c r="B19" s="222" t="str">
        <f>"FY "&amp;TEXT(EOMONTH(Hist_Year,12),"YY")&amp;" P / E:"</f>
        <v>FY 19 P / E:</v>
      </c>
      <c r="C19" s="223">
        <f t="array" ref="C19:G19">TRANSPOSE('Pub-Comps'!S39:S43)</f>
        <v>27.305554150632215</v>
      </c>
      <c r="D19" s="223">
        <v>17.979931627128952</v>
      </c>
      <c r="E19" s="223">
        <v>12.944531350742448</v>
      </c>
      <c r="F19" s="223">
        <v>10.423118865866957</v>
      </c>
      <c r="G19" s="223">
        <v>9.0302995742092449</v>
      </c>
      <c r="H19" s="226">
        <v>35.664940988757877</v>
      </c>
      <c r="I19" s="227">
        <f t="shared" si="1"/>
        <v>0.83044819080364884</v>
      </c>
      <c r="J19" s="227">
        <f t="shared" si="1"/>
        <v>0.95853522173416517</v>
      </c>
      <c r="K19" s="227">
        <f t="shared" si="1"/>
        <v>1.1904104124880599</v>
      </c>
      <c r="L19" s="227">
        <f t="shared" si="1"/>
        <v>1.6534780012356389</v>
      </c>
      <c r="M19" s="227">
        <f t="shared" si="1"/>
        <v>2.5110848047662073</v>
      </c>
      <c r="N19" s="220"/>
    </row>
    <row r="20" spans="1:14" ht="15.5" x14ac:dyDescent="0.35">
      <c r="A20" s="220"/>
      <c r="B20" s="222" t="str">
        <f>"FY "&amp;TEXT(EOMONTH(Hist_Year,24),"YY")&amp;" P / E:"</f>
        <v>FY 20 P / E:</v>
      </c>
      <c r="C20" s="223">
        <f t="array" ref="C20:G20">TRANSPOSE('Pub-Comps'!T39:T43)</f>
        <v>23.450804060434372</v>
      </c>
      <c r="D20" s="223">
        <v>13.77195574954807</v>
      </c>
      <c r="E20" s="223">
        <v>9.9500312304809491</v>
      </c>
      <c r="F20" s="223">
        <v>9.0947336075407037</v>
      </c>
      <c r="G20" s="223">
        <v>7.5948118178314479</v>
      </c>
      <c r="H20" s="226">
        <v>36.283135889545058</v>
      </c>
      <c r="I20" s="227">
        <f t="shared" si="1"/>
        <v>0.71054356130107732</v>
      </c>
      <c r="J20" s="227">
        <f t="shared" si="1"/>
        <v>0.85087090524274833</v>
      </c>
      <c r="K20" s="227">
        <f t="shared" si="1"/>
        <v>0.93088950656601754</v>
      </c>
      <c r="L20" s="227">
        <f t="shared" si="1"/>
        <v>1.2884551611127104</v>
      </c>
      <c r="M20" s="227">
        <f t="shared" si="1"/>
        <v>2.1939737589485859</v>
      </c>
      <c r="N20" s="220"/>
    </row>
    <row r="21" spans="1:14" ht="15.5" x14ac:dyDescent="0.35">
      <c r="A21" s="220"/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</row>
    <row r="22" spans="1:14" ht="15.5" x14ac:dyDescent="0.35">
      <c r="A22" s="220"/>
      <c r="B22" s="228" t="s">
        <v>84</v>
      </c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</row>
    <row r="23" spans="1:14" ht="15.5" x14ac:dyDescent="0.35">
      <c r="A23" s="220"/>
      <c r="B23" s="222" t="s">
        <v>81</v>
      </c>
      <c r="C23" s="223">
        <f t="array" ref="C23:G23">TRANSPOSE('MA-Comps'!K35:K39)</f>
        <v>2.4483588898745405</v>
      </c>
      <c r="D23" s="223">
        <v>1.3171300254115692</v>
      </c>
      <c r="E23" s="223">
        <v>0.94662703540966664</v>
      </c>
      <c r="F23" s="223">
        <v>0.41913988882033781</v>
      </c>
      <c r="G23" s="223">
        <v>0.15727312493690906</v>
      </c>
      <c r="H23" s="226">
        <f>'Pub-Comps'!L24</f>
        <v>575.54877738251264</v>
      </c>
      <c r="I23" s="227">
        <f t="shared" ref="I23:M24" si="2">(I43+SUM($E$31:$E$34))/DIluted_Shares</f>
        <v>0.46031862448944705</v>
      </c>
      <c r="J23" s="227">
        <f t="shared" si="2"/>
        <v>1.3158533411108859</v>
      </c>
      <c r="K23" s="227">
        <f t="shared" si="2"/>
        <v>1.781287845877543</v>
      </c>
      <c r="L23" s="227">
        <f t="shared" si="2"/>
        <v>1.8647817565459712</v>
      </c>
      <c r="M23" s="227">
        <f t="shared" si="2"/>
        <v>2.4348048289768074</v>
      </c>
      <c r="N23" s="220"/>
    </row>
    <row r="24" spans="1:14" ht="15.5" x14ac:dyDescent="0.35">
      <c r="A24" s="220"/>
      <c r="B24" s="222" t="s">
        <v>82</v>
      </c>
      <c r="C24" s="223">
        <f t="array" ref="C24:G24">TRANSPOSE('MA-Comps'!L35:L39)</f>
        <v>14.123284298639749</v>
      </c>
      <c r="D24" s="223">
        <v>10.912017502734802</v>
      </c>
      <c r="E24" s="223">
        <v>10.441648431801605</v>
      </c>
      <c r="F24" s="223">
        <v>7.8195890045369634</v>
      </c>
      <c r="G24" s="223">
        <v>2.9998714157130002</v>
      </c>
      <c r="H24" s="226">
        <f>'Pub-Comps'!O24</f>
        <v>68.840999999999994</v>
      </c>
      <c r="I24" s="227">
        <f t="shared" si="2"/>
        <v>1.1035507642842466</v>
      </c>
      <c r="J24" s="227">
        <f t="shared" si="2"/>
        <v>1.4956780530352323</v>
      </c>
      <c r="K24" s="227">
        <f t="shared" si="2"/>
        <v>1.7945900736471752</v>
      </c>
      <c r="L24" s="227">
        <f t="shared" si="2"/>
        <v>2.3002669650428698</v>
      </c>
      <c r="M24" s="227">
        <f t="shared" si="2"/>
        <v>3.8924626530890354</v>
      </c>
      <c r="N24" s="220"/>
    </row>
    <row r="25" spans="1:14" ht="15.5" x14ac:dyDescent="0.35">
      <c r="A25" s="220"/>
      <c r="B25" s="222" t="s">
        <v>83</v>
      </c>
      <c r="C25" s="223">
        <f t="array" ref="C25:G25">TRANSPOSE('MA-Comps'!M35:M39)</f>
        <v>44.160235294117648</v>
      </c>
      <c r="D25" s="223">
        <v>26.425539352878765</v>
      </c>
      <c r="E25" s="223">
        <v>20.793049590003903</v>
      </c>
      <c r="F25" s="223">
        <v>17.463613492083486</v>
      </c>
      <c r="G25" s="223">
        <v>13.095897709110282</v>
      </c>
      <c r="H25" s="226">
        <f>'Pub-Comps'!R24</f>
        <v>34.817999999999998</v>
      </c>
      <c r="I25" s="227">
        <f>+I44/DIluted_Shares</f>
        <v>1.1757310039386246</v>
      </c>
      <c r="J25" s="227">
        <f>+J44/DIluted_Shares</f>
        <v>1.5678582926896105</v>
      </c>
      <c r="K25" s="227">
        <f>+K44/DIluted_Shares</f>
        <v>1.8667703133015536</v>
      </c>
      <c r="L25" s="227">
        <f>+L44/DIluted_Shares</f>
        <v>2.3724472046972482</v>
      </c>
      <c r="M25" s="227">
        <f>+M44/DIluted_Shares</f>
        <v>3.9646428927434134</v>
      </c>
      <c r="N25" s="220"/>
    </row>
    <row r="26" spans="1:14" ht="15.5" x14ac:dyDescent="0.35">
      <c r="A26" s="220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</row>
    <row r="27" spans="1:14" ht="15.5" x14ac:dyDescent="0.35">
      <c r="A27" s="220"/>
      <c r="B27" s="179" t="s">
        <v>85</v>
      </c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</row>
    <row r="28" spans="1:14" ht="15.5" x14ac:dyDescent="0.35">
      <c r="A28" s="220"/>
      <c r="B28" s="222" t="str">
        <f>TEXT('MHJ-DCF'!H152,"0.00%")&amp;" - "&amp;TEXT('MHJ-DCF'!L152,"0.00%")&amp;" WACC, "&amp;TEXT('MHJ-DCF'!D158,"0.00%")&amp;" - "&amp;TEXT('MHJ-DCF'!D154,"0.00%")&amp;" Terminal FCF Growth Rate:"</f>
        <v>8.66% - 9.66% WACC, 1.40% - 1.80% Terminal FCF Growth Rate:</v>
      </c>
      <c r="C28" s="220"/>
      <c r="D28" s="220"/>
      <c r="E28" s="220"/>
      <c r="F28" s="220"/>
      <c r="G28" s="220"/>
      <c r="H28" s="220"/>
      <c r="I28" s="229">
        <f>+'MHJ-DCF'!L159</f>
        <v>1.5260572412805526</v>
      </c>
      <c r="J28" s="229">
        <f>+'MHJ-DCF'!K158</f>
        <v>1.5894654155610248</v>
      </c>
      <c r="K28" s="229">
        <f>+'MHJ-DCF'!J157</f>
        <v>1.6584836990278753</v>
      </c>
      <c r="L28" s="229">
        <f>+'MHJ-DCF'!I156</f>
        <v>1.733912821029564</v>
      </c>
      <c r="M28" s="229">
        <f>+'MHJ-DCF'!H155</f>
        <v>1.8167144269172224</v>
      </c>
      <c r="N28" s="220"/>
    </row>
    <row r="29" spans="1:14" ht="15.5" x14ac:dyDescent="0.35">
      <c r="A29" s="220"/>
      <c r="B29" s="222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</row>
    <row r="30" spans="1:14" ht="15.5" x14ac:dyDescent="0.35">
      <c r="A30" s="220"/>
      <c r="B30" s="230" t="s">
        <v>18</v>
      </c>
      <c r="C30" s="231"/>
      <c r="D30" s="231"/>
      <c r="E30" s="98">
        <f>I32</f>
        <v>186.40139315860122</v>
      </c>
      <c r="F30" s="220"/>
      <c r="G30" s="232" t="s">
        <v>86</v>
      </c>
      <c r="H30" s="232"/>
      <c r="I30" s="232"/>
      <c r="J30" s="233"/>
      <c r="K30" s="233"/>
      <c r="L30" s="233"/>
      <c r="M30" s="233"/>
      <c r="N30" s="220"/>
    </row>
    <row r="31" spans="1:14" ht="15.5" x14ac:dyDescent="0.35">
      <c r="A31" s="220"/>
      <c r="B31" s="87" t="str">
        <f>+'MHJ-DCF'!I22</f>
        <v>(+) Cash &amp; Cash-Equivalents:</v>
      </c>
      <c r="C31" s="8"/>
      <c r="D31" s="8"/>
      <c r="E31" s="226">
        <f>+'MHJ-DCF'!L22</f>
        <v>7.22</v>
      </c>
      <c r="F31" s="220"/>
      <c r="G31" s="220"/>
      <c r="H31" s="220"/>
      <c r="I31" s="220"/>
      <c r="J31" s="220"/>
      <c r="K31" s="220"/>
      <c r="L31" s="220"/>
      <c r="M31" s="220"/>
      <c r="N31" s="220"/>
    </row>
    <row r="32" spans="1:14" ht="15.5" x14ac:dyDescent="0.35">
      <c r="A32" s="220"/>
      <c r="B32" s="222" t="str">
        <f>+'MHJ-DCF'!I23</f>
        <v>(+) Other Non-Core-Business Assets:</v>
      </c>
      <c r="C32" s="220"/>
      <c r="D32" s="220"/>
      <c r="E32" s="226">
        <f>+'MHJ-DCF'!L23</f>
        <v>0</v>
      </c>
      <c r="F32" s="220"/>
      <c r="G32" s="221" t="s">
        <v>87</v>
      </c>
      <c r="H32" s="220"/>
      <c r="I32" s="234">
        <f t="shared" ref="I32:I40" si="3">$H12*G12</f>
        <v>186.40139315860122</v>
      </c>
      <c r="J32" s="234">
        <f t="shared" ref="J32:J40" si="4">$H12*F12</f>
        <v>399.64462939372123</v>
      </c>
      <c r="K32" s="234">
        <f t="shared" ref="K32:K40" si="5">$H12*E12</f>
        <v>571.76637603417555</v>
      </c>
      <c r="L32" s="234">
        <f t="shared" ref="L32:L40" si="6">$H12*D12</f>
        <v>711.76158481817481</v>
      </c>
      <c r="M32" s="234">
        <f t="shared" ref="M32:M40" si="7">$H12*C12</f>
        <v>2549.0606050903339</v>
      </c>
      <c r="N32" s="220"/>
    </row>
    <row r="33" spans="1:14" ht="15.5" x14ac:dyDescent="0.35">
      <c r="A33" s="220"/>
      <c r="B33" s="222" t="str">
        <f>+'MHJ-DCF'!I24</f>
        <v>(-) Total Debt:</v>
      </c>
      <c r="C33" s="220"/>
      <c r="D33" s="220"/>
      <c r="E33" s="226">
        <f>+'MHJ-DCF'!L24</f>
        <v>-35.213000000000001</v>
      </c>
      <c r="F33" s="220"/>
      <c r="G33" s="221" t="s">
        <v>87</v>
      </c>
      <c r="H33" s="220"/>
      <c r="I33" s="235">
        <f t="shared" si="3"/>
        <v>164.11670011282067</v>
      </c>
      <c r="J33" s="235">
        <f t="shared" si="4"/>
        <v>312.95787811910736</v>
      </c>
      <c r="K33" s="235">
        <f t="shared" si="5"/>
        <v>510.08886107591843</v>
      </c>
      <c r="L33" s="235">
        <f t="shared" si="6"/>
        <v>660.129211473032</v>
      </c>
      <c r="M33" s="235">
        <f t="shared" si="7"/>
        <v>2270.2014455343547</v>
      </c>
      <c r="N33" s="220"/>
    </row>
    <row r="34" spans="1:14" ht="15.5" x14ac:dyDescent="0.35">
      <c r="A34" s="220"/>
      <c r="B34" s="222" t="str">
        <f>+'MHJ-DCF'!I25</f>
        <v>(-) Other Funding Sources:</v>
      </c>
      <c r="C34" s="220"/>
      <c r="D34" s="220"/>
      <c r="E34" s="236">
        <f>+'MHJ-DCF'!L25</f>
        <v>0</v>
      </c>
      <c r="F34" s="220"/>
      <c r="G34" s="221" t="s">
        <v>87</v>
      </c>
      <c r="H34" s="220"/>
      <c r="I34" s="235">
        <f t="shared" si="3"/>
        <v>161.39209780402044</v>
      </c>
      <c r="J34" s="235">
        <f t="shared" si="4"/>
        <v>306.90570211585623</v>
      </c>
      <c r="K34" s="235">
        <f t="shared" si="5"/>
        <v>474.99141788880121</v>
      </c>
      <c r="L34" s="235">
        <f t="shared" si="6"/>
        <v>602.21345932566737</v>
      </c>
      <c r="M34" s="235">
        <f t="shared" si="7"/>
        <v>1913.7187369802905</v>
      </c>
      <c r="N34" s="220"/>
    </row>
    <row r="35" spans="1:14" ht="15.5" x14ac:dyDescent="0.35">
      <c r="A35" s="220"/>
      <c r="B35" s="104" t="str">
        <f>+'MHJ-DCF'!I26</f>
        <v>Implied Equity Value:</v>
      </c>
      <c r="C35" s="105"/>
      <c r="D35" s="105"/>
      <c r="E35" s="106">
        <f>SUM(E30:E34)</f>
        <v>158.40839315860123</v>
      </c>
      <c r="F35" s="220"/>
      <c r="G35" s="221" t="s">
        <v>87</v>
      </c>
      <c r="H35" s="220"/>
      <c r="I35" s="235">
        <f t="shared" si="3"/>
        <v>414.55274051470582</v>
      </c>
      <c r="J35" s="235">
        <f t="shared" si="4"/>
        <v>529.04755519480511</v>
      </c>
      <c r="K35" s="235">
        <f t="shared" si="5"/>
        <v>550.9445254730382</v>
      </c>
      <c r="L35" s="235">
        <f t="shared" si="6"/>
        <v>667.39968640100074</v>
      </c>
      <c r="M35" s="235">
        <f t="shared" si="7"/>
        <v>1212.1977478022577</v>
      </c>
      <c r="N35" s="220"/>
    </row>
    <row r="36" spans="1:14" ht="15.5" x14ac:dyDescent="0.35">
      <c r="A36" s="220"/>
      <c r="B36" s="220"/>
      <c r="C36" s="220"/>
      <c r="D36" s="220"/>
      <c r="E36" s="220"/>
      <c r="F36" s="220"/>
      <c r="G36" s="221" t="s">
        <v>87</v>
      </c>
      <c r="H36" s="220"/>
      <c r="I36" s="235">
        <f t="shared" si="3"/>
        <v>344.77434797977725</v>
      </c>
      <c r="J36" s="235">
        <f t="shared" si="4"/>
        <v>410.06097490400788</v>
      </c>
      <c r="K36" s="235">
        <f t="shared" si="5"/>
        <v>564.62889101142707</v>
      </c>
      <c r="L36" s="235">
        <f t="shared" si="6"/>
        <v>659.68848630290177</v>
      </c>
      <c r="M36" s="235">
        <f t="shared" si="7"/>
        <v>1163.3346465566699</v>
      </c>
      <c r="N36" s="220"/>
    </row>
    <row r="37" spans="1:14" ht="15.5" x14ac:dyDescent="0.35">
      <c r="A37" s="220"/>
      <c r="B37" s="8" t="s">
        <v>20</v>
      </c>
      <c r="C37" s="8"/>
      <c r="D37" s="8"/>
      <c r="E37" s="107">
        <f>DIluted_Shares</f>
        <v>387.82082373291263</v>
      </c>
      <c r="F37" s="220"/>
      <c r="G37" s="221" t="s">
        <v>87</v>
      </c>
      <c r="H37" s="220"/>
      <c r="I37" s="235">
        <f t="shared" si="3"/>
        <v>230.9282850147782</v>
      </c>
      <c r="J37" s="235">
        <f t="shared" si="4"/>
        <v>375.88699367567835</v>
      </c>
      <c r="K37" s="235">
        <f t="shared" si="5"/>
        <v>504.30758514934433</v>
      </c>
      <c r="L37" s="235">
        <f t="shared" si="6"/>
        <v>580.13544369180102</v>
      </c>
      <c r="M37" s="235">
        <f t="shared" si="7"/>
        <v>984.69620475808824</v>
      </c>
      <c r="N37" s="220"/>
    </row>
    <row r="38" spans="1:14" ht="15.5" x14ac:dyDescent="0.35">
      <c r="A38" s="220"/>
      <c r="B38" s="8"/>
      <c r="C38" s="8"/>
      <c r="D38" s="8"/>
      <c r="E38" s="8"/>
      <c r="F38" s="220"/>
      <c r="G38" s="221" t="s">
        <v>88</v>
      </c>
      <c r="H38" s="220"/>
      <c r="I38" s="235">
        <f t="shared" si="3"/>
        <v>337.84411740196072</v>
      </c>
      <c r="J38" s="235">
        <f t="shared" si="4"/>
        <v>405.84200487804878</v>
      </c>
      <c r="K38" s="235">
        <f t="shared" si="5"/>
        <v>449.09304009668563</v>
      </c>
      <c r="L38" s="235">
        <f t="shared" si="6"/>
        <v>663.14323816501098</v>
      </c>
      <c r="M38" s="235">
        <f t="shared" si="7"/>
        <v>1179.0418628031932</v>
      </c>
      <c r="N38" s="220"/>
    </row>
    <row r="39" spans="1:14" ht="15.5" x14ac:dyDescent="0.35">
      <c r="A39" s="220"/>
      <c r="B39" s="109" t="s">
        <v>21</v>
      </c>
      <c r="C39" s="110"/>
      <c r="D39" s="110"/>
      <c r="E39" s="111">
        <f>+E35/E37</f>
        <v>0.40845767804282507</v>
      </c>
      <c r="F39" s="220"/>
      <c r="G39" s="221" t="s">
        <v>88</v>
      </c>
      <c r="H39" s="220"/>
      <c r="I39" s="235">
        <f t="shared" si="3"/>
        <v>322.06510142497808</v>
      </c>
      <c r="J39" s="235">
        <f t="shared" si="4"/>
        <v>371.73991926995399</v>
      </c>
      <c r="K39" s="235">
        <f t="shared" si="5"/>
        <v>461.6659467513557</v>
      </c>
      <c r="L39" s="235">
        <f t="shared" si="6"/>
        <v>641.25320046345541</v>
      </c>
      <c r="M39" s="235">
        <f t="shared" si="7"/>
        <v>973.85097744763061</v>
      </c>
      <c r="N39" s="220"/>
    </row>
    <row r="40" spans="1:14" ht="15.5" x14ac:dyDescent="0.35">
      <c r="A40" s="220"/>
      <c r="B40" s="112" t="s">
        <v>23</v>
      </c>
      <c r="C40" s="113"/>
      <c r="D40" s="113"/>
      <c r="E40" s="114">
        <f>+E39/Share_Price-1</f>
        <v>-0.39932694405466906</v>
      </c>
      <c r="F40" s="220"/>
      <c r="G40" s="221" t="s">
        <v>88</v>
      </c>
      <c r="H40" s="220"/>
      <c r="I40" s="235">
        <f t="shared" si="3"/>
        <v>275.56358924190113</v>
      </c>
      <c r="J40" s="235">
        <f t="shared" si="4"/>
        <v>329.98545536161168</v>
      </c>
      <c r="K40" s="235">
        <f t="shared" si="5"/>
        <v>361.01833524075749</v>
      </c>
      <c r="L40" s="235">
        <f t="shared" si="6"/>
        <v>499.689741925654</v>
      </c>
      <c r="M40" s="235">
        <f t="shared" si="7"/>
        <v>850.86871044383531</v>
      </c>
      <c r="N40" s="220"/>
    </row>
    <row r="41" spans="1:14" ht="15.5" x14ac:dyDescent="0.35">
      <c r="A41" s="220"/>
      <c r="F41" s="220"/>
      <c r="G41" s="220"/>
      <c r="H41" s="220"/>
      <c r="I41" s="220"/>
      <c r="J41" s="220"/>
      <c r="K41" s="220"/>
      <c r="L41" s="220"/>
      <c r="M41" s="220"/>
      <c r="N41" s="220"/>
    </row>
    <row r="42" spans="1:14" ht="15.5" x14ac:dyDescent="0.35">
      <c r="A42" s="220"/>
      <c r="B42" s="220"/>
      <c r="C42" s="220"/>
      <c r="D42" s="220"/>
      <c r="E42" s="220"/>
      <c r="F42" s="220"/>
      <c r="G42" s="221" t="s">
        <v>87</v>
      </c>
      <c r="H42" s="220"/>
      <c r="I42" s="235">
        <f>$H23*G23</f>
        <v>90.518354772565175</v>
      </c>
      <c r="J42" s="235">
        <f>$H23*F23</f>
        <v>241.23545056278772</v>
      </c>
      <c r="K42" s="235">
        <f>$H23*E23</f>
        <v>544.83003286726614</v>
      </c>
      <c r="L42" s="235">
        <f>$H23*D23</f>
        <v>758.07257577942642</v>
      </c>
      <c r="M42" s="235">
        <f>$H23*C23</f>
        <v>1409.1499656608978</v>
      </c>
      <c r="N42" s="220"/>
    </row>
    <row r="43" spans="1:14" ht="15.5" x14ac:dyDescent="0.35">
      <c r="A43" s="220"/>
      <c r="B43" s="220"/>
      <c r="C43" s="220"/>
      <c r="D43" s="220"/>
      <c r="E43" s="220"/>
      <c r="F43" s="220"/>
      <c r="G43" s="221" t="s">
        <v>87</v>
      </c>
      <c r="H43" s="220"/>
      <c r="I43" s="235">
        <f>$H24*G24</f>
        <v>206.51414812909863</v>
      </c>
      <c r="J43" s="235">
        <f>$H24*F24</f>
        <v>538.30832666132903</v>
      </c>
      <c r="K43" s="235">
        <f>$H24*E24</f>
        <v>718.81351969365426</v>
      </c>
      <c r="L43" s="235">
        <f>$H24*D24</f>
        <v>751.19419690576638</v>
      </c>
      <c r="M43" s="235">
        <f>$H24*C24</f>
        <v>972.26101440265893</v>
      </c>
      <c r="N43" s="220"/>
    </row>
    <row r="44" spans="1:14" ht="15.5" x14ac:dyDescent="0.35">
      <c r="A44" s="220"/>
      <c r="B44" s="220"/>
      <c r="C44" s="220"/>
      <c r="D44" s="220"/>
      <c r="E44" s="220"/>
      <c r="F44" s="220"/>
      <c r="G44" s="221" t="s">
        <v>88</v>
      </c>
      <c r="H44" s="220"/>
      <c r="I44" s="235">
        <f>$H25*G25</f>
        <v>455.97296643580177</v>
      </c>
      <c r="J44" s="235">
        <f>$H25*F25</f>
        <v>608.0480945673628</v>
      </c>
      <c r="K44" s="235">
        <f>$H25*E25</f>
        <v>723.97240062475589</v>
      </c>
      <c r="L44" s="235">
        <f>$H25*D25</f>
        <v>920.08442918853279</v>
      </c>
      <c r="M44" s="235">
        <f>$H25*C25</f>
        <v>1537.5710724705882</v>
      </c>
      <c r="N44" s="220"/>
    </row>
    <row r="45" spans="1:14" ht="15.5" x14ac:dyDescent="0.35">
      <c r="A45" s="220"/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</row>
  </sheetData>
  <pageMargins left="0.7" right="0.7" top="0.75" bottom="0.75" header="0.3" footer="0.3"/>
  <pageSetup scale="53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V50"/>
  <sheetViews>
    <sheetView showGridLines="0" zoomScaleNormal="100" workbookViewId="0"/>
  </sheetViews>
  <sheetFormatPr defaultColWidth="8.81640625" defaultRowHeight="14.5" x14ac:dyDescent="0.35"/>
  <cols>
    <col min="1" max="1" width="2.7265625" style="72" customWidth="1"/>
    <col min="2" max="8" width="8.81640625" style="72"/>
    <col min="9" max="12" width="9.54296875" style="72" bestFit="1" customWidth="1"/>
    <col min="13" max="13" width="9.7265625" style="72" bestFit="1" customWidth="1"/>
    <col min="14" max="14" width="9.54296875" style="72" bestFit="1" customWidth="1"/>
    <col min="15" max="18" width="9" style="72" bestFit="1" customWidth="1"/>
    <col min="19" max="19" width="8.81640625" style="72"/>
    <col min="20" max="20" width="2.7265625" style="72" customWidth="1"/>
    <col min="21" max="16384" width="8.81640625" style="72"/>
  </cols>
  <sheetData>
    <row r="1" spans="1:22" ht="15.5" x14ac:dyDescent="0.35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</row>
    <row r="2" spans="1:22" ht="15.5" x14ac:dyDescent="0.35">
      <c r="A2" s="167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</row>
    <row r="3" spans="1:22" ht="15.5" x14ac:dyDescent="0.35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</row>
    <row r="4" spans="1:22" ht="15.5" x14ac:dyDescent="0.35">
      <c r="A4" s="167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</row>
    <row r="5" spans="1:22" ht="15.5" x14ac:dyDescent="0.35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</row>
    <row r="6" spans="1:22" ht="15.5" x14ac:dyDescent="0.35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</row>
    <row r="7" spans="1:22" ht="15.5" x14ac:dyDescent="0.35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</row>
    <row r="8" spans="1:22" ht="15.5" x14ac:dyDescent="0.35">
      <c r="A8" s="167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</row>
    <row r="9" spans="1:22" ht="15.5" x14ac:dyDescent="0.35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</row>
    <row r="10" spans="1:22" ht="15.5" x14ac:dyDescent="0.35">
      <c r="A10" s="167"/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</row>
    <row r="11" spans="1:22" ht="15.5" x14ac:dyDescent="0.35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</row>
    <row r="12" spans="1:22" ht="15.5" x14ac:dyDescent="0.35">
      <c r="A12" s="167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</row>
    <row r="13" spans="1:22" ht="15.5" x14ac:dyDescent="0.35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</row>
    <row r="14" spans="1:22" ht="15.5" x14ac:dyDescent="0.35">
      <c r="A14" s="167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</row>
    <row r="15" spans="1:22" ht="15.5" x14ac:dyDescent="0.35">
      <c r="A15" s="167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6" t="s">
        <v>143</v>
      </c>
    </row>
    <row r="16" spans="1:22" ht="15.5" x14ac:dyDescent="0.35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</row>
    <row r="17" spans="1:21" ht="15.5" x14ac:dyDescent="0.35">
      <c r="A17" s="167"/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</row>
    <row r="18" spans="1:21" ht="15.5" x14ac:dyDescent="0.35">
      <c r="A18" s="167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</row>
    <row r="19" spans="1:21" ht="15.5" x14ac:dyDescent="0.35">
      <c r="A19" s="167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</row>
    <row r="20" spans="1:21" ht="15.5" x14ac:dyDescent="0.35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</row>
    <row r="21" spans="1:21" ht="15.5" x14ac:dyDescent="0.35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</row>
    <row r="22" spans="1:21" ht="15.5" x14ac:dyDescent="0.35">
      <c r="A22" s="167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</row>
    <row r="23" spans="1:21" ht="15.5" x14ac:dyDescent="0.35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</row>
    <row r="24" spans="1:21" ht="15.5" x14ac:dyDescent="0.35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</row>
    <row r="25" spans="1:21" ht="15.5" x14ac:dyDescent="0.35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</row>
    <row r="26" spans="1:21" ht="15.5" x14ac:dyDescent="0.35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</row>
    <row r="27" spans="1:21" ht="15.5" x14ac:dyDescent="0.35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</row>
    <row r="28" spans="1:21" ht="15.5" x14ac:dyDescent="0.35">
      <c r="A28" s="167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</row>
    <row r="29" spans="1:21" ht="15.5" x14ac:dyDescent="0.35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</row>
    <row r="30" spans="1:21" ht="15.5" x14ac:dyDescent="0.35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</row>
    <row r="31" spans="1:21" ht="15.5" x14ac:dyDescent="0.35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</row>
    <row r="32" spans="1:21" ht="15.5" x14ac:dyDescent="0.35">
      <c r="A32" s="167"/>
      <c r="B32" s="167"/>
      <c r="C32" s="167"/>
      <c r="D32" s="167"/>
      <c r="E32" s="167"/>
      <c r="F32" s="167"/>
      <c r="G32" s="167"/>
      <c r="H32" s="167"/>
      <c r="I32" s="167" t="s">
        <v>133</v>
      </c>
      <c r="J32" s="167" t="s">
        <v>74</v>
      </c>
      <c r="K32" s="167" t="s">
        <v>47</v>
      </c>
      <c r="L32" s="167" t="s">
        <v>73</v>
      </c>
      <c r="M32" s="167" t="s">
        <v>134</v>
      </c>
      <c r="N32" s="167" t="s">
        <v>135</v>
      </c>
      <c r="O32" s="167" t="s">
        <v>136</v>
      </c>
      <c r="P32" s="167" t="s">
        <v>137</v>
      </c>
      <c r="Q32" s="167" t="s">
        <v>138</v>
      </c>
      <c r="R32" s="167" t="s">
        <v>139</v>
      </c>
      <c r="S32" s="167"/>
      <c r="T32" s="167"/>
      <c r="U32" s="167"/>
    </row>
    <row r="33" spans="1:21" ht="15.5" x14ac:dyDescent="0.35">
      <c r="A33" s="167"/>
      <c r="B33" s="167"/>
      <c r="C33" s="167"/>
      <c r="D33" s="167"/>
      <c r="E33" s="167"/>
      <c r="F33" s="167"/>
      <c r="G33" s="167"/>
      <c r="H33" s="167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7"/>
      <c r="T33" s="167"/>
      <c r="U33" s="167"/>
    </row>
    <row r="34" spans="1:21" ht="15.5" x14ac:dyDescent="0.35">
      <c r="A34" s="167"/>
      <c r="B34" s="169" t="str">
        <f>+ValSum!B28</f>
        <v>8.66% - 9.66% WACC, 1.40% - 1.80% Terminal FCF Growth Rate:</v>
      </c>
      <c r="C34" s="167"/>
      <c r="D34" s="167"/>
      <c r="E34" s="167"/>
      <c r="F34" s="167"/>
      <c r="G34" s="167"/>
      <c r="H34" s="167"/>
      <c r="I34" s="168">
        <f>+ValSum!I28</f>
        <v>1.5260572412805526</v>
      </c>
      <c r="J34" s="168">
        <f>+ValSum!J28</f>
        <v>1.5894654155610248</v>
      </c>
      <c r="K34" s="168">
        <f>+ValSum!K28</f>
        <v>1.6584836990278753</v>
      </c>
      <c r="L34" s="168">
        <f>+ValSum!L28</f>
        <v>1.733912821029564</v>
      </c>
      <c r="M34" s="168">
        <f>+ValSum!M28</f>
        <v>1.8167144269172224</v>
      </c>
      <c r="N34" s="170">
        <f>+I34</f>
        <v>1.5260572412805526</v>
      </c>
      <c r="O34" s="170">
        <f>+J34-I34</f>
        <v>6.3408174280472185E-2</v>
      </c>
      <c r="P34" s="170">
        <f>+K34-J34</f>
        <v>6.9018283466850461E-2</v>
      </c>
      <c r="Q34" s="170">
        <f>+L34-K34</f>
        <v>7.542912200168872E-2</v>
      </c>
      <c r="R34" s="170">
        <f>+M34-L34</f>
        <v>8.2801605887658392E-2</v>
      </c>
      <c r="S34" s="167"/>
      <c r="T34" s="167"/>
      <c r="U34" s="167"/>
    </row>
    <row r="35" spans="1:21" ht="15.5" x14ac:dyDescent="0.35">
      <c r="A35" s="167"/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</row>
    <row r="36" spans="1:21" ht="15.5" x14ac:dyDescent="0.35">
      <c r="A36" s="167"/>
      <c r="B36" s="169" t="str">
        <f>+ValSum!B25</f>
        <v>LTM P / E:</v>
      </c>
      <c r="C36" s="167"/>
      <c r="D36" s="167"/>
      <c r="E36" s="167"/>
      <c r="F36" s="167"/>
      <c r="G36" s="167"/>
      <c r="H36" s="167"/>
      <c r="I36" s="171">
        <f>+ValSum!I25</f>
        <v>1.1757310039386246</v>
      </c>
      <c r="J36" s="171">
        <f>+ValSum!J25</f>
        <v>1.5678582926896105</v>
      </c>
      <c r="K36" s="171">
        <f>+ValSum!K25</f>
        <v>1.8667703133015536</v>
      </c>
      <c r="L36" s="171">
        <f>+ValSum!L25</f>
        <v>2.3724472046972482</v>
      </c>
      <c r="M36" s="171">
        <f>+ValSum!M25</f>
        <v>3.9646428927434134</v>
      </c>
      <c r="N36" s="172">
        <f>+I36</f>
        <v>1.1757310039386246</v>
      </c>
      <c r="O36" s="172">
        <f t="shared" ref="O36" si="0">+J36-I36</f>
        <v>0.3921272887509859</v>
      </c>
      <c r="P36" s="172">
        <f t="shared" ref="P36" si="1">+K36-J36</f>
        <v>0.29891202061194311</v>
      </c>
      <c r="Q36" s="172">
        <f t="shared" ref="Q36" si="2">+L36-K36</f>
        <v>0.50567689139569461</v>
      </c>
      <c r="R36" s="172">
        <f t="shared" ref="R36" si="3">+M36-L36</f>
        <v>1.5921956880461652</v>
      </c>
      <c r="S36" s="167"/>
      <c r="T36" s="167"/>
      <c r="U36" s="167"/>
    </row>
    <row r="37" spans="1:21" ht="15.5" x14ac:dyDescent="0.35">
      <c r="A37" s="167"/>
      <c r="B37" s="169" t="str">
        <f>+ValSum!B24</f>
        <v>LTM EV / EBITDA:</v>
      </c>
      <c r="C37" s="167"/>
      <c r="D37" s="167"/>
      <c r="E37" s="167"/>
      <c r="F37" s="167"/>
      <c r="G37" s="167"/>
      <c r="H37" s="167"/>
      <c r="I37" s="171">
        <f>+ValSum!I24</f>
        <v>1.1035507642842466</v>
      </c>
      <c r="J37" s="171">
        <f>+ValSum!J24</f>
        <v>1.4956780530352323</v>
      </c>
      <c r="K37" s="171">
        <f>+ValSum!K24</f>
        <v>1.7945900736471752</v>
      </c>
      <c r="L37" s="171">
        <f>+ValSum!L24</f>
        <v>2.3002669650428698</v>
      </c>
      <c r="M37" s="171">
        <f>+ValSum!M24</f>
        <v>3.8924626530890354</v>
      </c>
      <c r="N37" s="172">
        <f>+I37</f>
        <v>1.1035507642842466</v>
      </c>
      <c r="O37" s="172">
        <f t="shared" ref="O37:R38" si="4">+J37-I37</f>
        <v>0.39212728875098568</v>
      </c>
      <c r="P37" s="172">
        <f t="shared" si="4"/>
        <v>0.29891202061194289</v>
      </c>
      <c r="Q37" s="172">
        <f t="shared" si="4"/>
        <v>0.50567689139569461</v>
      </c>
      <c r="R37" s="172">
        <f t="shared" si="4"/>
        <v>1.5921956880461656</v>
      </c>
      <c r="S37" s="167"/>
      <c r="T37" s="167"/>
      <c r="U37" s="167"/>
    </row>
    <row r="38" spans="1:21" ht="15.5" x14ac:dyDescent="0.35">
      <c r="A38" s="167"/>
      <c r="B38" s="169" t="str">
        <f>+ValSum!B23</f>
        <v>LTM EV / Revenue:</v>
      </c>
      <c r="C38" s="167"/>
      <c r="D38" s="167"/>
      <c r="E38" s="167"/>
      <c r="F38" s="167"/>
      <c r="G38" s="167"/>
      <c r="H38" s="167"/>
      <c r="I38" s="171">
        <f>+ValSum!I23</f>
        <v>0.46031862448944705</v>
      </c>
      <c r="J38" s="171">
        <f>+ValSum!J23</f>
        <v>1.3158533411108859</v>
      </c>
      <c r="K38" s="171">
        <f>+ValSum!K23</f>
        <v>1.781287845877543</v>
      </c>
      <c r="L38" s="171">
        <f>+ValSum!L23</f>
        <v>1.8647817565459712</v>
      </c>
      <c r="M38" s="171">
        <f>+ValSum!M23</f>
        <v>2.4348048289768074</v>
      </c>
      <c r="N38" s="172">
        <f>+I38</f>
        <v>0.46031862448944705</v>
      </c>
      <c r="O38" s="172">
        <f t="shared" si="4"/>
        <v>0.85553471662143887</v>
      </c>
      <c r="P38" s="172">
        <f t="shared" si="4"/>
        <v>0.46543450476665704</v>
      </c>
      <c r="Q38" s="172">
        <f t="shared" si="4"/>
        <v>8.3493910668428262E-2</v>
      </c>
      <c r="R38" s="172">
        <f t="shared" si="4"/>
        <v>0.57002307243083616</v>
      </c>
      <c r="S38" s="167"/>
      <c r="T38" s="167"/>
      <c r="U38" s="167"/>
    </row>
    <row r="39" spans="1:21" ht="15.5" x14ac:dyDescent="0.35">
      <c r="A39" s="167"/>
      <c r="B39" s="167"/>
      <c r="C39" s="167"/>
      <c r="D39" s="167"/>
      <c r="E39" s="167"/>
      <c r="F39" s="167"/>
      <c r="G39" s="167"/>
      <c r="H39" s="167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67"/>
      <c r="T39" s="167"/>
      <c r="U39" s="167"/>
    </row>
    <row r="40" spans="1:21" ht="15.5" x14ac:dyDescent="0.35">
      <c r="A40" s="167"/>
      <c r="B40" s="169" t="str">
        <f>+ValSum!B20</f>
        <v>FY 20 P / E:</v>
      </c>
      <c r="C40" s="167"/>
      <c r="D40" s="167"/>
      <c r="E40" s="167"/>
      <c r="F40" s="167"/>
      <c r="G40" s="167"/>
      <c r="H40" s="167"/>
      <c r="I40" s="171">
        <f>+ValSum!I20</f>
        <v>0.71054356130107732</v>
      </c>
      <c r="J40" s="171">
        <f>+ValSum!J20</f>
        <v>0.85087090524274833</v>
      </c>
      <c r="K40" s="171">
        <f>+ValSum!K20</f>
        <v>0.93088950656601754</v>
      </c>
      <c r="L40" s="171">
        <f>+ValSum!L20</f>
        <v>1.2884551611127104</v>
      </c>
      <c r="M40" s="171">
        <f>+ValSum!M20</f>
        <v>2.1939737589485859</v>
      </c>
      <c r="N40" s="172">
        <f t="shared" ref="N40:N48" si="5">+I40</f>
        <v>0.71054356130107732</v>
      </c>
      <c r="O40" s="172">
        <f t="shared" ref="O40:R48" si="6">+J40-I40</f>
        <v>0.14032734394167101</v>
      </c>
      <c r="P40" s="172">
        <f t="shared" si="6"/>
        <v>8.0018601323269212E-2</v>
      </c>
      <c r="Q40" s="172">
        <f t="shared" si="6"/>
        <v>0.35756565454669287</v>
      </c>
      <c r="R40" s="172">
        <f t="shared" si="6"/>
        <v>0.90551859783587552</v>
      </c>
      <c r="S40" s="167"/>
      <c r="T40" s="167"/>
      <c r="U40" s="167"/>
    </row>
    <row r="41" spans="1:21" ht="15.5" x14ac:dyDescent="0.35">
      <c r="A41" s="167"/>
      <c r="B41" s="169" t="str">
        <f>+ValSum!B19</f>
        <v>FY 19 P / E:</v>
      </c>
      <c r="C41" s="167"/>
      <c r="D41" s="167"/>
      <c r="E41" s="167"/>
      <c r="F41" s="167"/>
      <c r="G41" s="167"/>
      <c r="H41" s="167"/>
      <c r="I41" s="171">
        <f>+ValSum!I19</f>
        <v>0.83044819080364884</v>
      </c>
      <c r="J41" s="171">
        <f>+ValSum!J19</f>
        <v>0.95853522173416517</v>
      </c>
      <c r="K41" s="171">
        <f>+ValSum!K19</f>
        <v>1.1904104124880599</v>
      </c>
      <c r="L41" s="171">
        <f>+ValSum!L19</f>
        <v>1.6534780012356389</v>
      </c>
      <c r="M41" s="171">
        <f>+ValSum!M19</f>
        <v>2.5110848047662073</v>
      </c>
      <c r="N41" s="172">
        <f t="shared" si="5"/>
        <v>0.83044819080364884</v>
      </c>
      <c r="O41" s="172">
        <f t="shared" si="6"/>
        <v>0.12808703093051632</v>
      </c>
      <c r="P41" s="172">
        <f t="shared" si="6"/>
        <v>0.23187519075389473</v>
      </c>
      <c r="Q41" s="172">
        <f t="shared" si="6"/>
        <v>0.46306758874757903</v>
      </c>
      <c r="R41" s="172">
        <f t="shared" si="6"/>
        <v>0.8576068035305684</v>
      </c>
      <c r="S41" s="167"/>
      <c r="T41" s="167"/>
      <c r="U41" s="167"/>
    </row>
    <row r="42" spans="1:21" ht="15.5" x14ac:dyDescent="0.35">
      <c r="A42" s="167"/>
      <c r="B42" s="169" t="str">
        <f>+ValSum!B18</f>
        <v>LTM P / E:</v>
      </c>
      <c r="C42" s="167"/>
      <c r="D42" s="167"/>
      <c r="E42" s="167"/>
      <c r="F42" s="167"/>
      <c r="G42" s="167"/>
      <c r="H42" s="167"/>
      <c r="I42" s="171">
        <f>+ValSum!I18</f>
        <v>0.87113454649002997</v>
      </c>
      <c r="J42" s="171">
        <f>+ValSum!J18</f>
        <v>1.0464678017329649</v>
      </c>
      <c r="K42" s="171">
        <f>+ValSum!K18</f>
        <v>1.1579910428068463</v>
      </c>
      <c r="L42" s="171">
        <f>+ValSum!L18</f>
        <v>1.7099216895627798</v>
      </c>
      <c r="M42" s="171">
        <f>+ValSum!M18</f>
        <v>3.0401716221797948</v>
      </c>
      <c r="N42" s="172">
        <f t="shared" si="5"/>
        <v>0.87113454649002997</v>
      </c>
      <c r="O42" s="172">
        <f t="shared" si="6"/>
        <v>0.17533325524293497</v>
      </c>
      <c r="P42" s="172">
        <f t="shared" si="6"/>
        <v>0.11152324107388134</v>
      </c>
      <c r="Q42" s="172">
        <f t="shared" si="6"/>
        <v>0.55193064675593351</v>
      </c>
      <c r="R42" s="172">
        <f t="shared" si="6"/>
        <v>1.330249932617015</v>
      </c>
      <c r="S42" s="167"/>
      <c r="T42" s="167"/>
      <c r="U42" s="167"/>
    </row>
    <row r="43" spans="1:21" ht="15.5" x14ac:dyDescent="0.35">
      <c r="A43" s="167"/>
      <c r="B43" s="169" t="str">
        <f>+ValSum!B17</f>
        <v>FY 20 EV / EBITDA:</v>
      </c>
      <c r="C43" s="167"/>
      <c r="D43" s="167"/>
      <c r="E43" s="167"/>
      <c r="F43" s="167"/>
      <c r="G43" s="167"/>
      <c r="H43" s="167"/>
      <c r="I43" s="171">
        <f>+ValSum!I17</f>
        <v>0.52327072863559587</v>
      </c>
      <c r="J43" s="171">
        <f>+ValSum!J17</f>
        <v>0.89704825627225371</v>
      </c>
      <c r="K43" s="171">
        <f>+ValSum!K17</f>
        <v>1.2281820779107422</v>
      </c>
      <c r="L43" s="171">
        <f>+ValSum!L17</f>
        <v>1.4237049944281863</v>
      </c>
      <c r="M43" s="171">
        <f>+ValSum!M17</f>
        <v>2.4668690957578847</v>
      </c>
      <c r="N43" s="172">
        <f t="shared" si="5"/>
        <v>0.52327072863559587</v>
      </c>
      <c r="O43" s="172">
        <f t="shared" si="6"/>
        <v>0.37377752763665784</v>
      </c>
      <c r="P43" s="172">
        <f t="shared" si="6"/>
        <v>0.33113382163848848</v>
      </c>
      <c r="Q43" s="172">
        <f t="shared" si="6"/>
        <v>0.19552291651744413</v>
      </c>
      <c r="R43" s="172">
        <f t="shared" si="6"/>
        <v>1.0431641013296984</v>
      </c>
      <c r="S43" s="167"/>
      <c r="T43" s="167"/>
      <c r="U43" s="167"/>
    </row>
    <row r="44" spans="1:21" ht="15.5" x14ac:dyDescent="0.35">
      <c r="A44" s="167"/>
      <c r="B44" s="169" t="str">
        <f>+ValSum!B16</f>
        <v>FY 19 EV / EBITDA:</v>
      </c>
      <c r="C44" s="167"/>
      <c r="D44" s="167"/>
      <c r="E44" s="167"/>
      <c r="F44" s="167"/>
      <c r="G44" s="167"/>
      <c r="H44" s="167"/>
      <c r="I44" s="171">
        <f>+ValSum!I16</f>
        <v>0.81682397796653805</v>
      </c>
      <c r="J44" s="171">
        <f>+ValSum!J16</f>
        <v>0.98516621987047637</v>
      </c>
      <c r="K44" s="171">
        <f>+ValSum!K16</f>
        <v>1.3837211881665268</v>
      </c>
      <c r="L44" s="171">
        <f>+ValSum!L16</f>
        <v>1.628833336546009</v>
      </c>
      <c r="M44" s="171">
        <f>+ValSum!M16</f>
        <v>2.927490163185682</v>
      </c>
      <c r="N44" s="172">
        <f t="shared" si="5"/>
        <v>0.81682397796653805</v>
      </c>
      <c r="O44" s="172">
        <f t="shared" si="6"/>
        <v>0.16834224190393832</v>
      </c>
      <c r="P44" s="172">
        <f t="shared" si="6"/>
        <v>0.39855496829605042</v>
      </c>
      <c r="Q44" s="172">
        <f t="shared" si="6"/>
        <v>0.24511214837948225</v>
      </c>
      <c r="R44" s="172">
        <f t="shared" si="6"/>
        <v>1.298656826639673</v>
      </c>
      <c r="S44" s="167"/>
      <c r="T44" s="167"/>
      <c r="U44" s="167"/>
    </row>
    <row r="45" spans="1:21" ht="15.5" x14ac:dyDescent="0.35">
      <c r="A45" s="167"/>
      <c r="B45" s="169" t="str">
        <f>+ValSum!B15</f>
        <v>LTM EV / EBITDA:</v>
      </c>
      <c r="C45" s="167"/>
      <c r="D45" s="167"/>
      <c r="E45" s="167"/>
      <c r="F45" s="167"/>
      <c r="G45" s="167"/>
      <c r="H45" s="167"/>
      <c r="I45" s="171">
        <f>+ValSum!I15</f>
        <v>0.99674828389546377</v>
      </c>
      <c r="J45" s="171">
        <f>+ValSum!J15</f>
        <v>1.2919743462250886</v>
      </c>
      <c r="K45" s="171">
        <f>+ValSum!K15</f>
        <v>1.3484359102728025</v>
      </c>
      <c r="L45" s="171">
        <f>+ValSum!L15</f>
        <v>1.6487167456519873</v>
      </c>
      <c r="M45" s="171">
        <f>+ValSum!M15</f>
        <v>3.0534841744800296</v>
      </c>
      <c r="N45" s="172">
        <f t="shared" si="5"/>
        <v>0.99674828389546377</v>
      </c>
      <c r="O45" s="172">
        <f t="shared" si="6"/>
        <v>0.29522606232962478</v>
      </c>
      <c r="P45" s="172">
        <f t="shared" si="6"/>
        <v>5.6461564047713964E-2</v>
      </c>
      <c r="Q45" s="172">
        <f t="shared" si="6"/>
        <v>0.30028083537918482</v>
      </c>
      <c r="R45" s="172">
        <f t="shared" si="6"/>
        <v>1.4047674288280423</v>
      </c>
      <c r="S45" s="167"/>
      <c r="T45" s="167"/>
      <c r="U45" s="167"/>
    </row>
    <row r="46" spans="1:21" ht="15.5" x14ac:dyDescent="0.35">
      <c r="A46" s="167"/>
      <c r="B46" s="169" t="str">
        <f>+ValSum!B14</f>
        <v>FY 20 EV / Revenue:</v>
      </c>
      <c r="C46" s="167"/>
      <c r="D46" s="167"/>
      <c r="E46" s="167"/>
      <c r="F46" s="167"/>
      <c r="G46" s="167"/>
      <c r="H46" s="167"/>
      <c r="I46" s="171">
        <f>+ValSum!I14</f>
        <v>0.34397095163691038</v>
      </c>
      <c r="J46" s="171">
        <f>+ValSum!J14</f>
        <v>0.71917928344131399</v>
      </c>
      <c r="K46" s="171">
        <f>+ValSum!K14</f>
        <v>1.152590037807365</v>
      </c>
      <c r="L46" s="171">
        <f>+ValSum!L14</f>
        <v>1.4806333857955132</v>
      </c>
      <c r="M46" s="171">
        <f>+ValSum!M14</f>
        <v>4.8623632914538035</v>
      </c>
      <c r="N46" s="172">
        <f t="shared" si="5"/>
        <v>0.34397095163691038</v>
      </c>
      <c r="O46" s="172">
        <f t="shared" si="6"/>
        <v>0.37520833180440361</v>
      </c>
      <c r="P46" s="172">
        <f t="shared" si="6"/>
        <v>0.43341075436605103</v>
      </c>
      <c r="Q46" s="172">
        <f t="shared" si="6"/>
        <v>0.32804334798814816</v>
      </c>
      <c r="R46" s="172">
        <f t="shared" si="6"/>
        <v>3.3817299056582906</v>
      </c>
      <c r="S46" s="167"/>
      <c r="T46" s="167"/>
      <c r="U46" s="167"/>
    </row>
    <row r="47" spans="1:21" ht="15.5" x14ac:dyDescent="0.35">
      <c r="A47" s="167"/>
      <c r="B47" s="169" t="str">
        <f>+ValSum!B13</f>
        <v>FY 19 EV / Revenue:</v>
      </c>
      <c r="C47" s="167"/>
      <c r="D47" s="167"/>
      <c r="E47" s="167"/>
      <c r="F47" s="167"/>
      <c r="G47" s="167"/>
      <c r="H47" s="167"/>
      <c r="I47" s="171">
        <f>+ValSum!I13</f>
        <v>0.35099636683399799</v>
      </c>
      <c r="J47" s="171">
        <f>+ValSum!J13</f>
        <v>0.73478488178179713</v>
      </c>
      <c r="K47" s="171">
        <f>+ValSum!K13</f>
        <v>1.2430891576052447</v>
      </c>
      <c r="L47" s="171">
        <f>+ValSum!L13</f>
        <v>1.6299697509496713</v>
      </c>
      <c r="M47" s="171">
        <f>+ValSum!M13</f>
        <v>5.7815576377573157</v>
      </c>
      <c r="N47" s="172">
        <f t="shared" si="5"/>
        <v>0.35099636683399799</v>
      </c>
      <c r="O47" s="172">
        <f t="shared" si="6"/>
        <v>0.38378851494779914</v>
      </c>
      <c r="P47" s="172">
        <f t="shared" si="6"/>
        <v>0.50830427582344762</v>
      </c>
      <c r="Q47" s="172">
        <f t="shared" si="6"/>
        <v>0.38688059334442659</v>
      </c>
      <c r="R47" s="172">
        <f t="shared" si="6"/>
        <v>4.1515878868076443</v>
      </c>
      <c r="S47" s="167"/>
      <c r="T47" s="167"/>
      <c r="U47" s="167"/>
    </row>
    <row r="48" spans="1:21" ht="15.5" x14ac:dyDescent="0.35">
      <c r="A48" s="167"/>
      <c r="B48" s="169" t="str">
        <f>+ValSum!B12</f>
        <v>LTM EV / Revenue:</v>
      </c>
      <c r="C48" s="167"/>
      <c r="D48" s="167"/>
      <c r="E48" s="167"/>
      <c r="F48" s="167"/>
      <c r="G48" s="167"/>
      <c r="H48" s="167"/>
      <c r="I48" s="171">
        <f>+ValSum!I12</f>
        <v>0.40845767804282507</v>
      </c>
      <c r="J48" s="171">
        <f>+ValSum!J12</f>
        <v>0.95830756537630657</v>
      </c>
      <c r="K48" s="171">
        <f>+ValSum!K12</f>
        <v>1.4021252670245099</v>
      </c>
      <c r="L48" s="171">
        <f>+ValSum!L12</f>
        <v>1.7631043589579853</v>
      </c>
      <c r="M48" s="171">
        <f>+ValSum!M12</f>
        <v>6.5005988611549181</v>
      </c>
      <c r="N48" s="172">
        <f t="shared" si="5"/>
        <v>0.40845767804282507</v>
      </c>
      <c r="O48" s="172">
        <f t="shared" si="6"/>
        <v>0.5498498873334815</v>
      </c>
      <c r="P48" s="172">
        <f t="shared" si="6"/>
        <v>0.44381770164820333</v>
      </c>
      <c r="Q48" s="172">
        <f t="shared" si="6"/>
        <v>0.36097909193347544</v>
      </c>
      <c r="R48" s="172">
        <f t="shared" si="6"/>
        <v>4.7374945021969328</v>
      </c>
      <c r="S48" s="167"/>
      <c r="T48" s="167"/>
      <c r="U48" s="167"/>
    </row>
    <row r="49" spans="1:21" ht="15.5" x14ac:dyDescent="0.35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</row>
    <row r="50" spans="1:21" ht="15.5" x14ac:dyDescent="0.35">
      <c r="A50" s="167"/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</row>
  </sheetData>
  <pageMargins left="0.7" right="0.7" top="0.75" bottom="0.75" header="0.3" footer="0.3"/>
  <pageSetup scale="4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783B9-BA0F-4C17-9A37-B49E95E630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29</vt:i4>
      </vt:variant>
    </vt:vector>
  </HeadingPairs>
  <TitlesOfParts>
    <vt:vector size="35" baseType="lpstr">
      <vt:lpstr>MHJ-DCF</vt:lpstr>
      <vt:lpstr>WACC</vt:lpstr>
      <vt:lpstr>Pub-Comps</vt:lpstr>
      <vt:lpstr>MA-Comps</vt:lpstr>
      <vt:lpstr>ValSum</vt:lpstr>
      <vt:lpstr>ValGraph</vt:lpstr>
      <vt:lpstr>CA_Growth_Change</vt:lpstr>
      <vt:lpstr>CA_Initial_Growth</vt:lpstr>
      <vt:lpstr>CA_Margin_Increase</vt:lpstr>
      <vt:lpstr>CA_Max_Margin</vt:lpstr>
      <vt:lpstr>CA_Max_Stores</vt:lpstr>
      <vt:lpstr>CA_Min_Growth</vt:lpstr>
      <vt:lpstr>CA_New_Stores_per_Year</vt:lpstr>
      <vt:lpstr>Company_Name</vt:lpstr>
      <vt:lpstr>Cost_of_Debt</vt:lpstr>
      <vt:lpstr>Cost_of_Preferred</vt:lpstr>
      <vt:lpstr>DIluted_Shares</vt:lpstr>
      <vt:lpstr>Discount_Rate</vt:lpstr>
      <vt:lpstr>Enterprise_Value</vt:lpstr>
      <vt:lpstr>Equity_Risk_Premium</vt:lpstr>
      <vt:lpstr>Equity_Value</vt:lpstr>
      <vt:lpstr>Hist_Year</vt:lpstr>
      <vt:lpstr>'MA-Comps'!Print_Area</vt:lpstr>
      <vt:lpstr>'MHJ-DCF'!Print_Area</vt:lpstr>
      <vt:lpstr>'Pub-Comps'!Print_Area</vt:lpstr>
      <vt:lpstr>ValGraph!Print_Area</vt:lpstr>
      <vt:lpstr>ValSum!Print_Area</vt:lpstr>
      <vt:lpstr>WACC!Print_Area</vt:lpstr>
      <vt:lpstr>Pub_Comps_Data</vt:lpstr>
      <vt:lpstr>Risk_Free_Rate</vt:lpstr>
      <vt:lpstr>Share_Price</vt:lpstr>
      <vt:lpstr>Tax_Rate</vt:lpstr>
      <vt:lpstr>Terminal_Growth_Rate</vt:lpstr>
      <vt:lpstr>Terminal_Multiple</vt:lpstr>
      <vt:lpstr>Ticker</vt:lpstr>
    </vt:vector>
  </TitlesOfParts>
  <Company>BIWS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James McNeill</cp:lastModifiedBy>
  <cp:lastPrinted>2012-04-17T02:32:08Z</cp:lastPrinted>
  <dcterms:created xsi:type="dcterms:W3CDTF">2009-06-26T05:31:17Z</dcterms:created>
  <dcterms:modified xsi:type="dcterms:W3CDTF">2024-12-17T09:42:49Z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d706e6-d39b-491f-8397-f44635000177_Enabled">
    <vt:lpwstr>true</vt:lpwstr>
  </property>
  <property fmtid="{D5CDD505-2E9C-101B-9397-08002B2CF9AE}" pid="3" name="MSIP_Label_8bd706e6-d39b-491f-8397-f44635000177_SetDate">
    <vt:lpwstr>2024-12-17T09:42:49Z</vt:lpwstr>
  </property>
  <property fmtid="{D5CDD505-2E9C-101B-9397-08002B2CF9AE}" pid="4" name="MSIP_Label_8bd706e6-d39b-491f-8397-f44635000177_Method">
    <vt:lpwstr>Standard</vt:lpwstr>
  </property>
  <property fmtid="{D5CDD505-2E9C-101B-9397-08002B2CF9AE}" pid="5" name="MSIP_Label_8bd706e6-d39b-491f-8397-f44635000177_Name">
    <vt:lpwstr>Public</vt:lpwstr>
  </property>
  <property fmtid="{D5CDD505-2E9C-101B-9397-08002B2CF9AE}" pid="6" name="MSIP_Label_8bd706e6-d39b-491f-8397-f44635000177_SiteId">
    <vt:lpwstr>b1e24b49-e1ce-4259-b850-a50115ad6472</vt:lpwstr>
  </property>
  <property fmtid="{D5CDD505-2E9C-101B-9397-08002B2CF9AE}" pid="7" name="MSIP_Label_8bd706e6-d39b-491f-8397-f44635000177_ActionId">
    <vt:lpwstr>7f331c9c-ec6b-4030-bdf6-1635c559195a</vt:lpwstr>
  </property>
  <property fmtid="{D5CDD505-2E9C-101B-9397-08002B2CF9AE}" pid="8" name="MSIP_Label_8bd706e6-d39b-491f-8397-f44635000177_ContentBits">
    <vt:lpwstr>0</vt:lpwstr>
  </property>
</Properties>
</file>