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Model" sheetId="6" r:id="rId1"/>
  </sheets>
  <definedNames>
    <definedName name="A" localSheetId="0">Model!$C$24</definedName>
    <definedName name="A">#REF!</definedName>
    <definedName name="alpha" localSheetId="0">Model!$C$34</definedName>
    <definedName name="alpha">#REF!</definedName>
    <definedName name="Amat" localSheetId="0">Model!$C$27</definedName>
    <definedName name="Amat">#REF!</definedName>
    <definedName name="B" localSheetId="0">Model!$C$23</definedName>
    <definedName name="B">#REF!</definedName>
    <definedName name="beta" localSheetId="0">Model!$C$35</definedName>
    <definedName name="beta">#REF!</definedName>
    <definedName name="F" localSheetId="0">Model!$C$36</definedName>
    <definedName name="F">#REF!</definedName>
    <definedName name="h" localSheetId="0">Model!$C$31</definedName>
    <definedName name="h">#REF!</definedName>
    <definedName name="K" localSheetId="0">Model!$C$26</definedName>
    <definedName name="K">#REF!</definedName>
    <definedName name="L0" localSheetId="0">Model!$C$25</definedName>
    <definedName name="L0">#REF!</definedName>
    <definedName name="Linf" localSheetId="0">Model!$C$15</definedName>
    <definedName name="Linf">#REF!</definedName>
    <definedName name="LMARR" localSheetId="0">Model!$C$16</definedName>
    <definedName name="LMARR">#REF!</definedName>
    <definedName name="Ln_Rinput" localSheetId="0">Model!$C$10</definedName>
    <definedName name="Ln_Rinput">#REF!</definedName>
    <definedName name="M" localSheetId="0">Model!$C$17</definedName>
    <definedName name="M">#REF!</definedName>
    <definedName name="MLRR" localSheetId="0">Model!$C$30</definedName>
    <definedName name="MLRR">#REF!</definedName>
    <definedName name="_xlnm.Print_Area" localSheetId="0">Model!$A$1:$N$41</definedName>
    <definedName name="R_average" localSheetId="0">Model!$C$40</definedName>
    <definedName name="R_average">#REF!</definedName>
    <definedName name="R0" localSheetId="0">Model!$C$18</definedName>
    <definedName name="R0">#REF!</definedName>
    <definedName name="recruit_obj">Model!$C$11</definedName>
    <definedName name="SB_average" localSheetId="0">Model!$C$39</definedName>
    <definedName name="SB_average">#REF!</definedName>
    <definedName name="SB0" localSheetId="0">Model!$C$33</definedName>
    <definedName name="SB0">#REF!</definedName>
    <definedName name="Selex_A50" localSheetId="0">Model!#REF!</definedName>
    <definedName name="Selex_A50">#REF!</definedName>
    <definedName name="solver_adj" localSheetId="0" hidden="1">Model!$C$10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Model!$C$11</definedName>
    <definedName name="solver_pre" localSheetId="0" hidden="1">0.0000001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SBPR_a" localSheetId="0">Model!$C$32</definedName>
    <definedName name="sSBPR_a">#REF!</definedName>
    <definedName name="W_1" localSheetId="0">Model!$C$19</definedName>
    <definedName name="W_1">#REF!</definedName>
    <definedName name="W_2" localSheetId="0">Model!$C$20</definedName>
    <definedName name="W_2">#REF!</definedName>
    <definedName name="W0" localSheetId="0">Model!$C$22</definedName>
    <definedName name="W0">#REF!</definedName>
    <definedName name="Winf" localSheetId="0">Model!$C$21</definedName>
    <definedName name="Winf">#REF!</definedName>
  </definedNames>
  <calcPr calcId="145621"/>
</workbook>
</file>

<file path=xl/calcChain.xml><?xml version="1.0" encoding="utf-8"?>
<calcChain xmlns="http://schemas.openxmlformats.org/spreadsheetml/2006/main">
  <c r="C21" i="6" l="1"/>
  <c r="C38" i="6" l="1"/>
  <c r="C36" i="6"/>
  <c r="C17" i="6"/>
  <c r="C16" i="6"/>
  <c r="C15" i="6"/>
  <c r="C30" i="6" l="1"/>
  <c r="C31" i="6" s="1"/>
  <c r="C23" i="6"/>
  <c r="C22" i="6"/>
  <c r="C25" i="6" s="1"/>
  <c r="C24" i="6" l="1"/>
  <c r="C26" i="6"/>
  <c r="C27" i="6" s="1"/>
  <c r="C85" i="6" l="1"/>
  <c r="D85" i="6" s="1"/>
  <c r="E85" i="6" s="1"/>
  <c r="F147" i="6"/>
  <c r="F139" i="6"/>
  <c r="F131" i="6"/>
  <c r="F123" i="6"/>
  <c r="F115" i="6"/>
  <c r="F107" i="6"/>
  <c r="F99" i="6"/>
  <c r="F91" i="6"/>
  <c r="F83" i="6"/>
  <c r="F75" i="6"/>
  <c r="F67" i="6"/>
  <c r="F59" i="6"/>
  <c r="F51" i="6"/>
  <c r="F136" i="6"/>
  <c r="F112" i="6"/>
  <c r="F88" i="6"/>
  <c r="F64" i="6"/>
  <c r="F77" i="6"/>
  <c r="F132" i="6"/>
  <c r="F92" i="6"/>
  <c r="F52" i="6"/>
  <c r="F146" i="6"/>
  <c r="F138" i="6"/>
  <c r="F130" i="6"/>
  <c r="F122" i="6"/>
  <c r="F114" i="6"/>
  <c r="F106" i="6"/>
  <c r="F98" i="6"/>
  <c r="F90" i="6"/>
  <c r="F82" i="6"/>
  <c r="F74" i="6"/>
  <c r="F66" i="6"/>
  <c r="F58" i="6"/>
  <c r="F50" i="6"/>
  <c r="F144" i="6"/>
  <c r="F120" i="6"/>
  <c r="F96" i="6"/>
  <c r="F72" i="6"/>
  <c r="F48" i="6"/>
  <c r="F53" i="6"/>
  <c r="F116" i="6"/>
  <c r="F68" i="6"/>
  <c r="F145" i="6"/>
  <c r="F137" i="6"/>
  <c r="F129" i="6"/>
  <c r="F121" i="6"/>
  <c r="F113" i="6"/>
  <c r="F105" i="6"/>
  <c r="F97" i="6"/>
  <c r="F89" i="6"/>
  <c r="F81" i="6"/>
  <c r="F73" i="6"/>
  <c r="F65" i="6"/>
  <c r="F57" i="6"/>
  <c r="F49" i="6"/>
  <c r="F128" i="6"/>
  <c r="F104" i="6"/>
  <c r="F80" i="6"/>
  <c r="F56" i="6"/>
  <c r="F61" i="6"/>
  <c r="F108" i="6"/>
  <c r="F60" i="6"/>
  <c r="F100" i="6"/>
  <c r="F143" i="6"/>
  <c r="F135" i="6"/>
  <c r="F127" i="6"/>
  <c r="F119" i="6"/>
  <c r="F111" i="6"/>
  <c r="F103" i="6"/>
  <c r="F95" i="6"/>
  <c r="F87" i="6"/>
  <c r="F79" i="6"/>
  <c r="F71" i="6"/>
  <c r="F63" i="6"/>
  <c r="F55" i="6"/>
  <c r="F47" i="6"/>
  <c r="F125" i="6"/>
  <c r="F109" i="6"/>
  <c r="F93" i="6"/>
  <c r="F69" i="6"/>
  <c r="F124" i="6"/>
  <c r="F76" i="6"/>
  <c r="F142" i="6"/>
  <c r="F134" i="6"/>
  <c r="F126" i="6"/>
  <c r="F118" i="6"/>
  <c r="F110" i="6"/>
  <c r="F102" i="6"/>
  <c r="F94" i="6"/>
  <c r="F86" i="6"/>
  <c r="F78" i="6"/>
  <c r="F70" i="6"/>
  <c r="F62" i="6"/>
  <c r="F54" i="6"/>
  <c r="F141" i="6"/>
  <c r="F133" i="6"/>
  <c r="F117" i="6"/>
  <c r="F101" i="6"/>
  <c r="F85" i="6"/>
  <c r="F140" i="6"/>
  <c r="F84" i="6"/>
  <c r="C95" i="6"/>
  <c r="D95" i="6" s="1"/>
  <c r="E95" i="6" s="1"/>
  <c r="C50" i="6"/>
  <c r="D50" i="6" s="1"/>
  <c r="E50" i="6" s="1"/>
  <c r="C86" i="6"/>
  <c r="D86" i="6" s="1"/>
  <c r="E86" i="6" s="1"/>
  <c r="C55" i="6"/>
  <c r="D55" i="6" s="1"/>
  <c r="E55" i="6" s="1"/>
  <c r="C111" i="6"/>
  <c r="D111" i="6" s="1"/>
  <c r="E111" i="6" s="1"/>
  <c r="C47" i="6"/>
  <c r="D47" i="6" s="1"/>
  <c r="E47" i="6" s="1"/>
  <c r="C132" i="6"/>
  <c r="D132" i="6" s="1"/>
  <c r="E132" i="6" s="1"/>
  <c r="C76" i="6"/>
  <c r="D76" i="6" s="1"/>
  <c r="E76" i="6" s="1"/>
  <c r="C107" i="6"/>
  <c r="D107" i="6" s="1"/>
  <c r="E107" i="6" s="1"/>
  <c r="C83" i="6"/>
  <c r="D83" i="6" s="1"/>
  <c r="E83" i="6" s="1"/>
  <c r="C58" i="6"/>
  <c r="D58" i="6" s="1"/>
  <c r="E58" i="6" s="1"/>
  <c r="C65" i="6"/>
  <c r="D65" i="6" s="1"/>
  <c r="E65" i="6" s="1"/>
  <c r="C109" i="6"/>
  <c r="D109" i="6" s="1"/>
  <c r="E109" i="6" s="1"/>
  <c r="C117" i="6"/>
  <c r="D117" i="6" s="1"/>
  <c r="E117" i="6" s="1"/>
  <c r="C66" i="6"/>
  <c r="D66" i="6" s="1"/>
  <c r="E66" i="6" s="1"/>
  <c r="C129" i="6"/>
  <c r="D129" i="6" s="1"/>
  <c r="E129" i="6" s="1"/>
  <c r="C70" i="6"/>
  <c r="D70" i="6" s="1"/>
  <c r="E70" i="6" s="1"/>
  <c r="C112" i="6"/>
  <c r="D112" i="6" s="1"/>
  <c r="E112" i="6" s="1"/>
  <c r="C79" i="6"/>
  <c r="D79" i="6" s="1"/>
  <c r="E79" i="6" s="1"/>
  <c r="C99" i="6"/>
  <c r="D99" i="6" s="1"/>
  <c r="E99" i="6" s="1"/>
  <c r="C139" i="6"/>
  <c r="D139" i="6" s="1"/>
  <c r="E139" i="6" s="1"/>
  <c r="C63" i="6"/>
  <c r="D63" i="6" s="1"/>
  <c r="E63" i="6" s="1"/>
  <c r="C87" i="6"/>
  <c r="D87" i="6" s="1"/>
  <c r="E87" i="6" s="1"/>
  <c r="C92" i="6"/>
  <c r="D92" i="6" s="1"/>
  <c r="E92" i="6" s="1"/>
  <c r="C130" i="6"/>
  <c r="D130" i="6" s="1"/>
  <c r="E130" i="6" s="1"/>
  <c r="C141" i="6"/>
  <c r="D141" i="6" s="1"/>
  <c r="E141" i="6" s="1"/>
  <c r="C67" i="6"/>
  <c r="D67" i="6" s="1"/>
  <c r="E67" i="6" s="1"/>
  <c r="C78" i="6"/>
  <c r="D78" i="6" s="1"/>
  <c r="E78" i="6" s="1"/>
  <c r="C106" i="6"/>
  <c r="D106" i="6" s="1"/>
  <c r="E106" i="6" s="1"/>
  <c r="C143" i="6"/>
  <c r="D143" i="6" s="1"/>
  <c r="E143" i="6" s="1"/>
  <c r="C61" i="6"/>
  <c r="D61" i="6" s="1"/>
  <c r="E61" i="6" s="1"/>
  <c r="C80" i="6"/>
  <c r="D80" i="6" s="1"/>
  <c r="E80" i="6" s="1"/>
  <c r="C119" i="6"/>
  <c r="D119" i="6" s="1"/>
  <c r="E119" i="6" s="1"/>
  <c r="C145" i="6"/>
  <c r="D145" i="6" s="1"/>
  <c r="E145" i="6" s="1"/>
  <c r="C59" i="6"/>
  <c r="D59" i="6" s="1"/>
  <c r="E59" i="6" s="1"/>
  <c r="C71" i="6"/>
  <c r="D71" i="6" s="1"/>
  <c r="E71" i="6" s="1"/>
  <c r="C94" i="6"/>
  <c r="D94" i="6" s="1"/>
  <c r="E94" i="6" s="1"/>
  <c r="C82" i="6"/>
  <c r="D82" i="6" s="1"/>
  <c r="E82" i="6" s="1"/>
  <c r="C101" i="6"/>
  <c r="D101" i="6" s="1"/>
  <c r="E101" i="6" s="1"/>
  <c r="C116" i="6"/>
  <c r="D116" i="6" s="1"/>
  <c r="E116" i="6" s="1"/>
  <c r="C124" i="6"/>
  <c r="D124" i="6" s="1"/>
  <c r="E124" i="6" s="1"/>
  <c r="C142" i="6"/>
  <c r="D142" i="6" s="1"/>
  <c r="E142" i="6" s="1"/>
  <c r="C147" i="6"/>
  <c r="D147" i="6" s="1"/>
  <c r="E147" i="6" s="1"/>
  <c r="C69" i="6"/>
  <c r="D69" i="6" s="1"/>
  <c r="E69" i="6" s="1"/>
  <c r="C97" i="6"/>
  <c r="D97" i="6" s="1"/>
  <c r="E97" i="6" s="1"/>
  <c r="C96" i="6"/>
  <c r="D96" i="6" s="1"/>
  <c r="E96" i="6" s="1"/>
  <c r="C122" i="6"/>
  <c r="D122" i="6" s="1"/>
  <c r="E122" i="6" s="1"/>
  <c r="C140" i="6"/>
  <c r="D140" i="6" s="1"/>
  <c r="E140" i="6" s="1"/>
  <c r="C57" i="6"/>
  <c r="D57" i="6" s="1"/>
  <c r="E57" i="6" s="1"/>
  <c r="C77" i="6"/>
  <c r="D77" i="6" s="1"/>
  <c r="E77" i="6" s="1"/>
  <c r="C98" i="6"/>
  <c r="D98" i="6" s="1"/>
  <c r="E98" i="6" s="1"/>
  <c r="C84" i="6"/>
  <c r="D84" i="6" s="1"/>
  <c r="E84" i="6" s="1"/>
  <c r="C120" i="6"/>
  <c r="D120" i="6" s="1"/>
  <c r="E120" i="6" s="1"/>
  <c r="C100" i="6"/>
  <c r="D100" i="6" s="1"/>
  <c r="E100" i="6" s="1"/>
  <c r="C126" i="6"/>
  <c r="D126" i="6" s="1"/>
  <c r="E126" i="6" s="1"/>
  <c r="C144" i="6"/>
  <c r="D144" i="6" s="1"/>
  <c r="E144" i="6" s="1"/>
  <c r="C64" i="6"/>
  <c r="D64" i="6" s="1"/>
  <c r="E64" i="6" s="1"/>
  <c r="C103" i="6"/>
  <c r="D103" i="6" s="1"/>
  <c r="E103" i="6" s="1"/>
  <c r="C102" i="6"/>
  <c r="D102" i="6" s="1"/>
  <c r="E102" i="6" s="1"/>
  <c r="C125" i="6"/>
  <c r="D125" i="6" s="1"/>
  <c r="E125" i="6" s="1"/>
  <c r="C146" i="6"/>
  <c r="D146" i="6" s="1"/>
  <c r="E146" i="6" s="1"/>
  <c r="C62" i="6"/>
  <c r="D62" i="6" s="1"/>
  <c r="E62" i="6" s="1"/>
  <c r="C49" i="6"/>
  <c r="D49" i="6" s="1"/>
  <c r="E49" i="6" s="1"/>
  <c r="C81" i="6"/>
  <c r="D81" i="6" s="1"/>
  <c r="E81" i="6" s="1"/>
  <c r="C68" i="6"/>
  <c r="D68" i="6" s="1"/>
  <c r="E68" i="6" s="1"/>
  <c r="C91" i="6"/>
  <c r="D91" i="6" s="1"/>
  <c r="E91" i="6" s="1"/>
  <c r="C105" i="6"/>
  <c r="D105" i="6" s="1"/>
  <c r="E105" i="6" s="1"/>
  <c r="C104" i="6"/>
  <c r="D104" i="6" s="1"/>
  <c r="E104" i="6" s="1"/>
  <c r="C127" i="6"/>
  <c r="D127" i="6" s="1"/>
  <c r="E127" i="6" s="1"/>
  <c r="C131" i="6"/>
  <c r="D131" i="6" s="1"/>
  <c r="E131" i="6" s="1"/>
  <c r="C60" i="6"/>
  <c r="D60" i="6" s="1"/>
  <c r="E60" i="6" s="1"/>
  <c r="C53" i="6"/>
  <c r="D53" i="6" s="1"/>
  <c r="E53" i="6" s="1"/>
  <c r="C73" i="6"/>
  <c r="D73" i="6" s="1"/>
  <c r="E73" i="6" s="1"/>
  <c r="C89" i="6"/>
  <c r="D89" i="6" s="1"/>
  <c r="E89" i="6" s="1"/>
  <c r="C72" i="6"/>
  <c r="D72" i="6" s="1"/>
  <c r="E72" i="6" s="1"/>
  <c r="C88" i="6"/>
  <c r="D88" i="6" s="1"/>
  <c r="E88" i="6" s="1"/>
  <c r="C114" i="6"/>
  <c r="D114" i="6" s="1"/>
  <c r="E114" i="6" s="1"/>
  <c r="C113" i="6"/>
  <c r="D113" i="6" s="1"/>
  <c r="E113" i="6" s="1"/>
  <c r="C108" i="6"/>
  <c r="D108" i="6" s="1"/>
  <c r="E108" i="6" s="1"/>
  <c r="C121" i="6"/>
  <c r="D121" i="6" s="1"/>
  <c r="E121" i="6" s="1"/>
  <c r="C136" i="6"/>
  <c r="D136" i="6" s="1"/>
  <c r="E136" i="6" s="1"/>
  <c r="C135" i="6"/>
  <c r="D135" i="6" s="1"/>
  <c r="E135" i="6" s="1"/>
  <c r="C52" i="6"/>
  <c r="D52" i="6" s="1"/>
  <c r="E52" i="6" s="1"/>
  <c r="C128" i="6"/>
  <c r="D128" i="6" s="1"/>
  <c r="E128" i="6" s="1"/>
  <c r="C134" i="6"/>
  <c r="D134" i="6" s="1"/>
  <c r="E134" i="6" s="1"/>
  <c r="C133" i="6"/>
  <c r="D133" i="6" s="1"/>
  <c r="E133" i="6" s="1"/>
  <c r="C56" i="6"/>
  <c r="D56" i="6" s="1"/>
  <c r="E56" i="6" s="1"/>
  <c r="C51" i="6"/>
  <c r="D51" i="6" s="1"/>
  <c r="E51" i="6" s="1"/>
  <c r="C75" i="6"/>
  <c r="D75" i="6" s="1"/>
  <c r="E75" i="6" s="1"/>
  <c r="C93" i="6"/>
  <c r="D93" i="6" s="1"/>
  <c r="E93" i="6" s="1"/>
  <c r="C74" i="6"/>
  <c r="D74" i="6" s="1"/>
  <c r="E74" i="6" s="1"/>
  <c r="C90" i="6"/>
  <c r="D90" i="6" s="1"/>
  <c r="E90" i="6" s="1"/>
  <c r="C118" i="6"/>
  <c r="D118" i="6" s="1"/>
  <c r="E118" i="6" s="1"/>
  <c r="C115" i="6"/>
  <c r="D115" i="6" s="1"/>
  <c r="E115" i="6" s="1"/>
  <c r="C110" i="6"/>
  <c r="D110" i="6" s="1"/>
  <c r="E110" i="6" s="1"/>
  <c r="C123" i="6"/>
  <c r="D123" i="6" s="1"/>
  <c r="E123" i="6" s="1"/>
  <c r="C138" i="6"/>
  <c r="D138" i="6" s="1"/>
  <c r="E138" i="6" s="1"/>
  <c r="C137" i="6"/>
  <c r="D137" i="6" s="1"/>
  <c r="E137" i="6" s="1"/>
  <c r="C48" i="6"/>
  <c r="D48" i="6" s="1"/>
  <c r="E48" i="6" s="1"/>
  <c r="G147" i="6"/>
  <c r="G145" i="6"/>
  <c r="G143" i="6"/>
  <c r="G141" i="6"/>
  <c r="G139" i="6"/>
  <c r="G137" i="6"/>
  <c r="G135" i="6"/>
  <c r="G133" i="6"/>
  <c r="G131" i="6"/>
  <c r="G129" i="6"/>
  <c r="G146" i="6"/>
  <c r="G144" i="6"/>
  <c r="G142" i="6"/>
  <c r="G140" i="6"/>
  <c r="G138" i="6"/>
  <c r="G136" i="6"/>
  <c r="G134" i="6"/>
  <c r="G132" i="6"/>
  <c r="G130" i="6"/>
  <c r="G127" i="6"/>
  <c r="G125" i="6"/>
  <c r="G123" i="6"/>
  <c r="G121" i="6"/>
  <c r="G128" i="6"/>
  <c r="G126" i="6"/>
  <c r="G124" i="6"/>
  <c r="G122" i="6"/>
  <c r="G119" i="6"/>
  <c r="G115" i="6"/>
  <c r="G112" i="6"/>
  <c r="G110" i="6"/>
  <c r="G108" i="6"/>
  <c r="G106" i="6"/>
  <c r="G104" i="6"/>
  <c r="G102" i="6"/>
  <c r="G100" i="6"/>
  <c r="G98" i="6"/>
  <c r="G118" i="6"/>
  <c r="G114" i="6"/>
  <c r="G120" i="6"/>
  <c r="G117" i="6"/>
  <c r="G113" i="6"/>
  <c r="G111" i="6"/>
  <c r="G109" i="6"/>
  <c r="G107" i="6"/>
  <c r="G105" i="6"/>
  <c r="G103" i="6"/>
  <c r="G101" i="6"/>
  <c r="G116" i="6"/>
  <c r="G99" i="6"/>
  <c r="G94" i="6"/>
  <c r="G97" i="6"/>
  <c r="G93" i="6"/>
  <c r="G90" i="6"/>
  <c r="G88" i="6"/>
  <c r="G86" i="6"/>
  <c r="G84" i="6"/>
  <c r="G82" i="6"/>
  <c r="G80" i="6"/>
  <c r="G78" i="6"/>
  <c r="G76" i="6"/>
  <c r="G74" i="6"/>
  <c r="G72" i="6"/>
  <c r="G70" i="6"/>
  <c r="G68" i="6"/>
  <c r="G66" i="6"/>
  <c r="G96" i="6"/>
  <c r="G92" i="6"/>
  <c r="G95" i="6"/>
  <c r="G91" i="6"/>
  <c r="G89" i="6"/>
  <c r="G87" i="6"/>
  <c r="G85" i="6"/>
  <c r="G83" i="6"/>
  <c r="G81" i="6"/>
  <c r="G79" i="6"/>
  <c r="G77" i="6"/>
  <c r="G75" i="6"/>
  <c r="G73" i="6"/>
  <c r="G71" i="6"/>
  <c r="G69" i="6"/>
  <c r="G67" i="6"/>
  <c r="G65" i="6"/>
  <c r="G63" i="6"/>
  <c r="G61" i="6"/>
  <c r="G59" i="6"/>
  <c r="G57" i="6"/>
  <c r="G55" i="6"/>
  <c r="G53" i="6"/>
  <c r="G51" i="6"/>
  <c r="G49" i="6"/>
  <c r="G47" i="6"/>
  <c r="G54" i="6"/>
  <c r="G50" i="6"/>
  <c r="G64" i="6"/>
  <c r="G62" i="6"/>
  <c r="G60" i="6"/>
  <c r="G58" i="6"/>
  <c r="G56" i="6"/>
  <c r="G52" i="6"/>
  <c r="G48" i="6"/>
  <c r="C54" i="6"/>
  <c r="D54" i="6" s="1"/>
  <c r="E54" i="6" s="1"/>
  <c r="C28" i="6"/>
  <c r="C29" i="6" s="1"/>
  <c r="H51" i="6" l="1"/>
  <c r="I51" i="6" s="1"/>
  <c r="J51" i="6" s="1"/>
  <c r="L51" i="6" s="1"/>
  <c r="H49" i="6"/>
  <c r="I49" i="6" s="1"/>
  <c r="J49" i="6" s="1"/>
  <c r="L49" i="6" s="1"/>
  <c r="H47" i="6"/>
  <c r="I47" i="6" s="1"/>
  <c r="K47" i="6" s="1"/>
  <c r="H52" i="6"/>
  <c r="I52" i="6" s="1"/>
  <c r="K52" i="6" s="1"/>
  <c r="H50" i="6"/>
  <c r="I50" i="6" s="1"/>
  <c r="J50" i="6" s="1"/>
  <c r="L50" i="6" s="1"/>
  <c r="H48" i="6"/>
  <c r="I48" i="6" s="1"/>
  <c r="K48" i="6" s="1"/>
  <c r="H53" i="6"/>
  <c r="I53" i="6" s="1"/>
  <c r="J53" i="6" s="1"/>
  <c r="L53" i="6" s="1"/>
  <c r="H143" i="6"/>
  <c r="I143" i="6" s="1"/>
  <c r="K143" i="6" s="1"/>
  <c r="H61" i="6"/>
  <c r="I61" i="6" s="1"/>
  <c r="H75" i="6"/>
  <c r="I75" i="6" s="1"/>
  <c r="H56" i="6"/>
  <c r="I56" i="6" s="1"/>
  <c r="H64" i="6"/>
  <c r="I64" i="6" s="1"/>
  <c r="H73" i="6"/>
  <c r="I73" i="6" s="1"/>
  <c r="H83" i="6"/>
  <c r="I83" i="6" s="1"/>
  <c r="H72" i="6"/>
  <c r="I72" i="6" s="1"/>
  <c r="H80" i="6"/>
  <c r="I80" i="6" s="1"/>
  <c r="H88" i="6"/>
  <c r="I88" i="6" s="1"/>
  <c r="H96" i="6"/>
  <c r="I96" i="6" s="1"/>
  <c r="H104" i="6"/>
  <c r="I104" i="6" s="1"/>
  <c r="H112" i="6"/>
  <c r="I112" i="6" s="1"/>
  <c r="H97" i="6"/>
  <c r="I97" i="6" s="1"/>
  <c r="H105" i="6"/>
  <c r="I105" i="6" s="1"/>
  <c r="H113" i="6"/>
  <c r="I113" i="6" s="1"/>
  <c r="H121" i="6"/>
  <c r="I121" i="6" s="1"/>
  <c r="H131" i="6"/>
  <c r="I131" i="6" s="1"/>
  <c r="H118" i="6"/>
  <c r="I118" i="6" s="1"/>
  <c r="H126" i="6"/>
  <c r="I126" i="6" s="1"/>
  <c r="H130" i="6"/>
  <c r="I130" i="6" s="1"/>
  <c r="H140" i="6"/>
  <c r="I140" i="6" s="1"/>
  <c r="H135" i="6"/>
  <c r="I135" i="6" s="1"/>
  <c r="H55" i="6"/>
  <c r="I55" i="6" s="1"/>
  <c r="H63" i="6"/>
  <c r="I63" i="6" s="1"/>
  <c r="H66" i="6"/>
  <c r="I66" i="6" s="1"/>
  <c r="H58" i="6"/>
  <c r="I58" i="6" s="1"/>
  <c r="H67" i="6"/>
  <c r="I67" i="6" s="1"/>
  <c r="H77" i="6"/>
  <c r="I77" i="6" s="1"/>
  <c r="H85" i="6"/>
  <c r="I85" i="6" s="1"/>
  <c r="H74" i="6"/>
  <c r="I74" i="6" s="1"/>
  <c r="H82" i="6"/>
  <c r="I82" i="6" s="1"/>
  <c r="H90" i="6"/>
  <c r="I90" i="6" s="1"/>
  <c r="H98" i="6"/>
  <c r="I98" i="6" s="1"/>
  <c r="H106" i="6"/>
  <c r="I106" i="6" s="1"/>
  <c r="H91" i="6"/>
  <c r="I91" i="6" s="1"/>
  <c r="H99" i="6"/>
  <c r="I99" i="6" s="1"/>
  <c r="H107" i="6"/>
  <c r="I107" i="6" s="1"/>
  <c r="H115" i="6"/>
  <c r="I115" i="6" s="1"/>
  <c r="H123" i="6"/>
  <c r="I123" i="6" s="1"/>
  <c r="H132" i="6"/>
  <c r="I132" i="6" s="1"/>
  <c r="H120" i="6"/>
  <c r="I120" i="6" s="1"/>
  <c r="H128" i="6"/>
  <c r="I128" i="6" s="1"/>
  <c r="H134" i="6"/>
  <c r="I134" i="6" s="1"/>
  <c r="H142" i="6"/>
  <c r="I142" i="6" s="1"/>
  <c r="H137" i="6"/>
  <c r="I137" i="6" s="1"/>
  <c r="H145" i="6"/>
  <c r="I145" i="6" s="1"/>
  <c r="H57" i="6"/>
  <c r="I57" i="6" s="1"/>
  <c r="H65" i="6"/>
  <c r="I65" i="6" s="1"/>
  <c r="H70" i="6"/>
  <c r="I70" i="6" s="1"/>
  <c r="H60" i="6"/>
  <c r="I60" i="6" s="1"/>
  <c r="H71" i="6"/>
  <c r="I71" i="6" s="1"/>
  <c r="H79" i="6"/>
  <c r="I79" i="6" s="1"/>
  <c r="H87" i="6"/>
  <c r="I87" i="6" s="1"/>
  <c r="H76" i="6"/>
  <c r="I76" i="6" s="1"/>
  <c r="H84" i="6"/>
  <c r="I84" i="6" s="1"/>
  <c r="H92" i="6"/>
  <c r="I92" i="6" s="1"/>
  <c r="H100" i="6"/>
  <c r="I100" i="6" s="1"/>
  <c r="H108" i="6"/>
  <c r="I108" i="6" s="1"/>
  <c r="H93" i="6"/>
  <c r="I93" i="6" s="1"/>
  <c r="H101" i="6"/>
  <c r="I101" i="6" s="1"/>
  <c r="H109" i="6"/>
  <c r="I109" i="6" s="1"/>
  <c r="H117" i="6"/>
  <c r="I117" i="6" s="1"/>
  <c r="H125" i="6"/>
  <c r="I125" i="6" s="1"/>
  <c r="H114" i="6"/>
  <c r="I114" i="6" s="1"/>
  <c r="H122" i="6"/>
  <c r="I122" i="6" s="1"/>
  <c r="H129" i="6"/>
  <c r="I129" i="6" s="1"/>
  <c r="H136" i="6"/>
  <c r="I136" i="6" s="1"/>
  <c r="H144" i="6"/>
  <c r="I144" i="6" s="1"/>
  <c r="H139" i="6"/>
  <c r="I139" i="6" s="1"/>
  <c r="H147" i="6"/>
  <c r="I147" i="6" s="1"/>
  <c r="H59" i="6"/>
  <c r="I59" i="6" s="1"/>
  <c r="H69" i="6"/>
  <c r="I69" i="6" s="1"/>
  <c r="H54" i="6"/>
  <c r="I54" i="6" s="1"/>
  <c r="H62" i="6"/>
  <c r="I62" i="6" s="1"/>
  <c r="H68" i="6"/>
  <c r="I68" i="6" s="1"/>
  <c r="H81" i="6"/>
  <c r="I81" i="6" s="1"/>
  <c r="H89" i="6"/>
  <c r="I89" i="6" s="1"/>
  <c r="H78" i="6"/>
  <c r="I78" i="6" s="1"/>
  <c r="H86" i="6"/>
  <c r="I86" i="6" s="1"/>
  <c r="H94" i="6"/>
  <c r="I94" i="6" s="1"/>
  <c r="H102" i="6"/>
  <c r="I102" i="6" s="1"/>
  <c r="H110" i="6"/>
  <c r="I110" i="6" s="1"/>
  <c r="H95" i="6"/>
  <c r="I95" i="6" s="1"/>
  <c r="H103" i="6"/>
  <c r="I103" i="6" s="1"/>
  <c r="H111" i="6"/>
  <c r="I111" i="6" s="1"/>
  <c r="H119" i="6"/>
  <c r="I119" i="6" s="1"/>
  <c r="H127" i="6"/>
  <c r="I127" i="6" s="1"/>
  <c r="H116" i="6"/>
  <c r="I116" i="6" s="1"/>
  <c r="H124" i="6"/>
  <c r="I124" i="6" s="1"/>
  <c r="H133" i="6"/>
  <c r="I133" i="6" s="1"/>
  <c r="H138" i="6"/>
  <c r="I138" i="6" s="1"/>
  <c r="H146" i="6"/>
  <c r="I146" i="6" s="1"/>
  <c r="H141" i="6"/>
  <c r="I141" i="6" s="1"/>
  <c r="M146" i="6"/>
  <c r="N146" i="6" s="1"/>
  <c r="M144" i="6"/>
  <c r="N144" i="6" s="1"/>
  <c r="M142" i="6"/>
  <c r="N142" i="6" s="1"/>
  <c r="M140" i="6"/>
  <c r="N140" i="6" s="1"/>
  <c r="M138" i="6"/>
  <c r="N138" i="6" s="1"/>
  <c r="M136" i="6"/>
  <c r="N136" i="6" s="1"/>
  <c r="M147" i="6"/>
  <c r="N147" i="6" s="1"/>
  <c r="M145" i="6"/>
  <c r="N145" i="6" s="1"/>
  <c r="M143" i="6"/>
  <c r="N143" i="6" s="1"/>
  <c r="M141" i="6"/>
  <c r="N141" i="6" s="1"/>
  <c r="M139" i="6"/>
  <c r="N139" i="6" s="1"/>
  <c r="M137" i="6"/>
  <c r="N137" i="6" s="1"/>
  <c r="M131" i="6"/>
  <c r="N131" i="6" s="1"/>
  <c r="M134" i="6"/>
  <c r="N134" i="6" s="1"/>
  <c r="M130" i="6"/>
  <c r="N130" i="6" s="1"/>
  <c r="M127" i="6"/>
  <c r="N127" i="6" s="1"/>
  <c r="M125" i="6"/>
  <c r="N125" i="6" s="1"/>
  <c r="M123" i="6"/>
  <c r="N123" i="6" s="1"/>
  <c r="M121" i="6"/>
  <c r="N121" i="6" s="1"/>
  <c r="M119" i="6"/>
  <c r="N119" i="6" s="1"/>
  <c r="M117" i="6"/>
  <c r="N117" i="6" s="1"/>
  <c r="M115" i="6"/>
  <c r="N115" i="6" s="1"/>
  <c r="M133" i="6"/>
  <c r="N133" i="6" s="1"/>
  <c r="M129" i="6"/>
  <c r="N129" i="6" s="1"/>
  <c r="M135" i="6"/>
  <c r="N135" i="6" s="1"/>
  <c r="M132" i="6"/>
  <c r="N132" i="6" s="1"/>
  <c r="M128" i="6"/>
  <c r="N128" i="6" s="1"/>
  <c r="M126" i="6"/>
  <c r="N126" i="6" s="1"/>
  <c r="M124" i="6"/>
  <c r="N124" i="6" s="1"/>
  <c r="M122" i="6"/>
  <c r="N122" i="6" s="1"/>
  <c r="M120" i="6"/>
  <c r="N120" i="6" s="1"/>
  <c r="M118" i="6"/>
  <c r="N118" i="6" s="1"/>
  <c r="M116" i="6"/>
  <c r="N116" i="6" s="1"/>
  <c r="M114" i="6"/>
  <c r="N114" i="6" s="1"/>
  <c r="M112" i="6"/>
  <c r="N112" i="6" s="1"/>
  <c r="M110" i="6"/>
  <c r="N110" i="6" s="1"/>
  <c r="M108" i="6"/>
  <c r="N108" i="6" s="1"/>
  <c r="M106" i="6"/>
  <c r="N106" i="6" s="1"/>
  <c r="M104" i="6"/>
  <c r="N104" i="6" s="1"/>
  <c r="M102" i="6"/>
  <c r="N102" i="6" s="1"/>
  <c r="M100" i="6"/>
  <c r="N100" i="6" s="1"/>
  <c r="M98" i="6"/>
  <c r="N98" i="6" s="1"/>
  <c r="M96" i="6"/>
  <c r="N96" i="6" s="1"/>
  <c r="M94" i="6"/>
  <c r="N94" i="6" s="1"/>
  <c r="M92" i="6"/>
  <c r="N92" i="6" s="1"/>
  <c r="M113" i="6"/>
  <c r="N113" i="6" s="1"/>
  <c r="M111" i="6"/>
  <c r="N111" i="6" s="1"/>
  <c r="M109" i="6"/>
  <c r="N109" i="6" s="1"/>
  <c r="M107" i="6"/>
  <c r="N107" i="6" s="1"/>
  <c r="M105" i="6"/>
  <c r="N105" i="6" s="1"/>
  <c r="M103" i="6"/>
  <c r="N103" i="6" s="1"/>
  <c r="M101" i="6"/>
  <c r="N101" i="6" s="1"/>
  <c r="M99" i="6"/>
  <c r="N99" i="6" s="1"/>
  <c r="M97" i="6"/>
  <c r="N97" i="6" s="1"/>
  <c r="M95" i="6"/>
  <c r="N95" i="6" s="1"/>
  <c r="M93" i="6"/>
  <c r="N93" i="6" s="1"/>
  <c r="M91" i="6"/>
  <c r="N91" i="6" s="1"/>
  <c r="M89" i="6"/>
  <c r="N89" i="6" s="1"/>
  <c r="M87" i="6"/>
  <c r="N87" i="6" s="1"/>
  <c r="M85" i="6"/>
  <c r="N85" i="6" s="1"/>
  <c r="M83" i="6"/>
  <c r="N83" i="6" s="1"/>
  <c r="M81" i="6"/>
  <c r="N81" i="6" s="1"/>
  <c r="M79" i="6"/>
  <c r="N79" i="6" s="1"/>
  <c r="M77" i="6"/>
  <c r="N77" i="6" s="1"/>
  <c r="M75" i="6"/>
  <c r="N75" i="6" s="1"/>
  <c r="M73" i="6"/>
  <c r="N73" i="6" s="1"/>
  <c r="M90" i="6"/>
  <c r="N90" i="6" s="1"/>
  <c r="M88" i="6"/>
  <c r="N88" i="6" s="1"/>
  <c r="M86" i="6"/>
  <c r="N86" i="6" s="1"/>
  <c r="M84" i="6"/>
  <c r="N84" i="6" s="1"/>
  <c r="M82" i="6"/>
  <c r="N82" i="6" s="1"/>
  <c r="M80" i="6"/>
  <c r="N80" i="6" s="1"/>
  <c r="M78" i="6"/>
  <c r="N78" i="6" s="1"/>
  <c r="M76" i="6"/>
  <c r="N76" i="6" s="1"/>
  <c r="M74" i="6"/>
  <c r="N74" i="6" s="1"/>
  <c r="M69" i="6"/>
  <c r="N69" i="6" s="1"/>
  <c r="M65" i="6"/>
  <c r="N65" i="6" s="1"/>
  <c r="M72" i="6"/>
  <c r="N72" i="6" s="1"/>
  <c r="M68" i="6"/>
  <c r="N68" i="6" s="1"/>
  <c r="M63" i="6"/>
  <c r="N63" i="6" s="1"/>
  <c r="M61" i="6"/>
  <c r="N61" i="6" s="1"/>
  <c r="M59" i="6"/>
  <c r="N59" i="6" s="1"/>
  <c r="M57" i="6"/>
  <c r="N57" i="6" s="1"/>
  <c r="M55" i="6"/>
  <c r="N55" i="6" s="1"/>
  <c r="M53" i="6"/>
  <c r="N53" i="6" s="1"/>
  <c r="M51" i="6"/>
  <c r="N51" i="6" s="1"/>
  <c r="M49" i="6"/>
  <c r="N49" i="6" s="1"/>
  <c r="M47" i="6"/>
  <c r="N47" i="6" s="1"/>
  <c r="M71" i="6"/>
  <c r="N71" i="6" s="1"/>
  <c r="M67" i="6"/>
  <c r="N67" i="6" s="1"/>
  <c r="M70" i="6"/>
  <c r="N70" i="6" s="1"/>
  <c r="M66" i="6"/>
  <c r="N66" i="6" s="1"/>
  <c r="M64" i="6"/>
  <c r="N64" i="6" s="1"/>
  <c r="M62" i="6"/>
  <c r="N62" i="6" s="1"/>
  <c r="M60" i="6"/>
  <c r="N60" i="6" s="1"/>
  <c r="M58" i="6"/>
  <c r="N58" i="6" s="1"/>
  <c r="M56" i="6"/>
  <c r="N56" i="6" s="1"/>
  <c r="M54" i="6"/>
  <c r="N54" i="6" s="1"/>
  <c r="M52" i="6"/>
  <c r="N52" i="6" s="1"/>
  <c r="M50" i="6"/>
  <c r="N50" i="6" s="1"/>
  <c r="M48" i="6"/>
  <c r="N48" i="6" s="1"/>
  <c r="K49" i="6" l="1"/>
  <c r="J47" i="6"/>
  <c r="L47" i="6" s="1"/>
  <c r="K50" i="6"/>
  <c r="K51" i="6"/>
  <c r="K53" i="6"/>
  <c r="J48" i="6"/>
  <c r="L48" i="6" s="1"/>
  <c r="J52" i="6"/>
  <c r="L52" i="6" s="1"/>
  <c r="J143" i="6"/>
  <c r="L143" i="6" s="1"/>
  <c r="O147" i="6"/>
  <c r="O145" i="6"/>
  <c r="O143" i="6"/>
  <c r="O141" i="6"/>
  <c r="O139" i="6"/>
  <c r="O137" i="6"/>
  <c r="O135" i="6"/>
  <c r="O133" i="6"/>
  <c r="O131" i="6"/>
  <c r="O129" i="6"/>
  <c r="O146" i="6"/>
  <c r="O144" i="6"/>
  <c r="O142" i="6"/>
  <c r="O140" i="6"/>
  <c r="O138" i="6"/>
  <c r="O136" i="6"/>
  <c r="O134" i="6"/>
  <c r="O132" i="6"/>
  <c r="O130" i="6"/>
  <c r="O127" i="6"/>
  <c r="O125" i="6"/>
  <c r="O123" i="6"/>
  <c r="O121" i="6"/>
  <c r="O119" i="6"/>
  <c r="O128" i="6"/>
  <c r="O126" i="6"/>
  <c r="O124" i="6"/>
  <c r="O122" i="6"/>
  <c r="O120" i="6"/>
  <c r="O115" i="6"/>
  <c r="O112" i="6"/>
  <c r="O110" i="6"/>
  <c r="O108" i="6"/>
  <c r="O106" i="6"/>
  <c r="O104" i="6"/>
  <c r="O102" i="6"/>
  <c r="O100" i="6"/>
  <c r="O98" i="6"/>
  <c r="O118" i="6"/>
  <c r="O114" i="6"/>
  <c r="O117" i="6"/>
  <c r="O113" i="6"/>
  <c r="O111" i="6"/>
  <c r="O109" i="6"/>
  <c r="O107" i="6"/>
  <c r="O105" i="6"/>
  <c r="O103" i="6"/>
  <c r="O101" i="6"/>
  <c r="O116" i="6"/>
  <c r="O94" i="6"/>
  <c r="O90" i="6"/>
  <c r="O97" i="6"/>
  <c r="O93" i="6"/>
  <c r="O88" i="6"/>
  <c r="O86" i="6"/>
  <c r="O84" i="6"/>
  <c r="O82" i="6"/>
  <c r="O80" i="6"/>
  <c r="O78" i="6"/>
  <c r="O76" i="6"/>
  <c r="O74" i="6"/>
  <c r="O72" i="6"/>
  <c r="O70" i="6"/>
  <c r="O68" i="6"/>
  <c r="O66" i="6"/>
  <c r="O64" i="6"/>
  <c r="O99" i="6"/>
  <c r="O96" i="6"/>
  <c r="O92" i="6"/>
  <c r="O95" i="6"/>
  <c r="O91" i="6"/>
  <c r="O89" i="6"/>
  <c r="O87" i="6"/>
  <c r="O85" i="6"/>
  <c r="O83" i="6"/>
  <c r="O81" i="6"/>
  <c r="O79" i="6"/>
  <c r="O77" i="6"/>
  <c r="O75" i="6"/>
  <c r="O73" i="6"/>
  <c r="O71" i="6"/>
  <c r="O69" i="6"/>
  <c r="O67" i="6"/>
  <c r="O65" i="6"/>
  <c r="O63" i="6"/>
  <c r="O61" i="6"/>
  <c r="O59" i="6"/>
  <c r="O57" i="6"/>
  <c r="O55" i="6"/>
  <c r="O53" i="6"/>
  <c r="O51" i="6"/>
  <c r="O49" i="6"/>
  <c r="O47" i="6"/>
  <c r="O54" i="6"/>
  <c r="O50" i="6"/>
  <c r="O62" i="6"/>
  <c r="O60" i="6"/>
  <c r="O58" i="6"/>
  <c r="O56" i="6"/>
  <c r="O52" i="6"/>
  <c r="O48" i="6"/>
  <c r="J138" i="6"/>
  <c r="L138" i="6" s="1"/>
  <c r="K138" i="6"/>
  <c r="K127" i="6"/>
  <c r="J127" i="6"/>
  <c r="L127" i="6" s="1"/>
  <c r="J95" i="6"/>
  <c r="L95" i="6" s="1"/>
  <c r="K95" i="6"/>
  <c r="K86" i="6"/>
  <c r="J86" i="6"/>
  <c r="L86" i="6" s="1"/>
  <c r="K68" i="6"/>
  <c r="J68" i="6"/>
  <c r="L68" i="6" s="1"/>
  <c r="K59" i="6"/>
  <c r="J59" i="6"/>
  <c r="L59" i="6" s="1"/>
  <c r="J136" i="6"/>
  <c r="L136" i="6" s="1"/>
  <c r="K136" i="6"/>
  <c r="K125" i="6"/>
  <c r="J125" i="6"/>
  <c r="L125" i="6" s="1"/>
  <c r="J93" i="6"/>
  <c r="L93" i="6" s="1"/>
  <c r="K93" i="6"/>
  <c r="K84" i="6"/>
  <c r="J84" i="6"/>
  <c r="L84" i="6" s="1"/>
  <c r="J71" i="6"/>
  <c r="L71" i="6" s="1"/>
  <c r="K71" i="6"/>
  <c r="K70" i="6"/>
  <c r="J70" i="6"/>
  <c r="L70" i="6" s="1"/>
  <c r="J142" i="6"/>
  <c r="L142" i="6" s="1"/>
  <c r="K142" i="6"/>
  <c r="K132" i="6"/>
  <c r="J132" i="6"/>
  <c r="L132" i="6" s="1"/>
  <c r="J99" i="6"/>
  <c r="L99" i="6" s="1"/>
  <c r="K99" i="6"/>
  <c r="J90" i="6"/>
  <c r="L90" i="6" s="1"/>
  <c r="K90" i="6"/>
  <c r="J77" i="6"/>
  <c r="L77" i="6" s="1"/>
  <c r="K77" i="6"/>
  <c r="K135" i="6"/>
  <c r="J135" i="6"/>
  <c r="L135" i="6" s="1"/>
  <c r="J118" i="6"/>
  <c r="L118" i="6" s="1"/>
  <c r="K118" i="6"/>
  <c r="K105" i="6"/>
  <c r="J105" i="6"/>
  <c r="L105" i="6" s="1"/>
  <c r="J96" i="6"/>
  <c r="L96" i="6" s="1"/>
  <c r="K96" i="6"/>
  <c r="J83" i="6"/>
  <c r="L83" i="6" s="1"/>
  <c r="K83" i="6"/>
  <c r="K133" i="6"/>
  <c r="J133" i="6"/>
  <c r="L133" i="6" s="1"/>
  <c r="J119" i="6"/>
  <c r="L119" i="6" s="1"/>
  <c r="K119" i="6"/>
  <c r="K110" i="6"/>
  <c r="J110" i="6"/>
  <c r="L110" i="6" s="1"/>
  <c r="K78" i="6"/>
  <c r="J78" i="6"/>
  <c r="L78" i="6" s="1"/>
  <c r="K62" i="6"/>
  <c r="J62" i="6"/>
  <c r="L62" i="6" s="1"/>
  <c r="K147" i="6"/>
  <c r="J147" i="6"/>
  <c r="L147" i="6" s="1"/>
  <c r="K129" i="6"/>
  <c r="J129" i="6"/>
  <c r="L129" i="6" s="1"/>
  <c r="J117" i="6"/>
  <c r="L117" i="6" s="1"/>
  <c r="K117" i="6"/>
  <c r="K108" i="6"/>
  <c r="J108" i="6"/>
  <c r="L108" i="6" s="1"/>
  <c r="K76" i="6"/>
  <c r="J76" i="6"/>
  <c r="L76" i="6" s="1"/>
  <c r="K60" i="6"/>
  <c r="J60" i="6"/>
  <c r="L60" i="6" s="1"/>
  <c r="K65" i="6"/>
  <c r="J65" i="6"/>
  <c r="L65" i="6" s="1"/>
  <c r="K134" i="6"/>
  <c r="J134" i="6"/>
  <c r="L134" i="6" s="1"/>
  <c r="K123" i="6"/>
  <c r="J123" i="6"/>
  <c r="L123" i="6" s="1"/>
  <c r="J91" i="6"/>
  <c r="L91" i="6" s="1"/>
  <c r="K91" i="6"/>
  <c r="K82" i="6"/>
  <c r="J82" i="6"/>
  <c r="L82" i="6" s="1"/>
  <c r="K67" i="6"/>
  <c r="J67" i="6"/>
  <c r="L67" i="6" s="1"/>
  <c r="K66" i="6"/>
  <c r="J66" i="6"/>
  <c r="L66" i="6" s="1"/>
  <c r="J140" i="6"/>
  <c r="L140" i="6" s="1"/>
  <c r="K140" i="6"/>
  <c r="K131" i="6"/>
  <c r="J131" i="6"/>
  <c r="L131" i="6" s="1"/>
  <c r="J97" i="6"/>
  <c r="L97" i="6" s="1"/>
  <c r="K97" i="6"/>
  <c r="K88" i="6"/>
  <c r="J88" i="6"/>
  <c r="L88" i="6" s="1"/>
  <c r="J73" i="6"/>
  <c r="L73" i="6" s="1"/>
  <c r="K73" i="6"/>
  <c r="K141" i="6"/>
  <c r="J141" i="6"/>
  <c r="L141" i="6" s="1"/>
  <c r="K124" i="6"/>
  <c r="J124" i="6"/>
  <c r="L124" i="6" s="1"/>
  <c r="K111" i="6"/>
  <c r="J111" i="6"/>
  <c r="L111" i="6" s="1"/>
  <c r="K102" i="6"/>
  <c r="J102" i="6"/>
  <c r="L102" i="6" s="1"/>
  <c r="J89" i="6"/>
  <c r="L89" i="6" s="1"/>
  <c r="K89" i="6"/>
  <c r="K54" i="6"/>
  <c r="J54" i="6"/>
  <c r="L54" i="6" s="1"/>
  <c r="K139" i="6"/>
  <c r="J139" i="6"/>
  <c r="L139" i="6" s="1"/>
  <c r="K122" i="6"/>
  <c r="J122" i="6"/>
  <c r="L122" i="6" s="1"/>
  <c r="K109" i="6"/>
  <c r="J109" i="6"/>
  <c r="L109" i="6" s="1"/>
  <c r="K100" i="6"/>
  <c r="J100" i="6"/>
  <c r="L100" i="6" s="1"/>
  <c r="J87" i="6"/>
  <c r="L87" i="6" s="1"/>
  <c r="K87" i="6"/>
  <c r="K57" i="6"/>
  <c r="J57" i="6"/>
  <c r="L57" i="6" s="1"/>
  <c r="K145" i="6"/>
  <c r="J145" i="6"/>
  <c r="L145" i="6" s="1"/>
  <c r="K128" i="6"/>
  <c r="J128" i="6"/>
  <c r="L128" i="6" s="1"/>
  <c r="J115" i="6"/>
  <c r="L115" i="6" s="1"/>
  <c r="K115" i="6"/>
  <c r="K106" i="6"/>
  <c r="J106" i="6"/>
  <c r="L106" i="6" s="1"/>
  <c r="K74" i="6"/>
  <c r="J74" i="6"/>
  <c r="L74" i="6" s="1"/>
  <c r="K58" i="6"/>
  <c r="J58" i="6"/>
  <c r="L58" i="6" s="1"/>
  <c r="K63" i="6"/>
  <c r="J63" i="6"/>
  <c r="L63" i="6" s="1"/>
  <c r="K130" i="6"/>
  <c r="J130" i="6"/>
  <c r="L130" i="6" s="1"/>
  <c r="K121" i="6"/>
  <c r="J121" i="6"/>
  <c r="L121" i="6" s="1"/>
  <c r="K112" i="6"/>
  <c r="J112" i="6"/>
  <c r="L112" i="6" s="1"/>
  <c r="K80" i="6"/>
  <c r="J80" i="6"/>
  <c r="L80" i="6" s="1"/>
  <c r="K64" i="6"/>
  <c r="J64" i="6"/>
  <c r="L64" i="6" s="1"/>
  <c r="J75" i="6"/>
  <c r="L75" i="6" s="1"/>
  <c r="K75" i="6"/>
  <c r="J146" i="6"/>
  <c r="L146" i="6" s="1"/>
  <c r="K146" i="6"/>
  <c r="J116" i="6"/>
  <c r="L116" i="6" s="1"/>
  <c r="K116" i="6"/>
  <c r="K103" i="6"/>
  <c r="J103" i="6"/>
  <c r="L103" i="6" s="1"/>
  <c r="J94" i="6"/>
  <c r="L94" i="6" s="1"/>
  <c r="K94" i="6"/>
  <c r="J81" i="6"/>
  <c r="L81" i="6" s="1"/>
  <c r="K81" i="6"/>
  <c r="K69" i="6"/>
  <c r="J69" i="6"/>
  <c r="L69" i="6" s="1"/>
  <c r="J144" i="6"/>
  <c r="L144" i="6" s="1"/>
  <c r="K144" i="6"/>
  <c r="J114" i="6"/>
  <c r="L114" i="6" s="1"/>
  <c r="K114" i="6"/>
  <c r="K101" i="6"/>
  <c r="J101" i="6"/>
  <c r="L101" i="6" s="1"/>
  <c r="J92" i="6"/>
  <c r="L92" i="6" s="1"/>
  <c r="K92" i="6"/>
  <c r="J79" i="6"/>
  <c r="L79" i="6" s="1"/>
  <c r="K79" i="6"/>
  <c r="K137" i="6"/>
  <c r="J137" i="6"/>
  <c r="L137" i="6" s="1"/>
  <c r="J120" i="6"/>
  <c r="L120" i="6" s="1"/>
  <c r="K120" i="6"/>
  <c r="K107" i="6"/>
  <c r="J107" i="6"/>
  <c r="L107" i="6" s="1"/>
  <c r="K98" i="6"/>
  <c r="J98" i="6"/>
  <c r="L98" i="6" s="1"/>
  <c r="J85" i="6"/>
  <c r="L85" i="6" s="1"/>
  <c r="K85" i="6"/>
  <c r="K55" i="6"/>
  <c r="J55" i="6"/>
  <c r="L55" i="6" s="1"/>
  <c r="K126" i="6"/>
  <c r="J126" i="6"/>
  <c r="L126" i="6" s="1"/>
  <c r="J113" i="6"/>
  <c r="L113" i="6" s="1"/>
  <c r="K113" i="6"/>
  <c r="K104" i="6"/>
  <c r="J104" i="6"/>
  <c r="L104" i="6" s="1"/>
  <c r="K72" i="6"/>
  <c r="J72" i="6"/>
  <c r="L72" i="6" s="1"/>
  <c r="K56" i="6"/>
  <c r="J56" i="6"/>
  <c r="L56" i="6" s="1"/>
  <c r="K61" i="6"/>
  <c r="J61" i="6"/>
  <c r="L61" i="6" s="1"/>
  <c r="C32" i="6" l="1"/>
  <c r="C34" i="6" s="1"/>
  <c r="T52" i="6"/>
  <c r="P52" i="6"/>
  <c r="T62" i="6"/>
  <c r="P62" i="6"/>
  <c r="T49" i="6"/>
  <c r="P49" i="6"/>
  <c r="T57" i="6"/>
  <c r="P57" i="6"/>
  <c r="T65" i="6"/>
  <c r="P65" i="6"/>
  <c r="T73" i="6"/>
  <c r="P73" i="6"/>
  <c r="T81" i="6"/>
  <c r="P81" i="6"/>
  <c r="T89" i="6"/>
  <c r="P89" i="6"/>
  <c r="T96" i="6"/>
  <c r="P96" i="6"/>
  <c r="P68" i="6"/>
  <c r="T68" i="6"/>
  <c r="T76" i="6"/>
  <c r="P76" i="6"/>
  <c r="T84" i="6"/>
  <c r="P84" i="6"/>
  <c r="T97" i="6"/>
  <c r="P97" i="6"/>
  <c r="T101" i="6"/>
  <c r="P101" i="6"/>
  <c r="T109" i="6"/>
  <c r="P109" i="6"/>
  <c r="T114" i="6"/>
  <c r="P114" i="6"/>
  <c r="T102" i="6"/>
  <c r="P102" i="6"/>
  <c r="T110" i="6"/>
  <c r="P110" i="6"/>
  <c r="T122" i="6"/>
  <c r="P122" i="6"/>
  <c r="T119" i="6"/>
  <c r="P119" i="6"/>
  <c r="T127" i="6"/>
  <c r="P127" i="6"/>
  <c r="T136" i="6"/>
  <c r="P136" i="6"/>
  <c r="T144" i="6"/>
  <c r="P144" i="6"/>
  <c r="P133" i="6"/>
  <c r="T133" i="6"/>
  <c r="T141" i="6"/>
  <c r="P141" i="6"/>
  <c r="T56" i="6"/>
  <c r="P56" i="6"/>
  <c r="T50" i="6"/>
  <c r="P50" i="6"/>
  <c r="T51" i="6"/>
  <c r="P51" i="6"/>
  <c r="T59" i="6"/>
  <c r="P59" i="6"/>
  <c r="P67" i="6"/>
  <c r="T67" i="6"/>
  <c r="T75" i="6"/>
  <c r="P75" i="6"/>
  <c r="T83" i="6"/>
  <c r="P83" i="6"/>
  <c r="T91" i="6"/>
  <c r="P91" i="6"/>
  <c r="T99" i="6"/>
  <c r="P99" i="6"/>
  <c r="T70" i="6"/>
  <c r="P70" i="6"/>
  <c r="T78" i="6"/>
  <c r="P78" i="6"/>
  <c r="T86" i="6"/>
  <c r="P86" i="6"/>
  <c r="T90" i="6"/>
  <c r="P90" i="6"/>
  <c r="T103" i="6"/>
  <c r="P103" i="6"/>
  <c r="T111" i="6"/>
  <c r="P111" i="6"/>
  <c r="T118" i="6"/>
  <c r="P118" i="6"/>
  <c r="T104" i="6"/>
  <c r="P104" i="6"/>
  <c r="T112" i="6"/>
  <c r="P112" i="6"/>
  <c r="T124" i="6"/>
  <c r="P124" i="6"/>
  <c r="T121" i="6"/>
  <c r="P121" i="6"/>
  <c r="P130" i="6"/>
  <c r="T130" i="6"/>
  <c r="T138" i="6"/>
  <c r="P138" i="6"/>
  <c r="T146" i="6"/>
  <c r="P146" i="6"/>
  <c r="T135" i="6"/>
  <c r="P135" i="6"/>
  <c r="T143" i="6"/>
  <c r="P143" i="6"/>
  <c r="T58" i="6"/>
  <c r="P58" i="6"/>
  <c r="T54" i="6"/>
  <c r="P54" i="6"/>
  <c r="T53" i="6"/>
  <c r="P53" i="6"/>
  <c r="T61" i="6"/>
  <c r="P61" i="6"/>
  <c r="T69" i="6"/>
  <c r="P69" i="6"/>
  <c r="T77" i="6"/>
  <c r="P77" i="6"/>
  <c r="T85" i="6"/>
  <c r="P85" i="6"/>
  <c r="T95" i="6"/>
  <c r="P95" i="6"/>
  <c r="P64" i="6"/>
  <c r="T64" i="6"/>
  <c r="T72" i="6"/>
  <c r="P72" i="6"/>
  <c r="T80" i="6"/>
  <c r="P80" i="6"/>
  <c r="T88" i="6"/>
  <c r="P88" i="6"/>
  <c r="T94" i="6"/>
  <c r="P94" i="6"/>
  <c r="T105" i="6"/>
  <c r="P105" i="6"/>
  <c r="T113" i="6"/>
  <c r="P113" i="6"/>
  <c r="T98" i="6"/>
  <c r="P98" i="6"/>
  <c r="T106" i="6"/>
  <c r="P106" i="6"/>
  <c r="T115" i="6"/>
  <c r="P115" i="6"/>
  <c r="T126" i="6"/>
  <c r="P126" i="6"/>
  <c r="T123" i="6"/>
  <c r="P123" i="6"/>
  <c r="T132" i="6"/>
  <c r="P132" i="6"/>
  <c r="T140" i="6"/>
  <c r="P140" i="6"/>
  <c r="P129" i="6"/>
  <c r="T129" i="6"/>
  <c r="T137" i="6"/>
  <c r="P137" i="6"/>
  <c r="T145" i="6"/>
  <c r="P145" i="6"/>
  <c r="C33" i="6"/>
  <c r="T48" i="6"/>
  <c r="P48" i="6"/>
  <c r="T60" i="6"/>
  <c r="P60" i="6"/>
  <c r="T47" i="6"/>
  <c r="P47" i="6"/>
  <c r="T55" i="6"/>
  <c r="P55" i="6"/>
  <c r="T63" i="6"/>
  <c r="P63" i="6"/>
  <c r="T71" i="6"/>
  <c r="P71" i="6"/>
  <c r="T79" i="6"/>
  <c r="P79" i="6"/>
  <c r="T87" i="6"/>
  <c r="P87" i="6"/>
  <c r="T92" i="6"/>
  <c r="P92" i="6"/>
  <c r="T66" i="6"/>
  <c r="P66" i="6"/>
  <c r="T74" i="6"/>
  <c r="P74" i="6"/>
  <c r="T82" i="6"/>
  <c r="P82" i="6"/>
  <c r="T93" i="6"/>
  <c r="P93" i="6"/>
  <c r="T116" i="6"/>
  <c r="P116" i="6"/>
  <c r="T107" i="6"/>
  <c r="P107" i="6"/>
  <c r="T117" i="6"/>
  <c r="P117" i="6"/>
  <c r="T100" i="6"/>
  <c r="P100" i="6"/>
  <c r="T108" i="6"/>
  <c r="P108" i="6"/>
  <c r="T120" i="6"/>
  <c r="P120" i="6"/>
  <c r="T128" i="6"/>
  <c r="P128" i="6"/>
  <c r="T125" i="6"/>
  <c r="P125" i="6"/>
  <c r="T134" i="6"/>
  <c r="P134" i="6"/>
  <c r="T142" i="6"/>
  <c r="P142" i="6"/>
  <c r="T131" i="6"/>
  <c r="P131" i="6"/>
  <c r="T139" i="6"/>
  <c r="P139" i="6"/>
  <c r="T147" i="6"/>
  <c r="P147" i="6"/>
  <c r="R147" i="6" l="1"/>
  <c r="Q147" i="6"/>
  <c r="S147" i="6" s="1"/>
  <c r="R131" i="6"/>
  <c r="Q131" i="6"/>
  <c r="S131" i="6" s="1"/>
  <c r="R134" i="6"/>
  <c r="Q134" i="6"/>
  <c r="S134" i="6" s="1"/>
  <c r="R128" i="6"/>
  <c r="Q128" i="6"/>
  <c r="S128" i="6" s="1"/>
  <c r="R108" i="6"/>
  <c r="Q108" i="6"/>
  <c r="S108" i="6" s="1"/>
  <c r="R117" i="6"/>
  <c r="Q117" i="6"/>
  <c r="S117" i="6" s="1"/>
  <c r="R116" i="6"/>
  <c r="Q116" i="6"/>
  <c r="S116" i="6" s="1"/>
  <c r="R82" i="6"/>
  <c r="Q82" i="6"/>
  <c r="S82" i="6" s="1"/>
  <c r="R66" i="6"/>
  <c r="Q66" i="6"/>
  <c r="S66" i="6" s="1"/>
  <c r="R87" i="6"/>
  <c r="Q87" i="6"/>
  <c r="S87" i="6" s="1"/>
  <c r="R71" i="6"/>
  <c r="Q71" i="6"/>
  <c r="S71" i="6" s="1"/>
  <c r="R55" i="6"/>
  <c r="Q55" i="6"/>
  <c r="S55" i="6" s="1"/>
  <c r="R60" i="6"/>
  <c r="Q60" i="6"/>
  <c r="S60" i="6" s="1"/>
  <c r="R130" i="6"/>
  <c r="Q130" i="6"/>
  <c r="S130" i="6" s="1"/>
  <c r="R67" i="6"/>
  <c r="Q67" i="6"/>
  <c r="S67" i="6" s="1"/>
  <c r="R133" i="6"/>
  <c r="Q133" i="6"/>
  <c r="S133" i="6" s="1"/>
  <c r="R68" i="6"/>
  <c r="Q68" i="6"/>
  <c r="S68" i="6" s="1"/>
  <c r="R145" i="6"/>
  <c r="Q145" i="6"/>
  <c r="S145" i="6" s="1"/>
  <c r="R132" i="6"/>
  <c r="Q132" i="6"/>
  <c r="S132" i="6" s="1"/>
  <c r="R126" i="6"/>
  <c r="Q126" i="6"/>
  <c r="S126" i="6" s="1"/>
  <c r="R106" i="6"/>
  <c r="Q106" i="6"/>
  <c r="S106" i="6" s="1"/>
  <c r="R113" i="6"/>
  <c r="Q113" i="6"/>
  <c r="S113" i="6" s="1"/>
  <c r="R94" i="6"/>
  <c r="Q94" i="6"/>
  <c r="S94" i="6" s="1"/>
  <c r="R80" i="6"/>
  <c r="Q80" i="6"/>
  <c r="S80" i="6" s="1"/>
  <c r="R85" i="6"/>
  <c r="Q85" i="6"/>
  <c r="S85" i="6" s="1"/>
  <c r="R69" i="6"/>
  <c r="Q69" i="6"/>
  <c r="S69" i="6" s="1"/>
  <c r="R53" i="6"/>
  <c r="Q53" i="6"/>
  <c r="S53" i="6" s="1"/>
  <c r="R58" i="6"/>
  <c r="Q58" i="6"/>
  <c r="S58" i="6" s="1"/>
  <c r="R135" i="6"/>
  <c r="Q135" i="6"/>
  <c r="S135" i="6" s="1"/>
  <c r="R138" i="6"/>
  <c r="Q138" i="6"/>
  <c r="S138" i="6" s="1"/>
  <c r="R121" i="6"/>
  <c r="Q121" i="6"/>
  <c r="S121" i="6" s="1"/>
  <c r="R112" i="6"/>
  <c r="Q112" i="6"/>
  <c r="S112" i="6" s="1"/>
  <c r="R118" i="6"/>
  <c r="Q118" i="6"/>
  <c r="S118" i="6" s="1"/>
  <c r="R103" i="6"/>
  <c r="Q103" i="6"/>
  <c r="S103" i="6" s="1"/>
  <c r="R86" i="6"/>
  <c r="Q86" i="6"/>
  <c r="S86" i="6" s="1"/>
  <c r="R70" i="6"/>
  <c r="Q70" i="6"/>
  <c r="S70" i="6" s="1"/>
  <c r="R91" i="6"/>
  <c r="Q91" i="6"/>
  <c r="S91" i="6" s="1"/>
  <c r="R75" i="6"/>
  <c r="Q75" i="6"/>
  <c r="S75" i="6" s="1"/>
  <c r="R59" i="6"/>
  <c r="Q59" i="6"/>
  <c r="S59" i="6" s="1"/>
  <c r="R50" i="6"/>
  <c r="Q50" i="6"/>
  <c r="S50" i="6" s="1"/>
  <c r="R141" i="6"/>
  <c r="Q141" i="6"/>
  <c r="S141" i="6" s="1"/>
  <c r="R144" i="6"/>
  <c r="Q144" i="6"/>
  <c r="S144" i="6" s="1"/>
  <c r="R127" i="6"/>
  <c r="Q127" i="6"/>
  <c r="S127" i="6" s="1"/>
  <c r="R122" i="6"/>
  <c r="Q122" i="6"/>
  <c r="S122" i="6" s="1"/>
  <c r="R102" i="6"/>
  <c r="Q102" i="6"/>
  <c r="S102" i="6" s="1"/>
  <c r="R109" i="6"/>
  <c r="Q109" i="6"/>
  <c r="S109" i="6" s="1"/>
  <c r="R97" i="6"/>
  <c r="Q97" i="6"/>
  <c r="S97" i="6" s="1"/>
  <c r="R76" i="6"/>
  <c r="Q76" i="6"/>
  <c r="S76" i="6" s="1"/>
  <c r="R96" i="6"/>
  <c r="Q96" i="6"/>
  <c r="S96" i="6" s="1"/>
  <c r="R81" i="6"/>
  <c r="Q81" i="6"/>
  <c r="S81" i="6" s="1"/>
  <c r="R65" i="6"/>
  <c r="Q65" i="6"/>
  <c r="S65" i="6" s="1"/>
  <c r="R49" i="6"/>
  <c r="Q49" i="6"/>
  <c r="S49" i="6" s="1"/>
  <c r="R52" i="6"/>
  <c r="Q52" i="6"/>
  <c r="S52" i="6" s="1"/>
  <c r="R139" i="6"/>
  <c r="Q139" i="6"/>
  <c r="S139" i="6" s="1"/>
  <c r="R142" i="6"/>
  <c r="Q142" i="6"/>
  <c r="S142" i="6" s="1"/>
  <c r="R125" i="6"/>
  <c r="Q125" i="6"/>
  <c r="S125" i="6" s="1"/>
  <c r="R120" i="6"/>
  <c r="Q120" i="6"/>
  <c r="S120" i="6" s="1"/>
  <c r="R100" i="6"/>
  <c r="Q100" i="6"/>
  <c r="S100" i="6" s="1"/>
  <c r="R107" i="6"/>
  <c r="Q107" i="6"/>
  <c r="S107" i="6" s="1"/>
  <c r="R93" i="6"/>
  <c r="Q93" i="6"/>
  <c r="S93" i="6" s="1"/>
  <c r="R74" i="6"/>
  <c r="Q74" i="6"/>
  <c r="S74" i="6" s="1"/>
  <c r="R92" i="6"/>
  <c r="Q92" i="6"/>
  <c r="S92" i="6" s="1"/>
  <c r="R79" i="6"/>
  <c r="Q79" i="6"/>
  <c r="S79" i="6" s="1"/>
  <c r="R63" i="6"/>
  <c r="Q63" i="6"/>
  <c r="S63" i="6" s="1"/>
  <c r="R47" i="6"/>
  <c r="Q47" i="6"/>
  <c r="S47" i="6" s="1"/>
  <c r="R48" i="6"/>
  <c r="Q48" i="6"/>
  <c r="S48" i="6" s="1"/>
  <c r="R129" i="6"/>
  <c r="Q129" i="6"/>
  <c r="S129" i="6" s="1"/>
  <c r="R64" i="6"/>
  <c r="Q64" i="6"/>
  <c r="S64" i="6" s="1"/>
  <c r="C37" i="6"/>
  <c r="R137" i="6"/>
  <c r="Q137" i="6"/>
  <c r="S137" i="6" s="1"/>
  <c r="R140" i="6"/>
  <c r="Q140" i="6"/>
  <c r="S140" i="6" s="1"/>
  <c r="R123" i="6"/>
  <c r="Q123" i="6"/>
  <c r="S123" i="6" s="1"/>
  <c r="R115" i="6"/>
  <c r="Q115" i="6"/>
  <c r="S115" i="6" s="1"/>
  <c r="R98" i="6"/>
  <c r="Q98" i="6"/>
  <c r="S98" i="6" s="1"/>
  <c r="R105" i="6"/>
  <c r="Q105" i="6"/>
  <c r="S105" i="6" s="1"/>
  <c r="R88" i="6"/>
  <c r="Q88" i="6"/>
  <c r="S88" i="6" s="1"/>
  <c r="R72" i="6"/>
  <c r="Q72" i="6"/>
  <c r="S72" i="6" s="1"/>
  <c r="R95" i="6"/>
  <c r="Q95" i="6"/>
  <c r="S95" i="6" s="1"/>
  <c r="R77" i="6"/>
  <c r="Q77" i="6"/>
  <c r="S77" i="6" s="1"/>
  <c r="R61" i="6"/>
  <c r="Q61" i="6"/>
  <c r="S61" i="6" s="1"/>
  <c r="R54" i="6"/>
  <c r="Q54" i="6"/>
  <c r="S54" i="6" s="1"/>
  <c r="R143" i="6"/>
  <c r="Q143" i="6"/>
  <c r="S143" i="6" s="1"/>
  <c r="R146" i="6"/>
  <c r="Q146" i="6"/>
  <c r="S146" i="6" s="1"/>
  <c r="R124" i="6"/>
  <c r="Q124" i="6"/>
  <c r="S124" i="6" s="1"/>
  <c r="R104" i="6"/>
  <c r="Q104" i="6"/>
  <c r="S104" i="6" s="1"/>
  <c r="R111" i="6"/>
  <c r="Q111" i="6"/>
  <c r="S111" i="6" s="1"/>
  <c r="R90" i="6"/>
  <c r="Q90" i="6"/>
  <c r="S90" i="6" s="1"/>
  <c r="R78" i="6"/>
  <c r="Q78" i="6"/>
  <c r="S78" i="6" s="1"/>
  <c r="R99" i="6"/>
  <c r="Q99" i="6"/>
  <c r="S99" i="6" s="1"/>
  <c r="R83" i="6"/>
  <c r="Q83" i="6"/>
  <c r="S83" i="6" s="1"/>
  <c r="R51" i="6"/>
  <c r="Q51" i="6"/>
  <c r="S51" i="6" s="1"/>
  <c r="R56" i="6"/>
  <c r="Q56" i="6"/>
  <c r="S56" i="6" s="1"/>
  <c r="R136" i="6"/>
  <c r="Q136" i="6"/>
  <c r="S136" i="6" s="1"/>
  <c r="R119" i="6"/>
  <c r="Q119" i="6"/>
  <c r="S119" i="6" s="1"/>
  <c r="R110" i="6"/>
  <c r="Q110" i="6"/>
  <c r="S110" i="6" s="1"/>
  <c r="R114" i="6"/>
  <c r="Q114" i="6"/>
  <c r="S114" i="6" s="1"/>
  <c r="R101" i="6"/>
  <c r="Q101" i="6"/>
  <c r="S101" i="6" s="1"/>
  <c r="R84" i="6"/>
  <c r="Q84" i="6"/>
  <c r="S84" i="6" s="1"/>
  <c r="R89" i="6"/>
  <c r="Q89" i="6"/>
  <c r="S89" i="6" s="1"/>
  <c r="R73" i="6"/>
  <c r="Q73" i="6"/>
  <c r="S73" i="6" s="1"/>
  <c r="R57" i="6"/>
  <c r="Q57" i="6"/>
  <c r="S57" i="6" s="1"/>
  <c r="R62" i="6"/>
  <c r="Q62" i="6"/>
  <c r="S62" i="6" s="1"/>
  <c r="C35" i="6"/>
  <c r="C39" i="6" l="1"/>
  <c r="C40" i="6" s="1"/>
  <c r="C41" i="6" s="1"/>
  <c r="C11" i="6" s="1"/>
  <c r="E11" i="6" s="1"/>
</calcChain>
</file>

<file path=xl/sharedStrings.xml><?xml version="1.0" encoding="utf-8"?>
<sst xmlns="http://schemas.openxmlformats.org/spreadsheetml/2006/main" count="142" uniqueCount="119">
  <si>
    <t>R name</t>
  </si>
  <si>
    <t>parameter</t>
  </si>
  <si>
    <t>M_a</t>
  </si>
  <si>
    <t>W_1</t>
  </si>
  <si>
    <t>W_2</t>
  </si>
  <si>
    <t>SR_alpha</t>
  </si>
  <si>
    <t>SR_beta</t>
  </si>
  <si>
    <t>Amat</t>
  </si>
  <si>
    <t>Lmat</t>
  </si>
  <si>
    <t>Linf</t>
  </si>
  <si>
    <t>K</t>
  </si>
  <si>
    <t>R0</t>
  </si>
  <si>
    <t>length at maturity</t>
  </si>
  <si>
    <t>maximum length</t>
  </si>
  <si>
    <t>L0</t>
  </si>
  <si>
    <t>M</t>
  </si>
  <si>
    <t>h</t>
  </si>
  <si>
    <t>steepness</t>
  </si>
  <si>
    <t>W0</t>
  </si>
  <si>
    <t>mass of larva</t>
  </si>
  <si>
    <t>B</t>
  </si>
  <si>
    <t>Winf</t>
  </si>
  <si>
    <t>A</t>
  </si>
  <si>
    <t>anabolic rate</t>
  </si>
  <si>
    <t>Brody growth</t>
  </si>
  <si>
    <t>W_amat</t>
  </si>
  <si>
    <t>Mat_a</t>
  </si>
  <si>
    <t>L_a</t>
  </si>
  <si>
    <t>W_a</t>
  </si>
  <si>
    <t>BPR_a</t>
  </si>
  <si>
    <t>SBPR_a</t>
  </si>
  <si>
    <t>B_a</t>
  </si>
  <si>
    <t>SB_a</t>
  </si>
  <si>
    <t>MLRR</t>
  </si>
  <si>
    <t>SB_0</t>
  </si>
  <si>
    <t>Selex_a</t>
  </si>
  <si>
    <t>Age</t>
  </si>
  <si>
    <t>Paper notation</t>
  </si>
  <si>
    <t>age at maturity</t>
  </si>
  <si>
    <t>k</t>
  </si>
  <si>
    <t>catabolic rate</t>
  </si>
  <si>
    <t>Weight</t>
  </si>
  <si>
    <t>Length</t>
  </si>
  <si>
    <t>weight at maturity</t>
  </si>
  <si>
    <t>Survival</t>
  </si>
  <si>
    <t>N/A</t>
  </si>
  <si>
    <t>maximum lifetime SB per SB</t>
  </si>
  <si>
    <t>sum(SBPR_a)</t>
  </si>
  <si>
    <t>SB PR at age @ unfished</t>
  </si>
  <si>
    <t>Maturity</t>
  </si>
  <si>
    <t>Bio per recruit</t>
  </si>
  <si>
    <t>SB per recruit</t>
  </si>
  <si>
    <t>S_a</t>
  </si>
  <si>
    <t>biomass</t>
  </si>
  <si>
    <t>spawning bio</t>
  </si>
  <si>
    <t>SB at unfished</t>
  </si>
  <si>
    <t>max recruits per SB</t>
  </si>
  <si>
    <t>density dependence</t>
  </si>
  <si>
    <t>Selectivity</t>
  </si>
  <si>
    <t>CPR_a</t>
  </si>
  <si>
    <t>F</t>
  </si>
  <si>
    <t>fishing effort</t>
  </si>
  <si>
    <t>Catch</t>
  </si>
  <si>
    <t>C</t>
  </si>
  <si>
    <t>total catch</t>
  </si>
  <si>
    <t>Recruitment_Ob</t>
  </si>
  <si>
    <t>R_average</t>
  </si>
  <si>
    <t>Natural mortality</t>
  </si>
  <si>
    <t>Z_a</t>
  </si>
  <si>
    <t>F_a</t>
  </si>
  <si>
    <t>Fishing mortality</t>
  </si>
  <si>
    <t>Total mortality</t>
  </si>
  <si>
    <t>SB_average</t>
  </si>
  <si>
    <t>total SB</t>
  </si>
  <si>
    <t>Ln_Rinput</t>
  </si>
  <si>
    <t>Unfished Equilibrium</t>
  </si>
  <si>
    <t>Fished Equilibrium (optimized Rinput)</t>
  </si>
  <si>
    <t>recruits at equilibrium</t>
  </si>
  <si>
    <t>total recruits</t>
  </si>
  <si>
    <t>deviation from equilibrium</t>
  </si>
  <si>
    <t>LMARR</t>
  </si>
  <si>
    <t>Value</t>
  </si>
  <si>
    <t>log-max spawner per spawner</t>
  </si>
  <si>
    <t>Fishery 
Parameters</t>
  </si>
  <si>
    <t>weight at infinity</t>
  </si>
  <si>
    <t>Biological Parameters 
(Derived)</t>
  </si>
  <si>
    <t>Stock-Recruit Parameters 
(Derived)</t>
  </si>
  <si>
    <t>unexploited recruits</t>
  </si>
  <si>
    <t>weight per unit volume</t>
  </si>
  <si>
    <t>allometric scaling of weight to length</t>
  </si>
  <si>
    <t>length at birth</t>
  </si>
  <si>
    <t>mortality at age of maturity</t>
  </si>
  <si>
    <r>
      <t>L</t>
    </r>
    <r>
      <rPr>
        <i/>
        <vertAlign val="subscript"/>
        <sz val="11"/>
        <color theme="1"/>
        <rFont val="Calibri"/>
        <family val="2"/>
      </rPr>
      <t>∞</t>
    </r>
  </si>
  <si>
    <r>
      <t>M</t>
    </r>
    <r>
      <rPr>
        <i/>
        <vertAlign val="subscript"/>
        <sz val="11"/>
        <color theme="1"/>
        <rFont val="Calibri"/>
        <family val="2"/>
        <scheme val="minor"/>
      </rPr>
      <t>mat</t>
    </r>
  </si>
  <si>
    <t>Recruits at equilibrium</t>
  </si>
  <si>
    <t>Objective (0 at equil.)</t>
  </si>
  <si>
    <t xml:space="preserve">Step 1: </t>
  </si>
  <si>
    <t>Step 2:</t>
  </si>
  <si>
    <r>
      <t xml:space="preserve"> Opitmize recruitment to find equilibrium at given </t>
    </r>
    <r>
      <rPr>
        <i/>
        <sz val="11"/>
        <color theme="1"/>
        <rFont val="Calibri"/>
        <family val="2"/>
        <scheme val="minor"/>
      </rPr>
      <t xml:space="preserve">F. </t>
    </r>
  </si>
  <si>
    <r>
      <t xml:space="preserve">Use Excel </t>
    </r>
    <r>
      <rPr>
        <b/>
        <sz val="11"/>
        <color theme="1"/>
        <rFont val="Calibri"/>
        <family val="2"/>
        <scheme val="minor"/>
      </rPr>
      <t>Solver</t>
    </r>
    <r>
      <rPr>
        <sz val="11"/>
        <color theme="1"/>
        <rFont val="Calibri"/>
        <family val="2"/>
        <scheme val="minor"/>
      </rPr>
      <t xml:space="preserve"> to change the recruits at equilibrium until the recruitment objective is 0. </t>
    </r>
    <r>
      <rPr>
        <sz val="11"/>
        <color rgb="FFFF0000"/>
        <rFont val="Calibri"/>
        <family val="2"/>
        <scheme val="minor"/>
      </rPr>
      <t>Do not manually change these.</t>
    </r>
  </si>
  <si>
    <r>
      <t>L</t>
    </r>
    <r>
      <rPr>
        <i/>
        <vertAlign val="subscript"/>
        <sz val="11"/>
        <color theme="1"/>
        <rFont val="Times New Roman"/>
        <family val="1"/>
      </rPr>
      <t>∞</t>
    </r>
  </si>
  <si>
    <r>
      <t>M</t>
    </r>
    <r>
      <rPr>
        <i/>
        <vertAlign val="subscript"/>
        <sz val="11"/>
        <color theme="1"/>
        <rFont val="Times New Roman"/>
        <family val="1"/>
      </rPr>
      <t>mat</t>
    </r>
  </si>
  <si>
    <r>
      <t>R</t>
    </r>
    <r>
      <rPr>
        <i/>
        <vertAlign val="subscript"/>
        <sz val="11"/>
        <color theme="1"/>
        <rFont val="Times New Roman"/>
        <family val="1"/>
      </rPr>
      <t>0</t>
    </r>
  </si>
  <si>
    <r>
      <t>θ</t>
    </r>
    <r>
      <rPr>
        <vertAlign val="subscript"/>
        <sz val="9.35"/>
        <color theme="1"/>
        <rFont val="Times New Roman"/>
        <family val="1"/>
      </rPr>
      <t>1</t>
    </r>
  </si>
  <si>
    <r>
      <t>θ</t>
    </r>
    <r>
      <rPr>
        <vertAlign val="subscript"/>
        <sz val="11"/>
        <color theme="1"/>
        <rFont val="Times New Roman"/>
        <family val="1"/>
      </rPr>
      <t>2</t>
    </r>
  </si>
  <si>
    <r>
      <t>W</t>
    </r>
    <r>
      <rPr>
        <i/>
        <vertAlign val="subscript"/>
        <sz val="11"/>
        <color theme="1"/>
        <rFont val="Times New Roman"/>
        <family val="1"/>
      </rPr>
      <t>∞</t>
    </r>
  </si>
  <si>
    <r>
      <t>W</t>
    </r>
    <r>
      <rPr>
        <i/>
        <vertAlign val="subscript"/>
        <sz val="11"/>
        <color theme="1"/>
        <rFont val="Times New Roman"/>
        <family val="1"/>
      </rPr>
      <t>0</t>
    </r>
  </si>
  <si>
    <r>
      <t>L</t>
    </r>
    <r>
      <rPr>
        <i/>
        <vertAlign val="subscript"/>
        <sz val="11"/>
        <color theme="1"/>
        <rFont val="Times New Roman"/>
        <family val="1"/>
      </rPr>
      <t>0</t>
    </r>
  </si>
  <si>
    <r>
      <t>A</t>
    </r>
    <r>
      <rPr>
        <i/>
        <vertAlign val="subscript"/>
        <sz val="11"/>
        <color theme="1"/>
        <rFont val="Times New Roman"/>
        <family val="1"/>
      </rPr>
      <t>mat</t>
    </r>
  </si>
  <si>
    <r>
      <rPr>
        <i/>
        <sz val="11"/>
        <color theme="1"/>
        <rFont val="Times New Roman"/>
        <family val="1"/>
      </rPr>
      <t>L</t>
    </r>
    <r>
      <rPr>
        <i/>
        <vertAlign val="subscript"/>
        <sz val="11"/>
        <color theme="1"/>
        <rFont val="Times New Roman"/>
        <family val="1"/>
      </rPr>
      <t>mat</t>
    </r>
  </si>
  <si>
    <r>
      <t>W</t>
    </r>
    <r>
      <rPr>
        <i/>
        <vertAlign val="subscript"/>
        <sz val="11"/>
        <color theme="1"/>
        <rFont val="Times New Roman"/>
        <family val="1"/>
      </rPr>
      <t>mat</t>
    </r>
  </si>
  <si>
    <r>
      <t>sum(</t>
    </r>
    <r>
      <rPr>
        <i/>
        <sz val="11"/>
        <color theme="1"/>
        <rFont val="Times New Roman"/>
        <family val="1"/>
      </rPr>
      <t>SBPR_a</t>
    </r>
    <r>
      <rPr>
        <sz val="11"/>
        <color theme="1"/>
        <rFont val="Times New Roman"/>
        <family val="1"/>
      </rPr>
      <t>)</t>
    </r>
  </si>
  <si>
    <t>α</t>
  </si>
  <si>
    <t>β</t>
  </si>
  <si>
    <t>The model parameters, in rough order of derived calculations. DO NOT CHANGE THESE VALUES.</t>
  </si>
  <si>
    <t>The age specific calculations, derived using values from above</t>
  </si>
  <si>
    <r>
      <t>Input life history parameters and fishing effort (</t>
    </r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). </t>
    </r>
    <r>
      <rPr>
        <sz val="11"/>
        <color rgb="FFFF0000"/>
        <rFont val="Calibri"/>
        <family val="2"/>
        <scheme val="minor"/>
      </rPr>
      <t>Change these yourself.</t>
    </r>
  </si>
  <si>
    <t>Specified
Parameters</t>
  </si>
  <si>
    <t>Assumed
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</si>
</sst>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</font>
    <font>
      <i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vertAlign val="subscript"/>
      <sz val="9.35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/>
    </xf>
    <xf numFmtId="11" fontId="0" fillId="0" borderId="2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165" fontId="0" fillId="0" borderId="2" xfId="0" applyNumberFormat="1" applyFill="1" applyBorder="1" applyAlignment="1">
      <alignment horizontal="center" vertical="center"/>
    </xf>
    <xf numFmtId="11" fontId="0" fillId="0" borderId="5" xfId="0" applyNumberFormat="1" applyFill="1" applyBorder="1" applyAlignment="1">
      <alignment horizontal="center" vertical="center"/>
    </xf>
    <xf numFmtId="11" fontId="1" fillId="0" borderId="7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1" fontId="1" fillId="3" borderId="9" xfId="0" applyNumberFormat="1" applyFont="1" applyFill="1" applyBorder="1" applyAlignment="1">
      <alignment horizontal="center"/>
    </xf>
    <xf numFmtId="0" fontId="12" fillId="0" borderId="0" xfId="0" applyFont="1"/>
    <xf numFmtId="0" fontId="0" fillId="0" borderId="15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 wrapText="1" shrinkToFit="1"/>
    </xf>
    <xf numFmtId="0" fontId="0" fillId="0" borderId="10" xfId="0" applyBorder="1" applyAlignment="1">
      <alignment horizontal="center" vertical="center" textRotation="90" shrinkToFit="1"/>
    </xf>
    <xf numFmtId="0" fontId="0" fillId="0" borderId="11" xfId="0" applyBorder="1" applyAlignment="1">
      <alignment horizontal="center" vertical="center" textRotation="90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06077937819685"/>
          <c:y val="5.1400554097404488E-2"/>
          <c:w val="0.78531786819917071"/>
          <c:h val="0.73174674823305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Model!$C$46</c:f>
              <c:strCache>
                <c:ptCount val="1"/>
                <c:pt idx="0">
                  <c:v>Length</c:v>
                </c:pt>
              </c:strCache>
            </c:strRef>
          </c:tx>
          <c:marker>
            <c:symbol val="none"/>
          </c:marker>
          <c:xVal>
            <c:numRef>
              <c:f>Model!$B$47:$B$147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Model!$C$47:$C$147</c:f>
              <c:numCache>
                <c:formatCode>0.00</c:formatCode>
                <c:ptCount val="101"/>
                <c:pt idx="0">
                  <c:v>0.90000000000000568</c:v>
                </c:pt>
                <c:pt idx="1">
                  <c:v>5.6203525063845348</c:v>
                </c:pt>
                <c:pt idx="2">
                  <c:v>10.090629504525182</c:v>
                </c:pt>
                <c:pt idx="3">
                  <c:v>14.324079530360478</c:v>
                </c:pt>
                <c:pt idx="4">
                  <c:v>18.333249237002676</c:v>
                </c:pt>
                <c:pt idx="5">
                  <c:v>22.13002057918618</c:v>
                </c:pt>
                <c:pt idx="6">
                  <c:v>25.725646027753015</c:v>
                </c:pt>
                <c:pt idx="7">
                  <c:v>29.130781918540244</c:v>
                </c:pt>
                <c:pt idx="8">
                  <c:v>32.355520034505297</c:v>
                </c:pt>
                <c:pt idx="9">
                  <c:v>35.409417514688869</c:v>
                </c:pt>
                <c:pt idx="10">
                  <c:v>38.301525178656654</c:v>
                </c:pt>
                <c:pt idx="11">
                  <c:v>41.040414350364685</c:v>
                </c:pt>
                <c:pt idx="12">
                  <c:v>43.634202260946111</c:v>
                </c:pt>
                <c:pt idx="13">
                  <c:v>46.090576105705495</c:v>
                </c:pt>
                <c:pt idx="14">
                  <c:v>48.416815826618333</c:v>
                </c:pt>
                <c:pt idx="15">
                  <c:v>50.619815687855947</c:v>
                </c:pt>
                <c:pt idx="16">
                  <c:v>52.706104708279227</c:v>
                </c:pt>
                <c:pt idx="17">
                  <c:v>54.681866011456741</c:v>
                </c:pt>
                <c:pt idx="18">
                  <c:v>56.552955150554894</c:v>
                </c:pt>
                <c:pt idx="19">
                  <c:v>58.324917462409367</c:v>
                </c:pt>
                <c:pt idx="20">
                  <c:v>60.003004502210189</c:v>
                </c:pt>
                <c:pt idx="21">
                  <c:v>61.592189607507585</c:v>
                </c:pt>
                <c:pt idx="22">
                  <c:v>63.09718263766581</c:v>
                </c:pt>
                <c:pt idx="23">
                  <c:v>64.52244393244807</c:v>
                </c:pt>
                <c:pt idx="24">
                  <c:v>65.872197531101506</c:v>
                </c:pt>
                <c:pt idx="25">
                  <c:v>67.150443691119648</c:v>
                </c:pt>
                <c:pt idx="26">
                  <c:v>68.360970743784037</c:v>
                </c:pt>
                <c:pt idx="27">
                  <c:v>69.50736632162139</c:v>
                </c:pt>
                <c:pt idx="28">
                  <c:v>70.593027991050732</c:v>
                </c:pt>
                <c:pt idx="29">
                  <c:v>71.621173321732869</c:v>
                </c:pt>
                <c:pt idx="30">
                  <c:v>72.594849422464236</c:v>
                </c:pt>
                <c:pt idx="31">
                  <c:v>73.516941971876932</c:v>
                </c:pt>
                <c:pt idx="32">
                  <c:v>74.390183770708944</c:v>
                </c:pt>
                <c:pt idx="33">
                  <c:v>75.217162840991051</c:v>
                </c:pt>
                <c:pt idx="34">
                  <c:v>76.000330096153817</c:v>
                </c:pt>
                <c:pt idx="35">
                  <c:v>76.742006604786553</c:v>
                </c:pt>
                <c:pt idx="36">
                  <c:v>77.444390469575836</c:v>
                </c:pt>
                <c:pt idx="37">
                  <c:v>78.10956334181067</c:v>
                </c:pt>
                <c:pt idx="38">
                  <c:v>78.739496590761178</c:v>
                </c:pt>
                <c:pt idx="39">
                  <c:v>79.336057146215182</c:v>
                </c:pt>
                <c:pt idx="40">
                  <c:v>79.901013031487963</c:v>
                </c:pt>
                <c:pt idx="41">
                  <c:v>80.436038603303459</c:v>
                </c:pt>
                <c:pt idx="42">
                  <c:v>80.942719514076316</c:v>
                </c:pt>
                <c:pt idx="43">
                  <c:v>81.422557411301426</c:v>
                </c:pt>
                <c:pt idx="44">
                  <c:v>81.876974387978564</c:v>
                </c:pt>
                <c:pt idx="45">
                  <c:v>82.307317197261739</c:v>
                </c:pt>
                <c:pt idx="46">
                  <c:v>82.71486124382433</c:v>
                </c:pt>
                <c:pt idx="47">
                  <c:v>83.100814363769032</c:v>
                </c:pt>
                <c:pt idx="48">
                  <c:v>83.466320404285256</c:v>
                </c:pt>
                <c:pt idx="49">
                  <c:v>83.812462613662873</c:v>
                </c:pt>
                <c:pt idx="50">
                  <c:v>84.140266851709384</c:v>
                </c:pt>
                <c:pt idx="51">
                  <c:v>84.450704630085113</c:v>
                </c:pt>
                <c:pt idx="52">
                  <c:v>84.744695991567113</c:v>
                </c:pt>
                <c:pt idx="53">
                  <c:v>85.023112236774963</c:v>
                </c:pt>
                <c:pt idx="54">
                  <c:v>85.286778506439759</c:v>
                </c:pt>
                <c:pt idx="55">
                  <c:v>85.536476226869311</c:v>
                </c:pt>
                <c:pt idx="56">
                  <c:v>85.772945425857003</c:v>
                </c:pt>
                <c:pt idx="57">
                  <c:v>85.996886925898309</c:v>
                </c:pt>
                <c:pt idx="58">
                  <c:v>86.208964421214546</c:v>
                </c:pt>
                <c:pt idx="59">
                  <c:v>86.409806444739942</c:v>
                </c:pt>
                <c:pt idx="60">
                  <c:v>86.60000823090131</c:v>
                </c:pt>
                <c:pt idx="61">
                  <c:v>86.780133479711097</c:v>
                </c:pt>
                <c:pt idx="62">
                  <c:v>86.950716027402109</c:v>
                </c:pt>
                <c:pt idx="63">
                  <c:v>87.112261428555087</c:v>
                </c:pt>
                <c:pt idx="64">
                  <c:v>87.265248454408095</c:v>
                </c:pt>
                <c:pt idx="65">
                  <c:v>87.410130511788282</c:v>
                </c:pt>
                <c:pt idx="66">
                  <c:v>87.547336986871201</c:v>
                </c:pt>
                <c:pt idx="67">
                  <c:v>87.677274517750433</c:v>
                </c:pt>
                <c:pt idx="68">
                  <c:v>87.800328199588591</c:v>
                </c:pt>
                <c:pt idx="69">
                  <c:v>87.916862725921874</c:v>
                </c:pt>
                <c:pt idx="70">
                  <c:v>88.027223469500299</c:v>
                </c:pt>
                <c:pt idx="71">
                  <c:v>88.131737505867093</c:v>
                </c:pt>
                <c:pt idx="72">
                  <c:v>88.230714582710689</c:v>
                </c:pt>
                <c:pt idx="73">
                  <c:v>88.324448037862325</c:v>
                </c:pt>
                <c:pt idx="74">
                  <c:v>88.413215668659788</c:v>
                </c:pt>
                <c:pt idx="75">
                  <c:v>88.49728055525388</c:v>
                </c:pt>
                <c:pt idx="76">
                  <c:v>88.576891840297648</c:v>
                </c:pt>
                <c:pt idx="77">
                  <c:v>88.652285467329165</c:v>
                </c:pt>
                <c:pt idx="78">
                  <c:v>88.723684880036046</c:v>
                </c:pt>
                <c:pt idx="79">
                  <c:v>88.791301684474419</c:v>
                </c:pt>
                <c:pt idx="80">
                  <c:v>88.85533627620454</c:v>
                </c:pt>
                <c:pt idx="81">
                  <c:v>88.915978434202131</c:v>
                </c:pt>
                <c:pt idx="82">
                  <c:v>88.973407883305256</c:v>
                </c:pt>
                <c:pt idx="83">
                  <c:v>89.027794826863897</c:v>
                </c:pt>
                <c:pt idx="84">
                  <c:v>89.079300451170667</c:v>
                </c:pt>
                <c:pt idx="85">
                  <c:v>89.128077403167779</c:v>
                </c:pt>
                <c:pt idx="86">
                  <c:v>89.174270242846021</c:v>
                </c:pt>
                <c:pt idx="87">
                  <c:v>89.2180158716763</c:v>
                </c:pt>
                <c:pt idx="88">
                  <c:v>89.259443938343921</c:v>
                </c:pt>
                <c:pt idx="89">
                  <c:v>89.298677222987664</c:v>
                </c:pt>
                <c:pt idx="90">
                  <c:v>89.335832001082551</c:v>
                </c:pt>
                <c:pt idx="91">
                  <c:v>89.371018388044959</c:v>
                </c:pt>
                <c:pt idx="92">
                  <c:v>89.404340665581003</c:v>
                </c:pt>
                <c:pt idx="93">
                  <c:v>89.435897590745711</c:v>
                </c:pt>
                <c:pt idx="94">
                  <c:v>89.465782688628778</c:v>
                </c:pt>
                <c:pt idx="95">
                  <c:v>89.494084529534334</c:v>
                </c:pt>
                <c:pt idx="96">
                  <c:v>89.520886991476331</c:v>
                </c:pt>
                <c:pt idx="97">
                  <c:v>89.54626950876731</c:v>
                </c:pt>
                <c:pt idx="98">
                  <c:v>89.570307307437488</c:v>
                </c:pt>
                <c:pt idx="99">
                  <c:v>89.593071628181733</c:v>
                </c:pt>
                <c:pt idx="100">
                  <c:v>89.614629937495224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4752"/>
        <c:axId val="178497024"/>
      </c:scatterChart>
      <c:valAx>
        <c:axId val="1590347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497024"/>
        <c:crosses val="autoZero"/>
        <c:crossBetween val="midCat"/>
      </c:valAx>
      <c:valAx>
        <c:axId val="178497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903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7340332458443"/>
          <c:y val="8.5667590162340823E-2"/>
          <c:w val="0.76544819918343543"/>
          <c:h val="0.65772212501215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Model!$E$46</c:f>
              <c:strCache>
                <c:ptCount val="1"/>
                <c:pt idx="0">
                  <c:v>Natural mortality</c:v>
                </c:pt>
              </c:strCache>
            </c:strRef>
          </c:tx>
          <c:marker>
            <c:symbol val="none"/>
          </c:marker>
          <c:xVal>
            <c:numRef>
              <c:f>Model!$D$48:$D$147</c:f>
              <c:numCache>
                <c:formatCode>0.00</c:formatCode>
                <c:ptCount val="100"/>
                <c:pt idx="0">
                  <c:v>1.7753773120303518</c:v>
                </c:pt>
                <c:pt idx="1">
                  <c:v>10.274360069744731</c:v>
                </c:pt>
                <c:pt idx="2">
                  <c:v>29.390039578923915</c:v>
                </c:pt>
                <c:pt idx="3">
                  <c:v>61.619522402925931</c:v>
                </c:pt>
                <c:pt idx="4">
                  <c:v>108.3790783218865</c:v>
                </c:pt>
                <c:pt idx="5">
                  <c:v>170.25460561594457</c:v>
                </c:pt>
                <c:pt idx="6">
                  <c:v>247.20453057548113</c:v>
                </c:pt>
                <c:pt idx="7">
                  <c:v>338.72336353289199</c:v>
                </c:pt>
                <c:pt idx="8">
                  <c:v>443.97278377791446</c:v>
                </c:pt>
                <c:pt idx="9">
                  <c:v>561.88599075239449</c:v>
                </c:pt>
                <c:pt idx="10">
                  <c:v>691.25010533223656</c:v>
                </c:pt>
                <c:pt idx="11">
                  <c:v>830.77060439054696</c:v>
                </c:pt>
                <c:pt idx="12">
                  <c:v>979.12110018375279</c:v>
                </c:pt>
                <c:pt idx="13">
                  <c:v>1134.9812131166218</c:v>
                </c:pt>
                <c:pt idx="14">
                  <c:v>1297.0648149747087</c:v>
                </c:pt>
                <c:pt idx="15">
                  <c:v>1464.1405252798388</c:v>
                </c:pt>
                <c:pt idx="16">
                  <c:v>1635.0460137959237</c:v>
                </c:pt>
                <c:pt idx="17">
                  <c:v>1808.697387066069</c:v>
                </c:pt>
                <c:pt idx="18">
                  <c:v>1984.0947074879675</c:v>
                </c:pt>
                <c:pt idx="19">
                  <c:v>2160.3245024876319</c:v>
                </c:pt>
                <c:pt idx="20">
                  <c:v>2336.5599626392777</c:v>
                </c:pt>
                <c:pt idx="21">
                  <c:v>2512.0593958842187</c:v>
                </c:pt>
                <c:pt idx="22">
                  <c:v>2686.1633959298201</c:v>
                </c:pt>
                <c:pt idx="23">
                  <c:v>2858.2910927624575</c:v>
                </c:pt>
                <c:pt idx="24">
                  <c:v>3027.9357788748989</c:v>
                </c:pt>
                <c:pt idx="25">
                  <c:v>3194.6601436730107</c:v>
                </c:pt>
                <c:pt idx="26">
                  <c:v>3358.0912983920657</c:v>
                </c:pt>
                <c:pt idx="27">
                  <c:v>3517.9157328744886</c:v>
                </c:pt>
                <c:pt idx="28">
                  <c:v>3673.8743121917278</c:v>
                </c:pt>
                <c:pt idx="29">
                  <c:v>3825.7573940360235</c:v>
                </c:pt>
                <c:pt idx="30">
                  <c:v>3973.4001259778497</c:v>
                </c:pt>
                <c:pt idx="31">
                  <c:v>4116.6779641733392</c:v>
                </c:pt>
                <c:pt idx="32">
                  <c:v>4255.5024411544746</c:v>
                </c:pt>
                <c:pt idx="33">
                  <c:v>4389.8171993099704</c:v>
                </c:pt>
                <c:pt idx="34">
                  <c:v>4519.5942980389127</c:v>
                </c:pt>
                <c:pt idx="35">
                  <c:v>4644.8307958932228</c:v>
                </c:pt>
                <c:pt idx="36">
                  <c:v>4765.5456039539376</c:v>
                </c:pt>
                <c:pt idx="37">
                  <c:v>4881.7766029074774</c:v>
                </c:pt>
                <c:pt idx="38">
                  <c:v>4993.5780135510968</c:v>
                </c:pt>
                <c:pt idx="39">
                  <c:v>5101.0180085543752</c:v>
                </c:pt>
                <c:pt idx="40">
                  <c:v>5204.1765520655636</c:v>
                </c:pt>
                <c:pt idx="41">
                  <c:v>5303.1434530376209</c:v>
                </c:pt>
                <c:pt idx="42">
                  <c:v>5398.0166178438612</c:v>
                </c:pt>
                <c:pt idx="43">
                  <c:v>5488.9004877637235</c:v>
                </c:pt>
                <c:pt idx="44">
                  <c:v>5575.9046471688034</c:v>
                </c:pt>
                <c:pt idx="45">
                  <c:v>5659.1425886662273</c:v>
                </c:pt>
                <c:pt idx="46">
                  <c:v>5738.7306220109458</c:v>
                </c:pt>
                <c:pt idx="47">
                  <c:v>5814.7869142407981</c:v>
                </c:pt>
                <c:pt idx="48">
                  <c:v>5887.4306491863599</c:v>
                </c:pt>
                <c:pt idx="49">
                  <c:v>5956.7812952370659</c:v>
                </c:pt>
                <c:pt idx="50">
                  <c:v>6022.9579709859727</c:v>
                </c:pt>
                <c:pt idx="51">
                  <c:v>6086.0788991133113</c:v>
                </c:pt>
                <c:pt idx="52">
                  <c:v>6146.2609395919289</c:v>
                </c:pt>
                <c:pt idx="53">
                  <c:v>6203.6191939979226</c:v>
                </c:pt>
                <c:pt idx="54">
                  <c:v>6258.2666733807628</c:v>
                </c:pt>
                <c:pt idx="55">
                  <c:v>6310.3140227854065</c:v>
                </c:pt>
                <c:pt idx="56">
                  <c:v>6359.8692961213892</c:v>
                </c:pt>
                <c:pt idx="57">
                  <c:v>6407.0377756394391</c:v>
                </c:pt>
                <c:pt idx="58">
                  <c:v>6451.9218308044074</c:v>
                </c:pt>
                <c:pt idx="59">
                  <c:v>6494.6208118443228</c:v>
                </c:pt>
                <c:pt idx="60">
                  <c:v>6535.230973710095</c:v>
                </c:pt>
                <c:pt idx="61">
                  <c:v>6573.8454266001154</c:v>
                </c:pt>
                <c:pt idx="62">
                  <c:v>6610.5541095898652</c:v>
                </c:pt>
                <c:pt idx="63">
                  <c:v>6645.4437842607149</c:v>
                </c:pt>
                <c:pt idx="64">
                  <c:v>6678.5980455459321</c:v>
                </c:pt>
                <c:pt idx="65">
                  <c:v>6710.0973473073082</c:v>
                </c:pt>
                <c:pt idx="66">
                  <c:v>6740.0190404249834</c:v>
                </c:pt>
                <c:pt idx="67">
                  <c:v>6768.4374214272166</c:v>
                </c:pt>
                <c:pt idx="68">
                  <c:v>6795.4237899086229</c:v>
                </c:pt>
                <c:pt idx="69">
                  <c:v>6821.0465131857181</c:v>
                </c:pt>
                <c:pt idx="70">
                  <c:v>6845.3710968197774</c:v>
                </c:pt>
                <c:pt idx="71">
                  <c:v>6868.4602598002202</c:v>
                </c:pt>
                <c:pt idx="72">
                  <c:v>6890.3740133286447</c:v>
                </c:pt>
                <c:pt idx="73">
                  <c:v>6911.1697422756806</c:v>
                </c:pt>
                <c:pt idx="74">
                  <c:v>6930.9022885011491</c:v>
                </c:pt>
                <c:pt idx="75">
                  <c:v>6949.624035334059</c:v>
                </c:pt>
                <c:pt idx="76">
                  <c:v>6967.384992603731</c:v>
                </c:pt>
                <c:pt idx="77">
                  <c:v>6984.232881697787</c:v>
                </c:pt>
                <c:pt idx="78">
                  <c:v>7000.213220198164</c:v>
                </c:pt>
                <c:pt idx="79">
                  <c:v>7015.3694057131115</c:v>
                </c:pt>
                <c:pt idx="80">
                  <c:v>7029.7427985826425</c:v>
                </c:pt>
                <c:pt idx="81">
                  <c:v>7043.3728031873743</c:v>
                </c:pt>
                <c:pt idx="82">
                  <c:v>7056.2969476373064</c:v>
                </c:pt>
                <c:pt idx="83">
                  <c:v>7068.5509616578975</c:v>
                </c:pt>
                <c:pt idx="84">
                  <c:v>7080.1688525269574</c:v>
                </c:pt>
                <c:pt idx="85">
                  <c:v>7091.1829789474132</c:v>
                </c:pt>
                <c:pt idx="86">
                  <c:v>7101.6241227685978</c:v>
                </c:pt>
                <c:pt idx="87">
                  <c:v>7111.5215584929556</c:v>
                </c:pt>
                <c:pt idx="88">
                  <c:v>7120.9031205258143</c:v>
                </c:pt>
                <c:pt idx="89">
                  <c:v>7129.7952681440784</c:v>
                </c:pt>
                <c:pt idx="90">
                  <c:v>7138.2231481753597</c:v>
                </c:pt>
                <c:pt idx="91">
                  <c:v>7146.2106553922831</c:v>
                </c:pt>
                <c:pt idx="92">
                  <c:v>7153.7804906382526</c:v>
                </c:pt>
                <c:pt idx="93">
                  <c:v>7160.9542167105437</c:v>
                </c:pt>
                <c:pt idx="94">
                  <c:v>7167.752312034645</c:v>
                </c:pt>
                <c:pt idx="95">
                  <c:v>7174.1942221706413</c:v>
                </c:pt>
                <c:pt idx="96">
                  <c:v>7180.2984091977496</c:v>
                </c:pt>
                <c:pt idx="97">
                  <c:v>7186.0823990278386</c:v>
                </c:pt>
                <c:pt idx="98">
                  <c:v>7191.5628267020575</c:v>
                </c:pt>
                <c:pt idx="99">
                  <c:v>7196.7554797276343</c:v>
                </c:pt>
              </c:numCache>
            </c:numRef>
          </c:xVal>
          <c:yVal>
            <c:numRef>
              <c:f>Model!$E$48:$E$147</c:f>
              <c:numCache>
                <c:formatCode>0.00</c:formatCode>
                <c:ptCount val="100"/>
                <c:pt idx="0">
                  <c:v>3.4880406914217836</c:v>
                </c:pt>
                <c:pt idx="1">
                  <c:v>1.4499381759999372</c:v>
                </c:pt>
                <c:pt idx="2">
                  <c:v>0.85728808968888992</c:v>
                </c:pt>
                <c:pt idx="3">
                  <c:v>0.5920627140090815</c:v>
                </c:pt>
                <c:pt idx="4">
                  <c:v>0.44643079921467899</c:v>
                </c:pt>
                <c:pt idx="5">
                  <c:v>0.35618648855791207</c:v>
                </c:pt>
                <c:pt idx="6">
                  <c:v>0.29559607468271798</c:v>
                </c:pt>
                <c:pt idx="7">
                  <c:v>0.2525249529999043</c:v>
                </c:pt>
                <c:pt idx="8">
                  <c:v>0.22057114699449307</c:v>
                </c:pt>
                <c:pt idx="9">
                  <c:v>0.19606621883783418</c:v>
                </c:pt>
                <c:pt idx="10">
                  <c:v>0.17677028834241332</c:v>
                </c:pt>
                <c:pt idx="11">
                  <c:v>0.16124502166210081</c:v>
                </c:pt>
                <c:pt idx="12">
                  <c:v>0.14852811545236813</c:v>
                </c:pt>
                <c:pt idx="13">
                  <c:v>0.1379534414725721</c:v>
                </c:pt>
                <c:pt idx="14">
                  <c:v>0.12904644241555377</c:v>
                </c:pt>
                <c:pt idx="15">
                  <c:v>0.12146062033349822</c:v>
                </c:pt>
                <c:pt idx="16">
                  <c:v>0.11493753689468582</c:v>
                </c:pt>
                <c:pt idx="17">
                  <c:v>0.10928081367428899</c:v>
                </c:pt>
                <c:pt idx="18">
                  <c:v>0.10433876123755741</c:v>
                </c:pt>
                <c:pt idx="19">
                  <c:v>9.9992489214605032E-2</c:v>
                </c:pt>
                <c:pt idx="20">
                  <c:v>9.6147591632686338E-2</c:v>
                </c:pt>
                <c:pt idx="21">
                  <c:v>9.2728220104754594E-2</c:v>
                </c:pt>
                <c:pt idx="22">
                  <c:v>8.9672785868466276E-2</c:v>
                </c:pt>
                <c:pt idx="23">
                  <c:v>8.6930794250783067E-2</c:v>
                </c:pt>
                <c:pt idx="24">
                  <c:v>8.4460480088920389E-2</c:v>
                </c:pt>
                <c:pt idx="25">
                  <c:v>8.2227018593342027E-2</c:v>
                </c:pt>
                <c:pt idx="26">
                  <c:v>8.0201155582758671E-2</c:v>
                </c:pt>
                <c:pt idx="27">
                  <c:v>7.8358147380912693E-2</c:v>
                </c:pt>
                <c:pt idx="28">
                  <c:v>7.6676932139914139E-2</c:v>
                </c:pt>
                <c:pt idx="29">
                  <c:v>7.513947605778698E-2</c:v>
                </c:pt>
                <c:pt idx="30">
                  <c:v>7.373025313808626E-2</c:v>
                </c:pt>
                <c:pt idx="31">
                  <c:v>7.2435827898727878E-2</c:v>
                </c:pt>
                <c:pt idx="32">
                  <c:v>7.1244518157271411E-2</c:v>
                </c:pt>
                <c:pt idx="33">
                  <c:v>7.0146120622989236E-2</c:v>
                </c:pt>
                <c:pt idx="34">
                  <c:v>6.9131686136284481E-2</c:v>
                </c:pt>
                <c:pt idx="35">
                  <c:v>6.8193334441385173E-2</c:v>
                </c:pt>
                <c:pt idx="36">
                  <c:v>6.7324100655830374E-2</c:v>
                </c:pt>
                <c:pt idx="37">
                  <c:v>6.6517807318684632E-2</c:v>
                </c:pt>
                <c:pt idx="38">
                  <c:v>6.576895720671759E-2</c:v>
                </c:pt>
                <c:pt idx="39">
                  <c:v>6.5072643110115166E-2</c:v>
                </c:pt>
                <c:pt idx="40">
                  <c:v>6.4424471533472943E-2</c:v>
                </c:pt>
                <c:pt idx="41">
                  <c:v>6.3820497889974778E-2</c:v>
                </c:pt>
                <c:pt idx="42">
                  <c:v>6.3257171228109366E-2</c:v>
                </c:pt>
                <c:pt idx="43">
                  <c:v>6.2731286901717281E-2</c:v>
                </c:pt>
                <c:pt idx="44">
                  <c:v>6.2239945888550731E-2</c:v>
                </c:pt>
                <c:pt idx="45">
                  <c:v>6.1780519697178224E-2</c:v>
                </c:pt>
                <c:pt idx="46">
                  <c:v>6.1350619990111321E-2</c:v>
                </c:pt>
                <c:pt idx="47">
                  <c:v>6.0948072202501154E-2</c:v>
                </c:pt>
                <c:pt idx="48">
                  <c:v>6.0570892558367229E-2</c:v>
                </c:pt>
                <c:pt idx="49">
                  <c:v>6.0217267986039526E-2</c:v>
                </c:pt>
                <c:pt idx="50">
                  <c:v>5.9885538515960818E-2</c:v>
                </c:pt>
                <c:pt idx="51">
                  <c:v>5.9574181810834646E-2</c:v>
                </c:pt>
                <c:pt idx="52">
                  <c:v>5.9281799533169866E-2</c:v>
                </c:pt>
                <c:pt idx="53">
                  <c:v>5.9007105300816182E-2</c:v>
                </c:pt>
                <c:pt idx="54">
                  <c:v>5.8748914018899048E-2</c:v>
                </c:pt>
                <c:pt idx="55">
                  <c:v>5.8506132408069553E-2</c:v>
                </c:pt>
                <c:pt idx="56">
                  <c:v>5.827775057533302E-2</c:v>
                </c:pt>
                <c:pt idx="57">
                  <c:v>5.8062834495824445E-2</c:v>
                </c:pt>
                <c:pt idx="58">
                  <c:v>5.7860519292506123E-2</c:v>
                </c:pt>
                <c:pt idx="59">
                  <c:v>5.7670003216473337E-2</c:v>
                </c:pt>
                <c:pt idx="60">
                  <c:v>5.7490542243859924E-2</c:v>
                </c:pt>
                <c:pt idx="61">
                  <c:v>5.7321445216635833E-2</c:v>
                </c:pt>
                <c:pt idx="62">
                  <c:v>5.7162069464215433E-2</c:v>
                </c:pt>
                <c:pt idx="63">
                  <c:v>5.701181685101521E-2</c:v>
                </c:pt>
                <c:pt idx="64">
                  <c:v>5.6870130202139074E-2</c:v>
                </c:pt>
                <c:pt idx="65">
                  <c:v>5.6736490065412259E-2</c:v>
                </c:pt>
                <c:pt idx="66">
                  <c:v>5.6610411773184384E-2</c:v>
                </c:pt>
                <c:pt idx="67">
                  <c:v>5.6491442771807863E-2</c:v>
                </c:pt>
                <c:pt idx="68">
                  <c:v>5.6379160190575428E-2</c:v>
                </c:pt>
                <c:pt idx="69">
                  <c:v>5.6273168625260252E-2</c:v>
                </c:pt>
                <c:pt idx="70">
                  <c:v>5.6173098114319919E-2</c:v>
                </c:pt>
                <c:pt idx="71">
                  <c:v>5.6078602288363588E-2</c:v>
                </c:pt>
                <c:pt idx="72">
                  <c:v>5.5989356675695656E-2</c:v>
                </c:pt>
                <c:pt idx="73">
                  <c:v>5.590505714868186E-2</c:v>
                </c:pt>
                <c:pt idx="74">
                  <c:v>5.5825418497377211E-2</c:v>
                </c:pt>
                <c:pt idx="75">
                  <c:v>5.5750173118338388E-2</c:v>
                </c:pt>
                <c:pt idx="76">
                  <c:v>5.5679069807847356E-2</c:v>
                </c:pt>
                <c:pt idx="77">
                  <c:v>5.5611872649920159E-2</c:v>
                </c:pt>
                <c:pt idx="78">
                  <c:v>5.5548359990486379E-2</c:v>
                </c:pt>
                <c:pt idx="79">
                  <c:v>5.5488323490017553E-2</c:v>
                </c:pt>
                <c:pt idx="80">
                  <c:v>5.5431567247673182E-2</c:v>
                </c:pt>
                <c:pt idx="81">
                  <c:v>5.5377906990732355E-2</c:v>
                </c:pt>
                <c:pt idx="82">
                  <c:v>5.5327169323700111E-2</c:v>
                </c:pt>
                <c:pt idx="83">
                  <c:v>5.5279191032029384E-2</c:v>
                </c:pt>
                <c:pt idx="84">
                  <c:v>5.5233818435890189E-2</c:v>
                </c:pt>
                <c:pt idx="85">
                  <c:v>5.5190906789855547E-2</c:v>
                </c:pt>
                <c:pt idx="86">
                  <c:v>5.5150319724764543E-2</c:v>
                </c:pt>
                <c:pt idx="87">
                  <c:v>5.5111928728370785E-2</c:v>
                </c:pt>
                <c:pt idx="88">
                  <c:v>5.5075612661698997E-2</c:v>
                </c:pt>
                <c:pt idx="89">
                  <c:v>5.50412573083107E-2</c:v>
                </c:pt>
                <c:pt idx="90">
                  <c:v>5.5008754953932329E-2</c:v>
                </c:pt>
                <c:pt idx="91">
                  <c:v>5.4978003994124683E-2</c:v>
                </c:pt>
                <c:pt idx="92">
                  <c:v>5.4948908567876174E-2</c:v>
                </c:pt>
                <c:pt idx="93">
                  <c:v>5.4921378215184828E-2</c:v>
                </c:pt>
                <c:pt idx="94">
                  <c:v>5.4895327556860239E-2</c:v>
                </c:pt>
                <c:pt idx="95">
                  <c:v>5.4870675994924539E-2</c:v>
                </c:pt>
                <c:pt idx="96">
                  <c:v>5.4847347432128206E-2</c:v>
                </c:pt>
                <c:pt idx="97">
                  <c:v>5.482527000921656E-2</c:v>
                </c:pt>
                <c:pt idx="98">
                  <c:v>5.4804375858696068E-2</c:v>
                </c:pt>
                <c:pt idx="99">
                  <c:v>5.4784600873947667E-2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37600"/>
        <c:axId val="178539520"/>
      </c:scatterChart>
      <c:valAx>
        <c:axId val="178537600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8539520"/>
        <c:crosses val="autoZero"/>
        <c:crossBetween val="midCat"/>
      </c:valAx>
      <c:valAx>
        <c:axId val="178539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Mortality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853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79901817828327"/>
          <c:y val="8.5667590162340823E-2"/>
          <c:w val="0.78257964407045499"/>
          <c:h val="0.6577221250121512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Model!$B$47:$B$147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Model!$G$47:$G$147</c:f>
              <c:numCache>
                <c:formatCode>0.00</c:formatCode>
                <c:ptCount val="101"/>
                <c:pt idx="0">
                  <c:v>2.2527321519661315E-15</c:v>
                </c:pt>
                <c:pt idx="1">
                  <c:v>6.8507780300893674E-14</c:v>
                </c:pt>
                <c:pt idx="2">
                  <c:v>1.7209883612835715E-12</c:v>
                </c:pt>
                <c:pt idx="3">
                  <c:v>3.5726266016875737E-11</c:v>
                </c:pt>
                <c:pt idx="4">
                  <c:v>6.1314393837459494E-10</c:v>
                </c:pt>
                <c:pt idx="5">
                  <c:v>8.7042736059860489E-9</c:v>
                </c:pt>
                <c:pt idx="6">
                  <c:v>1.0227611420459887E-7</c:v>
                </c:pt>
                <c:pt idx="7">
                  <c:v>9.9545684412884767E-7</c:v>
                </c:pt>
                <c:pt idx="8">
                  <c:v>8.0331800415977693E-6</c:v>
                </c:pt>
                <c:pt idx="9">
                  <c:v>5.3811834029387895E-5</c:v>
                </c:pt>
                <c:pt idx="10">
                  <c:v>2.9966147179445789E-4</c:v>
                </c:pt>
                <c:pt idx="11">
                  <c:v>1.3898144974212358E-3</c:v>
                </c:pt>
                <c:pt idx="12">
                  <c:v>5.3814396145663796E-3</c:v>
                </c:pt>
                <c:pt idx="13">
                  <c:v>1.7450860492117061E-2</c:v>
                </c:pt>
                <c:pt idx="14">
                  <c:v>4.7589527675606307E-2</c:v>
                </c:pt>
                <c:pt idx="15">
                  <c:v>0.10974583350725783</c:v>
                </c:pt>
                <c:pt idx="16">
                  <c:v>0.21561956744109112</c:v>
                </c:pt>
                <c:pt idx="17">
                  <c:v>0.36457176193598984</c:v>
                </c:pt>
                <c:pt idx="18">
                  <c:v>0.53766103796188347</c:v>
                </c:pt>
                <c:pt idx="19">
                  <c:v>0.70379635268394924</c:v>
                </c:pt>
                <c:pt idx="20">
                  <c:v>0.83550709990492278</c:v>
                </c:pt>
                <c:pt idx="21">
                  <c:v>0.9217536666962779</c:v>
                </c:pt>
                <c:pt idx="22">
                  <c:v>0.96839948716128321</c:v>
                </c:pt>
                <c:pt idx="23">
                  <c:v>0.98923567273620949</c:v>
                </c:pt>
                <c:pt idx="24">
                  <c:v>0.99692233927038676</c:v>
                </c:pt>
                <c:pt idx="25">
                  <c:v>0.9992641288457027</c:v>
                </c:pt>
                <c:pt idx="26">
                  <c:v>0.99985327036022453</c:v>
                </c:pt>
                <c:pt idx="27">
                  <c:v>0.99997565359925489</c:v>
                </c:pt>
                <c:pt idx="28">
                  <c:v>0.99999664399391897</c:v>
                </c:pt>
                <c:pt idx="29">
                  <c:v>0.9999996162007776</c:v>
                </c:pt>
                <c:pt idx="30">
                  <c:v>0.99999996362393162</c:v>
                </c:pt>
                <c:pt idx="31">
                  <c:v>0.99999999714515764</c:v>
                </c:pt>
                <c:pt idx="32">
                  <c:v>0.99999999981460619</c:v>
                </c:pt>
                <c:pt idx="33">
                  <c:v>0.99999999999004363</c:v>
                </c:pt>
                <c:pt idx="34">
                  <c:v>0.99999999999955802</c:v>
                </c:pt>
                <c:pt idx="35">
                  <c:v>0.99999999999998379</c:v>
                </c:pt>
                <c:pt idx="36">
                  <c:v>0.99999999999999956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7776"/>
        <c:axId val="179414528"/>
      </c:scatterChart>
      <c:valAx>
        <c:axId val="1793877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79414528"/>
        <c:crosses val="autoZero"/>
        <c:crossBetween val="midCat"/>
        <c:majorUnit val="50"/>
      </c:valAx>
      <c:valAx>
        <c:axId val="1794145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Pr(Mature)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79387776"/>
        <c:crosses val="autoZero"/>
        <c:crossBetween val="midCat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95940326144392"/>
          <c:y val="6.7585474486533986E-2"/>
          <c:w val="0.72741924431592364"/>
          <c:h val="0.70978082671273401"/>
        </c:manualLayout>
      </c:layout>
      <c:scatterChart>
        <c:scatterStyle val="lineMarker"/>
        <c:varyColors val="0"/>
        <c:ser>
          <c:idx val="0"/>
          <c:order val="0"/>
          <c:tx>
            <c:v>Unfished</c:v>
          </c:tx>
          <c:marker>
            <c:symbol val="none"/>
          </c:marker>
          <c:xVal>
            <c:numRef>
              <c:f>Model!$B$47:$B$147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Model!$K$47:$K$147</c:f>
              <c:numCache>
                <c:formatCode>0.00E+00</c:formatCode>
                <c:ptCount val="101"/>
                <c:pt idx="0">
                  <c:v>1.6700528785043478E-17</c:v>
                </c:pt>
                <c:pt idx="1">
                  <c:v>1.2429582311971294E-16</c:v>
                </c:pt>
                <c:pt idx="2">
                  <c:v>1.6874095467031093E-16</c:v>
                </c:pt>
                <c:pt idx="3">
                  <c:v>2.0480964476944469E-16</c:v>
                </c:pt>
                <c:pt idx="4">
                  <c:v>2.375412249133059E-16</c:v>
                </c:pt>
                <c:pt idx="5">
                  <c:v>2.6735215214837541E-16</c:v>
                </c:pt>
                <c:pt idx="6">
                  <c:v>2.9413538469527183E-16</c:v>
                </c:pt>
                <c:pt idx="7">
                  <c:v>3.177818480896347E-16</c:v>
                </c:pt>
                <c:pt idx="8">
                  <c:v>3.382576443663336E-16</c:v>
                </c:pt>
                <c:pt idx="9">
                  <c:v>3.5560346398930492E-16</c:v>
                </c:pt>
                <c:pt idx="10">
                  <c:v>3.6991961642683848E-16</c:v>
                </c:pt>
                <c:pt idx="11">
                  <c:v>3.8135022557394002E-16</c:v>
                </c:pt>
                <c:pt idx="12">
                  <c:v>3.9006959125813278E-16</c:v>
                </c:pt>
                <c:pt idx="13">
                  <c:v>3.962711386473984E-16</c:v>
                </c:pt>
                <c:pt idx="14">
                  <c:v>4.0015872215125452E-16</c:v>
                </c:pt>
                <c:pt idx="15">
                  <c:v>4.0193991407348725E-16</c:v>
                </c:pt>
                <c:pt idx="16">
                  <c:v>4.0182091757712513E-16</c:v>
                </c:pt>
                <c:pt idx="17">
                  <c:v>4.0000279020949102E-16</c:v>
                </c:pt>
                <c:pt idx="18">
                  <c:v>3.9667871563169383E-16</c:v>
                </c:pt>
                <c:pt idx="19">
                  <c:v>3.9203210780430807E-16</c:v>
                </c:pt>
                <c:pt idx="20">
                  <c:v>3.8623537158617784E-16</c:v>
                </c:pt>
                <c:pt idx="21">
                  <c:v>3.7944917671760798E-16</c:v>
                </c:pt>
                <c:pt idx="22">
                  <c:v>3.7182212933689497E-16</c:v>
                </c:pt>
                <c:pt idx="23">
                  <c:v>3.6349074745903143E-16</c:v>
                </c:pt>
                <c:pt idx="24">
                  <c:v>3.5457966507763204E-16</c:v>
                </c:pt>
                <c:pt idx="25">
                  <c:v>3.452020044574233E-16</c:v>
                </c:pt>
                <c:pt idx="26">
                  <c:v>3.3545986836284655E-16</c:v>
                </c:pt>
                <c:pt idx="27">
                  <c:v>3.2544491390809933E-16</c:v>
                </c:pt>
                <c:pt idx="28">
                  <c:v>3.1523897781693498E-16</c:v>
                </c:pt>
                <c:pt idx="29">
                  <c:v>3.04914729474504E-16</c:v>
                </c:pt>
                <c:pt idx="30">
                  <c:v>2.9453633350773231E-16</c:v>
                </c:pt>
                <c:pt idx="31">
                  <c:v>2.8416010796609772E-16</c:v>
                </c:pt>
                <c:pt idx="32">
                  <c:v>2.738351676730263E-16</c:v>
                </c:pt>
                <c:pt idx="33">
                  <c:v>2.6360404512912745E-16</c:v>
                </c:pt>
                <c:pt idx="34">
                  <c:v>2.5350328359572235E-16</c:v>
                </c:pt>
                <c:pt idx="35">
                  <c:v>2.4356399877262954E-16</c:v>
                </c:pt>
                <c:pt idx="36">
                  <c:v>2.3381240689195677E-16</c:v>
                </c:pt>
                <c:pt idx="37">
                  <c:v>2.2427031814946853E-16</c:v>
                </c:pt>
                <c:pt idx="38">
                  <c:v>2.1495559524416362E-16</c:v>
                </c:pt>
                <c:pt idx="39">
                  <c:v>2.0588257744258866E-16</c:v>
                </c:pt>
                <c:pt idx="40">
                  <c:v>1.9706247106590421E-16</c:v>
                </c:pt>
                <c:pt idx="41">
                  <c:v>1.8850370764735471E-16</c:v>
                </c:pt>
                <c:pt idx="42">
                  <c:v>1.8021227125160914E-16</c:v>
                </c:pt>
                <c:pt idx="43">
                  <c:v>1.7219199660747967E-16</c:v>
                </c:pt>
                <c:pt idx="44">
                  <c:v>1.6444483979935577E-16</c:v>
                </c:pt>
                <c:pt idx="45">
                  <c:v>1.5697112330495101E-16</c:v>
                </c:pt>
                <c:pt idx="46">
                  <c:v>1.4976975716941969E-16</c:v>
                </c:pt>
                <c:pt idx="47">
                  <c:v>1.4283843807820076E-16</c:v>
                </c:pt>
                <c:pt idx="48">
                  <c:v>1.361738280407871E-16</c:v>
                </c:pt>
                <c:pt idx="49">
                  <c:v>1.2977171433135011E-16</c:v>
                </c:pt>
                <c:pt idx="50">
                  <c:v>1.2362715225461487E-16</c:v>
                </c:pt>
                <c:pt idx="51">
                  <c:v>1.1773459222069071E-16</c:v>
                </c:pt>
                <c:pt idx="52">
                  <c:v>1.120879925237568E-16</c:v>
                </c:pt>
                <c:pt idx="53">
                  <c:v>1.0668091912899048E-16</c:v>
                </c:pt>
                <c:pt idx="54">
                  <c:v>1.015066336818881E-16</c:v>
                </c:pt>
                <c:pt idx="55">
                  <c:v>9.6558170865473961E-17</c:v>
                </c:pt>
                <c:pt idx="56">
                  <c:v>9.1828406144909857E-17</c:v>
                </c:pt>
                <c:pt idx="57">
                  <c:v>8.7310114856518206E-17</c:v>
                </c:pt>
                <c:pt idx="58">
                  <c:v>8.2996023519586863E-17</c:v>
                </c:pt>
                <c:pt idx="59">
                  <c:v>7.8878854175057369E-17</c:v>
                </c:pt>
                <c:pt idx="60">
                  <c:v>7.4951362485293393E-17</c:v>
                </c:pt>
                <c:pt idx="61">
                  <c:v>7.1206370263821566E-17</c:v>
                </c:pt>
                <c:pt idx="62">
                  <c:v>6.7636793043068683E-17</c:v>
                </c:pt>
                <c:pt idx="63">
                  <c:v>6.4235663231704397E-17</c:v>
                </c:pt>
                <c:pt idx="64">
                  <c:v>6.0996149361028295E-17</c:v>
                </c:pt>
                <c:pt idx="65">
                  <c:v>5.7911571871777196E-17</c:v>
                </c:pt>
                <c:pt idx="66">
                  <c:v>5.4975415848559663E-17</c:v>
                </c:pt>
                <c:pt idx="67">
                  <c:v>5.2181341068644727E-17</c:v>
                </c:pt>
                <c:pt idx="68">
                  <c:v>4.9523189694803324E-17</c:v>
                </c:pt>
                <c:pt idx="69">
                  <c:v>4.6994991908133657E-17</c:v>
                </c:pt>
                <c:pt idx="70">
                  <c:v>4.4590969746023556E-17</c:v>
                </c:pt>
                <c:pt idx="71">
                  <c:v>4.2305539382443278E-17</c:v>
                </c:pt>
                <c:pt idx="72">
                  <c:v>4.0133312062390913E-17</c:v>
                </c:pt>
                <c:pt idx="73">
                  <c:v>3.8069093879315846E-17</c:v>
                </c:pt>
                <c:pt idx="74">
                  <c:v>3.6107884563553011E-17</c:v>
                </c:pt>
                <c:pt idx="75">
                  <c:v>3.4244875431024058E-17</c:v>
                </c:pt>
                <c:pt idx="76">
                  <c:v>3.2475446624521039E-17</c:v>
                </c:pt>
                <c:pt idx="77">
                  <c:v>3.0795163764633238E-17</c:v>
                </c:pt>
                <c:pt idx="78">
                  <c:v>2.9199774113663413E-17</c:v>
                </c:pt>
                <c:pt idx="79">
                  <c:v>2.7685202343556027E-17</c:v>
                </c:pt>
                <c:pt idx="80">
                  <c:v>2.6247545987811822E-17</c:v>
                </c:pt>
                <c:pt idx="81">
                  <c:v>2.4883070647465719E-17</c:v>
                </c:pt>
                <c:pt idx="82">
                  <c:v>2.3588205012344547E-17</c:v>
                </c:pt>
                <c:pt idx="83">
                  <c:v>2.2359535750925803E-17</c:v>
                </c:pt>
                <c:pt idx="84">
                  <c:v>2.1193802315051094E-17</c:v>
                </c:pt>
                <c:pt idx="85">
                  <c:v>2.0087891699470228E-17</c:v>
                </c:pt>
                <c:pt idx="86">
                  <c:v>1.9038833190605572E-17</c:v>
                </c:pt>
                <c:pt idx="87">
                  <c:v>1.8043793133957661E-17</c:v>
                </c:pt>
                <c:pt idx="88">
                  <c:v>1.7100069745177429E-17</c:v>
                </c:pt>
                <c:pt idx="89">
                  <c:v>1.6205087985936166E-17</c:v>
                </c:pt>
                <c:pt idx="90">
                  <c:v>1.5356394522281687E-17</c:v>
                </c:pt>
                <c:pt idx="91">
                  <c:v>1.4551652780137815E-17</c:v>
                </c:pt>
                <c:pt idx="92">
                  <c:v>1.3788638109936146E-17</c:v>
                </c:pt>
                <c:pt idx="93">
                  <c:v>1.3065233070023645E-17</c:v>
                </c:pt>
                <c:pt idx="94">
                  <c:v>1.2379422836441453E-17</c:v>
                </c:pt>
                <c:pt idx="95">
                  <c:v>1.1729290744875076E-17</c:v>
                </c:pt>
                <c:pt idx="96">
                  <c:v>1.1113013969020246E-17</c:v>
                </c:pt>
                <c:pt idx="97">
                  <c:v>1.0528859338250771E-17</c:v>
                </c:pt>
                <c:pt idx="98">
                  <c:v>9.9751792963093788E-18</c:v>
                </c:pt>
                <c:pt idx="99">
                  <c:v>9.4504080017307756E-18</c:v>
                </c:pt>
                <c:pt idx="100">
                  <c:v>8.9530575698469545E-18</c:v>
                </c:pt>
              </c:numCache>
            </c:numRef>
          </c:yVal>
          <c:smooth val="0"/>
        </c:ser>
        <c:ser>
          <c:idx val="1"/>
          <c:order val="1"/>
          <c:tx>
            <c:v>Fished</c:v>
          </c:tx>
          <c:marker>
            <c:symbol val="none"/>
          </c:marker>
          <c:xVal>
            <c:strRef>
              <c:f>Model!$B$46:$B$147</c:f>
              <c:strCache>
                <c:ptCount val="102"/>
                <c:pt idx="0">
                  <c:v>Age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strCache>
            </c:strRef>
          </c:xVal>
          <c:yVal>
            <c:numRef>
              <c:f>Model!$R$46:$R$147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1.4309992863747701E-17</c:v>
                </c:pt>
                <c:pt idx="2">
                  <c:v>1.0650395354125957E-16</c:v>
                </c:pt>
                <c:pt idx="3">
                  <c:v>1.4458714979831323E-16</c:v>
                </c:pt>
                <c:pt idx="4">
                  <c:v>1.7549291958361334E-16</c:v>
                </c:pt>
                <c:pt idx="5">
                  <c:v>2.0353925777485165E-16</c:v>
                </c:pt>
                <c:pt idx="6">
                  <c:v>2.2908300920250661E-16</c:v>
                </c:pt>
                <c:pt idx="7">
                  <c:v>2.520324541899867E-16</c:v>
                </c:pt>
                <c:pt idx="8">
                  <c:v>2.7229413133695513E-16</c:v>
                </c:pt>
                <c:pt idx="9">
                  <c:v>2.8983899487813374E-16</c:v>
                </c:pt>
                <c:pt idx="10">
                  <c:v>3.0470191079028569E-16</c:v>
                </c:pt>
                <c:pt idx="11">
                  <c:v>3.1696883011088225E-16</c:v>
                </c:pt>
                <c:pt idx="12">
                  <c:v>3.2676324664874677E-16</c:v>
                </c:pt>
                <c:pt idx="13">
                  <c:v>3.342345107220706E-16</c:v>
                </c:pt>
                <c:pt idx="14">
                  <c:v>3.3954836036281134E-16</c:v>
                </c:pt>
                <c:pt idx="15">
                  <c:v>3.4287946998894639E-16</c:v>
                </c:pt>
                <c:pt idx="16">
                  <c:v>3.444056997283869E-16</c:v>
                </c:pt>
                <c:pt idx="17">
                  <c:v>3.4430373654891696E-16</c:v>
                </c:pt>
                <c:pt idx="18">
                  <c:v>3.4274585835289664E-16</c:v>
                </c:pt>
                <c:pt idx="19">
                  <c:v>2.2784017235566462E-16</c:v>
                </c:pt>
                <c:pt idx="20">
                  <c:v>1.5093683775339486E-16</c:v>
                </c:pt>
                <c:pt idx="21">
                  <c:v>9.9679961296399314E-17</c:v>
                </c:pt>
                <c:pt idx="22">
                  <c:v>6.564348637309878E-17</c:v>
                </c:pt>
                <c:pt idx="23">
                  <c:v>4.3117687905571013E-17</c:v>
                </c:pt>
                <c:pt idx="24">
                  <c:v>2.8255031694124323E-17</c:v>
                </c:pt>
                <c:pt idx="25">
                  <c:v>1.8475596590597572E-17</c:v>
                </c:pt>
                <c:pt idx="26">
                  <c:v>1.2057025004971059E-17</c:v>
                </c:pt>
                <c:pt idx="27">
                  <c:v>7.8539771282794132E-18</c:v>
                </c:pt>
                <c:pt idx="28">
                  <c:v>5.1075044766926794E-18</c:v>
                </c:pt>
                <c:pt idx="29">
                  <c:v>3.3162967483023654E-18</c:v>
                </c:pt>
                <c:pt idx="30">
                  <c:v>2.1501763761797867E-18</c:v>
                </c:pt>
                <c:pt idx="31">
                  <c:v>1.3922485210367674E-18</c:v>
                </c:pt>
                <c:pt idx="32">
                  <c:v>9.0037453874379746E-19</c:v>
                </c:pt>
                <c:pt idx="33">
                  <c:v>5.8160954557467478E-19</c:v>
                </c:pt>
                <c:pt idx="34">
                  <c:v>3.7529828610019645E-19</c:v>
                </c:pt>
                <c:pt idx="35">
                  <c:v>2.4193032395318521E-19</c:v>
                </c:pt>
                <c:pt idx="36">
                  <c:v>1.5581240129351173E-19</c:v>
                </c:pt>
                <c:pt idx="37">
                  <c:v>1.0026253593032983E-19</c:v>
                </c:pt>
                <c:pt idx="38">
                  <c:v>6.4465170963894211E-20</c:v>
                </c:pt>
                <c:pt idx="39">
                  <c:v>4.1417540066563226E-20</c:v>
                </c:pt>
                <c:pt idx="40">
                  <c:v>2.6591164129438831E-20</c:v>
                </c:pt>
                <c:pt idx="41">
                  <c:v>1.7060976535160944E-20</c:v>
                </c:pt>
                <c:pt idx="42">
                  <c:v>1.0939615685442225E-20</c:v>
                </c:pt>
                <c:pt idx="43">
                  <c:v>7.0104958413464987E-21</c:v>
                </c:pt>
                <c:pt idx="44">
                  <c:v>4.4901365116119862E-21</c:v>
                </c:pt>
                <c:pt idx="45">
                  <c:v>2.8744121528484963E-21</c:v>
                </c:pt>
                <c:pt idx="46">
                  <c:v>1.839207645818038E-21</c:v>
                </c:pt>
                <c:pt idx="47">
                  <c:v>1.1762979236278025E-21</c:v>
                </c:pt>
                <c:pt idx="48">
                  <c:v>7.520046128558412E-22</c:v>
                </c:pt>
                <c:pt idx="49">
                  <c:v>4.8056403506975587E-22</c:v>
                </c:pt>
                <c:pt idx="50">
                  <c:v>3.0698691770631905E-22</c:v>
                </c:pt>
                <c:pt idx="51">
                  <c:v>1.9603603012002501E-22</c:v>
                </c:pt>
                <c:pt idx="52">
                  <c:v>1.25143508008898E-22</c:v>
                </c:pt>
                <c:pt idx="53">
                  <c:v>7.9862985133165158E-23</c:v>
                </c:pt>
                <c:pt idx="54">
                  <c:v>5.0951315826797447E-23</c:v>
                </c:pt>
                <c:pt idx="55">
                  <c:v>3.2497150967808792E-23</c:v>
                </c:pt>
                <c:pt idx="56">
                  <c:v>2.0721543415291243E-23</c:v>
                </c:pt>
                <c:pt idx="57">
                  <c:v>1.3209680804059814E-23</c:v>
                </c:pt>
                <c:pt idx="58">
                  <c:v>8.4190297453468208E-24</c:v>
                </c:pt>
                <c:pt idx="59">
                  <c:v>5.3645954476307059E-24</c:v>
                </c:pt>
                <c:pt idx="60">
                  <c:v>3.4176099240858534E-24</c:v>
                </c:pt>
                <c:pt idx="61">
                  <c:v>2.1768256094021019E-24</c:v>
                </c:pt>
                <c:pt idx="62">
                  <c:v>1.386261498820793E-24</c:v>
                </c:pt>
                <c:pt idx="63">
                  <c:v>8.8265610254189526E-25</c:v>
                </c:pt>
                <c:pt idx="64">
                  <c:v>5.6191023202431748E-25</c:v>
                </c:pt>
                <c:pt idx="65">
                  <c:v>3.5766410296319045E-25</c:v>
                </c:pt>
                <c:pt idx="66">
                  <c:v>2.2762528118677874E-25</c:v>
                </c:pt>
                <c:pt idx="67">
                  <c:v>1.4484578864109406E-25</c:v>
                </c:pt>
                <c:pt idx="68">
                  <c:v>9.215837176617889E-26</c:v>
                </c:pt>
                <c:pt idx="69">
                  <c:v>5.8628714651466821E-26</c:v>
                </c:pt>
                <c:pt idx="70">
                  <c:v>3.7293706654489544E-26</c:v>
                </c:pt>
                <c:pt idx="71">
                  <c:v>2.3719913219643022E-26</c:v>
                </c:pt>
                <c:pt idx="72">
                  <c:v>1.508501069018981E-26</c:v>
                </c:pt>
                <c:pt idx="73">
                  <c:v>9.5925836487763898E-27</c:v>
                </c:pt>
                <c:pt idx="74">
                  <c:v>6.0993750664183929E-27</c:v>
                </c:pt>
                <c:pt idx="75">
                  <c:v>3.8779039926176195E-27</c:v>
                </c:pt>
                <c:pt idx="76">
                  <c:v>2.4653171986010986E-27</c:v>
                </c:pt>
                <c:pt idx="77">
                  <c:v>1.5671643886278376E-27</c:v>
                </c:pt>
                <c:pt idx="78">
                  <c:v>9.9614864172773589E-28</c:v>
                </c:pt>
                <c:pt idx="79">
                  <c:v>6.3314521379956724E-28</c:v>
                </c:pt>
                <c:pt idx="80">
                  <c:v>4.0239608400405716E-28</c:v>
                </c:pt>
                <c:pt idx="81">
                  <c:v>2.5572721925670348E-28</c:v>
                </c:pt>
                <c:pt idx="82">
                  <c:v>1.6250788223784048E-28</c:v>
                </c:pt>
                <c:pt idx="83">
                  <c:v>1.0326367076643256E-28</c:v>
                </c:pt>
                <c:pt idx="84">
                  <c:v>6.5614172295125812E-29</c:v>
                </c:pt>
                <c:pt idx="85">
                  <c:v>4.1689430165181099E-29</c:v>
                </c:pt>
                <c:pt idx="86">
                  <c:v>2.6487053293455485E-29</c:v>
                </c:pt>
                <c:pt idx="87">
                  <c:v>1.6827586168581726E-29</c:v>
                </c:pt>
                <c:pt idx="88">
                  <c:v>1.0690340567662486E-29</c:v>
                </c:pt>
                <c:pt idx="89">
                  <c:v>6.7911573095262763E-30</c:v>
                </c:pt>
                <c:pt idx="90">
                  <c:v>4.3139937286435573E-30</c:v>
                </c:pt>
                <c:pt idx="91">
                  <c:v>2.7403092983914053E-30</c:v>
                </c:pt>
                <c:pt idx="92">
                  <c:v>1.740623545325041E-30</c:v>
                </c:pt>
                <c:pt idx="93">
                  <c:v>1.1055951152011185E-30</c:v>
                </c:pt>
                <c:pt idx="94">
                  <c:v>7.0222147461457153E-31</c:v>
                </c:pt>
                <c:pt idx="95">
                  <c:v>4.4600481709327376E-31</c:v>
                </c:pt>
                <c:pt idx="96">
                  <c:v>2.8326512679349576E-31</c:v>
                </c:pt>
                <c:pt idx="97">
                  <c:v>1.7990176614756875E-31</c:v>
                </c:pt>
                <c:pt idx="98">
                  <c:v>1.1425286458549386E-31</c:v>
                </c:pt>
                <c:pt idx="99">
                  <c:v>7.2558566117358834E-32</c:v>
                </c:pt>
                <c:pt idx="100">
                  <c:v>4.6078756136255345E-32</c:v>
                </c:pt>
                <c:pt idx="101">
                  <c:v>2.9261984286240054E-32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5392"/>
        <c:axId val="179437568"/>
      </c:scatterChart>
      <c:valAx>
        <c:axId val="1794353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37568"/>
        <c:crosses val="autoZero"/>
        <c:crossBetween val="midCat"/>
      </c:valAx>
      <c:valAx>
        <c:axId val="179437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crossAx val="179435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79903853035543"/>
          <c:y val="6.8443880375603172E-2"/>
          <c:w val="0.27620098146996258"/>
          <c:h val="0.280037825647178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30103562797794"/>
          <c:y val="8.5667590162340823E-2"/>
          <c:w val="0.72492070235707773"/>
          <c:h val="0.64109814332117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Model!$T$46</c:f>
              <c:strCache>
                <c:ptCount val="1"/>
                <c:pt idx="0">
                  <c:v>Catch</c:v>
                </c:pt>
              </c:strCache>
            </c:strRef>
          </c:tx>
          <c:marker>
            <c:symbol val="none"/>
          </c:marker>
          <c:xVal>
            <c:numRef>
              <c:f>Model!$B$47:$B$147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Model!$T$47:$T$147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7.1414215042399268E-17</c:v>
                </c:pt>
                <c:pt idx="19">
                  <c:v>4.7416828735465466E-17</c:v>
                </c:pt>
                <c:pt idx="20">
                  <c:v>3.1376914942741263E-17</c:v>
                </c:pt>
                <c:pt idx="21">
                  <c:v>2.0699502377959082E-17</c:v>
                </c:pt>
                <c:pt idx="22">
                  <c:v>1.3617748172908008E-17</c:v>
                </c:pt>
                <c:pt idx="23">
                  <c:v>8.9362438711611773E-18</c:v>
                </c:pt>
                <c:pt idx="24">
                  <c:v>5.8506596504405045E-18</c:v>
                </c:pt>
                <c:pt idx="25">
                  <c:v>3.8224313473418731E-18</c:v>
                </c:pt>
                <c:pt idx="26">
                  <c:v>2.4925003986954904E-18</c:v>
                </c:pt>
                <c:pt idx="27">
                  <c:v>1.6224044330560025E-18</c:v>
                </c:pt>
                <c:pt idx="28">
                  <c:v>1.05431918928772E-18</c:v>
                </c:pt>
                <c:pt idx="29">
                  <c:v>6.8411472500677686E-19</c:v>
                </c:pt>
                <c:pt idx="30">
                  <c:v>4.4328097326211353E-19</c:v>
                </c:pt>
                <c:pt idx="31">
                  <c:v>2.868583083915105E-19</c:v>
                </c:pt>
                <c:pt idx="32">
                  <c:v>1.85410683165407E-19</c:v>
                </c:pt>
                <c:pt idx="33">
                  <c:v>1.1970663722547934E-19</c:v>
                </c:pt>
                <c:pt idx="34">
                  <c:v>7.720613790699866E-20</c:v>
                </c:pt>
                <c:pt idx="35">
                  <c:v>4.9746971232718544E-20</c:v>
                </c:pt>
                <c:pt idx="36">
                  <c:v>3.2025152864552388E-20</c:v>
                </c:pt>
                <c:pt idx="37">
                  <c:v>2.059926645283184E-20</c:v>
                </c:pt>
                <c:pt idx="38">
                  <c:v>1.3239525672475698E-20</c:v>
                </c:pt>
                <c:pt idx="39">
                  <c:v>8.5030649928977062E-21</c:v>
                </c:pt>
                <c:pt idx="40">
                  <c:v>5.4573467585035266E-21</c:v>
                </c:pt>
                <c:pt idx="41">
                  <c:v>3.50033503444894E-21</c:v>
                </c:pt>
                <c:pt idx="42">
                  <c:v>2.2437647866641504E-21</c:v>
                </c:pt>
                <c:pt idx="43">
                  <c:v>1.4374774645460152E-21</c:v>
                </c:pt>
                <c:pt idx="44">
                  <c:v>9.2044099711032944E-22</c:v>
                </c:pt>
                <c:pt idx="45">
                  <c:v>5.8908257429287224E-22</c:v>
                </c:pt>
                <c:pt idx="46">
                  <c:v>3.7683813966004155E-22</c:v>
                </c:pt>
                <c:pt idx="47">
                  <c:v>2.4095959297632344E-22</c:v>
                </c:pt>
                <c:pt idx="48">
                  <c:v>1.5401240380915905E-22</c:v>
                </c:pt>
                <c:pt idx="49">
                  <c:v>9.8401096570705181E-23</c:v>
                </c:pt>
                <c:pt idx="50">
                  <c:v>6.2847337847201254E-23</c:v>
                </c:pt>
                <c:pt idx="51">
                  <c:v>4.012599753881044E-23</c:v>
                </c:pt>
                <c:pt idx="52">
                  <c:v>2.5610939166711824E-23</c:v>
                </c:pt>
                <c:pt idx="53">
                  <c:v>1.6341578894759135E-23</c:v>
                </c:pt>
                <c:pt idx="54">
                  <c:v>1.0424110326228791E-23</c:v>
                </c:pt>
                <c:pt idx="55">
                  <c:v>6.6476417078135782E-24</c:v>
                </c:pt>
                <c:pt idx="56">
                  <c:v>4.238249613250296E-24</c:v>
                </c:pt>
                <c:pt idx="57">
                  <c:v>2.7014819388004127E-24</c:v>
                </c:pt>
                <c:pt idx="58">
                  <c:v>1.7215518931823377E-24</c:v>
                </c:pt>
                <c:pt idx="59">
                  <c:v>1.0968474358843668E-24</c:v>
                </c:pt>
                <c:pt idx="60">
                  <c:v>6.9869171746490132E-25</c:v>
                </c:pt>
                <c:pt idx="61">
                  <c:v>4.4498269947155695E-25</c:v>
                </c:pt>
                <c:pt idx="62">
                  <c:v>2.8335013400686552E-25</c:v>
                </c:pt>
                <c:pt idx="63">
                  <c:v>1.8039762447767048E-25</c:v>
                </c:pt>
                <c:pt idx="64">
                  <c:v>1.1483370528357224E-25</c:v>
                </c:pt>
                <c:pt idx="65">
                  <c:v>7.3087473790851708E-26</c:v>
                </c:pt>
                <c:pt idx="66">
                  <c:v>4.6510943166125537E-26</c:v>
                </c:pt>
                <c:pt idx="67">
                  <c:v>2.9594388301986034E-26</c:v>
                </c:pt>
                <c:pt idx="68">
                  <c:v>1.8828200851561338E-26</c:v>
                </c:pt>
                <c:pt idx="69">
                  <c:v>1.1977233970448593E-26</c:v>
                </c:pt>
                <c:pt idx="70">
                  <c:v>7.6182522774172093E-27</c:v>
                </c:pt>
                <c:pt idx="71">
                  <c:v>4.8451581804974131E-27</c:v>
                </c:pt>
                <c:pt idx="72">
                  <c:v>3.0811787768722873E-27</c:v>
                </c:pt>
                <c:pt idx="73">
                  <c:v>1.959226085487642E-27</c:v>
                </c:pt>
                <c:pt idx="74">
                  <c:v>1.2456992022396205E-27</c:v>
                </c:pt>
                <c:pt idx="75">
                  <c:v>7.9196305616235955E-28</c:v>
                </c:pt>
                <c:pt idx="76">
                  <c:v>5.0345629362752878E-28</c:v>
                </c:pt>
                <c:pt idx="77">
                  <c:v>3.2002627624549556E-28</c:v>
                </c:pt>
                <c:pt idx="78">
                  <c:v>2.0341281344870068E-28</c:v>
                </c:pt>
                <c:pt idx="79">
                  <c:v>1.2928301512290901E-28</c:v>
                </c:pt>
                <c:pt idx="80">
                  <c:v>8.2163084170186935E-29</c:v>
                </c:pt>
                <c:pt idx="81">
                  <c:v>5.2213835879155926E-29</c:v>
                </c:pt>
                <c:pt idx="82">
                  <c:v>3.3179474160496984E-29</c:v>
                </c:pt>
                <c:pt idx="83">
                  <c:v>2.1082872327637738E-29</c:v>
                </c:pt>
                <c:pt idx="84">
                  <c:v>1.3395770965431827E-29</c:v>
                </c:pt>
                <c:pt idx="85">
                  <c:v>8.511076762342801E-30</c:v>
                </c:pt>
                <c:pt idx="86">
                  <c:v>5.4073103803380099E-30</c:v>
                </c:pt>
                <c:pt idx="87">
                  <c:v>3.4352564505047129E-30</c:v>
                </c:pt>
                <c:pt idx="88">
                  <c:v>2.18232345135266E-30</c:v>
                </c:pt>
                <c:pt idx="89">
                  <c:v>1.3863156576683469E-30</c:v>
                </c:pt>
                <c:pt idx="90">
                  <c:v>8.8062112539501154E-31</c:v>
                </c:pt>
                <c:pt idx="91">
                  <c:v>5.593722190734571E-31</c:v>
                </c:pt>
                <c:pt idx="92">
                  <c:v>3.5530254942946925E-31</c:v>
                </c:pt>
                <c:pt idx="93">
                  <c:v>2.2567432885135065E-31</c:v>
                </c:pt>
                <c:pt idx="94">
                  <c:v>1.433352898028432E-31</c:v>
                </c:pt>
                <c:pt idx="95">
                  <c:v>9.1035738585794775E-32</c:v>
                </c:pt>
                <c:pt idx="96">
                  <c:v>5.781748340954613E-32</c:v>
                </c:pt>
                <c:pt idx="97">
                  <c:v>3.6719396786981791E-32</c:v>
                </c:pt>
                <c:pt idx="98">
                  <c:v>2.3319625096761815E-32</c:v>
                </c:pt>
                <c:pt idx="99">
                  <c:v>1.4809411945989982E-32</c:v>
                </c:pt>
                <c:pt idx="100">
                  <c:v>9.4046970255297773E-33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88256"/>
        <c:axId val="179490176"/>
      </c:scatterChart>
      <c:valAx>
        <c:axId val="17948825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90176"/>
        <c:crosses val="autoZero"/>
        <c:crossBetween val="midCat"/>
      </c:valAx>
      <c:valAx>
        <c:axId val="179490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Catch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crossAx val="17948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40056624866336"/>
          <c:y val="5.1400554097404488E-2"/>
          <c:w val="0.76211115971614662"/>
          <c:h val="0.678946088613524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Model!$D$46</c:f>
              <c:strCache>
                <c:ptCount val="1"/>
                <c:pt idx="0">
                  <c:v>Weight</c:v>
                </c:pt>
              </c:strCache>
            </c:strRef>
          </c:tx>
          <c:marker>
            <c:symbol val="none"/>
          </c:marker>
          <c:xVal>
            <c:numRef>
              <c:f>Model!$B$47:$B$147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Model!$D$47:$D$147</c:f>
              <c:numCache>
                <c:formatCode>0.00</c:formatCode>
                <c:ptCount val="101"/>
                <c:pt idx="0">
                  <c:v>7.2900000000001384E-3</c:v>
                </c:pt>
                <c:pt idx="1">
                  <c:v>1.7753773120303518</c:v>
                </c:pt>
                <c:pt idx="2">
                  <c:v>10.274360069744731</c:v>
                </c:pt>
                <c:pt idx="3">
                  <c:v>29.390039578923915</c:v>
                </c:pt>
                <c:pt idx="4">
                  <c:v>61.619522402925931</c:v>
                </c:pt>
                <c:pt idx="5">
                  <c:v>108.3790783218865</c:v>
                </c:pt>
                <c:pt idx="6">
                  <c:v>170.25460561594457</c:v>
                </c:pt>
                <c:pt idx="7">
                  <c:v>247.20453057548113</c:v>
                </c:pt>
                <c:pt idx="8">
                  <c:v>338.72336353289199</c:v>
                </c:pt>
                <c:pt idx="9">
                  <c:v>443.97278377791446</c:v>
                </c:pt>
                <c:pt idx="10">
                  <c:v>561.88599075239449</c:v>
                </c:pt>
                <c:pt idx="11">
                  <c:v>691.25010533223656</c:v>
                </c:pt>
                <c:pt idx="12">
                  <c:v>830.77060439054696</c:v>
                </c:pt>
                <c:pt idx="13">
                  <c:v>979.12110018375279</c:v>
                </c:pt>
                <c:pt idx="14">
                  <c:v>1134.9812131166218</c:v>
                </c:pt>
                <c:pt idx="15">
                  <c:v>1297.0648149747087</c:v>
                </c:pt>
                <c:pt idx="16">
                  <c:v>1464.1405252798388</c:v>
                </c:pt>
                <c:pt idx="17">
                  <c:v>1635.0460137959237</c:v>
                </c:pt>
                <c:pt idx="18">
                  <c:v>1808.697387066069</c:v>
                </c:pt>
                <c:pt idx="19">
                  <c:v>1984.0947074879675</c:v>
                </c:pt>
                <c:pt idx="20">
                  <c:v>2160.3245024876319</c:v>
                </c:pt>
                <c:pt idx="21">
                  <c:v>2336.5599626392777</c:v>
                </c:pt>
                <c:pt idx="22">
                  <c:v>2512.0593958842187</c:v>
                </c:pt>
                <c:pt idx="23">
                  <c:v>2686.1633959298201</c:v>
                </c:pt>
                <c:pt idx="24">
                  <c:v>2858.2910927624575</c:v>
                </c:pt>
                <c:pt idx="25">
                  <c:v>3027.9357788748989</c:v>
                </c:pt>
                <c:pt idx="26">
                  <c:v>3194.6601436730107</c:v>
                </c:pt>
                <c:pt idx="27">
                  <c:v>3358.0912983920657</c:v>
                </c:pt>
                <c:pt idx="28">
                  <c:v>3517.9157328744886</c:v>
                </c:pt>
                <c:pt idx="29">
                  <c:v>3673.8743121917278</c:v>
                </c:pt>
                <c:pt idx="30">
                  <c:v>3825.7573940360235</c:v>
                </c:pt>
                <c:pt idx="31">
                  <c:v>3973.4001259778497</c:v>
                </c:pt>
                <c:pt idx="32">
                  <c:v>4116.6779641733392</c:v>
                </c:pt>
                <c:pt idx="33">
                  <c:v>4255.5024411544746</c:v>
                </c:pt>
                <c:pt idx="34">
                  <c:v>4389.8171993099704</c:v>
                </c:pt>
                <c:pt idx="35">
                  <c:v>4519.5942980389127</c:v>
                </c:pt>
                <c:pt idx="36">
                  <c:v>4644.8307958932228</c:v>
                </c:pt>
                <c:pt idx="37">
                  <c:v>4765.5456039539376</c:v>
                </c:pt>
                <c:pt idx="38">
                  <c:v>4881.7766029074774</c:v>
                </c:pt>
                <c:pt idx="39">
                  <c:v>4993.5780135510968</c:v>
                </c:pt>
                <c:pt idx="40">
                  <c:v>5101.0180085543752</c:v>
                </c:pt>
                <c:pt idx="41">
                  <c:v>5204.1765520655636</c:v>
                </c:pt>
                <c:pt idx="42">
                  <c:v>5303.1434530376209</c:v>
                </c:pt>
                <c:pt idx="43">
                  <c:v>5398.0166178438612</c:v>
                </c:pt>
                <c:pt idx="44">
                  <c:v>5488.9004877637235</c:v>
                </c:pt>
                <c:pt idx="45">
                  <c:v>5575.9046471688034</c:v>
                </c:pt>
                <c:pt idx="46">
                  <c:v>5659.1425886662273</c:v>
                </c:pt>
                <c:pt idx="47">
                  <c:v>5738.7306220109458</c:v>
                </c:pt>
                <c:pt idx="48">
                  <c:v>5814.7869142407981</c:v>
                </c:pt>
                <c:pt idx="49">
                  <c:v>5887.4306491863599</c:v>
                </c:pt>
                <c:pt idx="50">
                  <c:v>5956.7812952370659</c:v>
                </c:pt>
                <c:pt idx="51">
                  <c:v>6022.9579709859727</c:v>
                </c:pt>
                <c:pt idx="52">
                  <c:v>6086.0788991133113</c:v>
                </c:pt>
                <c:pt idx="53">
                  <c:v>6146.2609395919289</c:v>
                </c:pt>
                <c:pt idx="54">
                  <c:v>6203.6191939979226</c:v>
                </c:pt>
                <c:pt idx="55">
                  <c:v>6258.2666733807628</c:v>
                </c:pt>
                <c:pt idx="56">
                  <c:v>6310.3140227854065</c:v>
                </c:pt>
                <c:pt idx="57">
                  <c:v>6359.8692961213892</c:v>
                </c:pt>
                <c:pt idx="58">
                  <c:v>6407.0377756394391</c:v>
                </c:pt>
                <c:pt idx="59">
                  <c:v>6451.9218308044074</c:v>
                </c:pt>
                <c:pt idx="60">
                  <c:v>6494.6208118443228</c:v>
                </c:pt>
                <c:pt idx="61">
                  <c:v>6535.230973710095</c:v>
                </c:pt>
                <c:pt idx="62">
                  <c:v>6573.8454266001154</c:v>
                </c:pt>
                <c:pt idx="63">
                  <c:v>6610.5541095898652</c:v>
                </c:pt>
                <c:pt idx="64">
                  <c:v>6645.4437842607149</c:v>
                </c:pt>
                <c:pt idx="65">
                  <c:v>6678.5980455459321</c:v>
                </c:pt>
                <c:pt idx="66">
                  <c:v>6710.0973473073082</c:v>
                </c:pt>
                <c:pt idx="67">
                  <c:v>6740.0190404249834</c:v>
                </c:pt>
                <c:pt idx="68">
                  <c:v>6768.4374214272166</c:v>
                </c:pt>
                <c:pt idx="69">
                  <c:v>6795.4237899086229</c:v>
                </c:pt>
                <c:pt idx="70">
                  <c:v>6821.0465131857181</c:v>
                </c:pt>
                <c:pt idx="71">
                  <c:v>6845.3710968197774</c:v>
                </c:pt>
                <c:pt idx="72">
                  <c:v>6868.4602598002202</c:v>
                </c:pt>
                <c:pt idx="73">
                  <c:v>6890.3740133286447</c:v>
                </c:pt>
                <c:pt idx="74">
                  <c:v>6911.1697422756806</c:v>
                </c:pt>
                <c:pt idx="75">
                  <c:v>6930.9022885011491</c:v>
                </c:pt>
                <c:pt idx="76">
                  <c:v>6949.624035334059</c:v>
                </c:pt>
                <c:pt idx="77">
                  <c:v>6967.384992603731</c:v>
                </c:pt>
                <c:pt idx="78">
                  <c:v>6984.232881697787</c:v>
                </c:pt>
                <c:pt idx="79">
                  <c:v>7000.213220198164</c:v>
                </c:pt>
                <c:pt idx="80">
                  <c:v>7015.3694057131115</c:v>
                </c:pt>
                <c:pt idx="81">
                  <c:v>7029.7427985826425</c:v>
                </c:pt>
                <c:pt idx="82">
                  <c:v>7043.3728031873743</c:v>
                </c:pt>
                <c:pt idx="83">
                  <c:v>7056.2969476373064</c:v>
                </c:pt>
                <c:pt idx="84">
                  <c:v>7068.5509616578975</c:v>
                </c:pt>
                <c:pt idx="85">
                  <c:v>7080.1688525269574</c:v>
                </c:pt>
                <c:pt idx="86">
                  <c:v>7091.1829789474132</c:v>
                </c:pt>
                <c:pt idx="87">
                  <c:v>7101.6241227685978</c:v>
                </c:pt>
                <c:pt idx="88">
                  <c:v>7111.5215584929556</c:v>
                </c:pt>
                <c:pt idx="89">
                  <c:v>7120.9031205258143</c:v>
                </c:pt>
                <c:pt idx="90">
                  <c:v>7129.7952681440784</c:v>
                </c:pt>
                <c:pt idx="91">
                  <c:v>7138.2231481753597</c:v>
                </c:pt>
                <c:pt idx="92">
                  <c:v>7146.2106553922831</c:v>
                </c:pt>
                <c:pt idx="93">
                  <c:v>7153.7804906382526</c:v>
                </c:pt>
                <c:pt idx="94">
                  <c:v>7160.9542167105437</c:v>
                </c:pt>
                <c:pt idx="95">
                  <c:v>7167.752312034645</c:v>
                </c:pt>
                <c:pt idx="96">
                  <c:v>7174.1942221706413</c:v>
                </c:pt>
                <c:pt idx="97">
                  <c:v>7180.2984091977496</c:v>
                </c:pt>
                <c:pt idx="98">
                  <c:v>7186.0823990278386</c:v>
                </c:pt>
                <c:pt idx="99">
                  <c:v>7191.5628267020575</c:v>
                </c:pt>
                <c:pt idx="100">
                  <c:v>7196.7554797276343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02464"/>
        <c:axId val="179648000"/>
      </c:scatterChart>
      <c:valAx>
        <c:axId val="17950246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648000"/>
        <c:crosses val="autoZero"/>
        <c:crossBetween val="midCat"/>
      </c:valAx>
      <c:valAx>
        <c:axId val="179648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9502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216427</xdr:colOff>
      <xdr:row>14</xdr:row>
      <xdr:rowOff>141515</xdr:rowOff>
    </xdr:from>
    <xdr:to>
      <xdr:col>10</xdr:col>
      <xdr:colOff>586699</xdr:colOff>
      <xdr:row>19</xdr:row>
      <xdr:rowOff>333872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216427</xdr:colOff>
      <xdr:row>20</xdr:row>
      <xdr:rowOff>92850</xdr:rowOff>
    </xdr:from>
    <xdr:to>
      <xdr:col>10</xdr:col>
      <xdr:colOff>586699</xdr:colOff>
      <xdr:row>29</xdr:row>
      <xdr:rowOff>100150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733807</xdr:colOff>
      <xdr:row>20</xdr:row>
      <xdr:rowOff>92850</xdr:rowOff>
    </xdr:from>
    <xdr:to>
      <xdr:col>13</xdr:col>
      <xdr:colOff>1021968</xdr:colOff>
      <xdr:row>29</xdr:row>
      <xdr:rowOff>107194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205542</xdr:colOff>
      <xdr:row>29</xdr:row>
      <xdr:rowOff>230413</xdr:rowOff>
    </xdr:from>
    <xdr:to>
      <xdr:col>10</xdr:col>
      <xdr:colOff>575814</xdr:colOff>
      <xdr:row>37</xdr:row>
      <xdr:rowOff>59700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733807</xdr:colOff>
      <xdr:row>29</xdr:row>
      <xdr:rowOff>230413</xdr:rowOff>
    </xdr:from>
    <xdr:to>
      <xdr:col>13</xdr:col>
      <xdr:colOff>1021968</xdr:colOff>
      <xdr:row>37</xdr:row>
      <xdr:rowOff>62901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733807</xdr:colOff>
      <xdr:row>14</xdr:row>
      <xdr:rowOff>141515</xdr:rowOff>
    </xdr:from>
    <xdr:to>
      <xdr:col>13</xdr:col>
      <xdr:colOff>1021968</xdr:colOff>
      <xdr:row>19</xdr:row>
      <xdr:rowOff>333872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8965</xdr:colOff>
      <xdr:row>0</xdr:row>
      <xdr:rowOff>144928</xdr:rowOff>
    </xdr:from>
    <xdr:to>
      <xdr:col>13</xdr:col>
      <xdr:colOff>806100</xdr:colOff>
      <xdr:row>7</xdr:row>
      <xdr:rowOff>20920</xdr:rowOff>
    </xdr:to>
    <xdr:sp macro="" textlink="">
      <xdr:nvSpPr>
        <xdr:cNvPr id="12" name="TextBox 11"/>
        <xdr:cNvSpPr txBox="1"/>
      </xdr:nvSpPr>
      <xdr:spPr>
        <a:xfrm>
          <a:off x="7046259" y="144928"/>
          <a:ext cx="4894006" cy="116691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Generic life history age-structured model for examing impact of perturbations of demographic parameters to fisheries management targets.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Thorson JT, CC Monnahan and JM Cope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 prep, 2014).</a:t>
          </a:r>
          <a:r>
            <a:rPr lang="en-US" sz="1100" baseline="0"/>
            <a:t>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magnitude of time-variation in demographic parameters for marine fishes, and their potential impact on fisheries management targets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0.28245</cdr:x>
      <cdr:y>0.07256</cdr:y>
    </cdr:from>
    <cdr:to>
      <cdr:x>0.96949</cdr:x>
      <cdr:y>0.20139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1409" y="131276"/>
          <a:ext cx="2046704" cy="233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(excludes age=0 for clarity)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150"/>
  <sheetViews>
    <sheetView tabSelected="1" topLeftCell="A13" zoomScale="85" zoomScaleNormal="85" workbookViewId="0">
      <selection activeCell="I40" sqref="I40"/>
    </sheetView>
  </sheetViews>
  <sheetFormatPr defaultRowHeight="14.4" x14ac:dyDescent="0.3"/>
  <cols>
    <col min="1" max="1" width="1.77734375" customWidth="1"/>
    <col min="3" max="3" width="20.21875" customWidth="1"/>
    <col min="4" max="4" width="20.33203125" customWidth="1"/>
    <col min="5" max="5" width="18.6640625" customWidth="1"/>
    <col min="6" max="6" width="14.88671875" bestFit="1" customWidth="1"/>
    <col min="7" max="7" width="9.5546875" bestFit="1" customWidth="1"/>
    <col min="8" max="8" width="8.109375" bestFit="1" customWidth="1"/>
    <col min="9" max="9" width="7.44140625" bestFit="1" customWidth="1"/>
    <col min="10" max="10" width="12.88671875" bestFit="1" customWidth="1"/>
    <col min="11" max="11" width="18.77734375" bestFit="1" customWidth="1"/>
    <col min="12" max="12" width="8.33203125" bestFit="1" customWidth="1"/>
    <col min="13" max="13" width="12.109375" bestFit="1" customWidth="1"/>
    <col min="14" max="14" width="15.109375" bestFit="1" customWidth="1"/>
    <col min="15" max="15" width="13.33203125" bestFit="1" customWidth="1"/>
    <col min="16" max="16" width="33.21875" bestFit="1" customWidth="1"/>
    <col min="17" max="17" width="12.88671875" bestFit="1" customWidth="1"/>
    <col min="18" max="18" width="12.21875" bestFit="1" customWidth="1"/>
    <col min="19" max="19" width="8.33203125" bestFit="1" customWidth="1"/>
    <col min="20" max="20" width="12.109375" bestFit="1" customWidth="1"/>
    <col min="21" max="21" width="8.77734375" bestFit="1" customWidth="1"/>
  </cols>
  <sheetData>
    <row r="2" spans="2:13" x14ac:dyDescent="0.3">
      <c r="B2" s="53" t="s">
        <v>96</v>
      </c>
      <c r="C2" t="s">
        <v>116</v>
      </c>
    </row>
    <row r="3" spans="2:13" ht="15.6" x14ac:dyDescent="0.3">
      <c r="B3" s="54"/>
      <c r="C3" s="49">
        <v>90</v>
      </c>
      <c r="D3" s="48" t="s">
        <v>92</v>
      </c>
    </row>
    <row r="4" spans="2:13" x14ac:dyDescent="0.3">
      <c r="B4" s="54"/>
      <c r="C4" s="49">
        <v>2</v>
      </c>
      <c r="D4" s="48" t="s">
        <v>80</v>
      </c>
    </row>
    <row r="5" spans="2:13" ht="15.6" x14ac:dyDescent="0.3">
      <c r="B5" s="54"/>
      <c r="C5" s="49">
        <v>0.1</v>
      </c>
      <c r="D5" s="48" t="s">
        <v>93</v>
      </c>
    </row>
    <row r="6" spans="2:13" x14ac:dyDescent="0.3">
      <c r="B6" s="54"/>
      <c r="C6" s="49">
        <v>0.4</v>
      </c>
      <c r="D6" s="48" t="s">
        <v>60</v>
      </c>
    </row>
    <row r="7" spans="2:13" x14ac:dyDescent="0.3">
      <c r="B7" s="54"/>
    </row>
    <row r="8" spans="2:13" x14ac:dyDescent="0.3">
      <c r="B8" s="53" t="s">
        <v>97</v>
      </c>
      <c r="C8" t="s">
        <v>98</v>
      </c>
    </row>
    <row r="9" spans="2:13" x14ac:dyDescent="0.3">
      <c r="B9" s="54"/>
      <c r="C9" t="s">
        <v>99</v>
      </c>
    </row>
    <row r="10" spans="2:13" x14ac:dyDescent="0.3">
      <c r="C10" s="62">
        <v>20.568783549128277</v>
      </c>
      <c r="D10" s="51" t="s">
        <v>94</v>
      </c>
    </row>
    <row r="11" spans="2:13" x14ac:dyDescent="0.3">
      <c r="C11" s="63">
        <f>C41</f>
        <v>1.1411176375105738E-12</v>
      </c>
      <c r="D11" s="52" t="s">
        <v>95</v>
      </c>
      <c r="E11" s="64" t="str">
        <f>IF(recruit_obj&gt;0.0000000001, "NOT OPTIMIZED!! RUN SOLVER", "")</f>
        <v/>
      </c>
    </row>
    <row r="12" spans="2:13" x14ac:dyDescent="0.3">
      <c r="C12" s="6"/>
      <c r="D12" s="50"/>
    </row>
    <row r="13" spans="2:13" x14ac:dyDescent="0.3">
      <c r="C13" t="s">
        <v>114</v>
      </c>
    </row>
    <row r="14" spans="2:13" x14ac:dyDescent="0.3">
      <c r="C14" s="29" t="s">
        <v>81</v>
      </c>
      <c r="D14" s="30" t="s">
        <v>37</v>
      </c>
      <c r="E14" s="34" t="s">
        <v>1</v>
      </c>
      <c r="F14" s="38" t="s">
        <v>0</v>
      </c>
    </row>
    <row r="15" spans="2:13" ht="16.2" x14ac:dyDescent="0.3">
      <c r="B15" s="68" t="s">
        <v>117</v>
      </c>
      <c r="C15" s="42">
        <f>C3</f>
        <v>90</v>
      </c>
      <c r="D15" s="56" t="s">
        <v>100</v>
      </c>
      <c r="E15" s="35" t="s">
        <v>13</v>
      </c>
      <c r="F15" s="32" t="s">
        <v>9</v>
      </c>
    </row>
    <row r="16" spans="2:13" ht="28.8" x14ac:dyDescent="0.3">
      <c r="B16" s="69"/>
      <c r="C16" s="40">
        <f>C4</f>
        <v>2</v>
      </c>
      <c r="D16" s="57" t="s">
        <v>80</v>
      </c>
      <c r="E16" s="36" t="s">
        <v>82</v>
      </c>
      <c r="F16" s="31" t="s">
        <v>80</v>
      </c>
      <c r="M16" s="2"/>
    </row>
    <row r="17" spans="2:20" ht="28.8" x14ac:dyDescent="0.3">
      <c r="B17" s="70"/>
      <c r="C17" s="41">
        <f>C5</f>
        <v>0.1</v>
      </c>
      <c r="D17" s="58" t="s">
        <v>101</v>
      </c>
      <c r="E17" s="37" t="s">
        <v>91</v>
      </c>
      <c r="F17" s="33" t="s">
        <v>15</v>
      </c>
      <c r="L17" s="2"/>
    </row>
    <row r="18" spans="2:20" ht="16.2" x14ac:dyDescent="0.3">
      <c r="B18" s="68" t="s">
        <v>118</v>
      </c>
      <c r="C18" s="39">
        <v>1000000000</v>
      </c>
      <c r="D18" s="56" t="s">
        <v>102</v>
      </c>
      <c r="E18" s="35" t="s">
        <v>87</v>
      </c>
      <c r="F18" s="32" t="s">
        <v>11</v>
      </c>
      <c r="L18" s="2"/>
    </row>
    <row r="19" spans="2:20" ht="28.8" x14ac:dyDescent="0.3">
      <c r="B19" s="69"/>
      <c r="C19" s="40">
        <v>0.01</v>
      </c>
      <c r="D19" s="59" t="s">
        <v>103</v>
      </c>
      <c r="E19" s="36" t="s">
        <v>88</v>
      </c>
      <c r="F19" s="31" t="s">
        <v>3</v>
      </c>
      <c r="L19" s="2"/>
    </row>
    <row r="20" spans="2:20" ht="28.8" x14ac:dyDescent="0.3">
      <c r="B20" s="70"/>
      <c r="C20" s="41">
        <v>3</v>
      </c>
      <c r="D20" s="60" t="s">
        <v>104</v>
      </c>
      <c r="E20" s="37" t="s">
        <v>89</v>
      </c>
      <c r="F20" s="33" t="s">
        <v>4</v>
      </c>
      <c r="L20" s="2"/>
    </row>
    <row r="21" spans="2:20" ht="16.2" x14ac:dyDescent="0.3">
      <c r="B21" s="65" t="s">
        <v>85</v>
      </c>
      <c r="C21" s="42">
        <f>W_1*Linf^W_2</f>
        <v>7290</v>
      </c>
      <c r="D21" s="56" t="s">
        <v>105</v>
      </c>
      <c r="E21" s="35" t="s">
        <v>84</v>
      </c>
      <c r="F21" s="32" t="s">
        <v>21</v>
      </c>
      <c r="L21" s="2"/>
    </row>
    <row r="22" spans="2:20" ht="16.2" x14ac:dyDescent="0.3">
      <c r="B22" s="66"/>
      <c r="C22" s="40">
        <f>Winf/1000000</f>
        <v>7.2899999999999996E-3</v>
      </c>
      <c r="D22" s="57" t="s">
        <v>106</v>
      </c>
      <c r="E22" s="36" t="s">
        <v>19</v>
      </c>
      <c r="F22" s="31" t="s">
        <v>18</v>
      </c>
      <c r="L22" s="2"/>
    </row>
    <row r="23" spans="2:20" x14ac:dyDescent="0.3">
      <c r="B23" s="66"/>
      <c r="C23" s="43">
        <f>M/(3^(1/2)/2^(3/2))</f>
        <v>0.16329931618554519</v>
      </c>
      <c r="D23" s="57" t="s">
        <v>20</v>
      </c>
      <c r="E23" s="36" t="s">
        <v>40</v>
      </c>
      <c r="F23" s="31" t="s">
        <v>20</v>
      </c>
      <c r="L23" s="2"/>
    </row>
    <row r="24" spans="2:20" ht="16.2" x14ac:dyDescent="0.3">
      <c r="B24" s="66"/>
      <c r="C24" s="43">
        <f>B*Winf^(1/3)</f>
        <v>3.1663594048376122</v>
      </c>
      <c r="D24" s="57" t="s">
        <v>22</v>
      </c>
      <c r="E24" s="36" t="s">
        <v>23</v>
      </c>
      <c r="F24" s="31" t="s">
        <v>22</v>
      </c>
      <c r="H24" s="4"/>
      <c r="I24" s="4"/>
      <c r="J24" s="4"/>
      <c r="K24" s="4"/>
      <c r="L24" s="9"/>
      <c r="M24" s="4"/>
      <c r="N24" s="4"/>
      <c r="O24" s="4"/>
      <c r="P24" s="4"/>
      <c r="Q24" s="4"/>
      <c r="R24" s="4"/>
      <c r="S24" s="4"/>
      <c r="T24" s="4"/>
    </row>
    <row r="25" spans="2:20" ht="16.2" x14ac:dyDescent="0.3">
      <c r="B25" s="66"/>
      <c r="C25" s="43">
        <f>(W0/W_1)^(1/W_2)</f>
        <v>0.9</v>
      </c>
      <c r="D25" s="57" t="s">
        <v>107</v>
      </c>
      <c r="E25" s="36" t="s">
        <v>90</v>
      </c>
      <c r="F25" s="31" t="s">
        <v>14</v>
      </c>
      <c r="H25" s="4"/>
      <c r="L25" s="2"/>
      <c r="O25" s="4"/>
      <c r="P25" s="4"/>
      <c r="Q25" s="4"/>
      <c r="R25" s="4"/>
      <c r="S25" s="4"/>
      <c r="T25" s="4"/>
    </row>
    <row r="26" spans="2:20" x14ac:dyDescent="0.3">
      <c r="B26" s="66"/>
      <c r="C26" s="43">
        <f>B/3</f>
        <v>5.443310539518173E-2</v>
      </c>
      <c r="D26" s="57" t="s">
        <v>39</v>
      </c>
      <c r="E26" s="36" t="s">
        <v>24</v>
      </c>
      <c r="F26" s="31" t="s">
        <v>10</v>
      </c>
      <c r="H26" s="4"/>
      <c r="L26" s="2"/>
      <c r="O26" s="4"/>
      <c r="P26" s="4"/>
      <c r="Q26" s="4"/>
      <c r="R26" s="4"/>
      <c r="S26" s="4"/>
      <c r="T26" s="4"/>
    </row>
    <row r="27" spans="2:20" ht="16.2" x14ac:dyDescent="0.3">
      <c r="B27" s="66"/>
      <c r="C27" s="43">
        <f>LN((3*K+M)/M)/K</f>
        <v>17.785523651274119</v>
      </c>
      <c r="D27" s="57" t="s">
        <v>108</v>
      </c>
      <c r="E27" s="36" t="s">
        <v>38</v>
      </c>
      <c r="F27" s="31" t="s">
        <v>7</v>
      </c>
      <c r="H27" s="4"/>
      <c r="L27" s="2"/>
      <c r="O27" s="4"/>
      <c r="P27" s="4"/>
      <c r="Q27" s="4"/>
      <c r="R27" s="4"/>
      <c r="S27" s="4"/>
      <c r="T27" s="4"/>
    </row>
    <row r="28" spans="2:20" ht="16.2" x14ac:dyDescent="0.3">
      <c r="B28" s="66"/>
      <c r="C28" s="43">
        <f>Linf-(Linf-L0)*EXP(-K*Amat)</f>
        <v>56.160185567207535</v>
      </c>
      <c r="D28" s="61" t="s">
        <v>109</v>
      </c>
      <c r="E28" s="36" t="s">
        <v>12</v>
      </c>
      <c r="F28" s="31" t="s">
        <v>8</v>
      </c>
      <c r="H28" s="4"/>
      <c r="L28" s="2"/>
      <c r="O28" s="4"/>
      <c r="P28" s="4"/>
      <c r="Q28" s="4"/>
      <c r="R28" s="4"/>
      <c r="S28" s="4"/>
      <c r="T28" s="4"/>
    </row>
    <row r="29" spans="2:20" ht="16.2" x14ac:dyDescent="0.3">
      <c r="B29" s="67"/>
      <c r="C29" s="44">
        <f>W_1*C28^W_2</f>
        <v>1771.2734070843478</v>
      </c>
      <c r="D29" s="57" t="s">
        <v>110</v>
      </c>
      <c r="E29" s="37" t="s">
        <v>43</v>
      </c>
      <c r="F29" s="33" t="s">
        <v>25</v>
      </c>
      <c r="H29" s="4"/>
      <c r="L29" s="2"/>
      <c r="O29" s="4"/>
      <c r="P29" s="4"/>
      <c r="Q29" s="4"/>
      <c r="R29" s="4"/>
      <c r="S29" s="4"/>
      <c r="T29" s="4"/>
    </row>
    <row r="30" spans="2:20" ht="28.8" x14ac:dyDescent="0.3">
      <c r="B30" s="65" t="s">
        <v>86</v>
      </c>
      <c r="C30" s="45">
        <f>EXP(LMARR)/(1-EXP(-M))</f>
        <v>77.646654246127824</v>
      </c>
      <c r="D30" s="56" t="s">
        <v>33</v>
      </c>
      <c r="E30" s="35" t="s">
        <v>46</v>
      </c>
      <c r="F30" s="32" t="s">
        <v>33</v>
      </c>
      <c r="H30" s="4"/>
      <c r="L30" s="2"/>
      <c r="O30" s="4"/>
      <c r="P30" s="4"/>
      <c r="Q30" s="4"/>
      <c r="R30" s="4"/>
      <c r="S30" s="4"/>
      <c r="T30" s="4"/>
    </row>
    <row r="31" spans="2:20" x14ac:dyDescent="0.3">
      <c r="B31" s="66"/>
      <c r="C31" s="43">
        <f>MLRR/(4+MLRR)</f>
        <v>0.95100840277004117</v>
      </c>
      <c r="D31" s="57" t="s">
        <v>16</v>
      </c>
      <c r="E31" s="36" t="s">
        <v>17</v>
      </c>
      <c r="F31" s="31" t="s">
        <v>16</v>
      </c>
      <c r="H31" s="4"/>
      <c r="L31" s="2"/>
      <c r="O31" s="4"/>
      <c r="P31" s="4"/>
      <c r="Q31" s="4"/>
      <c r="R31" s="4"/>
      <c r="S31" s="4"/>
      <c r="T31" s="4"/>
    </row>
    <row r="32" spans="2:20" ht="28.8" x14ac:dyDescent="0.3">
      <c r="B32" s="66"/>
      <c r="C32" s="43">
        <f>SUM(J47:J147)</f>
        <v>1.057117159758308E-23</v>
      </c>
      <c r="D32" s="59" t="s">
        <v>111</v>
      </c>
      <c r="E32" s="36" t="s">
        <v>48</v>
      </c>
      <c r="F32" s="31" t="s">
        <v>47</v>
      </c>
      <c r="H32" s="4"/>
      <c r="L32" s="2"/>
      <c r="O32" s="4"/>
      <c r="P32" s="4"/>
      <c r="Q32" s="4"/>
      <c r="R32" s="4"/>
      <c r="S32" s="4"/>
      <c r="T32" s="4"/>
    </row>
    <row r="33" spans="2:22" x14ac:dyDescent="0.3">
      <c r="B33" s="66"/>
      <c r="C33" s="46">
        <f>SUM(L47:L147)</f>
        <v>1.0571171597583075E-14</v>
      </c>
      <c r="D33" s="59" t="s">
        <v>45</v>
      </c>
      <c r="E33" s="36" t="s">
        <v>55</v>
      </c>
      <c r="F33" s="31" t="s">
        <v>34</v>
      </c>
      <c r="H33" s="4"/>
      <c r="L33" s="2"/>
      <c r="O33" s="4"/>
      <c r="P33" s="4"/>
      <c r="Q33" s="4"/>
      <c r="R33" s="4"/>
      <c r="S33" s="4"/>
      <c r="T33" s="4"/>
    </row>
    <row r="34" spans="2:22" x14ac:dyDescent="0.3">
      <c r="B34" s="66"/>
      <c r="C34" s="46">
        <f>MLRR/sSBPR_a</f>
        <v>7.345132327989115E+24</v>
      </c>
      <c r="D34" s="55" t="s">
        <v>112</v>
      </c>
      <c r="E34" s="36" t="s">
        <v>56</v>
      </c>
      <c r="F34" s="31" t="s">
        <v>5</v>
      </c>
      <c r="H34" s="4"/>
      <c r="L34" s="2"/>
      <c r="O34" s="4"/>
      <c r="P34" s="4"/>
      <c r="Q34" s="4"/>
      <c r="R34" s="4"/>
      <c r="S34" s="4"/>
      <c r="T34" s="4"/>
    </row>
    <row r="35" spans="2:22" x14ac:dyDescent="0.3">
      <c r="B35" s="67"/>
      <c r="C35" s="46">
        <f>(alpha*R0*sSBPR_a/R0-1)/(R0*sSBPR_a)</f>
        <v>7250535433901365</v>
      </c>
      <c r="D35" s="57" t="s">
        <v>113</v>
      </c>
      <c r="E35" s="36" t="s">
        <v>57</v>
      </c>
      <c r="F35" s="31" t="s">
        <v>6</v>
      </c>
      <c r="H35" s="4"/>
      <c r="L35" s="2"/>
      <c r="O35" s="4"/>
      <c r="P35" s="4"/>
      <c r="Q35" s="4"/>
      <c r="R35" s="4"/>
      <c r="S35" s="4"/>
      <c r="T35" s="4"/>
    </row>
    <row r="36" spans="2:22" x14ac:dyDescent="0.3">
      <c r="B36" s="65" t="s">
        <v>83</v>
      </c>
      <c r="C36" s="42">
        <f>C6</f>
        <v>0.4</v>
      </c>
      <c r="D36" s="56" t="s">
        <v>60</v>
      </c>
      <c r="E36" s="35" t="s">
        <v>61</v>
      </c>
      <c r="F36" s="32" t="s">
        <v>60</v>
      </c>
      <c r="I36" s="4"/>
      <c r="J36" s="4"/>
      <c r="K36" s="4"/>
      <c r="L36" s="9"/>
      <c r="M36" s="4"/>
      <c r="N36" s="4"/>
      <c r="O36" s="4"/>
      <c r="P36" s="4"/>
      <c r="Q36" s="4"/>
      <c r="R36" s="4"/>
      <c r="S36" s="4"/>
      <c r="T36" s="4"/>
    </row>
    <row r="37" spans="2:22" x14ac:dyDescent="0.3">
      <c r="B37" s="66"/>
      <c r="C37" s="46">
        <f>SUM(T47:T147)</f>
        <v>2.1023965194539162E-16</v>
      </c>
      <c r="D37" s="57" t="s">
        <v>63</v>
      </c>
      <c r="E37" s="36" t="s">
        <v>64</v>
      </c>
      <c r="F37" s="31" t="s">
        <v>63</v>
      </c>
      <c r="I37" s="4"/>
      <c r="J37" s="4"/>
      <c r="K37" s="4"/>
      <c r="L37" s="9"/>
      <c r="M37" s="4"/>
      <c r="N37" s="4"/>
      <c r="O37" s="4"/>
      <c r="P37" s="4"/>
      <c r="Q37" s="4"/>
      <c r="R37" s="4"/>
      <c r="S37" s="4"/>
      <c r="T37" s="4"/>
    </row>
    <row r="38" spans="2:22" ht="28.8" x14ac:dyDescent="0.3">
      <c r="B38" s="66"/>
      <c r="C38" s="46">
        <f>Ln_Rinput</f>
        <v>20.568783549128277</v>
      </c>
      <c r="D38" s="59" t="s">
        <v>45</v>
      </c>
      <c r="E38" s="36" t="s">
        <v>77</v>
      </c>
      <c r="F38" s="31" t="s">
        <v>74</v>
      </c>
      <c r="I38" s="4"/>
      <c r="J38" s="4"/>
      <c r="K38" s="4"/>
      <c r="L38" s="9"/>
      <c r="M38" s="4"/>
      <c r="N38" s="4"/>
      <c r="O38" s="4"/>
      <c r="P38" s="4"/>
      <c r="Q38" s="4"/>
      <c r="R38" s="4"/>
      <c r="S38" s="4"/>
      <c r="T38" s="4"/>
    </row>
    <row r="39" spans="2:22" x14ac:dyDescent="0.3">
      <c r="B39" s="66"/>
      <c r="C39" s="46">
        <f>SUM(S47:S147)</f>
        <v>7.5664795532879323E-16</v>
      </c>
      <c r="D39" s="59" t="s">
        <v>45</v>
      </c>
      <c r="E39" s="36" t="s">
        <v>73</v>
      </c>
      <c r="F39" s="31" t="s">
        <v>72</v>
      </c>
      <c r="I39" s="4"/>
      <c r="J39" s="4"/>
      <c r="K39" s="4"/>
      <c r="L39" s="9"/>
      <c r="M39" s="4"/>
      <c r="N39" s="4"/>
      <c r="O39" s="4"/>
      <c r="P39" s="4"/>
      <c r="Q39" s="4"/>
      <c r="R39" s="4"/>
      <c r="S39" s="4"/>
      <c r="T39" s="4"/>
    </row>
    <row r="40" spans="2:22" x14ac:dyDescent="0.3">
      <c r="B40" s="66"/>
      <c r="C40" s="46">
        <f>(alpha*SB_average)/(1+beta*SB_average)</f>
        <v>856859584.16830385</v>
      </c>
      <c r="D40" s="59" t="s">
        <v>45</v>
      </c>
      <c r="E40" s="36" t="s">
        <v>78</v>
      </c>
      <c r="F40" s="31" t="s">
        <v>66</v>
      </c>
      <c r="I40" s="4"/>
      <c r="J40" s="4"/>
      <c r="K40" s="4"/>
      <c r="L40" s="9"/>
      <c r="M40" s="4"/>
      <c r="N40" s="4"/>
      <c r="O40" s="4"/>
      <c r="P40" s="4"/>
      <c r="Q40" s="4"/>
      <c r="R40" s="4"/>
      <c r="S40" s="4"/>
      <c r="T40" s="4"/>
    </row>
    <row r="41" spans="2:22" ht="28.8" x14ac:dyDescent="0.3">
      <c r="B41" s="67"/>
      <c r="C41" s="47">
        <f>(EXP(Ln_Rinput)/R_average-1)^2</f>
        <v>1.1411176375105738E-12</v>
      </c>
      <c r="D41" s="60" t="s">
        <v>45</v>
      </c>
      <c r="E41" s="37" t="s">
        <v>79</v>
      </c>
      <c r="F41" s="33" t="s">
        <v>65</v>
      </c>
      <c r="I41" s="4"/>
      <c r="J41" s="4"/>
      <c r="K41" s="4"/>
      <c r="L41" s="9"/>
      <c r="M41" s="4"/>
      <c r="N41" s="4"/>
      <c r="O41" s="4"/>
      <c r="P41" s="4"/>
      <c r="Q41" s="4"/>
      <c r="R41" s="4"/>
      <c r="S41" s="4"/>
      <c r="T41" s="4"/>
    </row>
    <row r="42" spans="2:22" x14ac:dyDescent="0.3">
      <c r="J42" s="4"/>
      <c r="K42" s="4"/>
      <c r="L42" s="4"/>
      <c r="M42" s="9"/>
      <c r="N42" s="4"/>
      <c r="O42" s="4"/>
      <c r="P42" s="4"/>
      <c r="Q42" s="4"/>
      <c r="R42" s="4"/>
      <c r="S42" s="4"/>
      <c r="T42" s="4"/>
      <c r="U42" s="4"/>
    </row>
    <row r="43" spans="2:22" x14ac:dyDescent="0.3">
      <c r="B43" s="1"/>
      <c r="C43" s="2" t="s">
        <v>115</v>
      </c>
      <c r="D43" s="1"/>
      <c r="E43" s="1"/>
      <c r="H43" s="4"/>
      <c r="I43" s="4"/>
      <c r="J43" s="4"/>
      <c r="K43" s="4"/>
      <c r="L43" s="9"/>
      <c r="M43" s="4"/>
      <c r="N43" s="4"/>
      <c r="O43" s="4"/>
      <c r="P43" s="4"/>
      <c r="Q43" s="4"/>
      <c r="R43" s="4"/>
      <c r="S43" s="4"/>
      <c r="T43" s="4"/>
    </row>
    <row r="44" spans="2:22" x14ac:dyDescent="0.3">
      <c r="B44" s="1"/>
      <c r="C44" s="1"/>
      <c r="D44" s="1"/>
      <c r="E44" s="1"/>
      <c r="F44" s="1"/>
      <c r="I44" s="4"/>
      <c r="J44" s="4" t="s">
        <v>75</v>
      </c>
      <c r="K44" s="4"/>
      <c r="L44" s="4"/>
      <c r="M44" s="9"/>
      <c r="N44" s="4"/>
      <c r="O44" s="8" t="s">
        <v>76</v>
      </c>
      <c r="P44" s="8"/>
      <c r="Q44" s="4"/>
      <c r="S44" s="8"/>
      <c r="T44" s="8"/>
      <c r="U44" s="5"/>
      <c r="V44" s="5"/>
    </row>
    <row r="45" spans="2:22" x14ac:dyDescent="0.3">
      <c r="B45" s="1"/>
      <c r="C45" s="16" t="s">
        <v>27</v>
      </c>
      <c r="D45" s="17" t="s">
        <v>28</v>
      </c>
      <c r="E45" s="17" t="s">
        <v>2</v>
      </c>
      <c r="F45" s="17" t="s">
        <v>35</v>
      </c>
      <c r="G45" s="18" t="s">
        <v>26</v>
      </c>
      <c r="H45" s="16" t="s">
        <v>52</v>
      </c>
      <c r="I45" s="17" t="s">
        <v>29</v>
      </c>
      <c r="J45" s="17" t="s">
        <v>30</v>
      </c>
      <c r="K45" s="17" t="s">
        <v>31</v>
      </c>
      <c r="L45" s="18" t="s">
        <v>32</v>
      </c>
      <c r="M45" s="16" t="s">
        <v>69</v>
      </c>
      <c r="N45" s="17" t="s">
        <v>68</v>
      </c>
      <c r="O45" s="17" t="s">
        <v>52</v>
      </c>
      <c r="P45" s="17" t="s">
        <v>29</v>
      </c>
      <c r="Q45" s="17" t="s">
        <v>30</v>
      </c>
      <c r="R45" s="17" t="s">
        <v>31</v>
      </c>
      <c r="S45" s="17" t="s">
        <v>32</v>
      </c>
      <c r="T45" s="18" t="s">
        <v>59</v>
      </c>
      <c r="U45" s="4"/>
      <c r="V45" s="4"/>
    </row>
    <row r="46" spans="2:22" x14ac:dyDescent="0.3">
      <c r="B46" s="23" t="s">
        <v>36</v>
      </c>
      <c r="C46" s="24" t="s">
        <v>42</v>
      </c>
      <c r="D46" s="25" t="s">
        <v>41</v>
      </c>
      <c r="E46" s="25" t="s">
        <v>67</v>
      </c>
      <c r="F46" s="25" t="s">
        <v>58</v>
      </c>
      <c r="G46" s="26" t="s">
        <v>49</v>
      </c>
      <c r="H46" s="24" t="s">
        <v>44</v>
      </c>
      <c r="I46" s="25" t="s">
        <v>50</v>
      </c>
      <c r="J46" s="25" t="s">
        <v>51</v>
      </c>
      <c r="K46" s="25" t="s">
        <v>53</v>
      </c>
      <c r="L46" s="26" t="s">
        <v>54</v>
      </c>
      <c r="M46" s="24" t="s">
        <v>70</v>
      </c>
      <c r="N46" s="25" t="s">
        <v>71</v>
      </c>
      <c r="O46" s="25" t="s">
        <v>44</v>
      </c>
      <c r="P46" s="25" t="s">
        <v>50</v>
      </c>
      <c r="Q46" s="25" t="s">
        <v>51</v>
      </c>
      <c r="R46" s="25" t="s">
        <v>53</v>
      </c>
      <c r="S46" s="25" t="s">
        <v>54</v>
      </c>
      <c r="T46" s="26" t="s">
        <v>62</v>
      </c>
      <c r="U46" s="4"/>
      <c r="V46" s="4"/>
    </row>
    <row r="47" spans="2:22" x14ac:dyDescent="0.3">
      <c r="B47" s="21">
        <v>0</v>
      </c>
      <c r="C47" s="11">
        <f t="shared" ref="C47:C78" si="0">Linf-(Linf-L0)*EXP(-K*B47)</f>
        <v>0.90000000000000568</v>
      </c>
      <c r="D47" s="10">
        <f>W_1*C47^W_2</f>
        <v>7.2900000000001384E-3</v>
      </c>
      <c r="E47" s="10">
        <f>(D47/Winf)^(-1/2)*(A/3)*Winf^(-1/3)</f>
        <v>54.433105395181201</v>
      </c>
      <c r="F47" s="5">
        <f t="shared" ref="F47:F78" si="1">IF(B47&lt;Amat,0,1)</f>
        <v>0</v>
      </c>
      <c r="G47" s="19">
        <f t="shared" ref="G47:G78" si="2">_xlfn.NORM.DIST((B47-Amat)/(0.25*Amat)*1.96,0,1,TRUE)</f>
        <v>2.2527321519661315E-15</v>
      </c>
      <c r="H47" s="11">
        <f>EXP(-SUM(E$47:E47))</f>
        <v>2.2908818635175802E-24</v>
      </c>
      <c r="I47" s="10">
        <f t="shared" ref="I47:I78" si="3">H47*D47</f>
        <v>1.6700528785043478E-26</v>
      </c>
      <c r="J47" s="6">
        <f t="shared" ref="J47:J110" si="4">I47*G47</f>
        <v>3.7621818148903317E-41</v>
      </c>
      <c r="K47" s="6">
        <f t="shared" ref="K47:K78" si="5">R0*I47</f>
        <v>1.6700528785043478E-17</v>
      </c>
      <c r="L47" s="14">
        <f t="shared" ref="L47:L78" si="6">R0*J47</f>
        <v>3.7621818148903319E-32</v>
      </c>
      <c r="M47" s="27">
        <f t="shared" ref="M47:M78" si="7">F47*F</f>
        <v>0</v>
      </c>
      <c r="N47" s="6">
        <f t="shared" ref="N47:N78" si="8">E47+M47</f>
        <v>54.433105395181201</v>
      </c>
      <c r="O47" s="6">
        <f>EXP(-SUM(N$47:N47))</f>
        <v>2.2908818635175802E-24</v>
      </c>
      <c r="P47" s="6">
        <f t="shared" ref="P47:P78" si="9">O47*D47</f>
        <v>1.6700528785043478E-26</v>
      </c>
      <c r="Q47" s="6">
        <f t="shared" ref="Q47:Q110" si="10">G47*P47</f>
        <v>3.7621818148903317E-41</v>
      </c>
      <c r="R47" s="6">
        <f t="shared" ref="R47:R78" si="11">EXP(Ln_Rinput)*P47</f>
        <v>1.4309992863747701E-17</v>
      </c>
      <c r="S47" s="6">
        <f t="shared" ref="S47:S78" si="12">EXP(Ln_Rinput)*Q47</f>
        <v>3.2236581018570344E-32</v>
      </c>
      <c r="T47" s="14">
        <f t="shared" ref="T47:T78" si="13">EXP(Ln_Rinput)*O47*F*F47*D47*(1-EXP(-F*F47-E47))/(F*F47+E47)</f>
        <v>0</v>
      </c>
      <c r="U47" s="4"/>
      <c r="V47" s="4"/>
    </row>
    <row r="48" spans="2:22" x14ac:dyDescent="0.3">
      <c r="B48" s="21">
        <v>1</v>
      </c>
      <c r="C48" s="11">
        <f t="shared" si="0"/>
        <v>5.6203525063845348</v>
      </c>
      <c r="D48" s="10">
        <f t="shared" ref="D48:D78" si="14">W_1*C48^W_2</f>
        <v>1.7753773120303518</v>
      </c>
      <c r="E48" s="10">
        <f t="shared" ref="E48:E78" si="15">(D48/Winf)^(-1/2)*(A/3)*Winf^(-1/3)</f>
        <v>3.4880406914217836</v>
      </c>
      <c r="F48" s="5">
        <f t="shared" si="1"/>
        <v>0</v>
      </c>
      <c r="G48" s="19">
        <f t="shared" si="2"/>
        <v>6.8507780300893674E-14</v>
      </c>
      <c r="H48" s="11">
        <f>EXP(-SUM(E$47:E48))</f>
        <v>7.0010933606877138E-26</v>
      </c>
      <c r="I48" s="10">
        <f t="shared" si="3"/>
        <v>1.2429582311971295E-25</v>
      </c>
      <c r="J48" s="6">
        <f t="shared" si="4"/>
        <v>8.5152309426040355E-39</v>
      </c>
      <c r="K48" s="6">
        <f t="shared" si="5"/>
        <v>1.2429582311971294E-16</v>
      </c>
      <c r="L48" s="14">
        <f t="shared" si="6"/>
        <v>8.5152309426040358E-30</v>
      </c>
      <c r="M48" s="27">
        <f t="shared" si="7"/>
        <v>0</v>
      </c>
      <c r="N48" s="6">
        <f t="shared" si="8"/>
        <v>3.4880406914217836</v>
      </c>
      <c r="O48" s="6">
        <f>EXP(-SUM(N$47:N48))</f>
        <v>7.0010933606877138E-26</v>
      </c>
      <c r="P48" s="6">
        <f t="shared" si="9"/>
        <v>1.2429582311971295E-25</v>
      </c>
      <c r="Q48" s="6">
        <f t="shared" si="10"/>
        <v>8.5152309426040355E-39</v>
      </c>
      <c r="R48" s="6">
        <f t="shared" si="11"/>
        <v>1.0650395354125957E-16</v>
      </c>
      <c r="S48" s="6">
        <f t="shared" si="12"/>
        <v>7.2963494503811985E-30</v>
      </c>
      <c r="T48" s="14">
        <f t="shared" si="13"/>
        <v>0</v>
      </c>
      <c r="U48" s="4"/>
      <c r="V48" s="4"/>
    </row>
    <row r="49" spans="2:22" x14ac:dyDescent="0.3">
      <c r="B49" s="21">
        <v>2</v>
      </c>
      <c r="C49" s="11">
        <f t="shared" si="0"/>
        <v>10.090629504525182</v>
      </c>
      <c r="D49" s="10">
        <f t="shared" si="14"/>
        <v>10.274360069744731</v>
      </c>
      <c r="E49" s="10">
        <f t="shared" si="15"/>
        <v>1.4499381759999372</v>
      </c>
      <c r="F49" s="5">
        <f t="shared" si="1"/>
        <v>0</v>
      </c>
      <c r="G49" s="19">
        <f t="shared" si="2"/>
        <v>1.7209883612835715E-12</v>
      </c>
      <c r="H49" s="11">
        <f>EXP(-SUM(E$47:E49))</f>
        <v>1.6423500200971966E-26</v>
      </c>
      <c r="I49" s="10">
        <f t="shared" si="3"/>
        <v>1.6874095467031093E-25</v>
      </c>
      <c r="J49" s="6">
        <f t="shared" si="4"/>
        <v>2.9040121905948381E-37</v>
      </c>
      <c r="K49" s="6">
        <f t="shared" si="5"/>
        <v>1.6874095467031093E-16</v>
      </c>
      <c r="L49" s="14">
        <f t="shared" si="6"/>
        <v>2.904012190594838E-28</v>
      </c>
      <c r="M49" s="27">
        <f t="shared" si="7"/>
        <v>0</v>
      </c>
      <c r="N49" s="6">
        <f t="shared" si="8"/>
        <v>1.4499381759999372</v>
      </c>
      <c r="O49" s="6">
        <f>EXP(-SUM(N$47:N49))</f>
        <v>1.6423500200971966E-26</v>
      </c>
      <c r="P49" s="6">
        <f t="shared" si="9"/>
        <v>1.6874095467031093E-25</v>
      </c>
      <c r="Q49" s="6">
        <f t="shared" si="10"/>
        <v>2.9040121905948381E-37</v>
      </c>
      <c r="R49" s="6">
        <f t="shared" si="11"/>
        <v>1.4458714979831323E-16</v>
      </c>
      <c r="S49" s="6">
        <f t="shared" si="12"/>
        <v>2.4883280199406135E-28</v>
      </c>
      <c r="T49" s="14">
        <f t="shared" si="13"/>
        <v>0</v>
      </c>
      <c r="U49" s="4"/>
      <c r="V49" s="4"/>
    </row>
    <row r="50" spans="2:22" x14ac:dyDescent="0.3">
      <c r="B50" s="21">
        <v>3</v>
      </c>
      <c r="C50" s="11">
        <f t="shared" si="0"/>
        <v>14.324079530360478</v>
      </c>
      <c r="D50" s="10">
        <f t="shared" si="14"/>
        <v>29.390039578923915</v>
      </c>
      <c r="E50" s="10">
        <f t="shared" si="15"/>
        <v>0.85728808968888992</v>
      </c>
      <c r="F50" s="5">
        <f t="shared" si="1"/>
        <v>0</v>
      </c>
      <c r="G50" s="19">
        <f t="shared" si="2"/>
        <v>3.5726266016875737E-11</v>
      </c>
      <c r="H50" s="11">
        <f>EXP(-SUM(E$47:E50))</f>
        <v>6.9686753642998525E-27</v>
      </c>
      <c r="I50" s="10">
        <f t="shared" si="3"/>
        <v>2.0480964476944469E-25</v>
      </c>
      <c r="J50" s="6">
        <f t="shared" si="4"/>
        <v>7.3170838518550036E-36</v>
      </c>
      <c r="K50" s="6">
        <f t="shared" si="5"/>
        <v>2.0480964476944469E-16</v>
      </c>
      <c r="L50" s="14">
        <f t="shared" si="6"/>
        <v>7.3170838518550041E-27</v>
      </c>
      <c r="M50" s="27">
        <f t="shared" si="7"/>
        <v>0</v>
      </c>
      <c r="N50" s="6">
        <f t="shared" si="8"/>
        <v>0.85728808968888992</v>
      </c>
      <c r="O50" s="6">
        <f>EXP(-SUM(N$47:N50))</f>
        <v>6.9686753642998525E-27</v>
      </c>
      <c r="P50" s="6">
        <f t="shared" si="9"/>
        <v>2.0480964476944469E-25</v>
      </c>
      <c r="Q50" s="6">
        <f t="shared" si="10"/>
        <v>7.3170838518550036E-36</v>
      </c>
      <c r="R50" s="6">
        <f t="shared" si="11"/>
        <v>1.7549291958361334E-16</v>
      </c>
      <c r="S50" s="6">
        <f t="shared" si="12"/>
        <v>6.2697067291223521E-27</v>
      </c>
      <c r="T50" s="14">
        <f t="shared" si="13"/>
        <v>0</v>
      </c>
      <c r="U50" s="4"/>
      <c r="V50" s="4"/>
    </row>
    <row r="51" spans="2:22" x14ac:dyDescent="0.3">
      <c r="B51" s="21">
        <v>4</v>
      </c>
      <c r="C51" s="11">
        <f t="shared" si="0"/>
        <v>18.333249237002676</v>
      </c>
      <c r="D51" s="10">
        <f t="shared" si="14"/>
        <v>61.619522402925931</v>
      </c>
      <c r="E51" s="10">
        <f t="shared" si="15"/>
        <v>0.5920627140090815</v>
      </c>
      <c r="F51" s="5">
        <f t="shared" si="1"/>
        <v>0</v>
      </c>
      <c r="G51" s="19">
        <f t="shared" si="2"/>
        <v>6.1314393837459494E-10</v>
      </c>
      <c r="H51" s="11">
        <f>EXP(-SUM(E$47:E51))</f>
        <v>3.8549669917926287E-27</v>
      </c>
      <c r="I51" s="10">
        <f t="shared" si="3"/>
        <v>2.3754122491330588E-25</v>
      </c>
      <c r="J51" s="6">
        <f t="shared" si="4"/>
        <v>1.4564696216966981E-34</v>
      </c>
      <c r="K51" s="6">
        <f t="shared" si="5"/>
        <v>2.375412249133059E-16</v>
      </c>
      <c r="L51" s="14">
        <f t="shared" si="6"/>
        <v>1.4564696216966981E-25</v>
      </c>
      <c r="M51" s="27">
        <f t="shared" si="7"/>
        <v>0</v>
      </c>
      <c r="N51" s="6">
        <f t="shared" si="8"/>
        <v>0.5920627140090815</v>
      </c>
      <c r="O51" s="6">
        <f>EXP(-SUM(N$47:N51))</f>
        <v>3.8549669917926287E-27</v>
      </c>
      <c r="P51" s="6">
        <f t="shared" si="9"/>
        <v>2.3754122491330588E-25</v>
      </c>
      <c r="Q51" s="6">
        <f t="shared" si="10"/>
        <v>1.4564696216966981E-34</v>
      </c>
      <c r="R51" s="6">
        <f t="shared" si="11"/>
        <v>2.0353925777485165E-16</v>
      </c>
      <c r="S51" s="6">
        <f t="shared" si="12"/>
        <v>1.2479886212591443E-25</v>
      </c>
      <c r="T51" s="14">
        <f t="shared" si="13"/>
        <v>0</v>
      </c>
      <c r="U51" s="4"/>
      <c r="V51" s="4"/>
    </row>
    <row r="52" spans="2:22" x14ac:dyDescent="0.3">
      <c r="B52" s="21">
        <v>5</v>
      </c>
      <c r="C52" s="11">
        <f t="shared" si="0"/>
        <v>22.13002057918618</v>
      </c>
      <c r="D52" s="10">
        <f t="shared" si="14"/>
        <v>108.3790783218865</v>
      </c>
      <c r="E52" s="10">
        <f t="shared" si="15"/>
        <v>0.44643079921467899</v>
      </c>
      <c r="F52" s="5">
        <f t="shared" si="1"/>
        <v>0</v>
      </c>
      <c r="G52" s="19">
        <f t="shared" si="2"/>
        <v>8.7042736059860489E-9</v>
      </c>
      <c r="H52" s="11">
        <f>EXP(-SUM(E$47:E52))</f>
        <v>2.466824375036093E-27</v>
      </c>
      <c r="I52" s="10">
        <f t="shared" si="3"/>
        <v>2.6735215214837541E-25</v>
      </c>
      <c r="J52" s="6">
        <f t="shared" si="4"/>
        <v>2.3271062814486706E-33</v>
      </c>
      <c r="K52" s="6">
        <f t="shared" si="5"/>
        <v>2.6735215214837541E-16</v>
      </c>
      <c r="L52" s="14">
        <f t="shared" si="6"/>
        <v>2.3271062814486707E-24</v>
      </c>
      <c r="M52" s="27">
        <f t="shared" si="7"/>
        <v>0</v>
      </c>
      <c r="N52" s="6">
        <f t="shared" si="8"/>
        <v>0.44643079921467899</v>
      </c>
      <c r="O52" s="6">
        <f>EXP(-SUM(N$47:N52))</f>
        <v>2.466824375036093E-27</v>
      </c>
      <c r="P52" s="6">
        <f t="shared" si="9"/>
        <v>2.6735215214837541E-25</v>
      </c>
      <c r="Q52" s="6">
        <f t="shared" si="10"/>
        <v>2.3271062814486706E-33</v>
      </c>
      <c r="R52" s="6">
        <f t="shared" si="11"/>
        <v>2.2908300920250661E-16</v>
      </c>
      <c r="S52" s="6">
        <f t="shared" si="12"/>
        <v>1.9940011905812377E-24</v>
      </c>
      <c r="T52" s="14">
        <f t="shared" si="13"/>
        <v>0</v>
      </c>
      <c r="U52" s="4"/>
      <c r="V52" s="4"/>
    </row>
    <row r="53" spans="2:22" x14ac:dyDescent="0.3">
      <c r="B53" s="21">
        <v>6</v>
      </c>
      <c r="C53" s="11">
        <f t="shared" si="0"/>
        <v>25.725646027753015</v>
      </c>
      <c r="D53" s="10">
        <f t="shared" si="14"/>
        <v>170.25460561594457</v>
      </c>
      <c r="E53" s="10">
        <f t="shared" si="15"/>
        <v>0.35618648855791207</v>
      </c>
      <c r="F53" s="5">
        <f t="shared" si="1"/>
        <v>0</v>
      </c>
      <c r="G53" s="19">
        <f t="shared" si="2"/>
        <v>1.0227611420459887E-7</v>
      </c>
      <c r="H53" s="11">
        <f>EXP(-SUM(E$47:E53))</f>
        <v>1.7276207221011921E-27</v>
      </c>
      <c r="I53" s="10">
        <f t="shared" si="3"/>
        <v>2.9413538469527183E-25</v>
      </c>
      <c r="J53" s="6">
        <f t="shared" si="4"/>
        <v>3.0083024196707244E-32</v>
      </c>
      <c r="K53" s="6">
        <f t="shared" si="5"/>
        <v>2.9413538469527183E-16</v>
      </c>
      <c r="L53" s="14">
        <f t="shared" si="6"/>
        <v>3.0083024196707243E-23</v>
      </c>
      <c r="M53" s="27">
        <f t="shared" si="7"/>
        <v>0</v>
      </c>
      <c r="N53" s="6">
        <f t="shared" si="8"/>
        <v>0.35618648855791207</v>
      </c>
      <c r="O53" s="6">
        <f>EXP(-SUM(N$47:N53))</f>
        <v>1.7276207221011921E-27</v>
      </c>
      <c r="P53" s="6">
        <f t="shared" si="9"/>
        <v>2.9413538469527183E-25</v>
      </c>
      <c r="Q53" s="6">
        <f t="shared" si="10"/>
        <v>3.0083024196707244E-32</v>
      </c>
      <c r="R53" s="6">
        <f t="shared" si="11"/>
        <v>2.520324541899867E-16</v>
      </c>
      <c r="S53" s="6">
        <f t="shared" si="12"/>
        <v>2.5776900068000413E-23</v>
      </c>
      <c r="T53" s="14">
        <f t="shared" si="13"/>
        <v>0</v>
      </c>
      <c r="U53" s="4"/>
      <c r="V53" s="4"/>
    </row>
    <row r="54" spans="2:22" x14ac:dyDescent="0.3">
      <c r="B54" s="21">
        <v>7</v>
      </c>
      <c r="C54" s="11">
        <f t="shared" si="0"/>
        <v>29.130781918540244</v>
      </c>
      <c r="D54" s="10">
        <f t="shared" si="14"/>
        <v>247.20453057548113</v>
      </c>
      <c r="E54" s="10">
        <f t="shared" si="15"/>
        <v>0.29559607468271798</v>
      </c>
      <c r="F54" s="5">
        <f t="shared" si="1"/>
        <v>0</v>
      </c>
      <c r="G54" s="19">
        <f t="shared" si="2"/>
        <v>9.9545684412884767E-7</v>
      </c>
      <c r="H54" s="11">
        <f>EXP(-SUM(E$47:E54))</f>
        <v>1.2855017153199122E-27</v>
      </c>
      <c r="I54" s="10">
        <f t="shared" si="3"/>
        <v>3.1778184808963469E-25</v>
      </c>
      <c r="J54" s="6">
        <f t="shared" si="4"/>
        <v>3.1633811562074064E-31</v>
      </c>
      <c r="K54" s="6">
        <f t="shared" si="5"/>
        <v>3.177818480896347E-16</v>
      </c>
      <c r="L54" s="14">
        <f t="shared" si="6"/>
        <v>3.1633811562074063E-22</v>
      </c>
      <c r="M54" s="27">
        <f t="shared" si="7"/>
        <v>0</v>
      </c>
      <c r="N54" s="6">
        <f t="shared" si="8"/>
        <v>0.29559607468271798</v>
      </c>
      <c r="O54" s="6">
        <f>EXP(-SUM(N$47:N54))</f>
        <v>1.2855017153199122E-27</v>
      </c>
      <c r="P54" s="6">
        <f t="shared" si="9"/>
        <v>3.1778184808963469E-25</v>
      </c>
      <c r="Q54" s="6">
        <f t="shared" si="10"/>
        <v>3.1633811562074064E-31</v>
      </c>
      <c r="R54" s="6">
        <f t="shared" si="11"/>
        <v>2.7229413133695513E-16</v>
      </c>
      <c r="S54" s="6">
        <f t="shared" si="12"/>
        <v>2.7105705665549132E-22</v>
      </c>
      <c r="T54" s="14">
        <f t="shared" si="13"/>
        <v>0</v>
      </c>
      <c r="U54" s="4"/>
      <c r="V54" s="4"/>
    </row>
    <row r="55" spans="2:22" x14ac:dyDescent="0.3">
      <c r="B55" s="21">
        <v>8</v>
      </c>
      <c r="C55" s="11">
        <f t="shared" si="0"/>
        <v>32.355520034505297</v>
      </c>
      <c r="D55" s="10">
        <f t="shared" si="14"/>
        <v>338.72336353289199</v>
      </c>
      <c r="E55" s="10">
        <f t="shared" si="15"/>
        <v>0.2525249529999043</v>
      </c>
      <c r="F55" s="5">
        <f t="shared" si="1"/>
        <v>0</v>
      </c>
      <c r="G55" s="19">
        <f t="shared" si="2"/>
        <v>8.0331800415977693E-6</v>
      </c>
      <c r="H55" s="11">
        <f>EXP(-SUM(E$47:E55))</f>
        <v>9.9862507515956106E-28</v>
      </c>
      <c r="I55" s="10">
        <f t="shared" si="3"/>
        <v>3.3825764436633361E-25</v>
      </c>
      <c r="J55" s="6">
        <f t="shared" si="4"/>
        <v>2.7172845576415072E-30</v>
      </c>
      <c r="K55" s="6">
        <f t="shared" si="5"/>
        <v>3.382576443663336E-16</v>
      </c>
      <c r="L55" s="14">
        <f t="shared" si="6"/>
        <v>2.7172845576415073E-21</v>
      </c>
      <c r="M55" s="27">
        <f t="shared" si="7"/>
        <v>0</v>
      </c>
      <c r="N55" s="6">
        <f t="shared" si="8"/>
        <v>0.2525249529999043</v>
      </c>
      <c r="O55" s="6">
        <f>EXP(-SUM(N$47:N55))</f>
        <v>9.9862507515956106E-28</v>
      </c>
      <c r="P55" s="6">
        <f t="shared" si="9"/>
        <v>3.3825764436633361E-25</v>
      </c>
      <c r="Q55" s="6">
        <f t="shared" si="10"/>
        <v>2.7172845576415072E-30</v>
      </c>
      <c r="R55" s="6">
        <f t="shared" si="11"/>
        <v>2.8983899487813374E-16</v>
      </c>
      <c r="S55" s="6">
        <f t="shared" si="12"/>
        <v>2.3283288289317817E-21</v>
      </c>
      <c r="T55" s="14">
        <f t="shared" si="13"/>
        <v>0</v>
      </c>
      <c r="U55" s="4"/>
      <c r="V55" s="4"/>
    </row>
    <row r="56" spans="2:22" x14ac:dyDescent="0.3">
      <c r="B56" s="21">
        <v>9</v>
      </c>
      <c r="C56" s="11">
        <f t="shared" si="0"/>
        <v>35.409417514688869</v>
      </c>
      <c r="D56" s="10">
        <f t="shared" si="14"/>
        <v>443.97278377791446</v>
      </c>
      <c r="E56" s="10">
        <f t="shared" si="15"/>
        <v>0.22057114699449307</v>
      </c>
      <c r="F56" s="5">
        <f t="shared" si="1"/>
        <v>0</v>
      </c>
      <c r="G56" s="19">
        <f t="shared" si="2"/>
        <v>5.3811834029387895E-5</v>
      </c>
      <c r="H56" s="11">
        <f>EXP(-SUM(E$47:E56))</f>
        <v>8.0095779962761428E-28</v>
      </c>
      <c r="I56" s="10">
        <f t="shared" si="3"/>
        <v>3.5560346398930494E-25</v>
      </c>
      <c r="J56" s="6">
        <f t="shared" si="4"/>
        <v>1.9135674584467892E-29</v>
      </c>
      <c r="K56" s="6">
        <f t="shared" si="5"/>
        <v>3.5560346398930492E-16</v>
      </c>
      <c r="L56" s="14">
        <f t="shared" si="6"/>
        <v>1.9135674584467891E-20</v>
      </c>
      <c r="M56" s="27">
        <f t="shared" si="7"/>
        <v>0</v>
      </c>
      <c r="N56" s="6">
        <f t="shared" si="8"/>
        <v>0.22057114699449307</v>
      </c>
      <c r="O56" s="6">
        <f>EXP(-SUM(N$47:N56))</f>
        <v>8.0095779962761428E-28</v>
      </c>
      <c r="P56" s="6">
        <f t="shared" si="9"/>
        <v>3.5560346398930494E-25</v>
      </c>
      <c r="Q56" s="6">
        <f t="shared" si="10"/>
        <v>1.9135674584467892E-29</v>
      </c>
      <c r="R56" s="6">
        <f t="shared" si="11"/>
        <v>3.0470191079028569E-16</v>
      </c>
      <c r="S56" s="6">
        <f t="shared" si="12"/>
        <v>1.639656865188421E-20</v>
      </c>
      <c r="T56" s="14">
        <f t="shared" si="13"/>
        <v>0</v>
      </c>
      <c r="U56" s="4"/>
      <c r="V56" s="4"/>
    </row>
    <row r="57" spans="2:22" x14ac:dyDescent="0.3">
      <c r="B57" s="21">
        <v>10</v>
      </c>
      <c r="C57" s="11">
        <f t="shared" si="0"/>
        <v>38.301525178656654</v>
      </c>
      <c r="D57" s="10">
        <f t="shared" si="14"/>
        <v>561.88599075239449</v>
      </c>
      <c r="E57" s="10">
        <f t="shared" si="15"/>
        <v>0.19606621883783418</v>
      </c>
      <c r="F57" s="5">
        <f t="shared" si="1"/>
        <v>0</v>
      </c>
      <c r="G57" s="19">
        <f t="shared" si="2"/>
        <v>2.9966147179445789E-4</v>
      </c>
      <c r="H57" s="11">
        <f>EXP(-SUM(E$47:E57))</f>
        <v>6.5835351390679256E-28</v>
      </c>
      <c r="I57" s="10">
        <f t="shared" si="3"/>
        <v>3.6991961642683848E-25</v>
      </c>
      <c r="J57" s="6">
        <f t="shared" si="4"/>
        <v>1.1085065670410773E-28</v>
      </c>
      <c r="K57" s="6">
        <f t="shared" si="5"/>
        <v>3.6991961642683848E-16</v>
      </c>
      <c r="L57" s="14">
        <f t="shared" si="6"/>
        <v>1.1085065670410774E-19</v>
      </c>
      <c r="M57" s="27">
        <f t="shared" si="7"/>
        <v>0</v>
      </c>
      <c r="N57" s="6">
        <f t="shared" si="8"/>
        <v>0.19606621883783418</v>
      </c>
      <c r="O57" s="6">
        <f>EXP(-SUM(N$47:N57))</f>
        <v>6.5835351390679256E-28</v>
      </c>
      <c r="P57" s="6">
        <f t="shared" si="9"/>
        <v>3.6991961642683848E-25</v>
      </c>
      <c r="Q57" s="6">
        <f t="shared" si="10"/>
        <v>1.1085065670410773E-28</v>
      </c>
      <c r="R57" s="6">
        <f t="shared" si="11"/>
        <v>3.1696883011088225E-16</v>
      </c>
      <c r="S57" s="6">
        <f t="shared" si="12"/>
        <v>9.4983346143994459E-20</v>
      </c>
      <c r="T57" s="14">
        <f t="shared" si="13"/>
        <v>0</v>
      </c>
      <c r="U57" s="4"/>
      <c r="V57" s="4"/>
    </row>
    <row r="58" spans="2:22" x14ac:dyDescent="0.3">
      <c r="B58" s="21">
        <v>11</v>
      </c>
      <c r="C58" s="11">
        <f t="shared" si="0"/>
        <v>41.040414350364685</v>
      </c>
      <c r="D58" s="10">
        <f t="shared" si="14"/>
        <v>691.25010533223656</v>
      </c>
      <c r="E58" s="10">
        <f t="shared" si="15"/>
        <v>0.17677028834241332</v>
      </c>
      <c r="F58" s="5">
        <f t="shared" si="1"/>
        <v>0</v>
      </c>
      <c r="G58" s="19">
        <f t="shared" si="2"/>
        <v>1.3898144974212358E-3</v>
      </c>
      <c r="H58" s="11">
        <f>EXP(-SUM(E$47:E58))</f>
        <v>5.5168197824816404E-28</v>
      </c>
      <c r="I58" s="10">
        <f t="shared" si="3"/>
        <v>3.8135022557394002E-25</v>
      </c>
      <c r="J58" s="6">
        <f t="shared" si="4"/>
        <v>5.3000607209752034E-28</v>
      </c>
      <c r="K58" s="6">
        <f t="shared" si="5"/>
        <v>3.8135022557394002E-16</v>
      </c>
      <c r="L58" s="14">
        <f t="shared" si="6"/>
        <v>5.300060720975203E-19</v>
      </c>
      <c r="M58" s="27">
        <f t="shared" si="7"/>
        <v>0</v>
      </c>
      <c r="N58" s="6">
        <f t="shared" si="8"/>
        <v>0.17677028834241332</v>
      </c>
      <c r="O58" s="6">
        <f>EXP(-SUM(N$47:N58))</f>
        <v>5.5168197824816404E-28</v>
      </c>
      <c r="P58" s="6">
        <f t="shared" si="9"/>
        <v>3.8135022557394002E-25</v>
      </c>
      <c r="Q58" s="6">
        <f t="shared" si="10"/>
        <v>5.3000607209752034E-28</v>
      </c>
      <c r="R58" s="6">
        <f t="shared" si="11"/>
        <v>3.2676324664874677E-16</v>
      </c>
      <c r="S58" s="6">
        <f t="shared" si="12"/>
        <v>4.5414029741685933E-19</v>
      </c>
      <c r="T58" s="14">
        <f t="shared" si="13"/>
        <v>0</v>
      </c>
      <c r="U58" s="4"/>
      <c r="V58" s="4"/>
    </row>
    <row r="59" spans="2:22" x14ac:dyDescent="0.3">
      <c r="B59" s="21">
        <v>12</v>
      </c>
      <c r="C59" s="11">
        <f t="shared" si="0"/>
        <v>43.634202260946111</v>
      </c>
      <c r="D59" s="10">
        <f t="shared" si="14"/>
        <v>830.77060439054696</v>
      </c>
      <c r="E59" s="10">
        <f t="shared" si="15"/>
        <v>0.16124502166210081</v>
      </c>
      <c r="F59" s="5">
        <f t="shared" si="1"/>
        <v>0</v>
      </c>
      <c r="G59" s="19">
        <f t="shared" si="2"/>
        <v>5.3814396145663796E-3</v>
      </c>
      <c r="H59" s="11">
        <f>EXP(-SUM(E$47:E59))</f>
        <v>4.6952743536741735E-28</v>
      </c>
      <c r="I59" s="10">
        <f t="shared" si="3"/>
        <v>3.900695912581328E-25</v>
      </c>
      <c r="J59" s="6">
        <f t="shared" si="4"/>
        <v>2.0991359508342316E-27</v>
      </c>
      <c r="K59" s="6">
        <f t="shared" si="5"/>
        <v>3.9006959125813278E-16</v>
      </c>
      <c r="L59" s="14">
        <f t="shared" si="6"/>
        <v>2.0991359508342314E-18</v>
      </c>
      <c r="M59" s="27">
        <f t="shared" si="7"/>
        <v>0</v>
      </c>
      <c r="N59" s="6">
        <f t="shared" si="8"/>
        <v>0.16124502166210081</v>
      </c>
      <c r="O59" s="6">
        <f>EXP(-SUM(N$47:N59))</f>
        <v>4.6952743536741735E-28</v>
      </c>
      <c r="P59" s="6">
        <f t="shared" si="9"/>
        <v>3.900695912581328E-25</v>
      </c>
      <c r="Q59" s="6">
        <f t="shared" si="10"/>
        <v>2.0991359508342316E-27</v>
      </c>
      <c r="R59" s="6">
        <f t="shared" si="11"/>
        <v>3.342345107220706E-16</v>
      </c>
      <c r="S59" s="6">
        <f t="shared" si="12"/>
        <v>1.7986628365549621E-18</v>
      </c>
      <c r="T59" s="14">
        <f t="shared" si="13"/>
        <v>0</v>
      </c>
      <c r="U59" s="4"/>
      <c r="V59" s="4"/>
    </row>
    <row r="60" spans="2:22" x14ac:dyDescent="0.3">
      <c r="B60" s="21">
        <v>13</v>
      </c>
      <c r="C60" s="11">
        <f t="shared" si="0"/>
        <v>46.090576105705495</v>
      </c>
      <c r="D60" s="10">
        <f t="shared" si="14"/>
        <v>979.12110018375279</v>
      </c>
      <c r="E60" s="10">
        <f t="shared" si="15"/>
        <v>0.14852811545236813</v>
      </c>
      <c r="F60" s="5">
        <f t="shared" si="1"/>
        <v>0</v>
      </c>
      <c r="G60" s="19">
        <f t="shared" si="2"/>
        <v>1.7450860492117061E-2</v>
      </c>
      <c r="H60" s="11">
        <f>EXP(-SUM(E$47:E60))</f>
        <v>4.0472127357180818E-28</v>
      </c>
      <c r="I60" s="10">
        <f t="shared" si="3"/>
        <v>3.9627113864739843E-25</v>
      </c>
      <c r="J60" s="6">
        <f t="shared" si="4"/>
        <v>6.9152723575881275E-27</v>
      </c>
      <c r="K60" s="6">
        <f t="shared" si="5"/>
        <v>3.962711386473984E-16</v>
      </c>
      <c r="L60" s="14">
        <f t="shared" si="6"/>
        <v>6.9152723575881272E-18</v>
      </c>
      <c r="M60" s="27">
        <f t="shared" si="7"/>
        <v>0</v>
      </c>
      <c r="N60" s="6">
        <f t="shared" si="8"/>
        <v>0.14852811545236813</v>
      </c>
      <c r="O60" s="6">
        <f>EXP(-SUM(N$47:N60))</f>
        <v>4.0472127357180818E-28</v>
      </c>
      <c r="P60" s="6">
        <f t="shared" si="9"/>
        <v>3.9627113864739843E-25</v>
      </c>
      <c r="Q60" s="6">
        <f t="shared" si="10"/>
        <v>6.9152723575881275E-27</v>
      </c>
      <c r="R60" s="6">
        <f t="shared" si="11"/>
        <v>3.3954836036281134E-16</v>
      </c>
      <c r="S60" s="6">
        <f t="shared" si="12"/>
        <v>5.9254110670185118E-18</v>
      </c>
      <c r="T60" s="14">
        <f t="shared" si="13"/>
        <v>0</v>
      </c>
      <c r="U60" s="4"/>
      <c r="V60" s="4"/>
    </row>
    <row r="61" spans="2:22" x14ac:dyDescent="0.3">
      <c r="B61" s="21">
        <v>14</v>
      </c>
      <c r="C61" s="11">
        <f t="shared" si="0"/>
        <v>48.416815826618333</v>
      </c>
      <c r="D61" s="10">
        <f t="shared" si="14"/>
        <v>1134.9812131166218</v>
      </c>
      <c r="E61" s="10">
        <f t="shared" si="15"/>
        <v>0.1379534414725721</v>
      </c>
      <c r="F61" s="5">
        <f t="shared" si="1"/>
        <v>0</v>
      </c>
      <c r="G61" s="19">
        <f t="shared" si="2"/>
        <v>4.7589527675606307E-2</v>
      </c>
      <c r="H61" s="11">
        <f>EXP(-SUM(E$47:E61))</f>
        <v>3.5256858662217988E-28</v>
      </c>
      <c r="I61" s="10">
        <f t="shared" si="3"/>
        <v>4.0015872215125449E-25</v>
      </c>
      <c r="J61" s="6">
        <f t="shared" si="4"/>
        <v>1.9043364582452379E-26</v>
      </c>
      <c r="K61" s="6">
        <f t="shared" si="5"/>
        <v>4.0015872215125452E-16</v>
      </c>
      <c r="L61" s="14">
        <f t="shared" si="6"/>
        <v>1.9043364582452381E-17</v>
      </c>
      <c r="M61" s="27">
        <f t="shared" si="7"/>
        <v>0</v>
      </c>
      <c r="N61" s="6">
        <f t="shared" si="8"/>
        <v>0.1379534414725721</v>
      </c>
      <c r="O61" s="6">
        <f>EXP(-SUM(N$47:N61))</f>
        <v>3.5256858662217988E-28</v>
      </c>
      <c r="P61" s="6">
        <f t="shared" si="9"/>
        <v>4.0015872215125449E-25</v>
      </c>
      <c r="Q61" s="6">
        <f t="shared" si="10"/>
        <v>1.9043364582452379E-26</v>
      </c>
      <c r="R61" s="6">
        <f t="shared" si="11"/>
        <v>3.4287946998894639E-16</v>
      </c>
      <c r="S61" s="6">
        <f t="shared" si="12"/>
        <v>1.6317472026436187E-17</v>
      </c>
      <c r="T61" s="14">
        <f t="shared" si="13"/>
        <v>0</v>
      </c>
      <c r="U61" s="4"/>
      <c r="V61" s="4"/>
    </row>
    <row r="62" spans="2:22" x14ac:dyDescent="0.3">
      <c r="B62" s="21">
        <v>15</v>
      </c>
      <c r="C62" s="11">
        <f t="shared" si="0"/>
        <v>50.619815687855947</v>
      </c>
      <c r="D62" s="10">
        <f t="shared" si="14"/>
        <v>1297.0648149747087</v>
      </c>
      <c r="E62" s="10">
        <f t="shared" si="15"/>
        <v>0.12904644241555377</v>
      </c>
      <c r="F62" s="5">
        <f t="shared" si="1"/>
        <v>0</v>
      </c>
      <c r="G62" s="19">
        <f t="shared" si="2"/>
        <v>0.10974583350725783</v>
      </c>
      <c r="H62" s="11">
        <f>EXP(-SUM(E$47:E62))</f>
        <v>3.0988421660433723E-28</v>
      </c>
      <c r="I62" s="10">
        <f t="shared" si="3"/>
        <v>4.0193991407348723E-25</v>
      </c>
      <c r="J62" s="6">
        <f t="shared" si="4"/>
        <v>4.4111230889830448E-26</v>
      </c>
      <c r="K62" s="6">
        <f t="shared" si="5"/>
        <v>4.0193991407348725E-16</v>
      </c>
      <c r="L62" s="14">
        <f t="shared" si="6"/>
        <v>4.4111230889830446E-17</v>
      </c>
      <c r="M62" s="27">
        <f t="shared" si="7"/>
        <v>0</v>
      </c>
      <c r="N62" s="6">
        <f t="shared" si="8"/>
        <v>0.12904644241555377</v>
      </c>
      <c r="O62" s="6">
        <f>EXP(-SUM(N$47:N62))</f>
        <v>3.0988421660433723E-28</v>
      </c>
      <c r="P62" s="6">
        <f t="shared" si="9"/>
        <v>4.0193991407348723E-25</v>
      </c>
      <c r="Q62" s="6">
        <f t="shared" si="10"/>
        <v>4.4111230889830448E-26</v>
      </c>
      <c r="R62" s="6">
        <f t="shared" si="11"/>
        <v>3.444056997283869E-16</v>
      </c>
      <c r="S62" s="6">
        <f t="shared" si="12"/>
        <v>3.7797090581342181E-17</v>
      </c>
      <c r="T62" s="14">
        <f t="shared" si="13"/>
        <v>0</v>
      </c>
      <c r="U62" s="4"/>
      <c r="V62" s="4"/>
    </row>
    <row r="63" spans="2:22" x14ac:dyDescent="0.3">
      <c r="B63" s="21">
        <v>16</v>
      </c>
      <c r="C63" s="11">
        <f t="shared" si="0"/>
        <v>52.706104708279227</v>
      </c>
      <c r="D63" s="10">
        <f t="shared" si="14"/>
        <v>1464.1405252798388</v>
      </c>
      <c r="E63" s="10">
        <f t="shared" si="15"/>
        <v>0.12146062033349822</v>
      </c>
      <c r="F63" s="5">
        <f t="shared" si="1"/>
        <v>0</v>
      </c>
      <c r="G63" s="19">
        <f t="shared" si="2"/>
        <v>0.21561956744109112</v>
      </c>
      <c r="H63" s="11">
        <f>EXP(-SUM(E$47:E63))</f>
        <v>2.7444149700065556E-28</v>
      </c>
      <c r="I63" s="10">
        <f t="shared" si="3"/>
        <v>4.0182091757712514E-25</v>
      </c>
      <c r="J63" s="6">
        <f t="shared" si="4"/>
        <v>8.6640452436762056E-26</v>
      </c>
      <c r="K63" s="6">
        <f t="shared" si="5"/>
        <v>4.0182091757712513E-16</v>
      </c>
      <c r="L63" s="14">
        <f t="shared" si="6"/>
        <v>8.6640452436762056E-17</v>
      </c>
      <c r="M63" s="27">
        <f t="shared" si="7"/>
        <v>0</v>
      </c>
      <c r="N63" s="6">
        <f t="shared" si="8"/>
        <v>0.12146062033349822</v>
      </c>
      <c r="O63" s="6">
        <f>EXP(-SUM(N$47:N63))</f>
        <v>2.7444149700065556E-28</v>
      </c>
      <c r="P63" s="6">
        <f t="shared" si="9"/>
        <v>4.0182091757712514E-25</v>
      </c>
      <c r="Q63" s="6">
        <f t="shared" si="10"/>
        <v>8.6640452436762056E-26</v>
      </c>
      <c r="R63" s="6">
        <f t="shared" si="11"/>
        <v>3.4430373654891696E-16</v>
      </c>
      <c r="S63" s="6">
        <f t="shared" si="12"/>
        <v>7.4238622743028867E-17</v>
      </c>
      <c r="T63" s="14">
        <f t="shared" si="13"/>
        <v>0</v>
      </c>
      <c r="U63" s="4"/>
      <c r="V63" s="4"/>
    </row>
    <row r="64" spans="2:22" x14ac:dyDescent="0.3">
      <c r="B64" s="21">
        <v>17</v>
      </c>
      <c r="C64" s="11">
        <f t="shared" si="0"/>
        <v>54.681866011456741</v>
      </c>
      <c r="D64" s="10">
        <f t="shared" si="14"/>
        <v>1635.0460137959237</v>
      </c>
      <c r="E64" s="10">
        <f t="shared" si="15"/>
        <v>0.11493753689468582</v>
      </c>
      <c r="F64" s="5">
        <f t="shared" si="1"/>
        <v>0</v>
      </c>
      <c r="G64" s="19">
        <f t="shared" si="2"/>
        <v>0.36457176193598984</v>
      </c>
      <c r="H64" s="11">
        <f>EXP(-SUM(E$47:E64))</f>
        <v>2.4464313960244109E-28</v>
      </c>
      <c r="I64" s="10">
        <f t="shared" si="3"/>
        <v>4.00002790209491E-25</v>
      </c>
      <c r="J64" s="6">
        <f t="shared" si="4"/>
        <v>1.4582972200598623E-25</v>
      </c>
      <c r="K64" s="6">
        <f t="shared" si="5"/>
        <v>4.0000279020949102E-16</v>
      </c>
      <c r="L64" s="14">
        <f t="shared" si="6"/>
        <v>1.4582972200598623E-16</v>
      </c>
      <c r="M64" s="27">
        <f t="shared" si="7"/>
        <v>0</v>
      </c>
      <c r="N64" s="6">
        <f t="shared" si="8"/>
        <v>0.11493753689468582</v>
      </c>
      <c r="O64" s="6">
        <f>EXP(-SUM(N$47:N64))</f>
        <v>2.4464313960244109E-28</v>
      </c>
      <c r="P64" s="6">
        <f t="shared" si="9"/>
        <v>4.00002790209491E-25</v>
      </c>
      <c r="Q64" s="6">
        <f t="shared" si="10"/>
        <v>1.4582972200598623E-25</v>
      </c>
      <c r="R64" s="6">
        <f t="shared" si="11"/>
        <v>3.4274585835289664E-16</v>
      </c>
      <c r="S64" s="6">
        <f t="shared" si="12"/>
        <v>1.2495546147597871E-16</v>
      </c>
      <c r="T64" s="14">
        <f t="shared" si="13"/>
        <v>0</v>
      </c>
      <c r="U64" s="4"/>
      <c r="V64" s="4"/>
    </row>
    <row r="65" spans="2:22" x14ac:dyDescent="0.3">
      <c r="B65" s="21">
        <v>18</v>
      </c>
      <c r="C65" s="11">
        <f t="shared" si="0"/>
        <v>56.552955150554894</v>
      </c>
      <c r="D65" s="10">
        <f t="shared" si="14"/>
        <v>1808.697387066069</v>
      </c>
      <c r="E65" s="10">
        <f t="shared" si="15"/>
        <v>0.10928081367428899</v>
      </c>
      <c r="F65" s="5">
        <f t="shared" si="1"/>
        <v>1</v>
      </c>
      <c r="G65" s="19">
        <f t="shared" si="2"/>
        <v>0.53766103796188347</v>
      </c>
      <c r="H65" s="11">
        <f>EXP(-SUM(E$47:E65))</f>
        <v>2.1931734875514791E-28</v>
      </c>
      <c r="I65" s="10">
        <f t="shared" si="3"/>
        <v>3.9667871563169381E-25</v>
      </c>
      <c r="J65" s="6">
        <f t="shared" si="4"/>
        <v>2.1327868998392329E-25</v>
      </c>
      <c r="K65" s="6">
        <f t="shared" si="5"/>
        <v>3.9667871563169383E-16</v>
      </c>
      <c r="L65" s="14">
        <f t="shared" si="6"/>
        <v>2.1327868998392329E-16</v>
      </c>
      <c r="M65" s="27">
        <f t="shared" si="7"/>
        <v>0.4</v>
      </c>
      <c r="N65" s="6">
        <f t="shared" si="8"/>
        <v>0.50928081367428901</v>
      </c>
      <c r="O65" s="6">
        <f>EXP(-SUM(N$47:N65))</f>
        <v>1.4701281531396427E-28</v>
      </c>
      <c r="P65" s="6">
        <f t="shared" si="9"/>
        <v>2.6590169492359374E-25</v>
      </c>
      <c r="Q65" s="6">
        <f t="shared" si="10"/>
        <v>1.4296498128844348E-25</v>
      </c>
      <c r="R65" s="6">
        <f t="shared" si="11"/>
        <v>2.2784017235566462E-16</v>
      </c>
      <c r="S65" s="6">
        <f t="shared" si="12"/>
        <v>1.2250078355816106E-16</v>
      </c>
      <c r="T65" s="14">
        <f t="shared" si="13"/>
        <v>7.1414215042399268E-17</v>
      </c>
      <c r="U65" s="4"/>
      <c r="V65" s="4"/>
    </row>
    <row r="66" spans="2:22" x14ac:dyDescent="0.3">
      <c r="B66" s="21">
        <v>19</v>
      </c>
      <c r="C66" s="11">
        <f t="shared" si="0"/>
        <v>58.324917462409367</v>
      </c>
      <c r="D66" s="10">
        <f t="shared" si="14"/>
        <v>1984.0947074879675</v>
      </c>
      <c r="E66" s="10">
        <f t="shared" si="15"/>
        <v>0.10433876123755741</v>
      </c>
      <c r="F66" s="5">
        <f t="shared" si="1"/>
        <v>1</v>
      </c>
      <c r="G66" s="19">
        <f t="shared" si="2"/>
        <v>0.70379635268394924</v>
      </c>
      <c r="H66" s="11">
        <f>EXP(-SUM(E$47:E66))</f>
        <v>1.9758739657173626E-28</v>
      </c>
      <c r="I66" s="10">
        <f t="shared" si="3"/>
        <v>3.9203210780430809E-25</v>
      </c>
      <c r="J66" s="6">
        <f t="shared" si="4"/>
        <v>2.7591076760767282E-25</v>
      </c>
      <c r="K66" s="6">
        <f t="shared" si="5"/>
        <v>3.9203210780430807E-16</v>
      </c>
      <c r="L66" s="14">
        <f t="shared" si="6"/>
        <v>2.759107676076728E-16</v>
      </c>
      <c r="M66" s="27">
        <f t="shared" si="7"/>
        <v>0.4</v>
      </c>
      <c r="N66" s="6">
        <f t="shared" si="8"/>
        <v>0.50433876123755739</v>
      </c>
      <c r="O66" s="6">
        <f>EXP(-SUM(N$47:N66))</f>
        <v>8.8781740224195897E-29</v>
      </c>
      <c r="P66" s="6">
        <f t="shared" si="9"/>
        <v>1.7615138090039867E-25</v>
      </c>
      <c r="Q66" s="6">
        <f t="shared" si="10"/>
        <v>1.2397469939794167E-25</v>
      </c>
      <c r="R66" s="6">
        <f t="shared" si="11"/>
        <v>1.5093683775339486E-16</v>
      </c>
      <c r="S66" s="6">
        <f t="shared" si="12"/>
        <v>1.0622879589648831E-16</v>
      </c>
      <c r="T66" s="14">
        <f t="shared" si="13"/>
        <v>4.7416828735465466E-17</v>
      </c>
      <c r="U66" s="4"/>
      <c r="V66" s="4"/>
    </row>
    <row r="67" spans="2:22" x14ac:dyDescent="0.3">
      <c r="B67" s="21">
        <v>20</v>
      </c>
      <c r="C67" s="11">
        <f t="shared" si="0"/>
        <v>60.003004502210189</v>
      </c>
      <c r="D67" s="10">
        <f t="shared" si="14"/>
        <v>2160.3245024876319</v>
      </c>
      <c r="E67" s="10">
        <f t="shared" si="15"/>
        <v>9.9992489214605032E-2</v>
      </c>
      <c r="F67" s="5">
        <f t="shared" si="1"/>
        <v>1</v>
      </c>
      <c r="G67" s="19">
        <f t="shared" si="2"/>
        <v>0.83550709990492278</v>
      </c>
      <c r="H67" s="11">
        <f>EXP(-SUM(E$47:E67))</f>
        <v>1.7878581256724375E-28</v>
      </c>
      <c r="I67" s="10">
        <f t="shared" si="3"/>
        <v>3.8623537158617785E-25</v>
      </c>
      <c r="J67" s="6">
        <f t="shared" si="4"/>
        <v>3.2270239519466767E-25</v>
      </c>
      <c r="K67" s="6">
        <f t="shared" si="5"/>
        <v>3.8623537158617784E-16</v>
      </c>
      <c r="L67" s="14">
        <f t="shared" si="6"/>
        <v>3.2270239519466766E-16</v>
      </c>
      <c r="M67" s="27">
        <f t="shared" si="7"/>
        <v>0.4</v>
      </c>
      <c r="N67" s="6">
        <f t="shared" si="8"/>
        <v>0.49999248921460504</v>
      </c>
      <c r="O67" s="6">
        <f>EXP(-SUM(N$47:N67))</f>
        <v>5.3849251917273121E-29</v>
      </c>
      <c r="P67" s="6">
        <f t="shared" si="9"/>
        <v>1.163318583575142E-25</v>
      </c>
      <c r="Q67" s="6">
        <f t="shared" si="10"/>
        <v>9.7196093602836946E-26</v>
      </c>
      <c r="R67" s="6">
        <f t="shared" si="11"/>
        <v>9.9679961296399314E-17</v>
      </c>
      <c r="S67" s="6">
        <f t="shared" si="12"/>
        <v>8.3283315381389536E-17</v>
      </c>
      <c r="T67" s="14">
        <f t="shared" si="13"/>
        <v>3.1376914942741263E-17</v>
      </c>
      <c r="U67" s="4"/>
      <c r="V67" s="4"/>
    </row>
    <row r="68" spans="2:22" x14ac:dyDescent="0.3">
      <c r="B68" s="21">
        <v>21</v>
      </c>
      <c r="C68" s="11">
        <f t="shared" si="0"/>
        <v>61.592189607507585</v>
      </c>
      <c r="D68" s="10">
        <f t="shared" si="14"/>
        <v>2336.5599626392777</v>
      </c>
      <c r="E68" s="10">
        <f t="shared" si="15"/>
        <v>9.6147591632686338E-2</v>
      </c>
      <c r="F68" s="5">
        <f t="shared" si="1"/>
        <v>1</v>
      </c>
      <c r="G68" s="19">
        <f t="shared" si="2"/>
        <v>0.9217536666962779</v>
      </c>
      <c r="H68" s="11">
        <f>EXP(-SUM(E$47:E68))</f>
        <v>1.6239650716645786E-28</v>
      </c>
      <c r="I68" s="10">
        <f t="shared" si="3"/>
        <v>3.7944917671760796E-25</v>
      </c>
      <c r="J68" s="6">
        <f t="shared" si="4"/>
        <v>3.4975866996433905E-25</v>
      </c>
      <c r="K68" s="6">
        <f t="shared" si="5"/>
        <v>3.7944917671760798E-16</v>
      </c>
      <c r="L68" s="14">
        <f t="shared" si="6"/>
        <v>3.4975866996433903E-16</v>
      </c>
      <c r="M68" s="27">
        <f t="shared" si="7"/>
        <v>0.4</v>
      </c>
      <c r="N68" s="6">
        <f t="shared" si="8"/>
        <v>0.49614759163268635</v>
      </c>
      <c r="O68" s="6">
        <f>EXP(-SUM(N$47:N68))</f>
        <v>3.2787289331401435E-29</v>
      </c>
      <c r="P68" s="6">
        <f t="shared" si="9"/>
        <v>7.6609467535222531E-26</v>
      </c>
      <c r="Q68" s="6">
        <f t="shared" si="10"/>
        <v>7.0615057604240831E-26</v>
      </c>
      <c r="R68" s="6">
        <f t="shared" si="11"/>
        <v>6.564348637309878E-17</v>
      </c>
      <c r="S68" s="6">
        <f t="shared" si="12"/>
        <v>6.050712425913096E-17</v>
      </c>
      <c r="T68" s="14">
        <f t="shared" si="13"/>
        <v>2.0699502377959082E-17</v>
      </c>
      <c r="U68" s="4"/>
      <c r="V68" s="4"/>
    </row>
    <row r="69" spans="2:22" x14ac:dyDescent="0.3">
      <c r="B69" s="21">
        <v>22</v>
      </c>
      <c r="C69" s="11">
        <f t="shared" si="0"/>
        <v>63.09718263766581</v>
      </c>
      <c r="D69" s="10">
        <f t="shared" si="14"/>
        <v>2512.0593958842187</v>
      </c>
      <c r="E69" s="10">
        <f t="shared" si="15"/>
        <v>9.2728220104754594E-2</v>
      </c>
      <c r="F69" s="5">
        <f t="shared" si="1"/>
        <v>1</v>
      </c>
      <c r="G69" s="19">
        <f t="shared" si="2"/>
        <v>0.96839948716128321</v>
      </c>
      <c r="H69" s="11">
        <f>EXP(-SUM(E$47:E69))</f>
        <v>1.4801486379903747E-28</v>
      </c>
      <c r="I69" s="10">
        <f t="shared" si="3"/>
        <v>3.7182212933689499E-25</v>
      </c>
      <c r="J69" s="6">
        <f t="shared" si="4"/>
        <v>3.6007235936506542E-25</v>
      </c>
      <c r="K69" s="6">
        <f t="shared" si="5"/>
        <v>3.7182212933689497E-16</v>
      </c>
      <c r="L69" s="14">
        <f t="shared" si="6"/>
        <v>3.600723593650654E-16</v>
      </c>
      <c r="M69" s="27">
        <f t="shared" si="7"/>
        <v>0.4</v>
      </c>
      <c r="N69" s="6">
        <f t="shared" si="8"/>
        <v>0.49272822010475459</v>
      </c>
      <c r="O69" s="6">
        <f>EXP(-SUM(N$47:N69))</f>
        <v>2.0031633515471103E-29</v>
      </c>
      <c r="P69" s="6">
        <f t="shared" si="9"/>
        <v>5.032065318744841E-26</v>
      </c>
      <c r="Q69" s="6">
        <f t="shared" si="10"/>
        <v>4.8730494740345833E-26</v>
      </c>
      <c r="R69" s="6">
        <f t="shared" si="11"/>
        <v>4.3117687905571013E-17</v>
      </c>
      <c r="S69" s="6">
        <f t="shared" si="12"/>
        <v>4.175514685533523E-17</v>
      </c>
      <c r="T69" s="14">
        <f t="shared" si="13"/>
        <v>1.3617748172908008E-17</v>
      </c>
      <c r="U69" s="4"/>
      <c r="V69" s="4"/>
    </row>
    <row r="70" spans="2:22" x14ac:dyDescent="0.3">
      <c r="B70" s="21">
        <v>23</v>
      </c>
      <c r="C70" s="11">
        <f t="shared" si="0"/>
        <v>64.52244393244807</v>
      </c>
      <c r="D70" s="10">
        <f t="shared" si="14"/>
        <v>2686.1633959298201</v>
      </c>
      <c r="E70" s="10">
        <f t="shared" si="15"/>
        <v>8.9672785868466276E-2</v>
      </c>
      <c r="F70" s="5">
        <f t="shared" si="1"/>
        <v>1</v>
      </c>
      <c r="G70" s="19">
        <f t="shared" si="2"/>
        <v>0.98923567273620949</v>
      </c>
      <c r="H70" s="11">
        <f>EXP(-SUM(E$47:E70))</f>
        <v>1.3531967117480895E-28</v>
      </c>
      <c r="I70" s="10">
        <f t="shared" si="3"/>
        <v>3.6349074745903143E-25</v>
      </c>
      <c r="J70" s="6">
        <f t="shared" si="4"/>
        <v>3.5957801409602259E-25</v>
      </c>
      <c r="K70" s="6">
        <f t="shared" si="5"/>
        <v>3.6349074745903143E-16</v>
      </c>
      <c r="L70" s="14">
        <f t="shared" si="6"/>
        <v>3.5957801409602258E-16</v>
      </c>
      <c r="M70" s="27">
        <f t="shared" si="7"/>
        <v>0.4</v>
      </c>
      <c r="N70" s="6">
        <f t="shared" si="8"/>
        <v>0.4896727858684663</v>
      </c>
      <c r="O70" s="6">
        <f>EXP(-SUM(N$47:N70))</f>
        <v>1.2275923608774908E-29</v>
      </c>
      <c r="P70" s="6">
        <f t="shared" si="9"/>
        <v>3.2975136649121861E-26</v>
      </c>
      <c r="Q70" s="6">
        <f t="shared" si="10"/>
        <v>3.2620181486662503E-26</v>
      </c>
      <c r="R70" s="6">
        <f t="shared" si="11"/>
        <v>2.8255031694124323E-17</v>
      </c>
      <c r="S70" s="6">
        <f t="shared" si="12"/>
        <v>2.7950885286120002E-17</v>
      </c>
      <c r="T70" s="14">
        <f t="shared" si="13"/>
        <v>8.9362438711611773E-18</v>
      </c>
      <c r="U70" s="4"/>
      <c r="V70" s="4"/>
    </row>
    <row r="71" spans="2:22" x14ac:dyDescent="0.3">
      <c r="B71" s="21">
        <v>24</v>
      </c>
      <c r="C71" s="11">
        <f t="shared" si="0"/>
        <v>65.872197531101506</v>
      </c>
      <c r="D71" s="10">
        <f t="shared" si="14"/>
        <v>2858.2910927624575</v>
      </c>
      <c r="E71" s="10">
        <f t="shared" si="15"/>
        <v>8.6930794250783067E-2</v>
      </c>
      <c r="F71" s="5">
        <f t="shared" si="1"/>
        <v>1</v>
      </c>
      <c r="G71" s="19">
        <f t="shared" si="2"/>
        <v>0.99692233927038676</v>
      </c>
      <c r="H71" s="11">
        <f>EXP(-SUM(E$47:E71))</f>
        <v>1.2405302804024094E-28</v>
      </c>
      <c r="I71" s="10">
        <f t="shared" si="3"/>
        <v>3.5457966507763207E-25</v>
      </c>
      <c r="J71" s="6">
        <f t="shared" si="4"/>
        <v>3.5348838916690324E-25</v>
      </c>
      <c r="K71" s="6">
        <f t="shared" si="5"/>
        <v>3.5457966507763204E-16</v>
      </c>
      <c r="L71" s="14">
        <f t="shared" si="6"/>
        <v>3.5348838916690322E-16</v>
      </c>
      <c r="M71" s="27">
        <f t="shared" si="7"/>
        <v>0.4</v>
      </c>
      <c r="N71" s="6">
        <f t="shared" si="8"/>
        <v>0.48693079425078312</v>
      </c>
      <c r="O71" s="6">
        <f>EXP(-SUM(N$47:N71))</f>
        <v>7.5436724039748862E-30</v>
      </c>
      <c r="P71" s="6">
        <f t="shared" si="9"/>
        <v>2.1562011638999373E-26</v>
      </c>
      <c r="Q71" s="6">
        <f t="shared" si="10"/>
        <v>2.1495651082526562E-26</v>
      </c>
      <c r="R71" s="6">
        <f t="shared" si="11"/>
        <v>1.8475596590597572E-17</v>
      </c>
      <c r="S71" s="6">
        <f t="shared" si="12"/>
        <v>1.8418734972514513E-17</v>
      </c>
      <c r="T71" s="14">
        <f t="shared" si="13"/>
        <v>5.8506596504405045E-18</v>
      </c>
      <c r="U71" s="4"/>
      <c r="V71" s="4"/>
    </row>
    <row r="72" spans="2:22" x14ac:dyDescent="0.3">
      <c r="B72" s="21">
        <v>25</v>
      </c>
      <c r="C72" s="11">
        <f t="shared" si="0"/>
        <v>67.150443691119648</v>
      </c>
      <c r="D72" s="10">
        <f t="shared" si="14"/>
        <v>3027.9357788748989</v>
      </c>
      <c r="E72" s="10">
        <f t="shared" si="15"/>
        <v>8.4460480088920389E-2</v>
      </c>
      <c r="F72" s="5">
        <f t="shared" si="1"/>
        <v>1</v>
      </c>
      <c r="G72" s="19">
        <f t="shared" si="2"/>
        <v>0.9992641288457027</v>
      </c>
      <c r="H72" s="11">
        <f>EXP(-SUM(E$47:E72))</f>
        <v>1.14005721939615E-28</v>
      </c>
      <c r="I72" s="10">
        <f t="shared" si="3"/>
        <v>3.4520200445742328E-25</v>
      </c>
      <c r="J72" s="6">
        <f t="shared" si="4"/>
        <v>3.4494798025993745E-25</v>
      </c>
      <c r="K72" s="6">
        <f t="shared" si="5"/>
        <v>3.452020044574233E-16</v>
      </c>
      <c r="L72" s="14">
        <f t="shared" si="6"/>
        <v>3.4494798025993744E-16</v>
      </c>
      <c r="M72" s="27">
        <f t="shared" si="7"/>
        <v>0.4</v>
      </c>
      <c r="N72" s="6">
        <f t="shared" si="8"/>
        <v>0.4844604800889204</v>
      </c>
      <c r="O72" s="6">
        <f>EXP(-SUM(N$47:N72))</f>
        <v>4.647124492403408E-30</v>
      </c>
      <c r="P72" s="6">
        <f t="shared" si="9"/>
        <v>1.4071194519434131E-26</v>
      </c>
      <c r="Q72" s="6">
        <f t="shared" si="10"/>
        <v>1.4060839933280775E-26</v>
      </c>
      <c r="R72" s="6">
        <f t="shared" si="11"/>
        <v>1.2057025004971059E-17</v>
      </c>
      <c r="S72" s="6">
        <f t="shared" si="12"/>
        <v>1.2048152588063262E-17</v>
      </c>
      <c r="T72" s="14">
        <f t="shared" si="13"/>
        <v>3.8224313473418731E-18</v>
      </c>
      <c r="U72" s="4"/>
      <c r="V72" s="4"/>
    </row>
    <row r="73" spans="2:22" x14ac:dyDescent="0.3">
      <c r="B73" s="21">
        <v>26</v>
      </c>
      <c r="C73" s="11">
        <f t="shared" si="0"/>
        <v>68.360970743784037</v>
      </c>
      <c r="D73" s="10">
        <f t="shared" si="14"/>
        <v>3194.6601436730107</v>
      </c>
      <c r="E73" s="10">
        <f t="shared" si="15"/>
        <v>8.2227018593342027E-2</v>
      </c>
      <c r="F73" s="5">
        <f t="shared" si="1"/>
        <v>1</v>
      </c>
      <c r="G73" s="19">
        <f t="shared" si="2"/>
        <v>0.99985327036022453</v>
      </c>
      <c r="H73" s="11">
        <f>EXP(-SUM(E$47:E73))</f>
        <v>1.0500643363495835E-28</v>
      </c>
      <c r="I73" s="10">
        <f t="shared" si="3"/>
        <v>3.3545986836284653E-25</v>
      </c>
      <c r="J73" s="6">
        <f t="shared" si="4"/>
        <v>3.3541064645720251E-25</v>
      </c>
      <c r="K73" s="6">
        <f t="shared" si="5"/>
        <v>3.3545986836284655E-16</v>
      </c>
      <c r="L73" s="14">
        <f t="shared" si="6"/>
        <v>3.3541064645720249E-16</v>
      </c>
      <c r="M73" s="27">
        <f t="shared" si="7"/>
        <v>0.4</v>
      </c>
      <c r="N73" s="6">
        <f t="shared" si="8"/>
        <v>0.48222701859334205</v>
      </c>
      <c r="O73" s="6">
        <f>EXP(-SUM(N$47:N73))</f>
        <v>2.8691666478215825E-30</v>
      </c>
      <c r="P73" s="6">
        <f t="shared" si="9"/>
        <v>9.1660123353515074E-27</v>
      </c>
      <c r="Q73" s="6">
        <f t="shared" si="10"/>
        <v>9.1646674096633642E-27</v>
      </c>
      <c r="R73" s="6">
        <f t="shared" si="11"/>
        <v>7.8539771282794132E-18</v>
      </c>
      <c r="S73" s="6">
        <f t="shared" si="12"/>
        <v>7.8528247170445778E-18</v>
      </c>
      <c r="T73" s="14">
        <f t="shared" si="13"/>
        <v>2.4925003986954904E-18</v>
      </c>
      <c r="U73" s="4"/>
      <c r="V73" s="4"/>
    </row>
    <row r="74" spans="2:22" x14ac:dyDescent="0.3">
      <c r="B74" s="21">
        <v>27</v>
      </c>
      <c r="C74" s="11">
        <f t="shared" si="0"/>
        <v>69.50736632162139</v>
      </c>
      <c r="D74" s="10">
        <f t="shared" si="14"/>
        <v>3358.0912983920657</v>
      </c>
      <c r="E74" s="10">
        <f t="shared" si="15"/>
        <v>8.0201155582758671E-2</v>
      </c>
      <c r="F74" s="5">
        <f t="shared" si="1"/>
        <v>1</v>
      </c>
      <c r="G74" s="19">
        <f t="shared" si="2"/>
        <v>0.99997565359925489</v>
      </c>
      <c r="H74" s="11">
        <f>EXP(-SUM(E$47:E74))</f>
        <v>9.6913658679837006E-29</v>
      </c>
      <c r="I74" s="10">
        <f t="shared" si="3"/>
        <v>3.2544491390809935E-25</v>
      </c>
      <c r="J74" s="6">
        <f t="shared" si="4"/>
        <v>3.2543699049580487E-25</v>
      </c>
      <c r="K74" s="6">
        <f t="shared" si="5"/>
        <v>3.2544491390809933E-16</v>
      </c>
      <c r="L74" s="14">
        <f t="shared" si="6"/>
        <v>3.2543699049580487E-16</v>
      </c>
      <c r="M74" s="27">
        <f t="shared" si="7"/>
        <v>0.4</v>
      </c>
      <c r="N74" s="6">
        <f t="shared" si="8"/>
        <v>0.48020115558275867</v>
      </c>
      <c r="O74" s="6">
        <f>EXP(-SUM(N$47:N74))</f>
        <v>1.775035575765883E-30</v>
      </c>
      <c r="P74" s="6">
        <f t="shared" si="9"/>
        <v>5.9607315213157616E-27</v>
      </c>
      <c r="Q74" s="6">
        <f t="shared" si="10"/>
        <v>5.9605863989574094E-27</v>
      </c>
      <c r="R74" s="6">
        <f t="shared" si="11"/>
        <v>5.1075044766926794E-18</v>
      </c>
      <c r="S74" s="6">
        <f t="shared" si="12"/>
        <v>5.1073801273418824E-18</v>
      </c>
      <c r="T74" s="14">
        <f t="shared" si="13"/>
        <v>1.6224044330560025E-18</v>
      </c>
      <c r="U74" s="4"/>
      <c r="V74" s="4"/>
    </row>
    <row r="75" spans="2:22" x14ac:dyDescent="0.3">
      <c r="B75" s="21">
        <v>28</v>
      </c>
      <c r="C75" s="11">
        <f t="shared" si="0"/>
        <v>70.593027991050732</v>
      </c>
      <c r="D75" s="10">
        <f t="shared" si="14"/>
        <v>3517.9157328744886</v>
      </c>
      <c r="E75" s="10">
        <f t="shared" si="15"/>
        <v>7.8358147380912693E-2</v>
      </c>
      <c r="F75" s="5">
        <f t="shared" si="1"/>
        <v>1</v>
      </c>
      <c r="G75" s="19">
        <f t="shared" si="2"/>
        <v>0.99999664399391897</v>
      </c>
      <c r="H75" s="11">
        <f>EXP(-SUM(E$47:E75))</f>
        <v>8.9609587538173702E-29</v>
      </c>
      <c r="I75" s="10">
        <f t="shared" si="3"/>
        <v>3.1523897781693496E-25</v>
      </c>
      <c r="J75" s="6">
        <f t="shared" si="4"/>
        <v>3.1523791987300843E-25</v>
      </c>
      <c r="K75" s="6">
        <f t="shared" si="5"/>
        <v>3.1523897781693498E-16</v>
      </c>
      <c r="L75" s="14">
        <f t="shared" si="6"/>
        <v>3.1523791987300843E-16</v>
      </c>
      <c r="M75" s="27">
        <f t="shared" si="7"/>
        <v>0.4</v>
      </c>
      <c r="N75" s="6">
        <f t="shared" si="8"/>
        <v>0.4783581473809127</v>
      </c>
      <c r="O75" s="6">
        <f>EXP(-SUM(N$47:N75))</f>
        <v>1.1001673647798869E-30</v>
      </c>
      <c r="P75" s="6">
        <f t="shared" si="9"/>
        <v>3.8702960813542311E-27</v>
      </c>
      <c r="Q75" s="6">
        <f t="shared" si="10"/>
        <v>3.8702830926170467E-27</v>
      </c>
      <c r="R75" s="6">
        <f t="shared" si="11"/>
        <v>3.3162967483023654E-18</v>
      </c>
      <c r="S75" s="6">
        <f t="shared" si="12"/>
        <v>3.3162856187903116E-18</v>
      </c>
      <c r="T75" s="14">
        <f t="shared" si="13"/>
        <v>1.05431918928772E-18</v>
      </c>
      <c r="U75" s="4"/>
      <c r="V75" s="4"/>
    </row>
    <row r="76" spans="2:22" x14ac:dyDescent="0.3">
      <c r="B76" s="21">
        <v>29</v>
      </c>
      <c r="C76" s="11">
        <f t="shared" si="0"/>
        <v>71.621173321732869</v>
      </c>
      <c r="D76" s="10">
        <f t="shared" si="14"/>
        <v>3673.8743121917278</v>
      </c>
      <c r="E76" s="10">
        <f t="shared" si="15"/>
        <v>7.6676932139914139E-2</v>
      </c>
      <c r="F76" s="5">
        <f t="shared" si="1"/>
        <v>1</v>
      </c>
      <c r="G76" s="19">
        <f t="shared" si="2"/>
        <v>0.9999996162007776</v>
      </c>
      <c r="H76" s="11">
        <f>EXP(-SUM(E$47:E76))</f>
        <v>8.2995416708363284E-29</v>
      </c>
      <c r="I76" s="10">
        <f t="shared" si="3"/>
        <v>3.04914729474504E-25</v>
      </c>
      <c r="J76" s="6">
        <f t="shared" si="4"/>
        <v>3.0491461244846792E-25</v>
      </c>
      <c r="K76" s="6">
        <f t="shared" si="5"/>
        <v>3.04914729474504E-16</v>
      </c>
      <c r="L76" s="14">
        <f t="shared" si="6"/>
        <v>3.0491461244846792E-16</v>
      </c>
      <c r="M76" s="27">
        <f t="shared" si="7"/>
        <v>0.4</v>
      </c>
      <c r="N76" s="6">
        <f t="shared" si="8"/>
        <v>0.47667693213991413</v>
      </c>
      <c r="O76" s="6">
        <f>EXP(-SUM(N$47:N76))</f>
        <v>6.8303128573782286E-31</v>
      </c>
      <c r="P76" s="6">
        <f t="shared" si="9"/>
        <v>2.5093710950954753E-27</v>
      </c>
      <c r="Q76" s="6">
        <f t="shared" si="10"/>
        <v>2.5093701320008002E-27</v>
      </c>
      <c r="R76" s="6">
        <f t="shared" si="11"/>
        <v>2.1501763761797867E-18</v>
      </c>
      <c r="S76" s="6">
        <f t="shared" si="12"/>
        <v>2.1501755509437655E-18</v>
      </c>
      <c r="T76" s="14">
        <f t="shared" si="13"/>
        <v>6.8411472500677686E-19</v>
      </c>
      <c r="U76" s="4"/>
      <c r="V76" s="4"/>
    </row>
    <row r="77" spans="2:22" x14ac:dyDescent="0.3">
      <c r="B77" s="21">
        <v>30</v>
      </c>
      <c r="C77" s="11">
        <f t="shared" si="0"/>
        <v>72.594849422464236</v>
      </c>
      <c r="D77" s="10">
        <f t="shared" si="14"/>
        <v>3825.7573940360235</v>
      </c>
      <c r="E77" s="10">
        <f t="shared" si="15"/>
        <v>7.513947605778698E-2</v>
      </c>
      <c r="F77" s="5">
        <f t="shared" si="1"/>
        <v>1</v>
      </c>
      <c r="G77" s="19">
        <f t="shared" si="2"/>
        <v>0.99999996362393162</v>
      </c>
      <c r="H77" s="11">
        <f>EXP(-SUM(E$47:E77))</f>
        <v>7.6987718553948366E-29</v>
      </c>
      <c r="I77" s="10">
        <f t="shared" si="3"/>
        <v>2.9453633350773229E-25</v>
      </c>
      <c r="J77" s="6">
        <f t="shared" si="4"/>
        <v>2.945363227936585E-25</v>
      </c>
      <c r="K77" s="6">
        <f t="shared" si="5"/>
        <v>2.9453633350773231E-16</v>
      </c>
      <c r="L77" s="14">
        <f t="shared" si="6"/>
        <v>2.9453632279365852E-16</v>
      </c>
      <c r="M77" s="27">
        <f t="shared" si="7"/>
        <v>0.4</v>
      </c>
      <c r="N77" s="6">
        <f t="shared" si="8"/>
        <v>0.475139476057787</v>
      </c>
      <c r="O77" s="6">
        <f>EXP(-SUM(N$47:N77))</f>
        <v>4.2470770901024228E-31</v>
      </c>
      <c r="P77" s="6">
        <f t="shared" si="9"/>
        <v>1.6248286580500342E-27</v>
      </c>
      <c r="Q77" s="6">
        <f t="shared" si="10"/>
        <v>1.6248285989451559E-27</v>
      </c>
      <c r="R77" s="6">
        <f t="shared" si="11"/>
        <v>1.3922485210367674E-18</v>
      </c>
      <c r="S77" s="6">
        <f t="shared" si="12"/>
        <v>1.3922484703922399E-18</v>
      </c>
      <c r="T77" s="14">
        <f t="shared" si="13"/>
        <v>4.4328097326211353E-19</v>
      </c>
      <c r="U77" s="4"/>
      <c r="V77" s="4"/>
    </row>
    <row r="78" spans="2:22" x14ac:dyDescent="0.3">
      <c r="B78" s="21">
        <v>31</v>
      </c>
      <c r="C78" s="11">
        <f t="shared" si="0"/>
        <v>73.516941971876932</v>
      </c>
      <c r="D78" s="10">
        <f t="shared" si="14"/>
        <v>3973.4001259778497</v>
      </c>
      <c r="E78" s="10">
        <f t="shared" si="15"/>
        <v>7.373025313808626E-2</v>
      </c>
      <c r="F78" s="5">
        <f t="shared" si="1"/>
        <v>1</v>
      </c>
      <c r="G78" s="19">
        <f t="shared" si="2"/>
        <v>0.99999999714515764</v>
      </c>
      <c r="H78" s="11">
        <f>EXP(-SUM(E$47:E78))</f>
        <v>7.1515603502470374E-29</v>
      </c>
      <c r="I78" s="10">
        <f t="shared" si="3"/>
        <v>2.8416010796609773E-25</v>
      </c>
      <c r="J78" s="6">
        <f t="shared" si="4"/>
        <v>2.8416010715486543E-25</v>
      </c>
      <c r="K78" s="6">
        <f t="shared" si="5"/>
        <v>2.8416010796609772E-16</v>
      </c>
      <c r="L78" s="14">
        <f t="shared" si="6"/>
        <v>2.8416010715486541E-16</v>
      </c>
      <c r="M78" s="27">
        <f t="shared" si="7"/>
        <v>0.4</v>
      </c>
      <c r="N78" s="6">
        <f t="shared" si="8"/>
        <v>0.47373025313808625</v>
      </c>
      <c r="O78" s="6">
        <f>EXP(-SUM(N$47:N78))</f>
        <v>2.6445495535415506E-31</v>
      </c>
      <c r="P78" s="6">
        <f t="shared" si="9"/>
        <v>1.0507853529196664E-27</v>
      </c>
      <c r="Q78" s="6">
        <f t="shared" si="10"/>
        <v>1.0507853499198398E-27</v>
      </c>
      <c r="R78" s="6">
        <f t="shared" si="11"/>
        <v>9.0037453874379746E-19</v>
      </c>
      <c r="S78" s="6">
        <f t="shared" si="12"/>
        <v>9.0037453617337008E-19</v>
      </c>
      <c r="T78" s="14">
        <f t="shared" si="13"/>
        <v>2.868583083915105E-19</v>
      </c>
      <c r="U78" s="4"/>
      <c r="V78" s="4"/>
    </row>
    <row r="79" spans="2:22" x14ac:dyDescent="0.3">
      <c r="B79" s="21">
        <v>32</v>
      </c>
      <c r="C79" s="11">
        <f t="shared" ref="C79:C110" si="16">Linf-(Linf-L0)*EXP(-K*B79)</f>
        <v>74.390183770708944</v>
      </c>
      <c r="D79" s="10">
        <f t="shared" ref="D79:D110" si="17">W_1*C79^W_2</f>
        <v>4116.6779641733392</v>
      </c>
      <c r="E79" s="10">
        <f t="shared" ref="E79:E110" si="18">(D79/Winf)^(-1/2)*(A/3)*Winf^(-1/3)</f>
        <v>7.2435827898727878E-2</v>
      </c>
      <c r="F79" s="5">
        <f t="shared" ref="F79:F110" si="19">IF(B79&lt;Amat,0,1)</f>
        <v>1</v>
      </c>
      <c r="G79" s="19">
        <f t="shared" ref="G79:G110" si="20">_xlfn.NORM.DIST((B79-Amat)/(0.25*Amat)*1.96,0,1,TRUE)</f>
        <v>0.99999999981460619</v>
      </c>
      <c r="H79" s="11">
        <f>EXP(-SUM(E$47:E79))</f>
        <v>6.6518481663166607E-29</v>
      </c>
      <c r="I79" s="10">
        <f t="shared" ref="I79:I110" si="21">H79*D79</f>
        <v>2.7383516767302629E-25</v>
      </c>
      <c r="J79" s="6">
        <f t="shared" si="4"/>
        <v>2.7383516762225893E-25</v>
      </c>
      <c r="K79" s="6">
        <f t="shared" ref="K79:K110" si="22">R0*I79</f>
        <v>2.738351676730263E-16</v>
      </c>
      <c r="L79" s="14">
        <f t="shared" ref="L79:L110" si="23">R0*J79</f>
        <v>2.7383516762225896E-16</v>
      </c>
      <c r="M79" s="27">
        <f t="shared" ref="M79:M110" si="24">F79*F</f>
        <v>0.4</v>
      </c>
      <c r="N79" s="6">
        <f t="shared" ref="N79:N110" si="25">E79+M79</f>
        <v>0.4724358278987279</v>
      </c>
      <c r="O79" s="6">
        <f>EXP(-SUM(N$47:N79))</f>
        <v>1.6488283121111078E-31</v>
      </c>
      <c r="P79" s="6">
        <f t="shared" ref="P79:P110" si="26">O79*D79</f>
        <v>6.7876951791729185E-28</v>
      </c>
      <c r="Q79" s="6">
        <f t="shared" si="10"/>
        <v>6.787695177914522E-28</v>
      </c>
      <c r="R79" s="6">
        <f t="shared" ref="R79:R110" si="27">EXP(Ln_Rinput)*P79</f>
        <v>5.8160954557467478E-19</v>
      </c>
      <c r="S79" s="6">
        <f t="shared" ref="S79:S110" si="28">EXP(Ln_Rinput)*Q79</f>
        <v>5.8160954546684803E-19</v>
      </c>
      <c r="T79" s="14">
        <f t="shared" ref="T79:T110" si="29">EXP(Ln_Rinput)*O79*F*F79*D79*(1-EXP(-F*F79-E79))/(F*F79+E79)</f>
        <v>1.85410683165407E-19</v>
      </c>
      <c r="U79" s="4"/>
      <c r="V79" s="4"/>
    </row>
    <row r="80" spans="2:22" x14ac:dyDescent="0.3">
      <c r="B80" s="21">
        <v>33</v>
      </c>
      <c r="C80" s="11">
        <f t="shared" si="16"/>
        <v>75.217162840991051</v>
      </c>
      <c r="D80" s="10">
        <f t="shared" si="17"/>
        <v>4255.5024411544746</v>
      </c>
      <c r="E80" s="10">
        <f t="shared" si="18"/>
        <v>7.1244518157271411E-2</v>
      </c>
      <c r="F80" s="5">
        <f t="shared" si="19"/>
        <v>1</v>
      </c>
      <c r="G80" s="19">
        <f t="shared" si="20"/>
        <v>0.99999999999004363</v>
      </c>
      <c r="H80" s="11">
        <f>EXP(-SUM(E$47:E80))</f>
        <v>6.1944282437684223E-29</v>
      </c>
      <c r="I80" s="10">
        <f t="shared" si="21"/>
        <v>2.6360404512912747E-25</v>
      </c>
      <c r="J80" s="6">
        <f t="shared" si="4"/>
        <v>2.6360404512650295E-25</v>
      </c>
      <c r="K80" s="6">
        <f t="shared" si="22"/>
        <v>2.6360404512912745E-16</v>
      </c>
      <c r="L80" s="14">
        <f t="shared" si="23"/>
        <v>2.6360404512650296E-16</v>
      </c>
      <c r="M80" s="27">
        <f t="shared" si="24"/>
        <v>0.4</v>
      </c>
      <c r="N80" s="6">
        <f t="shared" si="25"/>
        <v>0.47124451815727142</v>
      </c>
      <c r="O80" s="6">
        <f>EXP(-SUM(N$47:N80))</f>
        <v>1.0292397301587112E-31</v>
      </c>
      <c r="P80" s="6">
        <f t="shared" si="26"/>
        <v>4.3799321842235681E-28</v>
      </c>
      <c r="Q80" s="6">
        <f t="shared" si="10"/>
        <v>4.3799321841799596E-28</v>
      </c>
      <c r="R80" s="6">
        <f t="shared" si="27"/>
        <v>3.7529828610019645E-19</v>
      </c>
      <c r="S80" s="6">
        <f t="shared" si="28"/>
        <v>3.7529828609645986E-19</v>
      </c>
      <c r="T80" s="14">
        <f t="shared" si="29"/>
        <v>1.1970663722547934E-19</v>
      </c>
      <c r="U80" s="4"/>
      <c r="V80" s="4"/>
    </row>
    <row r="81" spans="2:22" x14ac:dyDescent="0.3">
      <c r="B81" s="21">
        <v>34</v>
      </c>
      <c r="C81" s="11">
        <f t="shared" si="16"/>
        <v>76.000330096153817</v>
      </c>
      <c r="D81" s="10">
        <f t="shared" si="17"/>
        <v>4389.8171993099704</v>
      </c>
      <c r="E81" s="10">
        <f t="shared" si="18"/>
        <v>7.0146120622989236E-2</v>
      </c>
      <c r="F81" s="5">
        <f t="shared" si="19"/>
        <v>1</v>
      </c>
      <c r="G81" s="19">
        <f t="shared" si="20"/>
        <v>0.99999999999955802</v>
      </c>
      <c r="H81" s="11">
        <f>EXP(-SUM(E$47:E81))</f>
        <v>5.7748027329149425E-29</v>
      </c>
      <c r="I81" s="10">
        <f t="shared" si="21"/>
        <v>2.5350328359572235E-25</v>
      </c>
      <c r="J81" s="6">
        <f t="shared" si="4"/>
        <v>2.5350328359561031E-25</v>
      </c>
      <c r="K81" s="6">
        <f t="shared" si="22"/>
        <v>2.5350328359572235E-16</v>
      </c>
      <c r="L81" s="14">
        <f t="shared" si="23"/>
        <v>2.5350328359561028E-16</v>
      </c>
      <c r="M81" s="27">
        <f t="shared" si="24"/>
        <v>0.4</v>
      </c>
      <c r="N81" s="6">
        <f t="shared" si="25"/>
        <v>0.47014612062298927</v>
      </c>
      <c r="O81" s="6">
        <f>EXP(-SUM(N$47:N81))</f>
        <v>6.4318317676267482E-32</v>
      </c>
      <c r="P81" s="6">
        <f t="shared" si="26"/>
        <v>2.8234565716596148E-28</v>
      </c>
      <c r="Q81" s="6">
        <f t="shared" si="10"/>
        <v>2.8234565716583669E-28</v>
      </c>
      <c r="R81" s="6">
        <f t="shared" si="27"/>
        <v>2.4193032395318521E-19</v>
      </c>
      <c r="S81" s="6">
        <f t="shared" si="28"/>
        <v>2.4193032395307833E-19</v>
      </c>
      <c r="T81" s="14">
        <f t="shared" si="29"/>
        <v>7.720613790699866E-20</v>
      </c>
      <c r="U81" s="4"/>
      <c r="V81" s="4"/>
    </row>
    <row r="82" spans="2:22" x14ac:dyDescent="0.3">
      <c r="B82" s="21">
        <v>35</v>
      </c>
      <c r="C82" s="11">
        <f t="shared" si="16"/>
        <v>76.742006604786553</v>
      </c>
      <c r="D82" s="10">
        <f t="shared" si="17"/>
        <v>4519.5942980389127</v>
      </c>
      <c r="E82" s="10">
        <f t="shared" si="18"/>
        <v>6.9131686136284481E-2</v>
      </c>
      <c r="F82" s="5">
        <f t="shared" si="19"/>
        <v>1</v>
      </c>
      <c r="G82" s="19">
        <f t="shared" si="20"/>
        <v>0.99999999999998379</v>
      </c>
      <c r="H82" s="11">
        <f>EXP(-SUM(E$47:E82))</f>
        <v>5.3890677505791576E-29</v>
      </c>
      <c r="I82" s="10">
        <f t="shared" si="21"/>
        <v>2.4356399877262951E-25</v>
      </c>
      <c r="J82" s="6">
        <f t="shared" si="4"/>
        <v>2.4356399877262557E-25</v>
      </c>
      <c r="K82" s="6">
        <f t="shared" si="22"/>
        <v>2.4356399877262954E-16</v>
      </c>
      <c r="L82" s="14">
        <f t="shared" si="23"/>
        <v>2.4356399877262554E-16</v>
      </c>
      <c r="M82" s="27">
        <f t="shared" si="24"/>
        <v>0.4</v>
      </c>
      <c r="N82" s="6">
        <f t="shared" si="25"/>
        <v>0.46913168613628453</v>
      </c>
      <c r="O82" s="6">
        <f>EXP(-SUM(N$47:N82))</f>
        <v>4.0234015029627651E-32</v>
      </c>
      <c r="P82" s="6">
        <f t="shared" si="26"/>
        <v>1.8184142491511706E-28</v>
      </c>
      <c r="Q82" s="6">
        <f t="shared" si="10"/>
        <v>1.8184142491511412E-28</v>
      </c>
      <c r="R82" s="6">
        <f t="shared" si="27"/>
        <v>1.5581240129351173E-19</v>
      </c>
      <c r="S82" s="6">
        <f t="shared" si="28"/>
        <v>1.5581240129350923E-19</v>
      </c>
      <c r="T82" s="14">
        <f t="shared" si="29"/>
        <v>4.9746971232718544E-20</v>
      </c>
      <c r="U82" s="4"/>
      <c r="V82" s="4"/>
    </row>
    <row r="83" spans="2:22" x14ac:dyDescent="0.3">
      <c r="B83" s="21">
        <v>36</v>
      </c>
      <c r="C83" s="11">
        <f t="shared" si="16"/>
        <v>77.444390469575836</v>
      </c>
      <c r="D83" s="10">
        <f t="shared" si="17"/>
        <v>4644.8307958932228</v>
      </c>
      <c r="E83" s="10">
        <f t="shared" si="18"/>
        <v>6.8193334441385173E-2</v>
      </c>
      <c r="F83" s="5">
        <f t="shared" si="19"/>
        <v>1</v>
      </c>
      <c r="G83" s="19">
        <f t="shared" si="20"/>
        <v>0.99999999999999956</v>
      </c>
      <c r="H83" s="11">
        <f>EXP(-SUM(E$47:E83))</f>
        <v>5.0338196839954754E-29</v>
      </c>
      <c r="I83" s="10">
        <f t="shared" si="21"/>
        <v>2.3381240689195677E-25</v>
      </c>
      <c r="J83" s="6">
        <f t="shared" si="4"/>
        <v>2.3381240689195668E-25</v>
      </c>
      <c r="K83" s="6">
        <f t="shared" si="22"/>
        <v>2.3381240689195677E-16</v>
      </c>
      <c r="L83" s="14">
        <f t="shared" si="23"/>
        <v>2.3381240689195667E-16</v>
      </c>
      <c r="M83" s="27">
        <f t="shared" si="24"/>
        <v>0.4</v>
      </c>
      <c r="N83" s="6">
        <f t="shared" si="25"/>
        <v>0.46819333444138522</v>
      </c>
      <c r="O83" s="6">
        <f>EXP(-SUM(N$47:N83))</f>
        <v>2.519182276537076E-32</v>
      </c>
      <c r="P83" s="6">
        <f t="shared" si="26"/>
        <v>1.1701175418527807E-28</v>
      </c>
      <c r="Q83" s="6">
        <f t="shared" si="10"/>
        <v>1.1701175418527803E-28</v>
      </c>
      <c r="R83" s="6">
        <f t="shared" si="27"/>
        <v>1.0026253593032983E-19</v>
      </c>
      <c r="S83" s="6">
        <f t="shared" si="28"/>
        <v>1.002625359303298E-19</v>
      </c>
      <c r="T83" s="14">
        <f t="shared" si="29"/>
        <v>3.2025152864552388E-20</v>
      </c>
      <c r="U83" s="4"/>
      <c r="V83" s="4"/>
    </row>
    <row r="84" spans="2:22" x14ac:dyDescent="0.3">
      <c r="B84" s="21">
        <v>37</v>
      </c>
      <c r="C84" s="11">
        <f t="shared" si="16"/>
        <v>78.10956334181067</v>
      </c>
      <c r="D84" s="10">
        <f t="shared" si="17"/>
        <v>4765.5456039539376</v>
      </c>
      <c r="E84" s="10">
        <f t="shared" si="18"/>
        <v>6.7324100655830374E-2</v>
      </c>
      <c r="F84" s="5">
        <f t="shared" si="19"/>
        <v>1</v>
      </c>
      <c r="G84" s="19">
        <f t="shared" si="20"/>
        <v>1</v>
      </c>
      <c r="H84" s="11">
        <f>EXP(-SUM(E$47:E84))</f>
        <v>4.7060785225388075E-29</v>
      </c>
      <c r="I84" s="10">
        <f t="shared" si="21"/>
        <v>2.2427031814946855E-25</v>
      </c>
      <c r="J84" s="6">
        <f t="shared" si="4"/>
        <v>2.2427031814946855E-25</v>
      </c>
      <c r="K84" s="6">
        <f t="shared" si="22"/>
        <v>2.2427031814946853E-16</v>
      </c>
      <c r="L84" s="14">
        <f t="shared" si="23"/>
        <v>2.2427031814946853E-16</v>
      </c>
      <c r="M84" s="27">
        <f t="shared" si="24"/>
        <v>0.4</v>
      </c>
      <c r="N84" s="6">
        <f t="shared" si="25"/>
        <v>0.46732410065583041</v>
      </c>
      <c r="O84" s="6">
        <f>EXP(-SUM(N$47:N84))</f>
        <v>1.5787134682864164E-32</v>
      </c>
      <c r="P84" s="6">
        <f t="shared" si="26"/>
        <v>7.5234310286952061E-29</v>
      </c>
      <c r="Q84" s="6">
        <f t="shared" si="10"/>
        <v>7.5234310286952061E-29</v>
      </c>
      <c r="R84" s="6">
        <f t="shared" si="27"/>
        <v>6.4465170963894211E-20</v>
      </c>
      <c r="S84" s="6">
        <f t="shared" si="28"/>
        <v>6.4465170963894211E-20</v>
      </c>
      <c r="T84" s="14">
        <f t="shared" si="29"/>
        <v>2.059926645283184E-20</v>
      </c>
      <c r="U84" s="4"/>
      <c r="V84" s="4"/>
    </row>
    <row r="85" spans="2:22" x14ac:dyDescent="0.3">
      <c r="B85" s="21">
        <v>38</v>
      </c>
      <c r="C85" s="11">
        <f t="shared" si="16"/>
        <v>78.739496590761178</v>
      </c>
      <c r="D85" s="10">
        <f t="shared" si="17"/>
        <v>4881.7766029074774</v>
      </c>
      <c r="E85" s="10">
        <f t="shared" si="18"/>
        <v>6.6517807318684632E-2</v>
      </c>
      <c r="F85" s="5">
        <f t="shared" si="19"/>
        <v>1</v>
      </c>
      <c r="G85" s="19">
        <f t="shared" si="20"/>
        <v>1</v>
      </c>
      <c r="H85" s="11">
        <f>EXP(-SUM(E$47:E85))</f>
        <v>4.4032247423231297E-29</v>
      </c>
      <c r="I85" s="10">
        <f t="shared" si="21"/>
        <v>2.1495559524416362E-25</v>
      </c>
      <c r="J85" s="6">
        <f t="shared" si="4"/>
        <v>2.1495559524416362E-25</v>
      </c>
      <c r="K85" s="6">
        <f t="shared" si="22"/>
        <v>2.1495559524416362E-16</v>
      </c>
      <c r="L85" s="14">
        <f t="shared" si="23"/>
        <v>2.1495559524416362E-16</v>
      </c>
      <c r="M85" s="27">
        <f t="shared" si="24"/>
        <v>0.4</v>
      </c>
      <c r="N85" s="6">
        <f t="shared" si="25"/>
        <v>0.46651780731868464</v>
      </c>
      <c r="O85" s="6">
        <f>EXP(-SUM(N$47:N85))</f>
        <v>9.9014136556429525E-33</v>
      </c>
      <c r="P85" s="6">
        <f t="shared" si="26"/>
        <v>4.8336489519826361E-29</v>
      </c>
      <c r="Q85" s="6">
        <f t="shared" si="10"/>
        <v>4.8336489519826361E-29</v>
      </c>
      <c r="R85" s="6">
        <f t="shared" si="27"/>
        <v>4.1417540066563226E-20</v>
      </c>
      <c r="S85" s="6">
        <f t="shared" si="28"/>
        <v>4.1417540066563226E-20</v>
      </c>
      <c r="T85" s="14">
        <f t="shared" si="29"/>
        <v>1.3239525672475698E-20</v>
      </c>
      <c r="U85" s="4"/>
      <c r="V85" s="4"/>
    </row>
    <row r="86" spans="2:22" x14ac:dyDescent="0.3">
      <c r="B86" s="21">
        <v>39</v>
      </c>
      <c r="C86" s="11">
        <f t="shared" si="16"/>
        <v>79.336057146215182</v>
      </c>
      <c r="D86" s="10">
        <f t="shared" si="17"/>
        <v>4993.5780135510968</v>
      </c>
      <c r="E86" s="10">
        <f t="shared" si="18"/>
        <v>6.576895720671759E-2</v>
      </c>
      <c r="F86" s="5">
        <f t="shared" si="19"/>
        <v>1</v>
      </c>
      <c r="G86" s="19">
        <f t="shared" si="20"/>
        <v>1</v>
      </c>
      <c r="H86" s="11">
        <f>EXP(-SUM(E$47:E86))</f>
        <v>4.1229470508698197E-29</v>
      </c>
      <c r="I86" s="10">
        <f t="shared" si="21"/>
        <v>2.0588257744258866E-25</v>
      </c>
      <c r="J86" s="6">
        <f t="shared" si="4"/>
        <v>2.0588257744258866E-25</v>
      </c>
      <c r="K86" s="6">
        <f t="shared" si="22"/>
        <v>2.0588257744258866E-16</v>
      </c>
      <c r="L86" s="14">
        <f t="shared" si="23"/>
        <v>2.0588257744258866E-16</v>
      </c>
      <c r="M86" s="27">
        <f t="shared" si="24"/>
        <v>0.4</v>
      </c>
      <c r="N86" s="6">
        <f t="shared" si="25"/>
        <v>0.46576895720671763</v>
      </c>
      <c r="O86" s="6">
        <f>EXP(-SUM(N$47:N86))</f>
        <v>6.2146448743342734E-33</v>
      </c>
      <c r="P86" s="6">
        <f t="shared" si="26"/>
        <v>3.1033314006503649E-29</v>
      </c>
      <c r="Q86" s="6">
        <f t="shared" si="10"/>
        <v>3.1033314006503649E-29</v>
      </c>
      <c r="R86" s="6">
        <f t="shared" si="27"/>
        <v>2.6591164129438831E-20</v>
      </c>
      <c r="S86" s="6">
        <f t="shared" si="28"/>
        <v>2.6591164129438831E-20</v>
      </c>
      <c r="T86" s="14">
        <f t="shared" si="29"/>
        <v>8.5030649928977062E-21</v>
      </c>
      <c r="U86" s="4"/>
      <c r="V86" s="4"/>
    </row>
    <row r="87" spans="2:22" x14ac:dyDescent="0.3">
      <c r="B87" s="21">
        <v>40</v>
      </c>
      <c r="C87" s="11">
        <f t="shared" si="16"/>
        <v>79.901013031487963</v>
      </c>
      <c r="D87" s="10">
        <f t="shared" si="17"/>
        <v>5101.0180085543752</v>
      </c>
      <c r="E87" s="10">
        <f t="shared" si="18"/>
        <v>6.5072643110115166E-2</v>
      </c>
      <c r="F87" s="5">
        <f t="shared" si="19"/>
        <v>1</v>
      </c>
      <c r="G87" s="19">
        <f t="shared" si="20"/>
        <v>1</v>
      </c>
      <c r="H87" s="11">
        <f>EXP(-SUM(E$47:E87))</f>
        <v>3.8631988896222611E-29</v>
      </c>
      <c r="I87" s="10">
        <f t="shared" si="21"/>
        <v>1.9706247106590421E-25</v>
      </c>
      <c r="J87" s="6">
        <f t="shared" si="4"/>
        <v>1.9706247106590421E-25</v>
      </c>
      <c r="K87" s="6">
        <f t="shared" si="22"/>
        <v>1.9706247106590421E-16</v>
      </c>
      <c r="L87" s="14">
        <f t="shared" si="23"/>
        <v>1.9706247106590421E-16</v>
      </c>
      <c r="M87" s="27">
        <f t="shared" si="24"/>
        <v>0.4</v>
      </c>
      <c r="N87" s="6">
        <f t="shared" si="25"/>
        <v>0.4650726431101152</v>
      </c>
      <c r="O87" s="6">
        <f>EXP(-SUM(N$47:N87))</f>
        <v>3.9033530498514981E-33</v>
      </c>
      <c r="P87" s="6">
        <f t="shared" si="26"/>
        <v>1.9911074201038137E-29</v>
      </c>
      <c r="Q87" s="6">
        <f t="shared" si="10"/>
        <v>1.9911074201038137E-29</v>
      </c>
      <c r="R87" s="6">
        <f t="shared" si="27"/>
        <v>1.7060976535160944E-20</v>
      </c>
      <c r="S87" s="6">
        <f t="shared" si="28"/>
        <v>1.7060976535160944E-20</v>
      </c>
      <c r="T87" s="14">
        <f t="shared" si="29"/>
        <v>5.4573467585035266E-21</v>
      </c>
      <c r="U87" s="4"/>
      <c r="V87" s="4"/>
    </row>
    <row r="88" spans="2:22" x14ac:dyDescent="0.3">
      <c r="B88" s="21">
        <v>41</v>
      </c>
      <c r="C88" s="11">
        <f t="shared" si="16"/>
        <v>80.436038603303459</v>
      </c>
      <c r="D88" s="10">
        <f t="shared" si="17"/>
        <v>5204.1765520655636</v>
      </c>
      <c r="E88" s="10">
        <f t="shared" si="18"/>
        <v>6.4424471533472943E-2</v>
      </c>
      <c r="F88" s="5">
        <f t="shared" si="19"/>
        <v>1</v>
      </c>
      <c r="G88" s="19">
        <f t="shared" si="20"/>
        <v>1</v>
      </c>
      <c r="H88" s="11">
        <f>EXP(-SUM(E$47:E88))</f>
        <v>3.6221620416113027E-29</v>
      </c>
      <c r="I88" s="10">
        <f t="shared" si="21"/>
        <v>1.8850370764735471E-25</v>
      </c>
      <c r="J88" s="6">
        <f t="shared" si="4"/>
        <v>1.8850370764735471E-25</v>
      </c>
      <c r="K88" s="6">
        <f t="shared" si="22"/>
        <v>1.8850370764735471E-16</v>
      </c>
      <c r="L88" s="14">
        <f t="shared" si="23"/>
        <v>1.8850370764735471E-16</v>
      </c>
      <c r="M88" s="27">
        <f t="shared" si="24"/>
        <v>0.4</v>
      </c>
      <c r="N88" s="6">
        <f t="shared" si="25"/>
        <v>0.46442447153347299</v>
      </c>
      <c r="O88" s="6">
        <f>EXP(-SUM(N$47:N88))</f>
        <v>2.453244584434596E-33</v>
      </c>
      <c r="P88" s="6">
        <f t="shared" si="26"/>
        <v>1.2767117942796353E-29</v>
      </c>
      <c r="Q88" s="6">
        <f t="shared" si="10"/>
        <v>1.2767117942796353E-29</v>
      </c>
      <c r="R88" s="6">
        <f t="shared" si="27"/>
        <v>1.0939615685442225E-20</v>
      </c>
      <c r="S88" s="6">
        <f t="shared" si="28"/>
        <v>1.0939615685442225E-20</v>
      </c>
      <c r="T88" s="14">
        <f t="shared" si="29"/>
        <v>3.50033503444894E-21</v>
      </c>
      <c r="U88" s="4"/>
      <c r="V88" s="4"/>
    </row>
    <row r="89" spans="2:22" x14ac:dyDescent="0.3">
      <c r="B89" s="21">
        <v>42</v>
      </c>
      <c r="C89" s="11">
        <f t="shared" si="16"/>
        <v>80.942719514076316</v>
      </c>
      <c r="D89" s="10">
        <f t="shared" si="17"/>
        <v>5303.1434530376209</v>
      </c>
      <c r="E89" s="10">
        <f t="shared" si="18"/>
        <v>6.3820497889974778E-2</v>
      </c>
      <c r="F89" s="5">
        <f t="shared" si="19"/>
        <v>1</v>
      </c>
      <c r="G89" s="19">
        <f t="shared" si="20"/>
        <v>1</v>
      </c>
      <c r="H89" s="11">
        <f>EXP(-SUM(E$47:E89))</f>
        <v>3.3982160363469747E-29</v>
      </c>
      <c r="I89" s="10">
        <f t="shared" si="21"/>
        <v>1.8021227125160914E-25</v>
      </c>
      <c r="J89" s="6">
        <f t="shared" si="4"/>
        <v>1.8021227125160914E-25</v>
      </c>
      <c r="K89" s="6">
        <f t="shared" si="22"/>
        <v>1.8021227125160914E-16</v>
      </c>
      <c r="L89" s="14">
        <f t="shared" si="23"/>
        <v>1.8021227125160914E-16</v>
      </c>
      <c r="M89" s="27">
        <f t="shared" si="24"/>
        <v>0.4</v>
      </c>
      <c r="N89" s="6">
        <f t="shared" si="25"/>
        <v>0.46382049788997481</v>
      </c>
      <c r="O89" s="6">
        <f>EXP(-SUM(N$47:N89))</f>
        <v>1.5427876936790014E-33</v>
      </c>
      <c r="P89" s="6">
        <f t="shared" si="26"/>
        <v>8.1816244571608061E-30</v>
      </c>
      <c r="Q89" s="6">
        <f t="shared" si="10"/>
        <v>8.1816244571608061E-30</v>
      </c>
      <c r="R89" s="6">
        <f t="shared" si="27"/>
        <v>7.0104958413464987E-21</v>
      </c>
      <c r="S89" s="6">
        <f t="shared" si="28"/>
        <v>7.0104958413464987E-21</v>
      </c>
      <c r="T89" s="14">
        <f t="shared" si="29"/>
        <v>2.2437647866641504E-21</v>
      </c>
      <c r="U89" s="4"/>
      <c r="V89" s="4"/>
    </row>
    <row r="90" spans="2:22" x14ac:dyDescent="0.3">
      <c r="B90" s="21">
        <v>43</v>
      </c>
      <c r="C90" s="11">
        <f t="shared" si="16"/>
        <v>81.422557411301426</v>
      </c>
      <c r="D90" s="10">
        <f t="shared" si="17"/>
        <v>5398.0166178438612</v>
      </c>
      <c r="E90" s="10">
        <f t="shared" si="18"/>
        <v>6.3257171228109366E-2</v>
      </c>
      <c r="F90" s="5">
        <f t="shared" si="19"/>
        <v>1</v>
      </c>
      <c r="G90" s="19">
        <f t="shared" si="20"/>
        <v>1</v>
      </c>
      <c r="H90" s="11">
        <f>EXP(-SUM(E$47:E90))</f>
        <v>3.1899123103525867E-29</v>
      </c>
      <c r="I90" s="10">
        <f t="shared" si="21"/>
        <v>1.7219199660747968E-25</v>
      </c>
      <c r="J90" s="6">
        <f t="shared" si="4"/>
        <v>1.7219199660747968E-25</v>
      </c>
      <c r="K90" s="6">
        <f t="shared" si="22"/>
        <v>1.7219199660747967E-16</v>
      </c>
      <c r="L90" s="14">
        <f t="shared" si="23"/>
        <v>1.7219199660747967E-16</v>
      </c>
      <c r="M90" s="27">
        <f t="shared" si="24"/>
        <v>0.4</v>
      </c>
      <c r="N90" s="6">
        <f t="shared" si="25"/>
        <v>0.46325717122810939</v>
      </c>
      <c r="O90" s="6">
        <f>EXP(-SUM(N$47:N90))</f>
        <v>9.7076952183102124E-34</v>
      </c>
      <c r="P90" s="6">
        <f t="shared" si="26"/>
        <v>5.240230010940192E-30</v>
      </c>
      <c r="Q90" s="6">
        <f t="shared" si="10"/>
        <v>5.240230010940192E-30</v>
      </c>
      <c r="R90" s="6">
        <f t="shared" si="27"/>
        <v>4.4901365116119862E-21</v>
      </c>
      <c r="S90" s="6">
        <f t="shared" si="28"/>
        <v>4.4901365116119862E-21</v>
      </c>
      <c r="T90" s="14">
        <f t="shared" si="29"/>
        <v>1.4374774645460152E-21</v>
      </c>
      <c r="U90" s="4"/>
      <c r="V90" s="4"/>
    </row>
    <row r="91" spans="2:22" x14ac:dyDescent="0.3">
      <c r="B91" s="21">
        <v>44</v>
      </c>
      <c r="C91" s="11">
        <f t="shared" si="16"/>
        <v>81.876974387978564</v>
      </c>
      <c r="D91" s="10">
        <f t="shared" si="17"/>
        <v>5488.9004877637235</v>
      </c>
      <c r="E91" s="10">
        <f t="shared" si="18"/>
        <v>6.2731286901717281E-2</v>
      </c>
      <c r="F91" s="5">
        <f t="shared" si="19"/>
        <v>1</v>
      </c>
      <c r="G91" s="19">
        <f t="shared" si="20"/>
        <v>1</v>
      </c>
      <c r="H91" s="11">
        <f>EXP(-SUM(E$47:E91))</f>
        <v>2.9959522889137594E-29</v>
      </c>
      <c r="I91" s="10">
        <f t="shared" si="21"/>
        <v>1.6444483979935578E-25</v>
      </c>
      <c r="J91" s="6">
        <f t="shared" si="4"/>
        <v>1.6444483979935578E-25</v>
      </c>
      <c r="K91" s="6">
        <f t="shared" si="22"/>
        <v>1.6444483979935577E-16</v>
      </c>
      <c r="L91" s="14">
        <f t="shared" si="23"/>
        <v>1.6444483979935577E-16</v>
      </c>
      <c r="M91" s="27">
        <f t="shared" si="24"/>
        <v>0.4</v>
      </c>
      <c r="N91" s="6">
        <f t="shared" si="25"/>
        <v>0.46273128690171728</v>
      </c>
      <c r="O91" s="6">
        <f>EXP(-SUM(N$47:N91))</f>
        <v>6.1115938937404784E-34</v>
      </c>
      <c r="P91" s="6">
        <f t="shared" si="26"/>
        <v>3.354593070436591E-30</v>
      </c>
      <c r="Q91" s="6">
        <f t="shared" si="10"/>
        <v>3.354593070436591E-30</v>
      </c>
      <c r="R91" s="6">
        <f t="shared" si="27"/>
        <v>2.8744121528484963E-21</v>
      </c>
      <c r="S91" s="6">
        <f t="shared" si="28"/>
        <v>2.8744121528484963E-21</v>
      </c>
      <c r="T91" s="14">
        <f t="shared" si="29"/>
        <v>9.2044099711032944E-22</v>
      </c>
      <c r="U91" s="4"/>
      <c r="V91" s="4"/>
    </row>
    <row r="92" spans="2:22" x14ac:dyDescent="0.3">
      <c r="B92" s="21">
        <v>45</v>
      </c>
      <c r="C92" s="11">
        <f t="shared" si="16"/>
        <v>82.307317197261739</v>
      </c>
      <c r="D92" s="10">
        <f t="shared" si="17"/>
        <v>5575.9046471688034</v>
      </c>
      <c r="E92" s="10">
        <f t="shared" si="18"/>
        <v>6.2239945888550731E-2</v>
      </c>
      <c r="F92" s="5">
        <f t="shared" si="19"/>
        <v>1</v>
      </c>
      <c r="G92" s="19">
        <f t="shared" si="20"/>
        <v>1</v>
      </c>
      <c r="H92" s="11">
        <f>EXP(-SUM(E$47:E92))</f>
        <v>2.815168716786683E-29</v>
      </c>
      <c r="I92" s="10">
        <f t="shared" si="21"/>
        <v>1.5697112330495102E-25</v>
      </c>
      <c r="J92" s="6">
        <f t="shared" si="4"/>
        <v>1.5697112330495102E-25</v>
      </c>
      <c r="K92" s="6">
        <f t="shared" si="22"/>
        <v>1.5697112330495101E-16</v>
      </c>
      <c r="L92" s="14">
        <f t="shared" si="23"/>
        <v>1.5697112330495101E-16</v>
      </c>
      <c r="M92" s="27">
        <f t="shared" si="24"/>
        <v>0.4</v>
      </c>
      <c r="N92" s="6">
        <f t="shared" si="25"/>
        <v>0.46223994588855077</v>
      </c>
      <c r="O92" s="6">
        <f>EXP(-SUM(N$47:N92))</f>
        <v>3.8495168991312447E-34</v>
      </c>
      <c r="P92" s="6">
        <f t="shared" si="26"/>
        <v>2.1464539167220749E-30</v>
      </c>
      <c r="Q92" s="6">
        <f t="shared" si="10"/>
        <v>2.1464539167220749E-30</v>
      </c>
      <c r="R92" s="6">
        <f t="shared" si="27"/>
        <v>1.839207645818038E-21</v>
      </c>
      <c r="S92" s="6">
        <f t="shared" si="28"/>
        <v>1.839207645818038E-21</v>
      </c>
      <c r="T92" s="14">
        <f t="shared" si="29"/>
        <v>5.8908257429287224E-22</v>
      </c>
      <c r="U92" s="4"/>
      <c r="V92" s="4"/>
    </row>
    <row r="93" spans="2:22" x14ac:dyDescent="0.3">
      <c r="B93" s="21">
        <v>46</v>
      </c>
      <c r="C93" s="11">
        <f t="shared" si="16"/>
        <v>82.71486124382433</v>
      </c>
      <c r="D93" s="10">
        <f t="shared" si="17"/>
        <v>5659.1425886662273</v>
      </c>
      <c r="E93" s="10">
        <f t="shared" si="18"/>
        <v>6.1780519697178224E-2</v>
      </c>
      <c r="F93" s="5">
        <f t="shared" si="19"/>
        <v>1</v>
      </c>
      <c r="G93" s="19">
        <f t="shared" si="20"/>
        <v>1</v>
      </c>
      <c r="H93" s="11">
        <f>EXP(-SUM(E$47:E93))</f>
        <v>2.6465096933477001E-29</v>
      </c>
      <c r="I93" s="10">
        <f t="shared" si="21"/>
        <v>1.4976975716941968E-25</v>
      </c>
      <c r="J93" s="6">
        <f t="shared" si="4"/>
        <v>1.4976975716941968E-25</v>
      </c>
      <c r="K93" s="6">
        <f t="shared" si="22"/>
        <v>1.4976975716941969E-16</v>
      </c>
      <c r="L93" s="14">
        <f t="shared" si="23"/>
        <v>1.4976975716941969E-16</v>
      </c>
      <c r="M93" s="27">
        <f t="shared" si="24"/>
        <v>0.4</v>
      </c>
      <c r="N93" s="6">
        <f t="shared" si="25"/>
        <v>0.46178051969717826</v>
      </c>
      <c r="O93" s="6">
        <f>EXP(-SUM(N$47:N93))</f>
        <v>2.4258140044054928E-34</v>
      </c>
      <c r="P93" s="6">
        <f t="shared" si="26"/>
        <v>1.3728027344514088E-30</v>
      </c>
      <c r="Q93" s="6">
        <f t="shared" si="10"/>
        <v>1.3728027344514088E-30</v>
      </c>
      <c r="R93" s="6">
        <f t="shared" si="27"/>
        <v>1.1762979236278025E-21</v>
      </c>
      <c r="S93" s="6">
        <f t="shared" si="28"/>
        <v>1.1762979236278025E-21</v>
      </c>
      <c r="T93" s="14">
        <f t="shared" si="29"/>
        <v>3.7683813966004155E-22</v>
      </c>
      <c r="U93" s="4"/>
      <c r="V93" s="4"/>
    </row>
    <row r="94" spans="2:22" x14ac:dyDescent="0.3">
      <c r="B94" s="21">
        <v>47</v>
      </c>
      <c r="C94" s="11">
        <f t="shared" si="16"/>
        <v>83.100814363769032</v>
      </c>
      <c r="D94" s="10">
        <f t="shared" si="17"/>
        <v>5738.7306220109458</v>
      </c>
      <c r="E94" s="10">
        <f t="shared" si="18"/>
        <v>6.1350619990111321E-2</v>
      </c>
      <c r="F94" s="5">
        <f t="shared" si="19"/>
        <v>1</v>
      </c>
      <c r="G94" s="19">
        <f t="shared" si="20"/>
        <v>1</v>
      </c>
      <c r="H94" s="11">
        <f>EXP(-SUM(E$47:E94))</f>
        <v>2.4890249688727825E-29</v>
      </c>
      <c r="I94" s="10">
        <f t="shared" si="21"/>
        <v>1.4283843807820077E-25</v>
      </c>
      <c r="J94" s="6">
        <f t="shared" si="4"/>
        <v>1.4283843807820077E-25</v>
      </c>
      <c r="K94" s="6">
        <f t="shared" si="22"/>
        <v>1.4283843807820076E-16</v>
      </c>
      <c r="L94" s="14">
        <f t="shared" si="23"/>
        <v>1.4283843807820076E-16</v>
      </c>
      <c r="M94" s="27">
        <f t="shared" si="24"/>
        <v>0.4</v>
      </c>
      <c r="N94" s="6">
        <f t="shared" si="25"/>
        <v>0.46135061999011134</v>
      </c>
      <c r="O94" s="6">
        <f>EXP(-SUM(N$47:N94))</f>
        <v>1.5293097961490513E-34</v>
      </c>
      <c r="P94" s="6">
        <f t="shared" si="26"/>
        <v>8.7762969577018776E-31</v>
      </c>
      <c r="Q94" s="6">
        <f t="shared" si="10"/>
        <v>8.7762969577018776E-31</v>
      </c>
      <c r="R94" s="6">
        <f t="shared" si="27"/>
        <v>7.520046128558412E-22</v>
      </c>
      <c r="S94" s="6">
        <f t="shared" si="28"/>
        <v>7.520046128558412E-22</v>
      </c>
      <c r="T94" s="14">
        <f t="shared" si="29"/>
        <v>2.4095959297632344E-22</v>
      </c>
      <c r="U94" s="4"/>
      <c r="V94" s="4"/>
    </row>
    <row r="95" spans="2:22" x14ac:dyDescent="0.3">
      <c r="B95" s="21">
        <v>48</v>
      </c>
      <c r="C95" s="11">
        <f t="shared" si="16"/>
        <v>83.466320404285256</v>
      </c>
      <c r="D95" s="10">
        <f t="shared" si="17"/>
        <v>5814.7869142407981</v>
      </c>
      <c r="E95" s="10">
        <f t="shared" si="18"/>
        <v>6.0948072202501154E-2</v>
      </c>
      <c r="F95" s="5">
        <f t="shared" si="19"/>
        <v>1</v>
      </c>
      <c r="G95" s="19">
        <f t="shared" si="20"/>
        <v>1</v>
      </c>
      <c r="H95" s="11">
        <f>EXP(-SUM(E$47:E95))</f>
        <v>2.3418541392684295E-29</v>
      </c>
      <c r="I95" s="10">
        <f t="shared" si="21"/>
        <v>1.3617382804078711E-25</v>
      </c>
      <c r="J95" s="6">
        <f t="shared" si="4"/>
        <v>1.3617382804078711E-25</v>
      </c>
      <c r="K95" s="6">
        <f t="shared" si="22"/>
        <v>1.361738280407871E-16</v>
      </c>
      <c r="L95" s="14">
        <f t="shared" si="23"/>
        <v>1.361738280407871E-16</v>
      </c>
      <c r="M95" s="27">
        <f t="shared" si="24"/>
        <v>0.4</v>
      </c>
      <c r="N95" s="6">
        <f t="shared" si="25"/>
        <v>0.46094807220250117</v>
      </c>
      <c r="O95" s="6">
        <f>EXP(-SUM(N$47:N95))</f>
        <v>9.645134012686794E-35</v>
      </c>
      <c r="P95" s="6">
        <f t="shared" si="26"/>
        <v>5.6084399043070008E-31</v>
      </c>
      <c r="Q95" s="6">
        <f t="shared" si="10"/>
        <v>5.6084399043070008E-31</v>
      </c>
      <c r="R95" s="6">
        <f t="shared" si="27"/>
        <v>4.8056403506975587E-22</v>
      </c>
      <c r="S95" s="6">
        <f t="shared" si="28"/>
        <v>4.8056403506975587E-22</v>
      </c>
      <c r="T95" s="14">
        <f t="shared" si="29"/>
        <v>1.5401240380915905E-22</v>
      </c>
      <c r="U95" s="4"/>
      <c r="V95" s="4"/>
    </row>
    <row r="96" spans="2:22" x14ac:dyDescent="0.3">
      <c r="B96" s="21">
        <v>49</v>
      </c>
      <c r="C96" s="11">
        <f t="shared" si="16"/>
        <v>83.812462613662873</v>
      </c>
      <c r="D96" s="10">
        <f t="shared" si="17"/>
        <v>5887.4306491863599</v>
      </c>
      <c r="E96" s="10">
        <f t="shared" si="18"/>
        <v>6.0570892558367229E-2</v>
      </c>
      <c r="F96" s="5">
        <f t="shared" si="19"/>
        <v>1</v>
      </c>
      <c r="G96" s="19">
        <f t="shared" si="20"/>
        <v>1</v>
      </c>
      <c r="H96" s="11">
        <f>EXP(-SUM(E$47:E96))</f>
        <v>2.2042164411615534E-29</v>
      </c>
      <c r="I96" s="10">
        <f t="shared" si="21"/>
        <v>1.2977171433135011E-25</v>
      </c>
      <c r="J96" s="6">
        <f t="shared" si="4"/>
        <v>1.2977171433135011E-25</v>
      </c>
      <c r="K96" s="6">
        <f t="shared" si="22"/>
        <v>1.2977171433135011E-16</v>
      </c>
      <c r="L96" s="14">
        <f t="shared" si="23"/>
        <v>1.2977171433135011E-16</v>
      </c>
      <c r="M96" s="27">
        <f t="shared" si="24"/>
        <v>0.4</v>
      </c>
      <c r="N96" s="6">
        <f t="shared" si="25"/>
        <v>0.46057089255836725</v>
      </c>
      <c r="O96" s="6">
        <f>EXP(-SUM(N$47:N96))</f>
        <v>6.0853402935923707E-35</v>
      </c>
      <c r="P96" s="6">
        <f t="shared" si="26"/>
        <v>3.5827018955224447E-31</v>
      </c>
      <c r="Q96" s="6">
        <f t="shared" si="10"/>
        <v>3.5827018955224447E-31</v>
      </c>
      <c r="R96" s="6">
        <f t="shared" si="27"/>
        <v>3.0698691770631905E-22</v>
      </c>
      <c r="S96" s="6">
        <f t="shared" si="28"/>
        <v>3.0698691770631905E-22</v>
      </c>
      <c r="T96" s="14">
        <f t="shared" si="29"/>
        <v>9.8401096570705181E-23</v>
      </c>
      <c r="U96" s="4"/>
      <c r="V96" s="4"/>
    </row>
    <row r="97" spans="2:22" x14ac:dyDescent="0.3">
      <c r="B97" s="21">
        <v>50</v>
      </c>
      <c r="C97" s="11">
        <f t="shared" si="16"/>
        <v>84.140266851709384</v>
      </c>
      <c r="D97" s="10">
        <f t="shared" si="17"/>
        <v>5956.7812952370659</v>
      </c>
      <c r="E97" s="10">
        <f t="shared" si="18"/>
        <v>6.0217267986039526E-2</v>
      </c>
      <c r="F97" s="5">
        <f t="shared" si="19"/>
        <v>1</v>
      </c>
      <c r="G97" s="19">
        <f t="shared" si="20"/>
        <v>1</v>
      </c>
      <c r="H97" s="11">
        <f>EXP(-SUM(E$47:E97))</f>
        <v>2.075401901249336E-29</v>
      </c>
      <c r="I97" s="10">
        <f t="shared" si="21"/>
        <v>1.2362715225461488E-25</v>
      </c>
      <c r="J97" s="6">
        <f t="shared" si="4"/>
        <v>1.2362715225461488E-25</v>
      </c>
      <c r="K97" s="6">
        <f t="shared" si="22"/>
        <v>1.2362715225461487E-16</v>
      </c>
      <c r="L97" s="14">
        <f t="shared" si="23"/>
        <v>1.2362715225461487E-16</v>
      </c>
      <c r="M97" s="27">
        <f t="shared" si="24"/>
        <v>0.4</v>
      </c>
      <c r="N97" s="6">
        <f t="shared" si="25"/>
        <v>0.46021726798603957</v>
      </c>
      <c r="O97" s="6">
        <f>EXP(-SUM(N$47:N97))</f>
        <v>3.8407412439158314E-35</v>
      </c>
      <c r="P97" s="6">
        <f t="shared" si="26"/>
        <v>2.2878455601603368E-31</v>
      </c>
      <c r="Q97" s="6">
        <f t="shared" si="10"/>
        <v>2.2878455601603368E-31</v>
      </c>
      <c r="R97" s="6">
        <f t="shared" si="27"/>
        <v>1.9603603012002501E-22</v>
      </c>
      <c r="S97" s="6">
        <f t="shared" si="28"/>
        <v>1.9603603012002501E-22</v>
      </c>
      <c r="T97" s="14">
        <f t="shared" si="29"/>
        <v>6.2847337847201254E-23</v>
      </c>
      <c r="U97" s="4"/>
      <c r="V97" s="4"/>
    </row>
    <row r="98" spans="2:22" x14ac:dyDescent="0.3">
      <c r="B98" s="21">
        <v>51</v>
      </c>
      <c r="C98" s="11">
        <f t="shared" si="16"/>
        <v>84.450704630085113</v>
      </c>
      <c r="D98" s="10">
        <f t="shared" si="17"/>
        <v>6022.9579709859727</v>
      </c>
      <c r="E98" s="10">
        <f t="shared" si="18"/>
        <v>5.9885538515960818E-2</v>
      </c>
      <c r="F98" s="5">
        <f t="shared" si="19"/>
        <v>1</v>
      </c>
      <c r="G98" s="19">
        <f t="shared" si="20"/>
        <v>1</v>
      </c>
      <c r="H98" s="11">
        <f>EXP(-SUM(E$47:E98))</f>
        <v>1.9547636358720477E-29</v>
      </c>
      <c r="I98" s="10">
        <f t="shared" si="21"/>
        <v>1.177345922206907E-25</v>
      </c>
      <c r="J98" s="6">
        <f t="shared" si="4"/>
        <v>1.177345922206907E-25</v>
      </c>
      <c r="K98" s="6">
        <f t="shared" si="22"/>
        <v>1.1773459222069071E-16</v>
      </c>
      <c r="L98" s="14">
        <f t="shared" si="23"/>
        <v>1.1773459222069071E-16</v>
      </c>
      <c r="M98" s="27">
        <f t="shared" si="24"/>
        <v>0.4</v>
      </c>
      <c r="N98" s="6">
        <f t="shared" si="25"/>
        <v>0.45988553851596081</v>
      </c>
      <c r="O98" s="6">
        <f>EXP(-SUM(N$47:N98))</f>
        <v>2.4248746727775846E-35</v>
      </c>
      <c r="P98" s="6">
        <f t="shared" si="26"/>
        <v>1.4604918239047756E-31</v>
      </c>
      <c r="Q98" s="6">
        <f t="shared" si="10"/>
        <v>1.4604918239047756E-31</v>
      </c>
      <c r="R98" s="6">
        <f t="shared" si="27"/>
        <v>1.25143508008898E-22</v>
      </c>
      <c r="S98" s="6">
        <f t="shared" si="28"/>
        <v>1.25143508008898E-22</v>
      </c>
      <c r="T98" s="14">
        <f t="shared" si="29"/>
        <v>4.012599753881044E-23</v>
      </c>
      <c r="U98" s="4"/>
      <c r="V98" s="4"/>
    </row>
    <row r="99" spans="2:22" x14ac:dyDescent="0.3">
      <c r="B99" s="21">
        <v>52</v>
      </c>
      <c r="C99" s="11">
        <f t="shared" si="16"/>
        <v>84.744695991567113</v>
      </c>
      <c r="D99" s="10">
        <f t="shared" si="17"/>
        <v>6086.0788991133113</v>
      </c>
      <c r="E99" s="10">
        <f t="shared" si="18"/>
        <v>5.9574181810834646E-2</v>
      </c>
      <c r="F99" s="5">
        <f t="shared" si="19"/>
        <v>1</v>
      </c>
      <c r="G99" s="19">
        <f t="shared" si="20"/>
        <v>1</v>
      </c>
      <c r="H99" s="11">
        <f>EXP(-SUM(E$47:E99))</f>
        <v>1.841711130956371E-29</v>
      </c>
      <c r="I99" s="10">
        <f t="shared" si="21"/>
        <v>1.1208799252375681E-25</v>
      </c>
      <c r="J99" s="6">
        <f t="shared" si="4"/>
        <v>1.1208799252375681E-25</v>
      </c>
      <c r="K99" s="6">
        <f t="shared" si="22"/>
        <v>1.120879925237568E-16</v>
      </c>
      <c r="L99" s="14">
        <f t="shared" si="23"/>
        <v>1.120879925237568E-16</v>
      </c>
      <c r="M99" s="27">
        <f t="shared" si="24"/>
        <v>0.4</v>
      </c>
      <c r="N99" s="6">
        <f t="shared" si="25"/>
        <v>0.45957418181083465</v>
      </c>
      <c r="O99" s="6">
        <f>EXP(-SUM(N$47:N99))</f>
        <v>1.5314356976829344E-35</v>
      </c>
      <c r="P99" s="6">
        <f t="shared" si="26"/>
        <v>9.3204384850169791E-32</v>
      </c>
      <c r="Q99" s="6">
        <f t="shared" si="10"/>
        <v>9.3204384850169791E-32</v>
      </c>
      <c r="R99" s="6">
        <f t="shared" si="27"/>
        <v>7.9862985133165158E-23</v>
      </c>
      <c r="S99" s="6">
        <f t="shared" si="28"/>
        <v>7.9862985133165158E-23</v>
      </c>
      <c r="T99" s="14">
        <f t="shared" si="29"/>
        <v>2.5610939166711824E-23</v>
      </c>
      <c r="U99" s="4"/>
      <c r="V99" s="4"/>
    </row>
    <row r="100" spans="2:22" x14ac:dyDescent="0.3">
      <c r="B100" s="21">
        <v>53</v>
      </c>
      <c r="C100" s="11">
        <f t="shared" si="16"/>
        <v>85.023112236774963</v>
      </c>
      <c r="D100" s="10">
        <f t="shared" si="17"/>
        <v>6146.2609395919289</v>
      </c>
      <c r="E100" s="10">
        <f t="shared" si="18"/>
        <v>5.9281799533169866E-2</v>
      </c>
      <c r="F100" s="5">
        <f t="shared" si="19"/>
        <v>1</v>
      </c>
      <c r="G100" s="19">
        <f t="shared" si="20"/>
        <v>1</v>
      </c>
      <c r="H100" s="11">
        <f>EXP(-SUM(E$47:E100))</f>
        <v>1.7357043603826131E-29</v>
      </c>
      <c r="I100" s="10">
        <f t="shared" si="21"/>
        <v>1.0668091912899048E-25</v>
      </c>
      <c r="J100" s="6">
        <f t="shared" si="4"/>
        <v>1.0668091912899048E-25</v>
      </c>
      <c r="K100" s="6">
        <f t="shared" si="22"/>
        <v>1.0668091912899048E-16</v>
      </c>
      <c r="L100" s="14">
        <f t="shared" si="23"/>
        <v>1.0668091912899048E-16</v>
      </c>
      <c r="M100" s="27">
        <f t="shared" si="24"/>
        <v>0.4</v>
      </c>
      <c r="N100" s="6">
        <f t="shared" si="25"/>
        <v>0.45928179953316989</v>
      </c>
      <c r="O100" s="6">
        <f>EXP(-SUM(N$47:N100))</f>
        <v>9.6746489437627083E-36</v>
      </c>
      <c r="P100" s="6">
        <f t="shared" si="26"/>
        <v>5.9462916907313041E-32</v>
      </c>
      <c r="Q100" s="6">
        <f t="shared" si="10"/>
        <v>5.9462916907313041E-32</v>
      </c>
      <c r="R100" s="6">
        <f t="shared" si="27"/>
        <v>5.0951315826797447E-23</v>
      </c>
      <c r="S100" s="6">
        <f t="shared" si="28"/>
        <v>5.0951315826797447E-23</v>
      </c>
      <c r="T100" s="14">
        <f t="shared" si="29"/>
        <v>1.6341578894759135E-23</v>
      </c>
      <c r="U100" s="4"/>
      <c r="V100" s="4"/>
    </row>
    <row r="101" spans="2:22" x14ac:dyDescent="0.3">
      <c r="B101" s="21">
        <v>54</v>
      </c>
      <c r="C101" s="11">
        <f t="shared" si="16"/>
        <v>85.286778506439759</v>
      </c>
      <c r="D101" s="10">
        <f t="shared" si="17"/>
        <v>6203.6191939979226</v>
      </c>
      <c r="E101" s="10">
        <f t="shared" si="18"/>
        <v>5.9007105300816182E-2</v>
      </c>
      <c r="F101" s="5">
        <f t="shared" si="19"/>
        <v>1</v>
      </c>
      <c r="G101" s="19">
        <f t="shared" si="20"/>
        <v>1</v>
      </c>
      <c r="H101" s="11">
        <f>EXP(-SUM(E$47:E101))</f>
        <v>1.6362486237081896E-29</v>
      </c>
      <c r="I101" s="10">
        <f t="shared" si="21"/>
        <v>1.0150663368188809E-25</v>
      </c>
      <c r="J101" s="6">
        <f t="shared" si="4"/>
        <v>1.0150663368188809E-25</v>
      </c>
      <c r="K101" s="6">
        <f t="shared" si="22"/>
        <v>1.015066336818881E-16</v>
      </c>
      <c r="L101" s="14">
        <f t="shared" si="23"/>
        <v>1.015066336818881E-16</v>
      </c>
      <c r="M101" s="27">
        <f t="shared" si="24"/>
        <v>0.4</v>
      </c>
      <c r="N101" s="6">
        <f t="shared" si="25"/>
        <v>0.45900710530081623</v>
      </c>
      <c r="O101" s="6">
        <f>EXP(-SUM(N$47:N101))</f>
        <v>6.1135147180990413E-36</v>
      </c>
      <c r="P101" s="6">
        <f t="shared" si="26"/>
        <v>3.792591724798801E-32</v>
      </c>
      <c r="Q101" s="6">
        <f t="shared" si="10"/>
        <v>3.792591724798801E-32</v>
      </c>
      <c r="R101" s="6">
        <f t="shared" si="27"/>
        <v>3.2497150967808792E-23</v>
      </c>
      <c r="S101" s="6">
        <f t="shared" si="28"/>
        <v>3.2497150967808792E-23</v>
      </c>
      <c r="T101" s="14">
        <f t="shared" si="29"/>
        <v>1.0424110326228791E-23</v>
      </c>
      <c r="U101" s="4"/>
      <c r="V101" s="4"/>
    </row>
    <row r="102" spans="2:22" x14ac:dyDescent="0.3">
      <c r="B102" s="21">
        <v>55</v>
      </c>
      <c r="C102" s="11">
        <f t="shared" si="16"/>
        <v>85.536476226869311</v>
      </c>
      <c r="D102" s="10">
        <f t="shared" si="17"/>
        <v>6258.2666733807628</v>
      </c>
      <c r="E102" s="10">
        <f t="shared" si="18"/>
        <v>5.8748914018899048E-2</v>
      </c>
      <c r="F102" s="5">
        <f t="shared" si="19"/>
        <v>1</v>
      </c>
      <c r="G102" s="19">
        <f t="shared" si="20"/>
        <v>1</v>
      </c>
      <c r="H102" s="11">
        <f>EXP(-SUM(E$47:E102))</f>
        <v>1.5428900030128071E-29</v>
      </c>
      <c r="I102" s="10">
        <f t="shared" si="21"/>
        <v>9.6558170865473956E-26</v>
      </c>
      <c r="J102" s="6">
        <f t="shared" si="4"/>
        <v>9.6558170865473956E-26</v>
      </c>
      <c r="K102" s="6">
        <f t="shared" si="22"/>
        <v>9.6558170865473961E-17</v>
      </c>
      <c r="L102" s="14">
        <f t="shared" si="23"/>
        <v>9.6558170865473961E-17</v>
      </c>
      <c r="M102" s="27">
        <f t="shared" si="24"/>
        <v>0.4</v>
      </c>
      <c r="N102" s="6">
        <f t="shared" si="25"/>
        <v>0.45874891401889906</v>
      </c>
      <c r="O102" s="6">
        <f>EXP(-SUM(N$47:N102))</f>
        <v>3.8641932732461755E-36</v>
      </c>
      <c r="P102" s="6">
        <f t="shared" si="26"/>
        <v>2.4183151981458665E-32</v>
      </c>
      <c r="Q102" s="6">
        <f t="shared" si="10"/>
        <v>2.4183151981458665E-32</v>
      </c>
      <c r="R102" s="6">
        <f t="shared" si="27"/>
        <v>2.0721543415291243E-23</v>
      </c>
      <c r="S102" s="6">
        <f t="shared" si="28"/>
        <v>2.0721543415291243E-23</v>
      </c>
      <c r="T102" s="14">
        <f t="shared" si="29"/>
        <v>6.6476417078135782E-24</v>
      </c>
      <c r="U102" s="4"/>
      <c r="V102" s="4"/>
    </row>
    <row r="103" spans="2:22" x14ac:dyDescent="0.3">
      <c r="B103" s="21">
        <v>56</v>
      </c>
      <c r="C103" s="11">
        <f t="shared" si="16"/>
        <v>85.772945425857003</v>
      </c>
      <c r="D103" s="10">
        <f t="shared" si="17"/>
        <v>6310.3140227854065</v>
      </c>
      <c r="E103" s="10">
        <f t="shared" si="18"/>
        <v>5.8506132408069553E-2</v>
      </c>
      <c r="F103" s="5">
        <f t="shared" si="19"/>
        <v>1</v>
      </c>
      <c r="G103" s="19">
        <f t="shared" si="20"/>
        <v>1</v>
      </c>
      <c r="H103" s="11">
        <f>EXP(-SUM(E$47:E103))</f>
        <v>1.4552113541946413E-29</v>
      </c>
      <c r="I103" s="10">
        <f t="shared" si="21"/>
        <v>9.1828406144909856E-26</v>
      </c>
      <c r="J103" s="6">
        <f t="shared" si="4"/>
        <v>9.1828406144909856E-26</v>
      </c>
      <c r="K103" s="6">
        <f t="shared" si="22"/>
        <v>9.1828406144909857E-17</v>
      </c>
      <c r="L103" s="14">
        <f t="shared" si="23"/>
        <v>9.1828406144909857E-17</v>
      </c>
      <c r="M103" s="27">
        <f t="shared" si="24"/>
        <v>0.4</v>
      </c>
      <c r="N103" s="6">
        <f t="shared" si="25"/>
        <v>0.45850613240806959</v>
      </c>
      <c r="O103" s="6">
        <f>EXP(-SUM(N$47:N103))</f>
        <v>2.443048883384212E-36</v>
      </c>
      <c r="P103" s="6">
        <f t="shared" si="26"/>
        <v>1.5416405627169622E-32</v>
      </c>
      <c r="Q103" s="6">
        <f t="shared" si="10"/>
        <v>1.5416405627169622E-32</v>
      </c>
      <c r="R103" s="6">
        <f t="shared" si="27"/>
        <v>1.3209680804059814E-23</v>
      </c>
      <c r="S103" s="6">
        <f t="shared" si="28"/>
        <v>1.3209680804059814E-23</v>
      </c>
      <c r="T103" s="14">
        <f t="shared" si="29"/>
        <v>4.238249613250296E-24</v>
      </c>
      <c r="U103" s="4"/>
      <c r="V103" s="4"/>
    </row>
    <row r="104" spans="2:22" x14ac:dyDescent="0.3">
      <c r="B104" s="21">
        <v>57</v>
      </c>
      <c r="C104" s="11">
        <f t="shared" si="16"/>
        <v>85.996886925898309</v>
      </c>
      <c r="D104" s="10">
        <f t="shared" si="17"/>
        <v>6359.8692961213892</v>
      </c>
      <c r="E104" s="10">
        <f t="shared" si="18"/>
        <v>5.827775057533302E-2</v>
      </c>
      <c r="F104" s="5">
        <f t="shared" si="19"/>
        <v>1</v>
      </c>
      <c r="G104" s="19">
        <f t="shared" si="20"/>
        <v>1</v>
      </c>
      <c r="H104" s="11">
        <f>EXP(-SUM(E$47:E104))</f>
        <v>1.3728287609584192E-29</v>
      </c>
      <c r="I104" s="10">
        <f t="shared" si="21"/>
        <v>8.7310114856518203E-26</v>
      </c>
      <c r="J104" s="6">
        <f t="shared" si="4"/>
        <v>8.7310114856518203E-26</v>
      </c>
      <c r="K104" s="6">
        <f t="shared" si="22"/>
        <v>8.7310114856518206E-17</v>
      </c>
      <c r="L104" s="14">
        <f t="shared" si="23"/>
        <v>8.7310114856518206E-17</v>
      </c>
      <c r="M104" s="27">
        <f t="shared" si="24"/>
        <v>0.4</v>
      </c>
      <c r="N104" s="6">
        <f t="shared" si="25"/>
        <v>0.45827775057533304</v>
      </c>
      <c r="O104" s="6">
        <f>EXP(-SUM(N$47:N104))</f>
        <v>1.5449152447407753E-36</v>
      </c>
      <c r="P104" s="6">
        <f t="shared" si="26"/>
        <v>9.8254590301367189E-33</v>
      </c>
      <c r="Q104" s="6">
        <f t="shared" si="10"/>
        <v>9.8254590301367189E-33</v>
      </c>
      <c r="R104" s="6">
        <f t="shared" si="27"/>
        <v>8.4190297453468208E-24</v>
      </c>
      <c r="S104" s="6">
        <f t="shared" si="28"/>
        <v>8.4190297453468208E-24</v>
      </c>
      <c r="T104" s="14">
        <f t="shared" si="29"/>
        <v>2.7014819388004127E-24</v>
      </c>
      <c r="U104" s="4"/>
      <c r="V104" s="4"/>
    </row>
    <row r="105" spans="2:22" x14ac:dyDescent="0.3">
      <c r="B105" s="21">
        <v>58</v>
      </c>
      <c r="C105" s="11">
        <f t="shared" si="16"/>
        <v>86.208964421214546</v>
      </c>
      <c r="D105" s="10">
        <f t="shared" si="17"/>
        <v>6407.0377756394391</v>
      </c>
      <c r="E105" s="10">
        <f t="shared" si="18"/>
        <v>5.8062834495824445E-2</v>
      </c>
      <c r="F105" s="5">
        <f t="shared" si="19"/>
        <v>1</v>
      </c>
      <c r="G105" s="19">
        <f t="shared" si="20"/>
        <v>1</v>
      </c>
      <c r="H105" s="11">
        <f>EXP(-SUM(E$47:E105))</f>
        <v>1.2953883904844565E-29</v>
      </c>
      <c r="I105" s="10">
        <f t="shared" si="21"/>
        <v>8.299602351958686E-26</v>
      </c>
      <c r="J105" s="6">
        <f t="shared" si="4"/>
        <v>8.299602351958686E-26</v>
      </c>
      <c r="K105" s="6">
        <f t="shared" si="22"/>
        <v>8.2996023519586863E-17</v>
      </c>
      <c r="L105" s="14">
        <f t="shared" si="23"/>
        <v>8.2996023519586863E-17</v>
      </c>
      <c r="M105" s="27">
        <f t="shared" si="24"/>
        <v>0.4</v>
      </c>
      <c r="N105" s="6">
        <f t="shared" si="25"/>
        <v>0.45806283449582447</v>
      </c>
      <c r="O105" s="6">
        <f>EXP(-SUM(N$47:N105))</f>
        <v>9.7717083704912203E-37</v>
      </c>
      <c r="P105" s="6">
        <f t="shared" si="26"/>
        <v>6.260770466226935E-33</v>
      </c>
      <c r="Q105" s="6">
        <f t="shared" si="10"/>
        <v>6.260770466226935E-33</v>
      </c>
      <c r="R105" s="6">
        <f t="shared" si="27"/>
        <v>5.3645954476307059E-24</v>
      </c>
      <c r="S105" s="6">
        <f t="shared" si="28"/>
        <v>5.3645954476307059E-24</v>
      </c>
      <c r="T105" s="14">
        <f t="shared" si="29"/>
        <v>1.7215518931823377E-24</v>
      </c>
      <c r="U105" s="4"/>
      <c r="V105" s="4"/>
    </row>
    <row r="106" spans="2:22" x14ac:dyDescent="0.3">
      <c r="B106" s="21">
        <v>59</v>
      </c>
      <c r="C106" s="11">
        <f t="shared" si="16"/>
        <v>86.409806444739942</v>
      </c>
      <c r="D106" s="10">
        <f t="shared" si="17"/>
        <v>6451.9218308044074</v>
      </c>
      <c r="E106" s="10">
        <f t="shared" si="18"/>
        <v>5.7860519292506123E-2</v>
      </c>
      <c r="F106" s="5">
        <f t="shared" si="19"/>
        <v>1</v>
      </c>
      <c r="G106" s="19">
        <f t="shared" si="20"/>
        <v>1</v>
      </c>
      <c r="H106" s="11">
        <f>EXP(-SUM(E$47:E106))</f>
        <v>1.2225636987487025E-29</v>
      </c>
      <c r="I106" s="10">
        <f t="shared" si="21"/>
        <v>7.8878854175057369E-26</v>
      </c>
      <c r="J106" s="6">
        <f t="shared" si="4"/>
        <v>7.8878854175057369E-26</v>
      </c>
      <c r="K106" s="6">
        <f t="shared" si="22"/>
        <v>7.8878854175057369E-17</v>
      </c>
      <c r="L106" s="14">
        <f t="shared" si="23"/>
        <v>7.8878854175057369E-17</v>
      </c>
      <c r="M106" s="27">
        <f t="shared" si="24"/>
        <v>0.4</v>
      </c>
      <c r="N106" s="6">
        <f t="shared" si="25"/>
        <v>0.45786051929250615</v>
      </c>
      <c r="O106" s="6">
        <f>EXP(-SUM(N$47:N106))</f>
        <v>6.1819316680597712E-37</v>
      </c>
      <c r="P106" s="6">
        <f t="shared" si="26"/>
        <v>3.9885339885695944E-33</v>
      </c>
      <c r="Q106" s="6">
        <f t="shared" si="10"/>
        <v>3.9885339885695944E-33</v>
      </c>
      <c r="R106" s="6">
        <f t="shared" si="27"/>
        <v>3.4176099240858534E-24</v>
      </c>
      <c r="S106" s="6">
        <f t="shared" si="28"/>
        <v>3.4176099240858534E-24</v>
      </c>
      <c r="T106" s="14">
        <f t="shared" si="29"/>
        <v>1.0968474358843668E-24</v>
      </c>
      <c r="U106" s="4"/>
      <c r="V106" s="4"/>
    </row>
    <row r="107" spans="2:22" x14ac:dyDescent="0.3">
      <c r="B107" s="21">
        <v>60</v>
      </c>
      <c r="C107" s="11">
        <f t="shared" si="16"/>
        <v>86.60000823090131</v>
      </c>
      <c r="D107" s="10">
        <f t="shared" si="17"/>
        <v>6494.6208118443228</v>
      </c>
      <c r="E107" s="10">
        <f t="shared" si="18"/>
        <v>5.7670003216473337E-2</v>
      </c>
      <c r="F107" s="5">
        <f t="shared" si="19"/>
        <v>1</v>
      </c>
      <c r="G107" s="19">
        <f t="shared" si="20"/>
        <v>1</v>
      </c>
      <c r="H107" s="11">
        <f>EXP(-SUM(E$47:E107))</f>
        <v>1.1540529409908524E-29</v>
      </c>
      <c r="I107" s="10">
        <f t="shared" si="21"/>
        <v>7.4951362485293389E-26</v>
      </c>
      <c r="J107" s="6">
        <f t="shared" si="4"/>
        <v>7.4951362485293389E-26</v>
      </c>
      <c r="K107" s="6">
        <f t="shared" si="22"/>
        <v>7.4951362485293393E-17</v>
      </c>
      <c r="L107" s="14">
        <f t="shared" si="23"/>
        <v>7.4951362485293393E-17</v>
      </c>
      <c r="M107" s="27">
        <f t="shared" si="24"/>
        <v>0.4</v>
      </c>
      <c r="N107" s="6">
        <f t="shared" si="25"/>
        <v>0.45767000321647333</v>
      </c>
      <c r="O107" s="6">
        <f>EXP(-SUM(N$47:N107))</f>
        <v>3.9116558956192986E-37</v>
      </c>
      <c r="P107" s="6">
        <f t="shared" si="26"/>
        <v>2.5404721788462642E-33</v>
      </c>
      <c r="Q107" s="6">
        <f t="shared" si="10"/>
        <v>2.5404721788462642E-33</v>
      </c>
      <c r="R107" s="6">
        <f t="shared" si="27"/>
        <v>2.1768256094021019E-24</v>
      </c>
      <c r="S107" s="6">
        <f t="shared" si="28"/>
        <v>2.1768256094021019E-24</v>
      </c>
      <c r="T107" s="14">
        <f t="shared" si="29"/>
        <v>6.9869171746490132E-25</v>
      </c>
      <c r="U107" s="4"/>
      <c r="V107" s="4"/>
    </row>
    <row r="108" spans="2:22" x14ac:dyDescent="0.3">
      <c r="B108" s="21">
        <v>61</v>
      </c>
      <c r="C108" s="11">
        <f t="shared" si="16"/>
        <v>86.780133479711097</v>
      </c>
      <c r="D108" s="10">
        <f t="shared" si="17"/>
        <v>6535.230973710095</v>
      </c>
      <c r="E108" s="10">
        <f t="shared" si="18"/>
        <v>5.7490542243859924E-2</v>
      </c>
      <c r="F108" s="5">
        <f t="shared" si="19"/>
        <v>1</v>
      </c>
      <c r="G108" s="19">
        <f t="shared" si="20"/>
        <v>1</v>
      </c>
      <c r="H108" s="11">
        <f>EXP(-SUM(E$47:E108))</f>
        <v>1.0895769491586496E-29</v>
      </c>
      <c r="I108" s="10">
        <f t="shared" si="21"/>
        <v>7.1206370263821559E-26</v>
      </c>
      <c r="J108" s="6">
        <f t="shared" si="4"/>
        <v>7.1206370263821559E-26</v>
      </c>
      <c r="K108" s="6">
        <f t="shared" si="22"/>
        <v>7.1206370263821566E-17</v>
      </c>
      <c r="L108" s="14">
        <f t="shared" si="23"/>
        <v>7.1206370263821566E-17</v>
      </c>
      <c r="M108" s="27">
        <f t="shared" si="24"/>
        <v>0.4</v>
      </c>
      <c r="N108" s="6">
        <f t="shared" si="25"/>
        <v>0.45749054224385993</v>
      </c>
      <c r="O108" s="6">
        <f>EXP(-SUM(N$47:N108))</f>
        <v>2.4755689411546199E-37</v>
      </c>
      <c r="P108" s="6">
        <f t="shared" si="26"/>
        <v>1.6178414821788376E-33</v>
      </c>
      <c r="Q108" s="6">
        <f t="shared" si="10"/>
        <v>1.6178414821788376E-33</v>
      </c>
      <c r="R108" s="6">
        <f t="shared" si="27"/>
        <v>1.386261498820793E-24</v>
      </c>
      <c r="S108" s="6">
        <f t="shared" si="28"/>
        <v>1.386261498820793E-24</v>
      </c>
      <c r="T108" s="14">
        <f t="shared" si="29"/>
        <v>4.4498269947155695E-25</v>
      </c>
      <c r="U108" s="4"/>
      <c r="V108" s="4"/>
    </row>
    <row r="109" spans="2:22" x14ac:dyDescent="0.3">
      <c r="B109" s="21">
        <v>62</v>
      </c>
      <c r="C109" s="11">
        <f t="shared" si="16"/>
        <v>86.950716027402109</v>
      </c>
      <c r="D109" s="10">
        <f t="shared" si="17"/>
        <v>6573.8454266001154</v>
      </c>
      <c r="E109" s="10">
        <f t="shared" si="18"/>
        <v>5.7321445216635833E-2</v>
      </c>
      <c r="F109" s="5">
        <f t="shared" si="19"/>
        <v>1</v>
      </c>
      <c r="G109" s="19">
        <f t="shared" si="20"/>
        <v>1</v>
      </c>
      <c r="H109" s="11">
        <f>EXP(-SUM(E$47:E109))</f>
        <v>1.0288771434963495E-29</v>
      </c>
      <c r="I109" s="10">
        <f t="shared" si="21"/>
        <v>6.7636793043068679E-26</v>
      </c>
      <c r="J109" s="6">
        <f t="shared" si="4"/>
        <v>6.7636793043068679E-26</v>
      </c>
      <c r="K109" s="6">
        <f t="shared" si="22"/>
        <v>6.7636793043068683E-17</v>
      </c>
      <c r="L109" s="14">
        <f t="shared" si="23"/>
        <v>6.7636793043068683E-17</v>
      </c>
      <c r="M109" s="27">
        <f t="shared" si="24"/>
        <v>0.4</v>
      </c>
      <c r="N109" s="6">
        <f t="shared" si="25"/>
        <v>0.45732144521663587</v>
      </c>
      <c r="O109" s="6">
        <f>EXP(-SUM(N$47:N109))</f>
        <v>1.5669778055246744E-37</v>
      </c>
      <c r="P109" s="6">
        <f t="shared" si="26"/>
        <v>1.0301069880432266E-33</v>
      </c>
      <c r="Q109" s="6">
        <f t="shared" si="10"/>
        <v>1.0301069880432266E-33</v>
      </c>
      <c r="R109" s="6">
        <f t="shared" si="27"/>
        <v>8.8265610254189526E-25</v>
      </c>
      <c r="S109" s="6">
        <f t="shared" si="28"/>
        <v>8.8265610254189526E-25</v>
      </c>
      <c r="T109" s="14">
        <f t="shared" si="29"/>
        <v>2.8335013400686552E-25</v>
      </c>
      <c r="U109" s="4"/>
      <c r="V109" s="4"/>
    </row>
    <row r="110" spans="2:22" x14ac:dyDescent="0.3">
      <c r="B110" s="21">
        <v>63</v>
      </c>
      <c r="C110" s="11">
        <f t="shared" si="16"/>
        <v>87.112261428555087</v>
      </c>
      <c r="D110" s="10">
        <f t="shared" si="17"/>
        <v>6610.5541095898652</v>
      </c>
      <c r="E110" s="10">
        <f t="shared" si="18"/>
        <v>5.7162069464215433E-2</v>
      </c>
      <c r="F110" s="5">
        <f t="shared" si="19"/>
        <v>1</v>
      </c>
      <c r="G110" s="19">
        <f t="shared" si="20"/>
        <v>1</v>
      </c>
      <c r="H110" s="11">
        <f>EXP(-SUM(E$47:E110))</f>
        <v>9.7171374996414237E-30</v>
      </c>
      <c r="I110" s="10">
        <f t="shared" si="21"/>
        <v>6.4235663231704398E-26</v>
      </c>
      <c r="J110" s="6">
        <f t="shared" si="4"/>
        <v>6.4235663231704398E-26</v>
      </c>
      <c r="K110" s="6">
        <f t="shared" si="22"/>
        <v>6.4235663231704397E-17</v>
      </c>
      <c r="L110" s="14">
        <f t="shared" si="23"/>
        <v>6.4235663231704397E-17</v>
      </c>
      <c r="M110" s="27">
        <f t="shared" si="24"/>
        <v>0.4</v>
      </c>
      <c r="N110" s="6">
        <f t="shared" si="25"/>
        <v>0.45716206946421545</v>
      </c>
      <c r="O110" s="6">
        <f>EXP(-SUM(N$47:N110))</f>
        <v>9.920187507963352E-38</v>
      </c>
      <c r="P110" s="6">
        <f t="shared" si="26"/>
        <v>6.5577936298669183E-34</v>
      </c>
      <c r="Q110" s="6">
        <f t="shared" si="10"/>
        <v>6.5577936298669183E-34</v>
      </c>
      <c r="R110" s="6">
        <f t="shared" si="27"/>
        <v>5.6191023202431748E-25</v>
      </c>
      <c r="S110" s="6">
        <f t="shared" si="28"/>
        <v>5.6191023202431748E-25</v>
      </c>
      <c r="T110" s="14">
        <f t="shared" si="29"/>
        <v>1.8039762447767048E-25</v>
      </c>
      <c r="U110" s="4"/>
      <c r="V110" s="4"/>
    </row>
    <row r="111" spans="2:22" x14ac:dyDescent="0.3">
      <c r="B111" s="21">
        <v>64</v>
      </c>
      <c r="C111" s="11">
        <f t="shared" ref="C111:C142" si="30">Linf-(Linf-L0)*EXP(-K*B111)</f>
        <v>87.265248454408095</v>
      </c>
      <c r="D111" s="10">
        <f t="shared" ref="D111:D142" si="31">W_1*C111^W_2</f>
        <v>6645.4437842607149</v>
      </c>
      <c r="E111" s="10">
        <f t="shared" ref="E111:E142" si="32">(D111/Winf)^(-1/2)*(A/3)*Winf^(-1/3)</f>
        <v>5.701181685101521E-2</v>
      </c>
      <c r="F111" s="5">
        <f t="shared" ref="F111:F147" si="33">IF(B111&lt;Amat,0,1)</f>
        <v>1</v>
      </c>
      <c r="G111" s="19">
        <f t="shared" ref="G111:G147" si="34">_xlfn.NORM.DIST((B111-Amat)/(0.25*Amat)*1.96,0,1,TRUE)</f>
        <v>1</v>
      </c>
      <c r="H111" s="11">
        <f>EXP(-SUM(E$47:E111))</f>
        <v>9.178641990094561E-30</v>
      </c>
      <c r="I111" s="10">
        <f t="shared" ref="I111:I142" si="35">H111*D111</f>
        <v>6.0996149361028296E-26</v>
      </c>
      <c r="J111" s="6">
        <f t="shared" ref="J111:J147" si="36">I111*G111</f>
        <v>6.0996149361028296E-26</v>
      </c>
      <c r="K111" s="6">
        <f t="shared" ref="K111:K147" si="37">R0*I111</f>
        <v>6.0996149361028295E-17</v>
      </c>
      <c r="L111" s="14">
        <f t="shared" ref="L111:L147" si="38">R0*J111</f>
        <v>6.0996149361028295E-17</v>
      </c>
      <c r="M111" s="27">
        <f t="shared" ref="M111:M147" si="39">F111*F</f>
        <v>0.4</v>
      </c>
      <c r="N111" s="6">
        <f t="shared" ref="N111:N142" si="40">E111+M111</f>
        <v>0.45701181685101522</v>
      </c>
      <c r="O111" s="6">
        <f>EXP(-SUM(N$47:N111))</f>
        <v>6.2811934754124895E-38</v>
      </c>
      <c r="P111" s="6">
        <f t="shared" ref="P111:P142" si="41">O111*D111</f>
        <v>4.1741318138918881E-34</v>
      </c>
      <c r="Q111" s="6">
        <f t="shared" ref="Q111:Q147" si="42">G111*P111</f>
        <v>4.1741318138918881E-34</v>
      </c>
      <c r="R111" s="6">
        <f t="shared" ref="R111:R147" si="43">EXP(Ln_Rinput)*P111</f>
        <v>3.5766410296319045E-25</v>
      </c>
      <c r="S111" s="6">
        <f t="shared" ref="S111:S147" si="44">EXP(Ln_Rinput)*Q111</f>
        <v>3.5766410296319045E-25</v>
      </c>
      <c r="T111" s="14">
        <f t="shared" ref="T111:T147" si="45">EXP(Ln_Rinput)*O111*F*F111*D111*(1-EXP(-F*F111-E111))/(F*F111+E111)</f>
        <v>1.1483370528357224E-25</v>
      </c>
      <c r="U111" s="4"/>
      <c r="V111" s="4"/>
    </row>
    <row r="112" spans="2:22" x14ac:dyDescent="0.3">
      <c r="B112" s="21">
        <v>65</v>
      </c>
      <c r="C112" s="11">
        <f t="shared" si="30"/>
        <v>87.410130511788282</v>
      </c>
      <c r="D112" s="10">
        <f t="shared" si="31"/>
        <v>6678.5980455459321</v>
      </c>
      <c r="E112" s="10">
        <f t="shared" si="32"/>
        <v>5.6870130202139074E-2</v>
      </c>
      <c r="F112" s="5">
        <f t="shared" si="33"/>
        <v>1</v>
      </c>
      <c r="G112" s="19">
        <f t="shared" si="34"/>
        <v>1</v>
      </c>
      <c r="H112" s="11">
        <f>EXP(-SUM(E$47:E112))</f>
        <v>8.6712168447387525E-30</v>
      </c>
      <c r="I112" s="10">
        <f t="shared" si="35"/>
        <v>5.7911571871777195E-26</v>
      </c>
      <c r="J112" s="6">
        <f t="shared" si="36"/>
        <v>5.7911571871777195E-26</v>
      </c>
      <c r="K112" s="6">
        <f t="shared" si="37"/>
        <v>5.7911571871777196E-17</v>
      </c>
      <c r="L112" s="14">
        <f t="shared" si="38"/>
        <v>5.7911571871777196E-17</v>
      </c>
      <c r="M112" s="27">
        <f t="shared" si="39"/>
        <v>0.4</v>
      </c>
      <c r="N112" s="6">
        <f t="shared" si="40"/>
        <v>0.45687013020213907</v>
      </c>
      <c r="O112" s="6">
        <f>EXP(-SUM(N$47:N112))</f>
        <v>3.9776447631406876E-38</v>
      </c>
      <c r="P112" s="6">
        <f t="shared" si="41"/>
        <v>2.656509054098741E-34</v>
      </c>
      <c r="Q112" s="6">
        <f t="shared" si="42"/>
        <v>2.656509054098741E-34</v>
      </c>
      <c r="R112" s="6">
        <f t="shared" si="43"/>
        <v>2.2762528118677874E-25</v>
      </c>
      <c r="S112" s="6">
        <f t="shared" si="44"/>
        <v>2.2762528118677874E-25</v>
      </c>
      <c r="T112" s="14">
        <f t="shared" si="45"/>
        <v>7.3087473790851708E-26</v>
      </c>
      <c r="U112" s="4"/>
      <c r="V112" s="4"/>
    </row>
    <row r="113" spans="2:22" x14ac:dyDescent="0.3">
      <c r="B113" s="21">
        <v>66</v>
      </c>
      <c r="C113" s="11">
        <f t="shared" si="30"/>
        <v>87.547336986871201</v>
      </c>
      <c r="D113" s="10">
        <f t="shared" si="31"/>
        <v>6710.0973473073082</v>
      </c>
      <c r="E113" s="10">
        <f t="shared" si="32"/>
        <v>5.6736490065412259E-2</v>
      </c>
      <c r="F113" s="5">
        <f t="shared" si="33"/>
        <v>1</v>
      </c>
      <c r="G113" s="19">
        <f t="shared" si="34"/>
        <v>1</v>
      </c>
      <c r="H113" s="11">
        <f>EXP(-SUM(E$47:E113))</f>
        <v>8.1929386420333703E-30</v>
      </c>
      <c r="I113" s="10">
        <f t="shared" si="35"/>
        <v>5.497541584855966E-26</v>
      </c>
      <c r="J113" s="6">
        <f t="shared" si="36"/>
        <v>5.497541584855966E-26</v>
      </c>
      <c r="K113" s="6">
        <f t="shared" si="37"/>
        <v>5.4975415848559663E-17</v>
      </c>
      <c r="L113" s="14">
        <f t="shared" si="38"/>
        <v>5.4975415848559663E-17</v>
      </c>
      <c r="M113" s="27">
        <f t="shared" si="39"/>
        <v>0.4</v>
      </c>
      <c r="N113" s="6">
        <f t="shared" si="40"/>
        <v>0.45673649006541228</v>
      </c>
      <c r="O113" s="6">
        <f>EXP(-SUM(N$47:N113))</f>
        <v>2.5192302185075484E-38</v>
      </c>
      <c r="P113" s="6">
        <f t="shared" si="41"/>
        <v>1.6904280006463912E-34</v>
      </c>
      <c r="Q113" s="6">
        <f t="shared" si="42"/>
        <v>1.6904280006463912E-34</v>
      </c>
      <c r="R113" s="6">
        <f t="shared" si="43"/>
        <v>1.4484578864109406E-25</v>
      </c>
      <c r="S113" s="6">
        <f t="shared" si="44"/>
        <v>1.4484578864109406E-25</v>
      </c>
      <c r="T113" s="14">
        <f t="shared" si="45"/>
        <v>4.6510943166125537E-26</v>
      </c>
      <c r="U113" s="4"/>
      <c r="V113" s="4"/>
    </row>
    <row r="114" spans="2:22" x14ac:dyDescent="0.3">
      <c r="B114" s="21">
        <v>67</v>
      </c>
      <c r="C114" s="11">
        <f t="shared" si="30"/>
        <v>87.677274517750433</v>
      </c>
      <c r="D114" s="10">
        <f t="shared" si="31"/>
        <v>6740.0190404249834</v>
      </c>
      <c r="E114" s="10">
        <f t="shared" si="32"/>
        <v>5.6610411773184384E-2</v>
      </c>
      <c r="F114" s="5">
        <f t="shared" si="33"/>
        <v>1</v>
      </c>
      <c r="G114" s="19">
        <f t="shared" si="34"/>
        <v>1</v>
      </c>
      <c r="H114" s="11">
        <f>EXP(-SUM(E$47:E114))</f>
        <v>7.7420168631088168E-30</v>
      </c>
      <c r="I114" s="10">
        <f t="shared" si="35"/>
        <v>5.2181341068644724E-26</v>
      </c>
      <c r="J114" s="6">
        <f t="shared" si="36"/>
        <v>5.2181341068644724E-26</v>
      </c>
      <c r="K114" s="6">
        <f t="shared" si="37"/>
        <v>5.2181341068644727E-17</v>
      </c>
      <c r="L114" s="14">
        <f t="shared" si="38"/>
        <v>5.2181341068644727E-17</v>
      </c>
      <c r="M114" s="27">
        <f t="shared" si="39"/>
        <v>0.4</v>
      </c>
      <c r="N114" s="6">
        <f t="shared" si="40"/>
        <v>0.4566104117731844</v>
      </c>
      <c r="O114" s="6">
        <f>EXP(-SUM(N$47:N114))</f>
        <v>1.5957486102376686E-38</v>
      </c>
      <c r="P114" s="6">
        <f t="shared" si="41"/>
        <v>1.0755376016733592E-34</v>
      </c>
      <c r="Q114" s="6">
        <f t="shared" si="42"/>
        <v>1.0755376016733592E-34</v>
      </c>
      <c r="R114" s="6">
        <f t="shared" si="43"/>
        <v>9.215837176617889E-26</v>
      </c>
      <c r="S114" s="6">
        <f t="shared" si="44"/>
        <v>9.215837176617889E-26</v>
      </c>
      <c r="T114" s="14">
        <f t="shared" si="45"/>
        <v>2.9594388301986034E-26</v>
      </c>
      <c r="U114" s="4"/>
      <c r="V114" s="4"/>
    </row>
    <row r="115" spans="2:22" x14ac:dyDescent="0.3">
      <c r="B115" s="21">
        <v>68</v>
      </c>
      <c r="C115" s="11">
        <f t="shared" si="30"/>
        <v>87.800328199588591</v>
      </c>
      <c r="D115" s="10">
        <f t="shared" si="31"/>
        <v>6768.4374214272166</v>
      </c>
      <c r="E115" s="10">
        <f t="shared" si="32"/>
        <v>5.6491442771807863E-2</v>
      </c>
      <c r="F115" s="5">
        <f t="shared" si="33"/>
        <v>1</v>
      </c>
      <c r="G115" s="19">
        <f t="shared" si="34"/>
        <v>1</v>
      </c>
      <c r="H115" s="11">
        <f>EXP(-SUM(E$47:E115))</f>
        <v>7.3167832708366366E-30</v>
      </c>
      <c r="I115" s="10">
        <f t="shared" si="35"/>
        <v>4.9523189694803323E-26</v>
      </c>
      <c r="J115" s="6">
        <f t="shared" si="36"/>
        <v>4.9523189694803323E-26</v>
      </c>
      <c r="K115" s="6">
        <f t="shared" si="37"/>
        <v>4.9523189694803324E-17</v>
      </c>
      <c r="L115" s="14">
        <f t="shared" si="38"/>
        <v>4.9523189694803324E-17</v>
      </c>
      <c r="M115" s="27">
        <f t="shared" si="39"/>
        <v>0.4</v>
      </c>
      <c r="N115" s="6">
        <f t="shared" si="40"/>
        <v>0.45649144277180786</v>
      </c>
      <c r="O115" s="6">
        <f>EXP(-SUM(N$47:N115))</f>
        <v>1.01091062288531E-38</v>
      </c>
      <c r="P115" s="6">
        <f t="shared" si="41"/>
        <v>6.8422852896552292E-35</v>
      </c>
      <c r="Q115" s="6">
        <f t="shared" si="42"/>
        <v>6.8422852896552292E-35</v>
      </c>
      <c r="R115" s="6">
        <f t="shared" si="43"/>
        <v>5.8628714651466821E-26</v>
      </c>
      <c r="S115" s="6">
        <f t="shared" si="44"/>
        <v>5.8628714651466821E-26</v>
      </c>
      <c r="T115" s="14">
        <f t="shared" si="45"/>
        <v>1.8828200851561338E-26</v>
      </c>
      <c r="U115" s="4"/>
      <c r="V115" s="4"/>
    </row>
    <row r="116" spans="2:22" x14ac:dyDescent="0.3">
      <c r="B116" s="21">
        <v>69</v>
      </c>
      <c r="C116" s="11">
        <f t="shared" si="30"/>
        <v>87.916862725921874</v>
      </c>
      <c r="D116" s="10">
        <f t="shared" si="31"/>
        <v>6795.4237899086229</v>
      </c>
      <c r="E116" s="10">
        <f t="shared" si="32"/>
        <v>5.6379160190575428E-2</v>
      </c>
      <c r="F116" s="5">
        <f t="shared" si="33"/>
        <v>1</v>
      </c>
      <c r="G116" s="19">
        <f t="shared" si="34"/>
        <v>1</v>
      </c>
      <c r="H116" s="11">
        <f>EXP(-SUM(E$47:E116))</f>
        <v>6.9156822828213323E-30</v>
      </c>
      <c r="I116" s="10">
        <f t="shared" si="35"/>
        <v>4.6994991908133655E-26</v>
      </c>
      <c r="J116" s="6">
        <f t="shared" si="36"/>
        <v>4.6994991908133655E-26</v>
      </c>
      <c r="K116" s="6">
        <f t="shared" si="37"/>
        <v>4.6994991908133657E-17</v>
      </c>
      <c r="L116" s="14">
        <f t="shared" si="38"/>
        <v>4.6994991908133657E-17</v>
      </c>
      <c r="M116" s="27">
        <f t="shared" si="39"/>
        <v>0.4</v>
      </c>
      <c r="N116" s="6">
        <f t="shared" si="40"/>
        <v>0.45637916019057545</v>
      </c>
      <c r="O116" s="6">
        <f>EXP(-SUM(N$47:N116))</f>
        <v>6.4048624792204178E-39</v>
      </c>
      <c r="P116" s="6">
        <f t="shared" si="41"/>
        <v>4.3523754862387549E-35</v>
      </c>
      <c r="Q116" s="6">
        <f t="shared" si="42"/>
        <v>4.3523754862387549E-35</v>
      </c>
      <c r="R116" s="6">
        <f t="shared" si="43"/>
        <v>3.7293706654489544E-26</v>
      </c>
      <c r="S116" s="6">
        <f t="shared" si="44"/>
        <v>3.7293706654489544E-26</v>
      </c>
      <c r="T116" s="14">
        <f t="shared" si="45"/>
        <v>1.1977233970448593E-26</v>
      </c>
      <c r="U116" s="4"/>
      <c r="V116" s="4"/>
    </row>
    <row r="117" spans="2:22" x14ac:dyDescent="0.3">
      <c r="B117" s="21">
        <v>70</v>
      </c>
      <c r="C117" s="11">
        <f t="shared" si="30"/>
        <v>88.027223469500299</v>
      </c>
      <c r="D117" s="10">
        <f t="shared" si="31"/>
        <v>6821.0465131857181</v>
      </c>
      <c r="E117" s="10">
        <f t="shared" si="32"/>
        <v>5.6273168625260252E-2</v>
      </c>
      <c r="F117" s="5">
        <f t="shared" si="33"/>
        <v>1</v>
      </c>
      <c r="G117" s="19">
        <f t="shared" si="34"/>
        <v>1</v>
      </c>
      <c r="H117" s="11">
        <f>EXP(-SUM(E$47:E117))</f>
        <v>6.5372622309238116E-30</v>
      </c>
      <c r="I117" s="10">
        <f t="shared" si="35"/>
        <v>4.4590969746023555E-26</v>
      </c>
      <c r="J117" s="6">
        <f t="shared" si="36"/>
        <v>4.4590969746023555E-26</v>
      </c>
      <c r="K117" s="6">
        <f t="shared" si="37"/>
        <v>4.4590969746023556E-17</v>
      </c>
      <c r="L117" s="14">
        <f t="shared" si="38"/>
        <v>4.4590969746023556E-17</v>
      </c>
      <c r="M117" s="27">
        <f t="shared" si="39"/>
        <v>0.4</v>
      </c>
      <c r="N117" s="6">
        <f t="shared" si="40"/>
        <v>0.45627316862526029</v>
      </c>
      <c r="O117" s="6">
        <f>EXP(-SUM(N$47:N117))</f>
        <v>4.058381690061931E-39</v>
      </c>
      <c r="P117" s="6">
        <f t="shared" si="41"/>
        <v>2.7682410276173698E-35</v>
      </c>
      <c r="Q117" s="6">
        <f t="shared" si="42"/>
        <v>2.7682410276173698E-35</v>
      </c>
      <c r="R117" s="6">
        <f t="shared" si="43"/>
        <v>2.3719913219643022E-26</v>
      </c>
      <c r="S117" s="6">
        <f t="shared" si="44"/>
        <v>2.3719913219643022E-26</v>
      </c>
      <c r="T117" s="14">
        <f t="shared" si="45"/>
        <v>7.6182522774172093E-27</v>
      </c>
      <c r="U117" s="4"/>
      <c r="V117" s="4"/>
    </row>
    <row r="118" spans="2:22" x14ac:dyDescent="0.3">
      <c r="B118" s="21">
        <v>71</v>
      </c>
      <c r="C118" s="11">
        <f t="shared" si="30"/>
        <v>88.131737505867093</v>
      </c>
      <c r="D118" s="10">
        <f t="shared" si="31"/>
        <v>6845.3710968197774</v>
      </c>
      <c r="E118" s="10">
        <f t="shared" si="32"/>
        <v>5.6173098114319919E-2</v>
      </c>
      <c r="F118" s="5">
        <f t="shared" si="33"/>
        <v>1</v>
      </c>
      <c r="G118" s="19">
        <f t="shared" si="34"/>
        <v>1</v>
      </c>
      <c r="H118" s="11">
        <f>EXP(-SUM(E$47:E118))</f>
        <v>6.1801674129978994E-30</v>
      </c>
      <c r="I118" s="10">
        <f t="shared" si="35"/>
        <v>4.2305539382443276E-26</v>
      </c>
      <c r="J118" s="6">
        <f t="shared" si="36"/>
        <v>4.2305539382443276E-26</v>
      </c>
      <c r="K118" s="6">
        <f t="shared" si="37"/>
        <v>4.2305539382443278E-17</v>
      </c>
      <c r="L118" s="14">
        <f t="shared" si="38"/>
        <v>4.2305539382443278E-17</v>
      </c>
      <c r="M118" s="27">
        <f t="shared" si="39"/>
        <v>0.4</v>
      </c>
      <c r="N118" s="6">
        <f t="shared" si="40"/>
        <v>0.45617309811431994</v>
      </c>
      <c r="O118" s="6">
        <f>EXP(-SUM(N$47:N118))</f>
        <v>2.5718132568317178E-39</v>
      </c>
      <c r="P118" s="6">
        <f t="shared" si="41"/>
        <v>1.760501613473378E-35</v>
      </c>
      <c r="Q118" s="6">
        <f t="shared" si="42"/>
        <v>1.760501613473378E-35</v>
      </c>
      <c r="R118" s="6">
        <f t="shared" si="43"/>
        <v>1.508501069018981E-26</v>
      </c>
      <c r="S118" s="6">
        <f t="shared" si="44"/>
        <v>1.508501069018981E-26</v>
      </c>
      <c r="T118" s="14">
        <f t="shared" si="45"/>
        <v>4.8451581804974131E-27</v>
      </c>
      <c r="U118" s="4"/>
      <c r="V118" s="4"/>
    </row>
    <row r="119" spans="2:22" x14ac:dyDescent="0.3">
      <c r="B119" s="21">
        <v>72</v>
      </c>
      <c r="C119" s="11">
        <f t="shared" si="30"/>
        <v>88.230714582710689</v>
      </c>
      <c r="D119" s="10">
        <f t="shared" si="31"/>
        <v>6868.4602598002202</v>
      </c>
      <c r="E119" s="10">
        <f t="shared" si="32"/>
        <v>5.6078602288363588E-2</v>
      </c>
      <c r="F119" s="5">
        <f t="shared" si="33"/>
        <v>1</v>
      </c>
      <c r="G119" s="19">
        <f t="shared" si="34"/>
        <v>1</v>
      </c>
      <c r="H119" s="11">
        <f>EXP(-SUM(E$47:E119))</f>
        <v>5.8431308538368469E-30</v>
      </c>
      <c r="I119" s="10">
        <f t="shared" si="35"/>
        <v>4.013331206239091E-26</v>
      </c>
      <c r="J119" s="6">
        <f t="shared" si="36"/>
        <v>4.013331206239091E-26</v>
      </c>
      <c r="K119" s="6">
        <f t="shared" si="37"/>
        <v>4.0133312062390913E-17</v>
      </c>
      <c r="L119" s="14">
        <f t="shared" si="38"/>
        <v>4.0133312062390913E-17</v>
      </c>
      <c r="M119" s="27">
        <f t="shared" si="39"/>
        <v>0.4</v>
      </c>
      <c r="N119" s="6">
        <f t="shared" si="40"/>
        <v>0.45607860228836361</v>
      </c>
      <c r="O119" s="6">
        <f>EXP(-SUM(N$47:N119))</f>
        <v>1.6299227079235148E-39</v>
      </c>
      <c r="P119" s="6">
        <f t="shared" si="41"/>
        <v>1.1195059345918623E-35</v>
      </c>
      <c r="Q119" s="6">
        <f t="shared" si="42"/>
        <v>1.1195059345918623E-35</v>
      </c>
      <c r="R119" s="6">
        <f t="shared" si="43"/>
        <v>9.5925836487763898E-27</v>
      </c>
      <c r="S119" s="6">
        <f t="shared" si="44"/>
        <v>9.5925836487763898E-27</v>
      </c>
      <c r="T119" s="14">
        <f t="shared" si="45"/>
        <v>3.0811787768722873E-27</v>
      </c>
      <c r="U119" s="4"/>
      <c r="V119" s="4"/>
    </row>
    <row r="120" spans="2:22" x14ac:dyDescent="0.3">
      <c r="B120" s="21">
        <v>73</v>
      </c>
      <c r="C120" s="11">
        <f t="shared" si="30"/>
        <v>88.324448037862325</v>
      </c>
      <c r="D120" s="10">
        <f t="shared" si="31"/>
        <v>6890.3740133286447</v>
      </c>
      <c r="E120" s="10">
        <f t="shared" si="32"/>
        <v>5.5989356675695656E-2</v>
      </c>
      <c r="F120" s="5">
        <f t="shared" si="33"/>
        <v>1</v>
      </c>
      <c r="G120" s="19">
        <f t="shared" si="34"/>
        <v>1</v>
      </c>
      <c r="H120" s="11">
        <f>EXP(-SUM(E$47:E120))</f>
        <v>5.5249677021414973E-30</v>
      </c>
      <c r="I120" s="10">
        <f t="shared" si="35"/>
        <v>3.8069093879315847E-26</v>
      </c>
      <c r="J120" s="6">
        <f t="shared" si="36"/>
        <v>3.8069093879315847E-26</v>
      </c>
      <c r="K120" s="6">
        <f t="shared" si="37"/>
        <v>3.8069093879315846E-17</v>
      </c>
      <c r="L120" s="14">
        <f t="shared" si="38"/>
        <v>3.8069093879315846E-17</v>
      </c>
      <c r="M120" s="27">
        <f t="shared" si="39"/>
        <v>0.4</v>
      </c>
      <c r="N120" s="6">
        <f t="shared" si="40"/>
        <v>0.45598935667569568</v>
      </c>
      <c r="O120" s="6">
        <f>EXP(-SUM(N$47:N120))</f>
        <v>1.033078561014698E-39</v>
      </c>
      <c r="P120" s="6">
        <f t="shared" si="41"/>
        <v>7.1182976705426252E-36</v>
      </c>
      <c r="Q120" s="6">
        <f t="shared" si="42"/>
        <v>7.1182976705426252E-36</v>
      </c>
      <c r="R120" s="6">
        <f t="shared" si="43"/>
        <v>6.0993750664183929E-27</v>
      </c>
      <c r="S120" s="6">
        <f t="shared" si="44"/>
        <v>6.0993750664183929E-27</v>
      </c>
      <c r="T120" s="14">
        <f t="shared" si="45"/>
        <v>1.959226085487642E-27</v>
      </c>
      <c r="U120" s="4"/>
      <c r="V120" s="4"/>
    </row>
    <row r="121" spans="2:22" x14ac:dyDescent="0.3">
      <c r="B121" s="21">
        <v>74</v>
      </c>
      <c r="C121" s="11">
        <f t="shared" si="30"/>
        <v>88.413215668659788</v>
      </c>
      <c r="D121" s="10">
        <f t="shared" si="31"/>
        <v>6911.1697422756806</v>
      </c>
      <c r="E121" s="10">
        <f t="shared" si="32"/>
        <v>5.590505714868186E-2</v>
      </c>
      <c r="F121" s="5">
        <f t="shared" si="33"/>
        <v>1</v>
      </c>
      <c r="G121" s="19">
        <f t="shared" si="34"/>
        <v>1</v>
      </c>
      <c r="H121" s="11">
        <f>EXP(-SUM(E$47:E121))</f>
        <v>5.2245691988551219E-30</v>
      </c>
      <c r="I121" s="10">
        <f t="shared" si="35"/>
        <v>3.6107884563553012E-26</v>
      </c>
      <c r="J121" s="6">
        <f t="shared" si="36"/>
        <v>3.6107884563553012E-26</v>
      </c>
      <c r="K121" s="6">
        <f t="shared" si="37"/>
        <v>3.6107884563553011E-17</v>
      </c>
      <c r="L121" s="14">
        <f t="shared" si="38"/>
        <v>3.6107884563553011E-17</v>
      </c>
      <c r="M121" s="27">
        <f t="shared" si="39"/>
        <v>0.4</v>
      </c>
      <c r="N121" s="6">
        <f t="shared" si="40"/>
        <v>0.4559050571486819</v>
      </c>
      <c r="O121" s="6">
        <f>EXP(-SUM(N$47:N121))</f>
        <v>6.5484165636366373E-40</v>
      </c>
      <c r="P121" s="6">
        <f t="shared" si="41"/>
        <v>4.5257218414422418E-36</v>
      </c>
      <c r="Q121" s="6">
        <f t="shared" si="42"/>
        <v>4.5257218414422418E-36</v>
      </c>
      <c r="R121" s="6">
        <f t="shared" si="43"/>
        <v>3.8779039926176195E-27</v>
      </c>
      <c r="S121" s="6">
        <f t="shared" si="44"/>
        <v>3.8779039926176195E-27</v>
      </c>
      <c r="T121" s="14">
        <f t="shared" si="45"/>
        <v>1.2456992022396205E-27</v>
      </c>
      <c r="U121" s="4"/>
      <c r="V121" s="4"/>
    </row>
    <row r="122" spans="2:22" x14ac:dyDescent="0.3">
      <c r="B122" s="21">
        <v>75</v>
      </c>
      <c r="C122" s="11">
        <f t="shared" si="30"/>
        <v>88.49728055525388</v>
      </c>
      <c r="D122" s="10">
        <f t="shared" si="31"/>
        <v>6930.9022885011491</v>
      </c>
      <c r="E122" s="10">
        <f t="shared" si="32"/>
        <v>5.5825418497377211E-2</v>
      </c>
      <c r="F122" s="5">
        <f t="shared" si="33"/>
        <v>1</v>
      </c>
      <c r="G122" s="19">
        <f t="shared" si="34"/>
        <v>1</v>
      </c>
      <c r="H122" s="11">
        <f>EXP(-SUM(E$47:E122))</f>
        <v>4.9408971596438026E-30</v>
      </c>
      <c r="I122" s="10">
        <f t="shared" si="35"/>
        <v>3.4244875431024056E-26</v>
      </c>
      <c r="J122" s="6">
        <f t="shared" si="36"/>
        <v>3.4244875431024056E-26</v>
      </c>
      <c r="K122" s="6">
        <f t="shared" si="37"/>
        <v>3.4244875431024058E-17</v>
      </c>
      <c r="L122" s="14">
        <f t="shared" si="38"/>
        <v>3.4244875431024058E-17</v>
      </c>
      <c r="M122" s="27">
        <f t="shared" si="39"/>
        <v>0.4</v>
      </c>
      <c r="N122" s="6">
        <f t="shared" si="40"/>
        <v>0.45582541849737723</v>
      </c>
      <c r="O122" s="6">
        <f>EXP(-SUM(N$47:N122))</f>
        <v>4.1512016888888063E-40</v>
      </c>
      <c r="P122" s="6">
        <f t="shared" si="41"/>
        <v>2.8771573285549263E-36</v>
      </c>
      <c r="Q122" s="6">
        <f t="shared" si="42"/>
        <v>2.8771573285549263E-36</v>
      </c>
      <c r="R122" s="6">
        <f t="shared" si="43"/>
        <v>2.4653171986010986E-27</v>
      </c>
      <c r="S122" s="6">
        <f t="shared" si="44"/>
        <v>2.4653171986010986E-27</v>
      </c>
      <c r="T122" s="14">
        <f t="shared" si="45"/>
        <v>7.9196305616235955E-28</v>
      </c>
      <c r="U122" s="4"/>
      <c r="V122" s="4"/>
    </row>
    <row r="123" spans="2:22" x14ac:dyDescent="0.3">
      <c r="B123" s="21">
        <v>76</v>
      </c>
      <c r="C123" s="11">
        <f t="shared" si="30"/>
        <v>88.576891840297648</v>
      </c>
      <c r="D123" s="10">
        <f t="shared" si="31"/>
        <v>6949.624035334059</v>
      </c>
      <c r="E123" s="10">
        <f t="shared" si="32"/>
        <v>5.5750173118338388E-2</v>
      </c>
      <c r="F123" s="5">
        <f t="shared" si="33"/>
        <v>1</v>
      </c>
      <c r="G123" s="19">
        <f t="shared" si="34"/>
        <v>1</v>
      </c>
      <c r="H123" s="11">
        <f>EXP(-SUM(E$47:E123))</f>
        <v>4.672978920788481E-30</v>
      </c>
      <c r="I123" s="10">
        <f t="shared" si="35"/>
        <v>3.247544662452104E-26</v>
      </c>
      <c r="J123" s="6">
        <f t="shared" si="36"/>
        <v>3.247544662452104E-26</v>
      </c>
      <c r="K123" s="6">
        <f t="shared" si="37"/>
        <v>3.2475446624521039E-17</v>
      </c>
      <c r="L123" s="14">
        <f t="shared" si="38"/>
        <v>3.2475446624521039E-17</v>
      </c>
      <c r="M123" s="27">
        <f t="shared" si="39"/>
        <v>0.4</v>
      </c>
      <c r="N123" s="6">
        <f t="shared" si="40"/>
        <v>0.45575017311833843</v>
      </c>
      <c r="O123" s="6">
        <f>EXP(-SUM(N$47:N123))</f>
        <v>2.6317464698971294E-40</v>
      </c>
      <c r="P123" s="6">
        <f t="shared" si="41"/>
        <v>1.8289648522102653E-36</v>
      </c>
      <c r="Q123" s="6">
        <f t="shared" si="42"/>
        <v>1.8289648522102653E-36</v>
      </c>
      <c r="R123" s="6">
        <f t="shared" si="43"/>
        <v>1.5671643886278376E-27</v>
      </c>
      <c r="S123" s="6">
        <f t="shared" si="44"/>
        <v>1.5671643886278376E-27</v>
      </c>
      <c r="T123" s="14">
        <f t="shared" si="45"/>
        <v>5.0345629362752878E-28</v>
      </c>
      <c r="U123" s="4"/>
      <c r="V123" s="4"/>
    </row>
    <row r="124" spans="2:22" x14ac:dyDescent="0.3">
      <c r="B124" s="21">
        <v>77</v>
      </c>
      <c r="C124" s="11">
        <f t="shared" si="30"/>
        <v>88.652285467329165</v>
      </c>
      <c r="D124" s="10">
        <f t="shared" si="31"/>
        <v>6967.384992603731</v>
      </c>
      <c r="E124" s="10">
        <f t="shared" si="32"/>
        <v>5.5679069807847356E-2</v>
      </c>
      <c r="F124" s="5">
        <f t="shared" si="33"/>
        <v>1</v>
      </c>
      <c r="G124" s="19">
        <f t="shared" si="34"/>
        <v>1</v>
      </c>
      <c r="H124" s="11">
        <f>EXP(-SUM(E$47:E124))</f>
        <v>4.419902703428048E-30</v>
      </c>
      <c r="I124" s="10">
        <f t="shared" si="35"/>
        <v>3.0795163764633239E-26</v>
      </c>
      <c r="J124" s="6">
        <f t="shared" si="36"/>
        <v>3.0795163764633239E-26</v>
      </c>
      <c r="K124" s="6">
        <f t="shared" si="37"/>
        <v>3.0795163764633238E-17</v>
      </c>
      <c r="L124" s="14">
        <f t="shared" si="38"/>
        <v>3.0795163764633238E-17</v>
      </c>
      <c r="M124" s="27">
        <f t="shared" si="39"/>
        <v>0.4</v>
      </c>
      <c r="N124" s="6">
        <f t="shared" si="40"/>
        <v>0.45567906980784739</v>
      </c>
      <c r="O124" s="6">
        <f>EXP(-SUM(N$47:N124))</f>
        <v>1.6685727378063084E-40</v>
      </c>
      <c r="P124" s="6">
        <f t="shared" si="41"/>
        <v>1.1625588652459393E-36</v>
      </c>
      <c r="Q124" s="6">
        <f t="shared" si="42"/>
        <v>1.1625588652459393E-36</v>
      </c>
      <c r="R124" s="6">
        <f t="shared" si="43"/>
        <v>9.9614864172773589E-28</v>
      </c>
      <c r="S124" s="6">
        <f t="shared" si="44"/>
        <v>9.9614864172773589E-28</v>
      </c>
      <c r="T124" s="14">
        <f t="shared" si="45"/>
        <v>3.2002627624549556E-28</v>
      </c>
      <c r="U124" s="4"/>
      <c r="V124" s="4"/>
    </row>
    <row r="125" spans="2:22" x14ac:dyDescent="0.3">
      <c r="B125" s="21">
        <v>78</v>
      </c>
      <c r="C125" s="11">
        <f t="shared" si="30"/>
        <v>88.723684880036046</v>
      </c>
      <c r="D125" s="10">
        <f t="shared" si="31"/>
        <v>6984.232881697787</v>
      </c>
      <c r="E125" s="10">
        <f t="shared" si="32"/>
        <v>5.5611872649920159E-2</v>
      </c>
      <c r="F125" s="5">
        <f t="shared" si="33"/>
        <v>1</v>
      </c>
      <c r="G125" s="19">
        <f t="shared" si="34"/>
        <v>1</v>
      </c>
      <c r="H125" s="11">
        <f>EXP(-SUM(E$47:E125))</f>
        <v>4.1808133560639925E-30</v>
      </c>
      <c r="I125" s="10">
        <f t="shared" si="35"/>
        <v>2.9199774113663415E-26</v>
      </c>
      <c r="J125" s="6">
        <f t="shared" si="36"/>
        <v>2.9199774113663415E-26</v>
      </c>
      <c r="K125" s="6">
        <f t="shared" si="37"/>
        <v>2.9199774113663413E-17</v>
      </c>
      <c r="L125" s="14">
        <f t="shared" si="38"/>
        <v>2.9199774113663413E-17</v>
      </c>
      <c r="M125" s="27">
        <f t="shared" si="39"/>
        <v>0.4</v>
      </c>
      <c r="N125" s="6">
        <f t="shared" si="40"/>
        <v>0.4556118726499202</v>
      </c>
      <c r="O125" s="6">
        <f>EXP(-SUM(N$47:N125))</f>
        <v>1.0579750387974281E-40</v>
      </c>
      <c r="P125" s="6">
        <f t="shared" si="41"/>
        <v>7.3891440539844898E-37</v>
      </c>
      <c r="Q125" s="6">
        <f t="shared" si="42"/>
        <v>7.3891440539844898E-37</v>
      </c>
      <c r="R125" s="6">
        <f t="shared" si="43"/>
        <v>6.3314521379956724E-28</v>
      </c>
      <c r="S125" s="6">
        <f t="shared" si="44"/>
        <v>6.3314521379956724E-28</v>
      </c>
      <c r="T125" s="14">
        <f t="shared" si="45"/>
        <v>2.0341281344870068E-28</v>
      </c>
      <c r="U125" s="4"/>
      <c r="V125" s="4"/>
    </row>
    <row r="126" spans="2:22" x14ac:dyDescent="0.3">
      <c r="B126" s="21">
        <v>79</v>
      </c>
      <c r="C126" s="11">
        <f t="shared" si="30"/>
        <v>88.791301684474419</v>
      </c>
      <c r="D126" s="10">
        <f t="shared" si="31"/>
        <v>7000.213220198164</v>
      </c>
      <c r="E126" s="10">
        <f t="shared" si="32"/>
        <v>5.5548359990486379E-2</v>
      </c>
      <c r="F126" s="5">
        <f t="shared" si="33"/>
        <v>1</v>
      </c>
      <c r="G126" s="19">
        <f t="shared" si="34"/>
        <v>1</v>
      </c>
      <c r="H126" s="11">
        <f>EXP(-SUM(E$47:E126))</f>
        <v>3.9549084395992593E-30</v>
      </c>
      <c r="I126" s="10">
        <f t="shared" si="35"/>
        <v>2.7685202343556027E-26</v>
      </c>
      <c r="J126" s="6">
        <f t="shared" si="36"/>
        <v>2.7685202343556027E-26</v>
      </c>
      <c r="K126" s="6">
        <f t="shared" si="37"/>
        <v>2.7685202343556027E-17</v>
      </c>
      <c r="L126" s="14">
        <f t="shared" si="38"/>
        <v>2.7685202343556027E-17</v>
      </c>
      <c r="M126" s="27">
        <f t="shared" si="39"/>
        <v>0.4</v>
      </c>
      <c r="N126" s="6">
        <f t="shared" si="40"/>
        <v>0.45554835999048637</v>
      </c>
      <c r="O126" s="6">
        <f>EXP(-SUM(N$47:N126))</f>
        <v>6.7086213866687979E-41</v>
      </c>
      <c r="P126" s="6">
        <f t="shared" si="41"/>
        <v>4.6961780120263058E-37</v>
      </c>
      <c r="Q126" s="6">
        <f t="shared" si="42"/>
        <v>4.6961780120263058E-37</v>
      </c>
      <c r="R126" s="6">
        <f t="shared" si="43"/>
        <v>4.0239608400405716E-28</v>
      </c>
      <c r="S126" s="6">
        <f t="shared" si="44"/>
        <v>4.0239608400405716E-28</v>
      </c>
      <c r="T126" s="14">
        <f t="shared" si="45"/>
        <v>1.2928301512290901E-28</v>
      </c>
      <c r="U126" s="4"/>
      <c r="V126" s="4"/>
    </row>
    <row r="127" spans="2:22" x14ac:dyDescent="0.3">
      <c r="B127" s="21">
        <v>80</v>
      </c>
      <c r="C127" s="11">
        <f t="shared" si="30"/>
        <v>88.85533627620454</v>
      </c>
      <c r="D127" s="10">
        <f t="shared" si="31"/>
        <v>7015.3694057131115</v>
      </c>
      <c r="E127" s="10">
        <f t="shared" si="32"/>
        <v>5.5488323490017553E-2</v>
      </c>
      <c r="F127" s="5">
        <f t="shared" si="33"/>
        <v>1</v>
      </c>
      <c r="G127" s="19">
        <f t="shared" si="34"/>
        <v>1</v>
      </c>
      <c r="H127" s="11">
        <f>EXP(-SUM(E$47:E127))</f>
        <v>3.7414346230202201E-30</v>
      </c>
      <c r="I127" s="10">
        <f t="shared" si="35"/>
        <v>2.6247545987811823E-26</v>
      </c>
      <c r="J127" s="6">
        <f t="shared" si="36"/>
        <v>2.6247545987811823E-26</v>
      </c>
      <c r="K127" s="6">
        <f t="shared" si="37"/>
        <v>2.6247545987811822E-17</v>
      </c>
      <c r="L127" s="14">
        <f t="shared" si="38"/>
        <v>2.6247545987811822E-17</v>
      </c>
      <c r="M127" s="27">
        <f t="shared" si="39"/>
        <v>0.4</v>
      </c>
      <c r="N127" s="6">
        <f t="shared" si="40"/>
        <v>0.45548832349001755</v>
      </c>
      <c r="O127" s="6">
        <f>EXP(-SUM(N$47:N127))</f>
        <v>4.2541932766882902E-41</v>
      </c>
      <c r="P127" s="6">
        <f t="shared" si="41"/>
        <v>2.9844737359269446E-37</v>
      </c>
      <c r="Q127" s="6">
        <f t="shared" si="42"/>
        <v>2.9844737359269446E-37</v>
      </c>
      <c r="R127" s="6">
        <f t="shared" si="43"/>
        <v>2.5572721925670348E-28</v>
      </c>
      <c r="S127" s="6">
        <f t="shared" si="44"/>
        <v>2.5572721925670348E-28</v>
      </c>
      <c r="T127" s="14">
        <f t="shared" si="45"/>
        <v>8.2163084170186935E-29</v>
      </c>
      <c r="U127" s="4"/>
      <c r="V127" s="4"/>
    </row>
    <row r="128" spans="2:22" x14ac:dyDescent="0.3">
      <c r="B128" s="21">
        <v>81</v>
      </c>
      <c r="C128" s="11">
        <f t="shared" si="30"/>
        <v>88.915978434202131</v>
      </c>
      <c r="D128" s="10">
        <f t="shared" si="31"/>
        <v>7029.7427985826425</v>
      </c>
      <c r="E128" s="10">
        <f t="shared" si="32"/>
        <v>5.5431567247673182E-2</v>
      </c>
      <c r="F128" s="5">
        <f t="shared" si="33"/>
        <v>1</v>
      </c>
      <c r="G128" s="19">
        <f t="shared" si="34"/>
        <v>1</v>
      </c>
      <c r="H128" s="11">
        <f>EXP(-SUM(E$47:E128))</f>
        <v>3.5396843612091634E-30</v>
      </c>
      <c r="I128" s="10">
        <f t="shared" si="35"/>
        <v>2.4883070647465719E-26</v>
      </c>
      <c r="J128" s="6">
        <f t="shared" si="36"/>
        <v>2.4883070647465719E-26</v>
      </c>
      <c r="K128" s="6">
        <f t="shared" si="37"/>
        <v>2.4883070647465719E-17</v>
      </c>
      <c r="L128" s="14">
        <f t="shared" si="38"/>
        <v>2.4883070647465719E-17</v>
      </c>
      <c r="M128" s="27">
        <f t="shared" si="39"/>
        <v>0.4</v>
      </c>
      <c r="N128" s="6">
        <f t="shared" si="40"/>
        <v>0.4554315672476732</v>
      </c>
      <c r="O128" s="6">
        <f>EXP(-SUM(N$47:N128))</f>
        <v>2.6978997032260373E-41</v>
      </c>
      <c r="P128" s="6">
        <f t="shared" si="41"/>
        <v>1.8965541010051483E-37</v>
      </c>
      <c r="Q128" s="6">
        <f t="shared" si="42"/>
        <v>1.8965541010051483E-37</v>
      </c>
      <c r="R128" s="6">
        <f t="shared" si="43"/>
        <v>1.6250788223784048E-28</v>
      </c>
      <c r="S128" s="6">
        <f t="shared" si="44"/>
        <v>1.6250788223784048E-28</v>
      </c>
      <c r="T128" s="14">
        <f t="shared" si="45"/>
        <v>5.2213835879155926E-29</v>
      </c>
      <c r="U128" s="4"/>
      <c r="V128" s="4"/>
    </row>
    <row r="129" spans="2:22" x14ac:dyDescent="0.3">
      <c r="B129" s="21">
        <v>82</v>
      </c>
      <c r="C129" s="11">
        <f t="shared" si="30"/>
        <v>88.973407883305256</v>
      </c>
      <c r="D129" s="10">
        <f t="shared" si="31"/>
        <v>7043.3728031873743</v>
      </c>
      <c r="E129" s="10">
        <f t="shared" si="32"/>
        <v>5.5377906990732355E-2</v>
      </c>
      <c r="F129" s="5">
        <f t="shared" si="33"/>
        <v>1</v>
      </c>
      <c r="G129" s="19">
        <f t="shared" si="34"/>
        <v>1</v>
      </c>
      <c r="H129" s="11">
        <f>EXP(-SUM(E$47:E129))</f>
        <v>3.3489928293544323E-30</v>
      </c>
      <c r="I129" s="10">
        <f t="shared" si="35"/>
        <v>2.3588205012344545E-26</v>
      </c>
      <c r="J129" s="6">
        <f t="shared" si="36"/>
        <v>2.3588205012344545E-26</v>
      </c>
      <c r="K129" s="6">
        <f t="shared" si="37"/>
        <v>2.3588205012344547E-17</v>
      </c>
      <c r="L129" s="14">
        <f t="shared" si="38"/>
        <v>2.3588205012344547E-17</v>
      </c>
      <c r="M129" s="27">
        <f t="shared" si="39"/>
        <v>0.4</v>
      </c>
      <c r="N129" s="6">
        <f t="shared" si="40"/>
        <v>0.45537790699073238</v>
      </c>
      <c r="O129" s="6">
        <f>EXP(-SUM(N$47:N129))</f>
        <v>1.7110302519516509E-41</v>
      </c>
      <c r="P129" s="6">
        <f t="shared" si="41"/>
        <v>1.2051423942027099E-37</v>
      </c>
      <c r="Q129" s="6">
        <f t="shared" si="42"/>
        <v>1.2051423942027099E-37</v>
      </c>
      <c r="R129" s="6">
        <f t="shared" si="43"/>
        <v>1.0326367076643256E-28</v>
      </c>
      <c r="S129" s="6">
        <f t="shared" si="44"/>
        <v>1.0326367076643256E-28</v>
      </c>
      <c r="T129" s="14">
        <f t="shared" si="45"/>
        <v>3.3179474160496984E-29</v>
      </c>
      <c r="U129" s="4"/>
      <c r="V129" s="4"/>
    </row>
    <row r="130" spans="2:22" x14ac:dyDescent="0.3">
      <c r="B130" s="21">
        <v>83</v>
      </c>
      <c r="C130" s="11">
        <f t="shared" si="30"/>
        <v>89.027794826863897</v>
      </c>
      <c r="D130" s="10">
        <f t="shared" si="31"/>
        <v>7056.2969476373064</v>
      </c>
      <c r="E130" s="10">
        <f t="shared" si="32"/>
        <v>5.5327169323700111E-2</v>
      </c>
      <c r="F130" s="5">
        <f t="shared" si="33"/>
        <v>1</v>
      </c>
      <c r="G130" s="19">
        <f t="shared" si="34"/>
        <v>1</v>
      </c>
      <c r="H130" s="11">
        <f>EXP(-SUM(E$47:E130))</f>
        <v>3.1687350910611199E-30</v>
      </c>
      <c r="I130" s="10">
        <f t="shared" si="35"/>
        <v>2.2359535750925802E-26</v>
      </c>
      <c r="J130" s="6">
        <f t="shared" si="36"/>
        <v>2.2359535750925802E-26</v>
      </c>
      <c r="K130" s="6">
        <f t="shared" si="37"/>
        <v>2.2359535750925803E-17</v>
      </c>
      <c r="L130" s="14">
        <f t="shared" si="38"/>
        <v>2.2359535750925803E-17</v>
      </c>
      <c r="M130" s="27">
        <f t="shared" si="39"/>
        <v>0.4</v>
      </c>
      <c r="N130" s="6">
        <f t="shared" si="40"/>
        <v>0.45532716932370015</v>
      </c>
      <c r="O130" s="6">
        <f>EXP(-SUM(N$47:N130))</f>
        <v>1.0852045627194581E-41</v>
      </c>
      <c r="P130" s="6">
        <f t="shared" si="41"/>
        <v>7.6575256434793901E-38</v>
      </c>
      <c r="Q130" s="6">
        <f t="shared" si="42"/>
        <v>7.6575256434793901E-38</v>
      </c>
      <c r="R130" s="6">
        <f t="shared" si="43"/>
        <v>6.5614172295125812E-29</v>
      </c>
      <c r="S130" s="6">
        <f t="shared" si="44"/>
        <v>6.5614172295125812E-29</v>
      </c>
      <c r="T130" s="14">
        <f t="shared" si="45"/>
        <v>2.1082872327637738E-29</v>
      </c>
      <c r="U130" s="4"/>
      <c r="V130" s="4"/>
    </row>
    <row r="131" spans="2:22" x14ac:dyDescent="0.3">
      <c r="B131" s="21">
        <v>84</v>
      </c>
      <c r="C131" s="11">
        <f t="shared" si="30"/>
        <v>89.079300451170667</v>
      </c>
      <c r="D131" s="10">
        <f t="shared" si="31"/>
        <v>7068.5509616578975</v>
      </c>
      <c r="E131" s="10">
        <f t="shared" si="32"/>
        <v>5.5279191032029384E-2</v>
      </c>
      <c r="F131" s="5">
        <f t="shared" si="33"/>
        <v>1</v>
      </c>
      <c r="G131" s="19">
        <f t="shared" si="34"/>
        <v>1</v>
      </c>
      <c r="H131" s="11">
        <f>EXP(-SUM(E$47:E131))</f>
        <v>2.9983234795947741E-30</v>
      </c>
      <c r="I131" s="10">
        <f t="shared" si="35"/>
        <v>2.1193802315051095E-26</v>
      </c>
      <c r="J131" s="6">
        <f t="shared" si="36"/>
        <v>2.1193802315051095E-26</v>
      </c>
      <c r="K131" s="6">
        <f t="shared" si="37"/>
        <v>2.1193802315051094E-17</v>
      </c>
      <c r="L131" s="14">
        <f t="shared" si="38"/>
        <v>2.1193802315051094E-17</v>
      </c>
      <c r="M131" s="27">
        <f t="shared" si="39"/>
        <v>0.4</v>
      </c>
      <c r="N131" s="6">
        <f t="shared" si="40"/>
        <v>0.45527919103202941</v>
      </c>
      <c r="O131" s="6">
        <f>EXP(-SUM(N$47:N131))</f>
        <v>6.8831363180357388E-42</v>
      </c>
      <c r="P131" s="6">
        <f t="shared" si="41"/>
        <v>4.8653799840073923E-38</v>
      </c>
      <c r="Q131" s="6">
        <f t="shared" si="42"/>
        <v>4.8653799840073923E-38</v>
      </c>
      <c r="R131" s="6">
        <f t="shared" si="43"/>
        <v>4.1689430165181099E-29</v>
      </c>
      <c r="S131" s="6">
        <f t="shared" si="44"/>
        <v>4.1689430165181099E-29</v>
      </c>
      <c r="T131" s="14">
        <f t="shared" si="45"/>
        <v>1.3395770965431827E-29</v>
      </c>
      <c r="U131" s="4"/>
      <c r="V131" s="4"/>
    </row>
    <row r="132" spans="2:22" x14ac:dyDescent="0.3">
      <c r="B132" s="21">
        <v>85</v>
      </c>
      <c r="C132" s="11">
        <f t="shared" si="30"/>
        <v>89.128077403167779</v>
      </c>
      <c r="D132" s="10">
        <f t="shared" si="31"/>
        <v>7080.1688525269574</v>
      </c>
      <c r="E132" s="10">
        <f t="shared" si="32"/>
        <v>5.5233818435890189E-2</v>
      </c>
      <c r="F132" s="5">
        <f t="shared" si="33"/>
        <v>1</v>
      </c>
      <c r="G132" s="19">
        <f t="shared" si="34"/>
        <v>1</v>
      </c>
      <c r="H132" s="11">
        <f>EXP(-SUM(E$47:E132))</f>
        <v>2.8372051737580708E-30</v>
      </c>
      <c r="I132" s="10">
        <f t="shared" si="35"/>
        <v>2.0087891699470228E-26</v>
      </c>
      <c r="J132" s="6">
        <f t="shared" si="36"/>
        <v>2.0087891699470228E-26</v>
      </c>
      <c r="K132" s="6">
        <f t="shared" si="37"/>
        <v>2.0087891699470228E-17</v>
      </c>
      <c r="L132" s="14">
        <f t="shared" si="38"/>
        <v>2.0087891699470228E-17</v>
      </c>
      <c r="M132" s="27">
        <f t="shared" si="39"/>
        <v>0.4</v>
      </c>
      <c r="N132" s="6">
        <f t="shared" si="40"/>
        <v>0.45523381843589023</v>
      </c>
      <c r="O132" s="6">
        <f>EXP(-SUM(N$47:N132))</f>
        <v>4.3659708862492449E-42</v>
      </c>
      <c r="P132" s="6">
        <f t="shared" si="41"/>
        <v>3.0911811079861418E-38</v>
      </c>
      <c r="Q132" s="6">
        <f t="shared" si="42"/>
        <v>3.0911811079861418E-38</v>
      </c>
      <c r="R132" s="6">
        <f t="shared" si="43"/>
        <v>2.6487053293455485E-29</v>
      </c>
      <c r="S132" s="6">
        <f t="shared" si="44"/>
        <v>2.6487053293455485E-29</v>
      </c>
      <c r="T132" s="14">
        <f t="shared" si="45"/>
        <v>8.511076762342801E-30</v>
      </c>
      <c r="U132" s="4"/>
      <c r="V132" s="4"/>
    </row>
    <row r="133" spans="2:22" x14ac:dyDescent="0.3">
      <c r="B133" s="21">
        <v>86</v>
      </c>
      <c r="C133" s="11">
        <f t="shared" si="30"/>
        <v>89.174270242846021</v>
      </c>
      <c r="D133" s="10">
        <f t="shared" si="31"/>
        <v>7091.1829789474132</v>
      </c>
      <c r="E133" s="10">
        <f t="shared" si="32"/>
        <v>5.5190906789855547E-2</v>
      </c>
      <c r="F133" s="5">
        <f t="shared" si="33"/>
        <v>1</v>
      </c>
      <c r="G133" s="19">
        <f t="shared" si="34"/>
        <v>1</v>
      </c>
      <c r="H133" s="11">
        <f>EXP(-SUM(E$47:E133))</f>
        <v>2.6848599517356722E-30</v>
      </c>
      <c r="I133" s="10">
        <f t="shared" si="35"/>
        <v>1.9038833190605571E-26</v>
      </c>
      <c r="J133" s="6">
        <f t="shared" si="36"/>
        <v>1.9038833190605571E-26</v>
      </c>
      <c r="K133" s="6">
        <f t="shared" si="37"/>
        <v>1.9038833190605572E-17</v>
      </c>
      <c r="L133" s="14">
        <f t="shared" si="38"/>
        <v>1.9038833190605572E-17</v>
      </c>
      <c r="M133" s="27">
        <f t="shared" si="39"/>
        <v>0.4</v>
      </c>
      <c r="N133" s="6">
        <f t="shared" si="40"/>
        <v>0.45519090678985558</v>
      </c>
      <c r="O133" s="6">
        <f>EXP(-SUM(N$47:N133))</f>
        <v>2.7694525991264926E-42</v>
      </c>
      <c r="P133" s="6">
        <f t="shared" si="41"/>
        <v>1.9638695131927458E-38</v>
      </c>
      <c r="Q133" s="6">
        <f t="shared" si="42"/>
        <v>1.9638695131927458E-38</v>
      </c>
      <c r="R133" s="6">
        <f t="shared" si="43"/>
        <v>1.6827586168581726E-29</v>
      </c>
      <c r="S133" s="6">
        <f t="shared" si="44"/>
        <v>1.6827586168581726E-29</v>
      </c>
      <c r="T133" s="14">
        <f t="shared" si="45"/>
        <v>5.4073103803380099E-30</v>
      </c>
      <c r="U133" s="4"/>
      <c r="V133" s="4"/>
    </row>
    <row r="134" spans="2:22" x14ac:dyDescent="0.3">
      <c r="B134" s="21">
        <v>87</v>
      </c>
      <c r="C134" s="11">
        <f t="shared" si="30"/>
        <v>89.2180158716763</v>
      </c>
      <c r="D134" s="10">
        <f t="shared" si="31"/>
        <v>7101.6241227685978</v>
      </c>
      <c r="E134" s="10">
        <f t="shared" si="32"/>
        <v>5.5150319724764543E-2</v>
      </c>
      <c r="F134" s="5">
        <f t="shared" si="33"/>
        <v>1</v>
      </c>
      <c r="G134" s="19">
        <f t="shared" si="34"/>
        <v>1</v>
      </c>
      <c r="H134" s="11">
        <f>EXP(-SUM(E$47:E134))</f>
        <v>2.5407981078732751E-30</v>
      </c>
      <c r="I134" s="10">
        <f t="shared" si="35"/>
        <v>1.804379313395766E-26</v>
      </c>
      <c r="J134" s="6">
        <f t="shared" si="36"/>
        <v>1.804379313395766E-26</v>
      </c>
      <c r="K134" s="6">
        <f t="shared" si="37"/>
        <v>1.8043793133957661E-17</v>
      </c>
      <c r="L134" s="14">
        <f t="shared" si="38"/>
        <v>1.8043793133957661E-17</v>
      </c>
      <c r="M134" s="27">
        <f t="shared" si="39"/>
        <v>0.4</v>
      </c>
      <c r="N134" s="6">
        <f t="shared" si="40"/>
        <v>0.45515031972476455</v>
      </c>
      <c r="O134" s="6">
        <f>EXP(-SUM(N$47:N134))</f>
        <v>1.756809470879169E-42</v>
      </c>
      <c r="P134" s="6">
        <f t="shared" si="41"/>
        <v>1.2476200517503844E-38</v>
      </c>
      <c r="Q134" s="6">
        <f t="shared" si="42"/>
        <v>1.2476200517503844E-38</v>
      </c>
      <c r="R134" s="6">
        <f t="shared" si="43"/>
        <v>1.0690340567662486E-29</v>
      </c>
      <c r="S134" s="6">
        <f t="shared" si="44"/>
        <v>1.0690340567662486E-29</v>
      </c>
      <c r="T134" s="14">
        <f t="shared" si="45"/>
        <v>3.4352564505047129E-30</v>
      </c>
      <c r="U134" s="4"/>
      <c r="V134" s="4"/>
    </row>
    <row r="135" spans="2:22" x14ac:dyDescent="0.3">
      <c r="B135" s="21">
        <v>88</v>
      </c>
      <c r="C135" s="11">
        <f t="shared" si="30"/>
        <v>89.259443938343921</v>
      </c>
      <c r="D135" s="10">
        <f t="shared" si="31"/>
        <v>7111.5215584929556</v>
      </c>
      <c r="E135" s="10">
        <f t="shared" si="32"/>
        <v>5.5111928728370785E-2</v>
      </c>
      <c r="F135" s="5">
        <f t="shared" si="33"/>
        <v>1</v>
      </c>
      <c r="G135" s="19">
        <f t="shared" si="34"/>
        <v>1</v>
      </c>
      <c r="H135" s="11">
        <f>EXP(-SUM(E$47:E135))</f>
        <v>2.4045585188103129E-30</v>
      </c>
      <c r="I135" s="10">
        <f t="shared" si="35"/>
        <v>1.7100069745177429E-26</v>
      </c>
      <c r="J135" s="6">
        <f t="shared" si="36"/>
        <v>1.7100069745177429E-26</v>
      </c>
      <c r="K135" s="6">
        <f t="shared" si="37"/>
        <v>1.7100069745177429E-17</v>
      </c>
      <c r="L135" s="14">
        <f t="shared" si="38"/>
        <v>1.7100069745177429E-17</v>
      </c>
      <c r="M135" s="27">
        <f t="shared" si="39"/>
        <v>0.4</v>
      </c>
      <c r="N135" s="6">
        <f t="shared" si="40"/>
        <v>0.45511192872837081</v>
      </c>
      <c r="O135" s="6">
        <f>EXP(-SUM(N$47:N135))</f>
        <v>1.1144794496225166E-42</v>
      </c>
      <c r="P135" s="6">
        <f t="shared" si="41"/>
        <v>7.9256446324878914E-39</v>
      </c>
      <c r="Q135" s="6">
        <f t="shared" si="42"/>
        <v>7.9256446324878914E-39</v>
      </c>
      <c r="R135" s="6">
        <f t="shared" si="43"/>
        <v>6.7911573095262763E-30</v>
      </c>
      <c r="S135" s="6">
        <f t="shared" si="44"/>
        <v>6.7911573095262763E-30</v>
      </c>
      <c r="T135" s="14">
        <f t="shared" si="45"/>
        <v>2.18232345135266E-30</v>
      </c>
      <c r="U135" s="4"/>
      <c r="V135" s="4"/>
    </row>
    <row r="136" spans="2:22" x14ac:dyDescent="0.3">
      <c r="B136" s="21">
        <v>89</v>
      </c>
      <c r="C136" s="11">
        <f t="shared" si="30"/>
        <v>89.298677222987664</v>
      </c>
      <c r="D136" s="10">
        <f t="shared" si="31"/>
        <v>7120.9031205258143</v>
      </c>
      <c r="E136" s="10">
        <f t="shared" si="32"/>
        <v>5.5075612661698997E-2</v>
      </c>
      <c r="F136" s="5">
        <f t="shared" si="33"/>
        <v>1</v>
      </c>
      <c r="G136" s="19">
        <f t="shared" si="34"/>
        <v>1</v>
      </c>
      <c r="H136" s="11">
        <f>EXP(-SUM(E$47:E136))</f>
        <v>2.2757068466814874E-30</v>
      </c>
      <c r="I136" s="10">
        <f t="shared" si="35"/>
        <v>1.6205087985936165E-26</v>
      </c>
      <c r="J136" s="6">
        <f t="shared" si="36"/>
        <v>1.6205087985936165E-26</v>
      </c>
      <c r="K136" s="6">
        <f t="shared" si="37"/>
        <v>1.6205087985936166E-17</v>
      </c>
      <c r="L136" s="14">
        <f t="shared" si="38"/>
        <v>1.6205087985936166E-17</v>
      </c>
      <c r="M136" s="27">
        <f t="shared" si="39"/>
        <v>0.4</v>
      </c>
      <c r="N136" s="6">
        <f t="shared" si="40"/>
        <v>0.45507561266169905</v>
      </c>
      <c r="O136" s="6">
        <f>EXP(-SUM(N$47:N136))</f>
        <v>7.0702576001227798E-43</v>
      </c>
      <c r="P136" s="6">
        <f t="shared" si="41"/>
        <v>5.0346619407635655E-39</v>
      </c>
      <c r="Q136" s="6">
        <f t="shared" si="42"/>
        <v>5.0346619407635655E-39</v>
      </c>
      <c r="R136" s="6">
        <f t="shared" si="43"/>
        <v>4.3139937286435573E-30</v>
      </c>
      <c r="S136" s="6">
        <f t="shared" si="44"/>
        <v>4.3139937286435573E-30</v>
      </c>
      <c r="T136" s="14">
        <f t="shared" si="45"/>
        <v>1.3863156576683469E-30</v>
      </c>
      <c r="U136" s="4"/>
      <c r="V136" s="4"/>
    </row>
    <row r="137" spans="2:22" x14ac:dyDescent="0.3">
      <c r="B137" s="21">
        <v>90</v>
      </c>
      <c r="C137" s="11">
        <f t="shared" si="30"/>
        <v>89.335832001082551</v>
      </c>
      <c r="D137" s="10">
        <f t="shared" si="31"/>
        <v>7129.7952681440784</v>
      </c>
      <c r="E137" s="10">
        <f t="shared" si="32"/>
        <v>5.50412573083107E-2</v>
      </c>
      <c r="F137" s="5">
        <f t="shared" si="33"/>
        <v>1</v>
      </c>
      <c r="G137" s="19">
        <f t="shared" si="34"/>
        <v>1</v>
      </c>
      <c r="H137" s="11">
        <f>EXP(-SUM(E$47:E137))</f>
        <v>2.1538338682590301E-30</v>
      </c>
      <c r="I137" s="10">
        <f t="shared" si="35"/>
        <v>1.5356394522281689E-26</v>
      </c>
      <c r="J137" s="6">
        <f t="shared" si="36"/>
        <v>1.5356394522281689E-26</v>
      </c>
      <c r="K137" s="6">
        <f t="shared" si="37"/>
        <v>1.5356394522281687E-17</v>
      </c>
      <c r="L137" s="14">
        <f t="shared" si="38"/>
        <v>1.5356394522281687E-17</v>
      </c>
      <c r="M137" s="27">
        <f t="shared" si="39"/>
        <v>0.4</v>
      </c>
      <c r="N137" s="6">
        <f t="shared" si="40"/>
        <v>0.45504125730831074</v>
      </c>
      <c r="O137" s="6">
        <f>EXP(-SUM(N$47:N137))</f>
        <v>4.4855255027422124E-43</v>
      </c>
      <c r="P137" s="6">
        <f t="shared" si="41"/>
        <v>3.1980878504591011E-39</v>
      </c>
      <c r="Q137" s="6">
        <f t="shared" si="42"/>
        <v>3.1980878504591011E-39</v>
      </c>
      <c r="R137" s="6">
        <f t="shared" si="43"/>
        <v>2.7403092983914053E-30</v>
      </c>
      <c r="S137" s="6">
        <f t="shared" si="44"/>
        <v>2.7403092983914053E-30</v>
      </c>
      <c r="T137" s="14">
        <f t="shared" si="45"/>
        <v>8.8062112539501154E-31</v>
      </c>
      <c r="U137" s="4"/>
      <c r="V137" s="4"/>
    </row>
    <row r="138" spans="2:22" x14ac:dyDescent="0.3">
      <c r="B138" s="21">
        <v>91</v>
      </c>
      <c r="C138" s="11">
        <f t="shared" si="30"/>
        <v>89.371018388044959</v>
      </c>
      <c r="D138" s="10">
        <f t="shared" si="31"/>
        <v>7138.2231481753597</v>
      </c>
      <c r="E138" s="10">
        <f t="shared" si="32"/>
        <v>5.5008754953932329E-2</v>
      </c>
      <c r="F138" s="5">
        <f t="shared" si="33"/>
        <v>1</v>
      </c>
      <c r="G138" s="19">
        <f t="shared" si="34"/>
        <v>1</v>
      </c>
      <c r="H138" s="11">
        <f>EXP(-SUM(E$47:E138))</f>
        <v>2.0385539199425899E-30</v>
      </c>
      <c r="I138" s="10">
        <f t="shared" si="35"/>
        <v>1.4551652780137815E-26</v>
      </c>
      <c r="J138" s="6">
        <f t="shared" si="36"/>
        <v>1.4551652780137815E-26</v>
      </c>
      <c r="K138" s="6">
        <f t="shared" si="37"/>
        <v>1.4551652780137815E-17</v>
      </c>
      <c r="L138" s="14">
        <f t="shared" si="38"/>
        <v>1.4551652780137815E-17</v>
      </c>
      <c r="M138" s="27">
        <f t="shared" si="39"/>
        <v>0.4</v>
      </c>
      <c r="N138" s="6">
        <f t="shared" si="40"/>
        <v>0.45500875495393234</v>
      </c>
      <c r="O138" s="6">
        <f>EXP(-SUM(N$47:N138))</f>
        <v>2.8458076253710126E-43</v>
      </c>
      <c r="P138" s="6">
        <f t="shared" si="41"/>
        <v>2.0314009866677315E-39</v>
      </c>
      <c r="Q138" s="6">
        <f t="shared" si="42"/>
        <v>2.0314009866677315E-39</v>
      </c>
      <c r="R138" s="6">
        <f t="shared" si="43"/>
        <v>1.740623545325041E-30</v>
      </c>
      <c r="S138" s="6">
        <f t="shared" si="44"/>
        <v>1.740623545325041E-30</v>
      </c>
      <c r="T138" s="14">
        <f t="shared" si="45"/>
        <v>5.593722190734571E-31</v>
      </c>
      <c r="U138" s="4"/>
      <c r="V138" s="4"/>
    </row>
    <row r="139" spans="2:22" x14ac:dyDescent="0.3">
      <c r="B139" s="21">
        <v>92</v>
      </c>
      <c r="C139" s="11">
        <f t="shared" si="30"/>
        <v>89.404340665581003</v>
      </c>
      <c r="D139" s="10">
        <f t="shared" si="31"/>
        <v>7146.2106553922831</v>
      </c>
      <c r="E139" s="10">
        <f t="shared" si="32"/>
        <v>5.4978003994124683E-2</v>
      </c>
      <c r="F139" s="5">
        <f t="shared" si="33"/>
        <v>1</v>
      </c>
      <c r="G139" s="19">
        <f t="shared" si="34"/>
        <v>1</v>
      </c>
      <c r="H139" s="11">
        <f>EXP(-SUM(E$47:E139))</f>
        <v>1.929503449430464E-30</v>
      </c>
      <c r="I139" s="10">
        <f t="shared" si="35"/>
        <v>1.3788638109936146E-26</v>
      </c>
      <c r="J139" s="6">
        <f t="shared" si="36"/>
        <v>1.3788638109936146E-26</v>
      </c>
      <c r="K139" s="6">
        <f t="shared" si="37"/>
        <v>1.3788638109936146E-17</v>
      </c>
      <c r="L139" s="14">
        <f t="shared" si="38"/>
        <v>1.3788638109936146E-17</v>
      </c>
      <c r="M139" s="27">
        <f t="shared" si="39"/>
        <v>0.4</v>
      </c>
      <c r="N139" s="6">
        <f t="shared" si="40"/>
        <v>0.45497800399412469</v>
      </c>
      <c r="O139" s="6">
        <f>EXP(-SUM(N$47:N139))</f>
        <v>1.8055565796845574E-43</v>
      </c>
      <c r="P139" s="6">
        <f t="shared" si="41"/>
        <v>1.2902887668655429E-39</v>
      </c>
      <c r="Q139" s="6">
        <f t="shared" si="42"/>
        <v>1.2902887668655429E-39</v>
      </c>
      <c r="R139" s="6">
        <f t="shared" si="43"/>
        <v>1.1055951152011185E-30</v>
      </c>
      <c r="S139" s="6">
        <f t="shared" si="44"/>
        <v>1.1055951152011185E-30</v>
      </c>
      <c r="T139" s="14">
        <f t="shared" si="45"/>
        <v>3.5530254942946925E-31</v>
      </c>
      <c r="U139" s="4"/>
      <c r="V139" s="4"/>
    </row>
    <row r="140" spans="2:22" x14ac:dyDescent="0.3">
      <c r="B140" s="21">
        <v>93</v>
      </c>
      <c r="C140" s="11">
        <f t="shared" si="30"/>
        <v>89.435897590745711</v>
      </c>
      <c r="D140" s="10">
        <f t="shared" si="31"/>
        <v>7153.7804906382526</v>
      </c>
      <c r="E140" s="10">
        <f t="shared" si="32"/>
        <v>5.4948908567876174E-2</v>
      </c>
      <c r="F140" s="5">
        <f t="shared" si="33"/>
        <v>1</v>
      </c>
      <c r="G140" s="19">
        <f t="shared" si="34"/>
        <v>1</v>
      </c>
      <c r="H140" s="11">
        <f>EXP(-SUM(E$47:E140))</f>
        <v>1.826339665736372E-30</v>
      </c>
      <c r="I140" s="10">
        <f t="shared" si="35"/>
        <v>1.3065233070023645E-26</v>
      </c>
      <c r="J140" s="6">
        <f t="shared" si="36"/>
        <v>1.3065233070023645E-26</v>
      </c>
      <c r="K140" s="6">
        <f t="shared" si="37"/>
        <v>1.3065233070023645E-17</v>
      </c>
      <c r="L140" s="14">
        <f t="shared" si="38"/>
        <v>1.3065233070023645E-17</v>
      </c>
      <c r="M140" s="27">
        <f t="shared" si="39"/>
        <v>0.4</v>
      </c>
      <c r="N140" s="6">
        <f t="shared" si="40"/>
        <v>0.45494890856787618</v>
      </c>
      <c r="O140" s="6">
        <f>EXP(-SUM(N$47:N140))</f>
        <v>1.1455902313468112E-43</v>
      </c>
      <c r="P140" s="6">
        <f t="shared" si="41"/>
        <v>8.1953010472745798E-40</v>
      </c>
      <c r="Q140" s="6">
        <f t="shared" si="42"/>
        <v>8.1953010472745798E-40</v>
      </c>
      <c r="R140" s="6">
        <f t="shared" si="43"/>
        <v>7.0222147461457153E-31</v>
      </c>
      <c r="S140" s="6">
        <f t="shared" si="44"/>
        <v>7.0222147461457153E-31</v>
      </c>
      <c r="T140" s="14">
        <f t="shared" si="45"/>
        <v>2.2567432885135065E-31</v>
      </c>
      <c r="U140" s="4"/>
      <c r="V140" s="4"/>
    </row>
    <row r="141" spans="2:22" x14ac:dyDescent="0.3">
      <c r="B141" s="21">
        <v>94</v>
      </c>
      <c r="C141" s="11">
        <f t="shared" si="30"/>
        <v>89.465782688628778</v>
      </c>
      <c r="D141" s="10">
        <f t="shared" si="31"/>
        <v>7160.9542167105437</v>
      </c>
      <c r="E141" s="10">
        <f t="shared" si="32"/>
        <v>5.4921378215184828E-2</v>
      </c>
      <c r="F141" s="5">
        <f t="shared" si="33"/>
        <v>1</v>
      </c>
      <c r="G141" s="19">
        <f t="shared" si="34"/>
        <v>1</v>
      </c>
      <c r="H141" s="11">
        <f>EXP(-SUM(E$47:E141))</f>
        <v>1.7287392799626173E-30</v>
      </c>
      <c r="I141" s="10">
        <f t="shared" si="35"/>
        <v>1.2379422836441454E-26</v>
      </c>
      <c r="J141" s="6">
        <f t="shared" si="36"/>
        <v>1.2379422836441454E-26</v>
      </c>
      <c r="K141" s="6">
        <f t="shared" si="37"/>
        <v>1.2379422836441453E-17</v>
      </c>
      <c r="L141" s="14">
        <f t="shared" si="38"/>
        <v>1.2379422836441453E-17</v>
      </c>
      <c r="M141" s="27">
        <f t="shared" si="39"/>
        <v>0.4</v>
      </c>
      <c r="N141" s="6">
        <f t="shared" si="40"/>
        <v>0.45492137821518486</v>
      </c>
      <c r="O141" s="6">
        <f>EXP(-SUM(N$47:N141))</f>
        <v>7.2687454030653025E-44</v>
      </c>
      <c r="P141" s="6">
        <f t="shared" si="41"/>
        <v>5.2051153044275857E-40</v>
      </c>
      <c r="Q141" s="6">
        <f t="shared" si="42"/>
        <v>5.2051153044275857E-40</v>
      </c>
      <c r="R141" s="6">
        <f t="shared" si="43"/>
        <v>4.4600481709327376E-31</v>
      </c>
      <c r="S141" s="6">
        <f t="shared" si="44"/>
        <v>4.4600481709327376E-31</v>
      </c>
      <c r="T141" s="14">
        <f t="shared" si="45"/>
        <v>1.433352898028432E-31</v>
      </c>
      <c r="U141" s="4"/>
      <c r="V141" s="4"/>
    </row>
    <row r="142" spans="2:22" x14ac:dyDescent="0.3">
      <c r="B142" s="21">
        <v>95</v>
      </c>
      <c r="C142" s="11">
        <f t="shared" si="30"/>
        <v>89.494084529534334</v>
      </c>
      <c r="D142" s="10">
        <f t="shared" si="31"/>
        <v>7167.752312034645</v>
      </c>
      <c r="E142" s="10">
        <f t="shared" si="32"/>
        <v>5.4895327556860239E-2</v>
      </c>
      <c r="F142" s="5">
        <f t="shared" si="33"/>
        <v>1</v>
      </c>
      <c r="G142" s="19">
        <f t="shared" si="34"/>
        <v>1</v>
      </c>
      <c r="H142" s="11">
        <f>EXP(-SUM(E$47:E142))</f>
        <v>1.6363973299107469E-30</v>
      </c>
      <c r="I142" s="10">
        <f t="shared" si="35"/>
        <v>1.1729290744875076E-26</v>
      </c>
      <c r="J142" s="6">
        <f t="shared" si="36"/>
        <v>1.1729290744875076E-26</v>
      </c>
      <c r="K142" s="6">
        <f t="shared" si="37"/>
        <v>1.1729290744875076E-17</v>
      </c>
      <c r="L142" s="14">
        <f t="shared" si="38"/>
        <v>1.1729290744875076E-17</v>
      </c>
      <c r="M142" s="27">
        <f t="shared" si="39"/>
        <v>0.4</v>
      </c>
      <c r="N142" s="6">
        <f t="shared" si="40"/>
        <v>0.45489532755686024</v>
      </c>
      <c r="O142" s="6">
        <f>EXP(-SUM(N$47:N142))</f>
        <v>4.6121234874762567E-44</v>
      </c>
      <c r="P142" s="6">
        <f t="shared" si="41"/>
        <v>3.3058558790747231E-40</v>
      </c>
      <c r="Q142" s="6">
        <f t="shared" si="42"/>
        <v>3.3058558790747231E-40</v>
      </c>
      <c r="R142" s="6">
        <f t="shared" si="43"/>
        <v>2.8326512679349576E-31</v>
      </c>
      <c r="S142" s="6">
        <f t="shared" si="44"/>
        <v>2.8326512679349576E-31</v>
      </c>
      <c r="T142" s="14">
        <f t="shared" si="45"/>
        <v>9.1035738585794775E-32</v>
      </c>
      <c r="U142" s="4"/>
      <c r="V142" s="4"/>
    </row>
    <row r="143" spans="2:22" x14ac:dyDescent="0.3">
      <c r="B143" s="21">
        <v>96</v>
      </c>
      <c r="C143" s="11">
        <f t="shared" ref="C143:C147" si="46">Linf-(Linf-L0)*EXP(-K*B143)</f>
        <v>89.520886991476331</v>
      </c>
      <c r="D143" s="10">
        <f t="shared" ref="D143:D147" si="47">W_1*C143^W_2</f>
        <v>7174.1942221706413</v>
      </c>
      <c r="E143" s="10">
        <f t="shared" ref="E143:E147" si="48">(D143/Winf)^(-1/2)*(A/3)*Winf^(-1/3)</f>
        <v>5.4870675994924539E-2</v>
      </c>
      <c r="F143" s="5">
        <f t="shared" si="33"/>
        <v>1</v>
      </c>
      <c r="G143" s="19">
        <f t="shared" si="34"/>
        <v>1</v>
      </c>
      <c r="H143" s="11">
        <f>EXP(-SUM(E$47:E143))</f>
        <v>1.5490260822152464E-30</v>
      </c>
      <c r="I143" s="10">
        <f t="shared" ref="I143:I147" si="49">H143*D143</f>
        <v>1.1113013969020246E-26</v>
      </c>
      <c r="J143" s="6">
        <f t="shared" si="36"/>
        <v>1.1113013969020246E-26</v>
      </c>
      <c r="K143" s="6">
        <f t="shared" si="37"/>
        <v>1.1113013969020246E-17</v>
      </c>
      <c r="L143" s="14">
        <f t="shared" si="38"/>
        <v>1.1113013969020246E-17</v>
      </c>
      <c r="M143" s="27">
        <f t="shared" si="39"/>
        <v>0.4</v>
      </c>
      <c r="N143" s="6">
        <f t="shared" ref="N143:N147" si="50">E143+M143</f>
        <v>0.45487067599492459</v>
      </c>
      <c r="O143" s="6">
        <f>EXP(-SUM(N$47:N143))</f>
        <v>2.9265308207707051E-44</v>
      </c>
      <c r="P143" s="6">
        <f t="shared" ref="P143:P147" si="51">O143*D143</f>
        <v>2.0995500505377498E-40</v>
      </c>
      <c r="Q143" s="6">
        <f t="shared" si="42"/>
        <v>2.0995500505377498E-40</v>
      </c>
      <c r="R143" s="6">
        <f t="shared" si="43"/>
        <v>1.7990176614756875E-31</v>
      </c>
      <c r="S143" s="6">
        <f t="shared" si="44"/>
        <v>1.7990176614756875E-31</v>
      </c>
      <c r="T143" s="14">
        <f t="shared" si="45"/>
        <v>5.781748340954613E-32</v>
      </c>
      <c r="U143" s="4"/>
      <c r="V143" s="4"/>
    </row>
    <row r="144" spans="2:22" x14ac:dyDescent="0.3">
      <c r="B144" s="21">
        <v>97</v>
      </c>
      <c r="C144" s="11">
        <f t="shared" si="46"/>
        <v>89.54626950876731</v>
      </c>
      <c r="D144" s="10">
        <f t="shared" si="47"/>
        <v>7180.2984091977496</v>
      </c>
      <c r="E144" s="10">
        <f t="shared" si="48"/>
        <v>5.4847347432128206E-2</v>
      </c>
      <c r="F144" s="5">
        <f t="shared" si="33"/>
        <v>1</v>
      </c>
      <c r="G144" s="19">
        <f t="shared" si="34"/>
        <v>1</v>
      </c>
      <c r="H144" s="11">
        <f>EXP(-SUM(E$47:E144))</f>
        <v>1.4663540062295481E-30</v>
      </c>
      <c r="I144" s="10">
        <f t="shared" si="49"/>
        <v>1.0528859338250771E-26</v>
      </c>
      <c r="J144" s="6">
        <f t="shared" si="36"/>
        <v>1.0528859338250771E-26</v>
      </c>
      <c r="K144" s="6">
        <f t="shared" si="37"/>
        <v>1.0528859338250771E-17</v>
      </c>
      <c r="L144" s="14">
        <f t="shared" si="38"/>
        <v>1.0528859338250771E-17</v>
      </c>
      <c r="M144" s="27">
        <f t="shared" si="39"/>
        <v>0.4</v>
      </c>
      <c r="N144" s="6">
        <f t="shared" si="50"/>
        <v>0.45484734743212824</v>
      </c>
      <c r="O144" s="6">
        <f>EXP(-SUM(N$47:N144))</f>
        <v>1.8570149888467414E-44</v>
      </c>
      <c r="P144" s="6">
        <f t="shared" si="51"/>
        <v>1.3333921770272633E-40</v>
      </c>
      <c r="Q144" s="6">
        <f t="shared" si="42"/>
        <v>1.3333921770272633E-40</v>
      </c>
      <c r="R144" s="6">
        <f t="shared" si="43"/>
        <v>1.1425286458549386E-31</v>
      </c>
      <c r="S144" s="6">
        <f t="shared" si="44"/>
        <v>1.1425286458549386E-31</v>
      </c>
      <c r="T144" s="14">
        <f t="shared" si="45"/>
        <v>3.6719396786981791E-32</v>
      </c>
      <c r="U144" s="4"/>
      <c r="V144" s="4"/>
    </row>
    <row r="145" spans="2:22" x14ac:dyDescent="0.3">
      <c r="B145" s="21">
        <v>98</v>
      </c>
      <c r="C145" s="11">
        <f t="shared" si="46"/>
        <v>89.570307307437488</v>
      </c>
      <c r="D145" s="10">
        <f t="shared" si="47"/>
        <v>7186.0823990278386</v>
      </c>
      <c r="E145" s="10">
        <f t="shared" si="48"/>
        <v>5.482527000921656E-2</v>
      </c>
      <c r="F145" s="5">
        <f t="shared" si="33"/>
        <v>1</v>
      </c>
      <c r="G145" s="19">
        <f t="shared" si="34"/>
        <v>1</v>
      </c>
      <c r="H145" s="11">
        <f>EXP(-SUM(E$47:E145))</f>
        <v>1.3881248143854934E-30</v>
      </c>
      <c r="I145" s="10">
        <f t="shared" si="49"/>
        <v>9.9751792963093794E-27</v>
      </c>
      <c r="J145" s="6">
        <f t="shared" si="36"/>
        <v>9.9751792963093794E-27</v>
      </c>
      <c r="K145" s="6">
        <f t="shared" si="37"/>
        <v>9.9751792963093788E-18</v>
      </c>
      <c r="L145" s="14">
        <f t="shared" si="38"/>
        <v>9.9751792963093788E-18</v>
      </c>
      <c r="M145" s="27">
        <f t="shared" si="39"/>
        <v>0.4</v>
      </c>
      <c r="N145" s="6">
        <f t="shared" si="50"/>
        <v>0.45482527000921658</v>
      </c>
      <c r="O145" s="6">
        <f>EXP(-SUM(N$47:N145))</f>
        <v>1.1783852673827786E-44</v>
      </c>
      <c r="P145" s="6">
        <f t="shared" si="51"/>
        <v>8.4679736292130994E-41</v>
      </c>
      <c r="Q145" s="6">
        <f t="shared" si="42"/>
        <v>8.4679736292130994E-41</v>
      </c>
      <c r="R145" s="6">
        <f t="shared" si="43"/>
        <v>7.2558566117358834E-32</v>
      </c>
      <c r="S145" s="6">
        <f t="shared" si="44"/>
        <v>7.2558566117358834E-32</v>
      </c>
      <c r="T145" s="14">
        <f t="shared" si="45"/>
        <v>2.3319625096761815E-32</v>
      </c>
      <c r="U145" s="4"/>
      <c r="V145" s="4"/>
    </row>
    <row r="146" spans="2:22" x14ac:dyDescent="0.3">
      <c r="B146" s="21">
        <v>99</v>
      </c>
      <c r="C146" s="11">
        <f t="shared" si="46"/>
        <v>89.593071628181733</v>
      </c>
      <c r="D146" s="10">
        <f t="shared" si="47"/>
        <v>7191.5628267020575</v>
      </c>
      <c r="E146" s="10">
        <f t="shared" si="48"/>
        <v>5.4804375858696068E-2</v>
      </c>
      <c r="F146" s="5">
        <f t="shared" si="33"/>
        <v>1</v>
      </c>
      <c r="G146" s="19">
        <f t="shared" si="34"/>
        <v>1</v>
      </c>
      <c r="H146" s="11">
        <f>EXP(-SUM(E$47:E146))</f>
        <v>1.3140965641907059E-30</v>
      </c>
      <c r="I146" s="10">
        <f t="shared" si="49"/>
        <v>9.4504080017307749E-27</v>
      </c>
      <c r="J146" s="6">
        <f t="shared" si="36"/>
        <v>9.4504080017307749E-27</v>
      </c>
      <c r="K146" s="6">
        <f t="shared" si="37"/>
        <v>9.4504080017307756E-18</v>
      </c>
      <c r="L146" s="14">
        <f t="shared" si="38"/>
        <v>9.4504080017307756E-18</v>
      </c>
      <c r="M146" s="27">
        <f t="shared" si="39"/>
        <v>0.4</v>
      </c>
      <c r="N146" s="6">
        <f t="shared" si="50"/>
        <v>0.4548043758586961</v>
      </c>
      <c r="O146" s="6">
        <f>EXP(-SUM(N$47:N146))</f>
        <v>7.4777040598748755E-45</v>
      </c>
      <c r="P146" s="6">
        <f t="shared" si="51"/>
        <v>5.3776378546075211E-41</v>
      </c>
      <c r="Q146" s="6">
        <f t="shared" si="42"/>
        <v>5.3776378546075211E-41</v>
      </c>
      <c r="R146" s="6">
        <f t="shared" si="43"/>
        <v>4.6078756136255345E-32</v>
      </c>
      <c r="S146" s="6">
        <f t="shared" si="44"/>
        <v>4.6078756136255345E-32</v>
      </c>
      <c r="T146" s="14">
        <f t="shared" si="45"/>
        <v>1.4809411945989982E-32</v>
      </c>
      <c r="U146" s="4"/>
      <c r="V146" s="4"/>
    </row>
    <row r="147" spans="2:22" x14ac:dyDescent="0.3">
      <c r="B147" s="22">
        <v>100</v>
      </c>
      <c r="C147" s="12">
        <f t="shared" si="46"/>
        <v>89.614629937495224</v>
      </c>
      <c r="D147" s="13">
        <f t="shared" si="47"/>
        <v>7196.7554797276343</v>
      </c>
      <c r="E147" s="13">
        <f t="shared" si="48"/>
        <v>5.4784600873947667E-2</v>
      </c>
      <c r="F147" s="3">
        <f t="shared" si="33"/>
        <v>1</v>
      </c>
      <c r="G147" s="20">
        <f t="shared" si="34"/>
        <v>1</v>
      </c>
      <c r="H147" s="12">
        <f>EXP(-SUM(E$47:E147))</f>
        <v>1.2440408174303831E-30</v>
      </c>
      <c r="I147" s="13">
        <f t="shared" si="49"/>
        <v>8.9530575698469552E-27</v>
      </c>
      <c r="J147" s="7">
        <f t="shared" si="36"/>
        <v>8.9530575698469552E-27</v>
      </c>
      <c r="K147" s="7">
        <f t="shared" si="37"/>
        <v>8.9530575698469545E-18</v>
      </c>
      <c r="L147" s="15">
        <f t="shared" si="38"/>
        <v>8.9530575698469545E-18</v>
      </c>
      <c r="M147" s="28">
        <f t="shared" si="39"/>
        <v>0.4</v>
      </c>
      <c r="N147" s="7">
        <f t="shared" si="50"/>
        <v>0.45478460087394768</v>
      </c>
      <c r="O147" s="7">
        <f>EXP(-SUM(N$47:N147))</f>
        <v>4.7452361553526515E-45</v>
      </c>
      <c r="P147" s="7">
        <f t="shared" si="51"/>
        <v>3.4150304303635888E-41</v>
      </c>
      <c r="Q147" s="7">
        <f t="shared" si="42"/>
        <v>3.4150304303635888E-41</v>
      </c>
      <c r="R147" s="7">
        <f t="shared" si="43"/>
        <v>2.9261984286240054E-32</v>
      </c>
      <c r="S147" s="7">
        <f t="shared" si="44"/>
        <v>2.9261984286240054E-32</v>
      </c>
      <c r="T147" s="15">
        <f t="shared" si="45"/>
        <v>9.4046970255297773E-33</v>
      </c>
      <c r="U147" s="4"/>
      <c r="V147" s="4"/>
    </row>
    <row r="148" spans="2:22" x14ac:dyDescent="0.3">
      <c r="B148" s="1"/>
      <c r="C148" s="1"/>
      <c r="D148" s="1"/>
      <c r="E148" s="2"/>
    </row>
    <row r="149" spans="2:22" x14ac:dyDescent="0.3">
      <c r="B149" s="1"/>
      <c r="C149" s="1"/>
      <c r="D149" s="1"/>
      <c r="E149" s="2"/>
    </row>
    <row r="150" spans="2:22" x14ac:dyDescent="0.3">
      <c r="B150" s="1"/>
      <c r="C150" s="1"/>
      <c r="D150" s="1"/>
      <c r="E150" s="2"/>
    </row>
  </sheetData>
  <mergeCells count="5">
    <mergeCell ref="B36:B41"/>
    <mergeCell ref="B18:B20"/>
    <mergeCell ref="B21:B29"/>
    <mergeCell ref="B30:B35"/>
    <mergeCell ref="B15:B17"/>
  </mergeCells>
  <printOptions horizontalCentered="1" verticalCentered="1"/>
  <pageMargins left="0.25" right="0.25" top="0.25" bottom="0.25" header="0" footer="0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25</vt:i4>
      </vt:variant>
    </vt:vector>
  </HeadingPairs>
  <TitlesOfParts>
    <vt:vector size="26" baseType="lpstr">
      <vt:lpstr>Model</vt:lpstr>
      <vt:lpstr>Model!A</vt:lpstr>
      <vt:lpstr>Model!alpha</vt:lpstr>
      <vt:lpstr>Model!Amat</vt:lpstr>
      <vt:lpstr>Model!B</vt:lpstr>
      <vt:lpstr>Model!beta</vt:lpstr>
      <vt:lpstr>Model!F</vt:lpstr>
      <vt:lpstr>Model!h</vt:lpstr>
      <vt:lpstr>Model!K</vt:lpstr>
      <vt:lpstr>Model!L0</vt:lpstr>
      <vt:lpstr>Model!Linf</vt:lpstr>
      <vt:lpstr>Model!LMARR</vt:lpstr>
      <vt:lpstr>Model!Ln_Rinput</vt:lpstr>
      <vt:lpstr>Model!M</vt:lpstr>
      <vt:lpstr>Model!MLRR</vt:lpstr>
      <vt:lpstr>Model!Print_Area</vt:lpstr>
      <vt:lpstr>Model!R_average</vt:lpstr>
      <vt:lpstr>Model!R0</vt:lpstr>
      <vt:lpstr>recruit_obj</vt:lpstr>
      <vt:lpstr>Model!SB_average</vt:lpstr>
      <vt:lpstr>Model!SB0</vt:lpstr>
      <vt:lpstr>Model!sSBPR_a</vt:lpstr>
      <vt:lpstr>Model!W_1</vt:lpstr>
      <vt:lpstr>Model!W_2</vt:lpstr>
      <vt:lpstr>Model!W0</vt:lpstr>
      <vt:lpstr>Model!Winf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2014-10-06T00:30:41Z</dcterms:modified>
</cp:coreProperties>
</file>