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esktop\Fourth Year\Power Electronics\Lab\Power-Electronics-Lab\"/>
    </mc:Choice>
  </mc:AlternateContent>
  <xr:revisionPtr revIDLastSave="0" documentId="13_ncr:1_{269792C5-C96F-45D5-8638-0FB4E6A7E7D4}" xr6:coauthVersionLast="45" xr6:coauthVersionMax="45" xr10:uidLastSave="{00000000-0000-0000-0000-000000000000}"/>
  <bookViews>
    <workbookView xWindow="28680" yWindow="-120" windowWidth="16440" windowHeight="28440" xr2:uid="{9111AAFC-A209-4B03-99D3-7DD57201F6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3" i="1" l="1"/>
  <c r="E42" i="1"/>
  <c r="B35" i="1"/>
  <c r="B36" i="1"/>
  <c r="D43" i="1"/>
  <c r="D42" i="1"/>
  <c r="B116" i="1"/>
  <c r="B106" i="1"/>
  <c r="B107" i="1" s="1"/>
  <c r="B105" i="1"/>
  <c r="B104" i="1"/>
  <c r="B99" i="1"/>
  <c r="B95" i="1"/>
  <c r="B92" i="1"/>
  <c r="B91" i="1"/>
  <c r="B96" i="1" s="1"/>
  <c r="B47" i="1"/>
  <c r="B45" i="1"/>
  <c r="B39" i="1"/>
  <c r="B40" i="1" s="1"/>
  <c r="B38" i="1"/>
  <c r="B37" i="1"/>
  <c r="B32" i="1"/>
  <c r="B31" i="1"/>
  <c r="B29" i="1"/>
  <c r="B28" i="1"/>
  <c r="B27" i="1"/>
  <c r="B25" i="1"/>
  <c r="B30" i="1"/>
  <c r="B26" i="1"/>
  <c r="B24" i="1"/>
  <c r="B23" i="1"/>
  <c r="B22" i="1"/>
  <c r="B41" i="1" l="1"/>
  <c r="B46" i="1" s="1"/>
  <c r="B44" i="1"/>
  <c r="B114" i="1"/>
  <c r="B108" i="1"/>
  <c r="B101" i="1"/>
  <c r="B97" i="1"/>
  <c r="B98" i="1" s="1"/>
  <c r="B100" i="1"/>
  <c r="B93" i="1"/>
  <c r="B94" i="1" s="1"/>
  <c r="B48" i="1" l="1"/>
  <c r="B49" i="1"/>
  <c r="B113" i="1"/>
  <c r="B109" i="1"/>
  <c r="B115" i="1" s="1"/>
  <c r="B110" i="1"/>
  <c r="B118" i="1" l="1"/>
  <c r="B117" i="1"/>
</calcChain>
</file>

<file path=xl/sharedStrings.xml><?xml version="1.0" encoding="utf-8"?>
<sst xmlns="http://schemas.openxmlformats.org/spreadsheetml/2006/main" count="204" uniqueCount="69">
  <si>
    <t>Specifications:</t>
  </si>
  <si>
    <t>D_min</t>
  </si>
  <si>
    <t>D_max</t>
  </si>
  <si>
    <t>L_min</t>
  </si>
  <si>
    <t>L_chosen</t>
  </si>
  <si>
    <t>C_min</t>
  </si>
  <si>
    <t>C_chosen</t>
  </si>
  <si>
    <t>V_out</t>
  </si>
  <si>
    <t>I_out</t>
  </si>
  <si>
    <t>Note: Tried to mimic layout seen on pages 121-123 of notes</t>
  </si>
  <si>
    <t>V_in min</t>
  </si>
  <si>
    <t>V_in nominal</t>
  </si>
  <si>
    <t xml:space="preserve">V_in max </t>
  </si>
  <si>
    <t>Units Expected:</t>
  </si>
  <si>
    <t>Hz</t>
  </si>
  <si>
    <t>A</t>
  </si>
  <si>
    <t>V</t>
  </si>
  <si>
    <t>Values:</t>
  </si>
  <si>
    <t>I_min</t>
  </si>
  <si>
    <t>η_estimated</t>
  </si>
  <si>
    <t>f_switch</t>
  </si>
  <si>
    <t>[0-1]</t>
  </si>
  <si>
    <t>Design Calculations:</t>
  </si>
  <si>
    <t>Units:</t>
  </si>
  <si>
    <t>H</t>
  </si>
  <si>
    <t>F</t>
  </si>
  <si>
    <t>Component Parasitics:</t>
  </si>
  <si>
    <t>R_switch</t>
  </si>
  <si>
    <t>Switch turn-on…</t>
  </si>
  <si>
    <t>ESR - L</t>
  </si>
  <si>
    <t>ESR -C</t>
  </si>
  <si>
    <t>Ω</t>
  </si>
  <si>
    <t>s</t>
  </si>
  <si>
    <r>
      <t>ΔI_load</t>
    </r>
    <r>
      <rPr>
        <b/>
        <sz val="11"/>
        <color theme="1"/>
        <rFont val="Calibri"/>
        <family val="2"/>
      </rPr>
      <t xml:space="preserve"> peak to peak</t>
    </r>
  </si>
  <si>
    <r>
      <t xml:space="preserve">ΔV_out </t>
    </r>
    <r>
      <rPr>
        <b/>
        <sz val="11"/>
        <color theme="1"/>
        <rFont val="Calibri"/>
        <family val="2"/>
      </rPr>
      <t>Amplitude</t>
    </r>
  </si>
  <si>
    <t>Note: In notes, ΔV is half the peak to peak voltage difference (i.e. amplitude)</t>
  </si>
  <si>
    <t>But ΔI is peak to peak difference (i.e. 2xAmplitude)</t>
  </si>
  <si>
    <t>Efficiency Calculations:</t>
  </si>
  <si>
    <t>ΔI max ripple current</t>
  </si>
  <si>
    <t>ΔV_cap from ΔI max</t>
  </si>
  <si>
    <t>ΔV_esr from ΔI max</t>
  </si>
  <si>
    <t>V_in</t>
  </si>
  <si>
    <t>D</t>
  </si>
  <si>
    <t>ΔI ripple current</t>
  </si>
  <si>
    <t>Ir ripple current ratio</t>
  </si>
  <si>
    <t>Total Loss</t>
  </si>
  <si>
    <t>P_out</t>
  </si>
  <si>
    <t>η</t>
  </si>
  <si>
    <t>Switch conduction loss - High side</t>
  </si>
  <si>
    <t>Switch conduction loss - Low side</t>
  </si>
  <si>
    <t>Switching loss - Low side</t>
  </si>
  <si>
    <t>Inductor ESR loss</t>
  </si>
  <si>
    <t>Capacitor ESR loss</t>
  </si>
  <si>
    <t>W</t>
  </si>
  <si>
    <t>V_off MOSFET</t>
  </si>
  <si>
    <t>t_rise MOSFET</t>
  </si>
  <si>
    <t>t_fall MOSFET</t>
  </si>
  <si>
    <t>Should equal - Von Diode?</t>
  </si>
  <si>
    <t>L_tolerance</t>
  </si>
  <si>
    <t>C_tolerance</t>
  </si>
  <si>
    <t>L_min with tolerance</t>
  </si>
  <si>
    <t>C_min with tolerance</t>
  </si>
  <si>
    <t>η%</t>
  </si>
  <si>
    <t>Switching loss - High side</t>
  </si>
  <si>
    <t>No formulae in here, hard coded</t>
  </si>
  <si>
    <t>Proof formulae Work: same results as his example on page 121-123</t>
  </si>
  <si>
    <t>don’t edit here - should really get rid of these extras</t>
  </si>
  <si>
    <t>make this section unchangeable</t>
  </si>
  <si>
    <t>Need to lock cells!!!  https://www.excelcampus.com/tips/lock-cells/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</si>
</sst>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11" fontId="0" fillId="0" borderId="0" xfId="0" applyNumberFormat="1"/>
    <xf numFmtId="11" fontId="0" fillId="2" borderId="0" xfId="0" applyNumberFormat="1" applyFill="1"/>
    <xf numFmtId="0" fontId="0" fillId="0" borderId="0" xfId="0" applyFill="1"/>
    <xf numFmtId="0" fontId="3" fillId="0" borderId="0" xfId="0" applyFont="1"/>
    <xf numFmtId="0" fontId="0" fillId="3" borderId="0" xfId="0" applyFill="1"/>
    <xf numFmtId="11" fontId="0" fillId="3" borderId="0" xfId="0" applyNumberFormat="1" applyFill="1"/>
    <xf numFmtId="11" fontId="0" fillId="0" borderId="0" xfId="0" applyNumberFormat="1" applyFill="1"/>
    <xf numFmtId="0" fontId="0" fillId="4" borderId="0" xfId="0" applyFill="1"/>
    <xf numFmtId="0" fontId="0" fillId="5" borderId="0" xfId="0" applyFill="1"/>
    <xf numFmtId="11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9CAB4-AA50-4462-BE7A-FFBEBFA25547}">
  <dimension ref="A1:J118"/>
  <sheetViews>
    <sheetView tabSelected="1" workbookViewId="0">
      <selection activeCell="E43" sqref="E43"/>
    </sheetView>
  </sheetViews>
  <sheetFormatPr defaultRowHeight="14.5" x14ac:dyDescent="0.35"/>
  <cols>
    <col min="1" max="1" width="30.26953125" customWidth="1"/>
    <col min="2" max="2" width="14.36328125" customWidth="1"/>
    <col min="3" max="3" width="12.1796875" customWidth="1"/>
    <col min="5" max="5" width="19.90625" customWidth="1"/>
    <col min="6" max="6" width="12.54296875" customWidth="1"/>
  </cols>
  <sheetData>
    <row r="1" spans="1:8" x14ac:dyDescent="0.35">
      <c r="A1" s="1" t="s">
        <v>9</v>
      </c>
      <c r="D1" t="s">
        <v>68</v>
      </c>
    </row>
    <row r="2" spans="1:8" x14ac:dyDescent="0.35">
      <c r="A2" s="1"/>
    </row>
    <row r="3" spans="1:8" x14ac:dyDescent="0.35">
      <c r="A3" s="1" t="s">
        <v>0</v>
      </c>
      <c r="B3" s="1" t="s">
        <v>17</v>
      </c>
      <c r="C3" s="1" t="s">
        <v>13</v>
      </c>
      <c r="D3" s="1"/>
      <c r="E3" s="1" t="s">
        <v>26</v>
      </c>
      <c r="F3" s="1" t="s">
        <v>17</v>
      </c>
      <c r="G3" s="1" t="s">
        <v>23</v>
      </c>
    </row>
    <row r="4" spans="1:8" x14ac:dyDescent="0.35">
      <c r="A4" t="s">
        <v>11</v>
      </c>
      <c r="B4" s="11">
        <v>12</v>
      </c>
      <c r="C4" s="1" t="s">
        <v>16</v>
      </c>
      <c r="D4" s="1"/>
      <c r="E4" t="s">
        <v>27</v>
      </c>
      <c r="F4" s="11">
        <v>5.0000000000000001E-3</v>
      </c>
      <c r="G4" s="6" t="s">
        <v>31</v>
      </c>
    </row>
    <row r="5" spans="1:8" x14ac:dyDescent="0.35">
      <c r="A5" t="s">
        <v>12</v>
      </c>
      <c r="B5" s="11">
        <v>12.6</v>
      </c>
      <c r="C5" s="1" t="s">
        <v>16</v>
      </c>
      <c r="D5" s="1"/>
      <c r="E5" t="s">
        <v>28</v>
      </c>
      <c r="F5" s="12">
        <v>2E-8</v>
      </c>
      <c r="G5" s="1" t="s">
        <v>32</v>
      </c>
    </row>
    <row r="6" spans="1:8" x14ac:dyDescent="0.35">
      <c r="A6" t="s">
        <v>10</v>
      </c>
      <c r="B6" s="11">
        <v>11.04</v>
      </c>
      <c r="C6" s="1" t="s">
        <v>16</v>
      </c>
      <c r="D6" s="1"/>
      <c r="E6" t="s">
        <v>29</v>
      </c>
      <c r="F6" s="11">
        <v>1E-3</v>
      </c>
      <c r="G6" s="1" t="s">
        <v>31</v>
      </c>
    </row>
    <row r="7" spans="1:8" x14ac:dyDescent="0.35">
      <c r="B7" s="11"/>
      <c r="C7" s="1"/>
      <c r="D7" s="1"/>
      <c r="E7" t="s">
        <v>30</v>
      </c>
      <c r="F7" s="11">
        <v>5.0000000000000001E-3</v>
      </c>
      <c r="G7" s="1" t="s">
        <v>31</v>
      </c>
    </row>
    <row r="8" spans="1:8" x14ac:dyDescent="0.35">
      <c r="A8" t="s">
        <v>7</v>
      </c>
      <c r="B8" s="11">
        <v>0.8</v>
      </c>
      <c r="C8" s="1" t="s">
        <v>16</v>
      </c>
      <c r="D8" s="1"/>
      <c r="E8" t="s">
        <v>54</v>
      </c>
      <c r="F8" s="11"/>
      <c r="G8" s="1" t="s">
        <v>16</v>
      </c>
      <c r="H8" t="s">
        <v>57</v>
      </c>
    </row>
    <row r="9" spans="1:8" x14ac:dyDescent="0.35">
      <c r="A9" s="2" t="s">
        <v>34</v>
      </c>
      <c r="B9" s="11">
        <v>5.0000000000000001E-3</v>
      </c>
      <c r="C9" s="1" t="s">
        <v>16</v>
      </c>
      <c r="D9" s="1"/>
      <c r="E9" t="s">
        <v>55</v>
      </c>
      <c r="F9" s="12">
        <v>4.0000000000000001E-8</v>
      </c>
      <c r="G9" s="1" t="s">
        <v>32</v>
      </c>
    </row>
    <row r="10" spans="1:8" x14ac:dyDescent="0.35">
      <c r="B10" s="11"/>
      <c r="C10" s="1"/>
      <c r="D10" s="1"/>
      <c r="E10" t="s">
        <v>56</v>
      </c>
      <c r="F10" s="12">
        <v>4.0000000000000001E-8</v>
      </c>
      <c r="G10" s="1" t="s">
        <v>32</v>
      </c>
    </row>
    <row r="11" spans="1:8" x14ac:dyDescent="0.35">
      <c r="A11" t="s">
        <v>8</v>
      </c>
      <c r="B11" s="11">
        <v>130</v>
      </c>
      <c r="C11" s="1" t="s">
        <v>15</v>
      </c>
      <c r="D11" s="1"/>
      <c r="E11" t="s">
        <v>58</v>
      </c>
      <c r="F11" s="11"/>
      <c r="G11" s="1" t="s">
        <v>21</v>
      </c>
    </row>
    <row r="12" spans="1:8" x14ac:dyDescent="0.35">
      <c r="A12" s="2" t="s">
        <v>18</v>
      </c>
      <c r="B12" s="11">
        <v>5</v>
      </c>
      <c r="C12" s="1" t="s">
        <v>15</v>
      </c>
      <c r="D12" s="1"/>
      <c r="E12" t="s">
        <v>59</v>
      </c>
      <c r="F12" s="11"/>
      <c r="G12" s="1" t="s">
        <v>21</v>
      </c>
    </row>
    <row r="13" spans="1:8" x14ac:dyDescent="0.35">
      <c r="A13" s="2" t="s">
        <v>33</v>
      </c>
      <c r="B13" s="11"/>
      <c r="C13" s="1" t="s">
        <v>15</v>
      </c>
      <c r="D13" s="1"/>
    </row>
    <row r="14" spans="1:8" x14ac:dyDescent="0.35">
      <c r="B14" s="11"/>
      <c r="C14" s="1"/>
      <c r="D14" s="1"/>
    </row>
    <row r="15" spans="1:8" x14ac:dyDescent="0.35">
      <c r="A15" t="s">
        <v>20</v>
      </c>
      <c r="B15" s="12">
        <v>500000</v>
      </c>
      <c r="C15" s="1" t="s">
        <v>14</v>
      </c>
      <c r="D15" s="1"/>
    </row>
    <row r="16" spans="1:8" x14ac:dyDescent="0.35">
      <c r="A16" s="2" t="s">
        <v>19</v>
      </c>
      <c r="B16" s="11">
        <v>0.8</v>
      </c>
      <c r="C16" s="1" t="s">
        <v>21</v>
      </c>
      <c r="D16" s="1"/>
    </row>
    <row r="17" spans="1:9" x14ac:dyDescent="0.35">
      <c r="A17" s="2"/>
    </row>
    <row r="18" spans="1:9" x14ac:dyDescent="0.35">
      <c r="A18" s="1" t="s">
        <v>35</v>
      </c>
    </row>
    <row r="19" spans="1:9" x14ac:dyDescent="0.35">
      <c r="A19" s="1" t="s">
        <v>36</v>
      </c>
    </row>
    <row r="21" spans="1:9" x14ac:dyDescent="0.35">
      <c r="A21" s="1" t="s">
        <v>22</v>
      </c>
      <c r="B21" s="1" t="s">
        <v>17</v>
      </c>
      <c r="C21" s="1" t="s">
        <v>23</v>
      </c>
      <c r="E21" s="1"/>
      <c r="F21" s="1"/>
      <c r="G21" s="1"/>
    </row>
    <row r="22" spans="1:9" x14ac:dyDescent="0.35">
      <c r="A22" t="s">
        <v>1</v>
      </c>
      <c r="B22">
        <f>B8/(B5*B16)</f>
        <v>7.9365079365079375E-2</v>
      </c>
      <c r="C22" s="1"/>
      <c r="F22" s="3"/>
    </row>
    <row r="23" spans="1:9" x14ac:dyDescent="0.35">
      <c r="A23" t="s">
        <v>2</v>
      </c>
      <c r="B23">
        <f>B8/(B6*B16)</f>
        <v>9.057971014492755E-2</v>
      </c>
      <c r="C23" s="1"/>
      <c r="F23" s="3"/>
    </row>
    <row r="24" spans="1:9" x14ac:dyDescent="0.35">
      <c r="A24" t="s">
        <v>3</v>
      </c>
      <c r="B24" s="3">
        <f>B8*(1-B22)/(2*B15*B12)</f>
        <v>1.4730158730158731E-7</v>
      </c>
      <c r="C24" s="1" t="s">
        <v>24</v>
      </c>
    </row>
    <row r="25" spans="1:9" x14ac:dyDescent="0.35">
      <c r="A25" t="s">
        <v>60</v>
      </c>
      <c r="B25" s="3">
        <f>B24*(1+F11)</f>
        <v>1.4730158730158731E-7</v>
      </c>
      <c r="C25" s="1" t="s">
        <v>24</v>
      </c>
      <c r="D25" s="5"/>
      <c r="E25" s="5"/>
      <c r="F25" s="5"/>
    </row>
    <row r="26" spans="1:9" x14ac:dyDescent="0.35">
      <c r="A26" t="s">
        <v>4</v>
      </c>
      <c r="B26">
        <f>0.0000002</f>
        <v>1.9999999999999999E-7</v>
      </c>
      <c r="C26" s="1" t="s">
        <v>24</v>
      </c>
      <c r="D26" s="5"/>
      <c r="E26" s="5"/>
      <c r="F26" s="5"/>
    </row>
    <row r="27" spans="1:9" x14ac:dyDescent="0.35">
      <c r="A27" s="2" t="s">
        <v>38</v>
      </c>
      <c r="B27" s="3">
        <f>B8*(1-B22)/(B15*B26)</f>
        <v>7.3650793650793664</v>
      </c>
      <c r="C27" s="1" t="s">
        <v>15</v>
      </c>
      <c r="D27" s="5"/>
      <c r="E27" s="5"/>
      <c r="F27" s="5"/>
      <c r="G27" s="5"/>
      <c r="H27" s="5"/>
      <c r="I27" s="5"/>
    </row>
    <row r="28" spans="1:9" x14ac:dyDescent="0.35">
      <c r="A28" s="2" t="s">
        <v>5</v>
      </c>
      <c r="B28" s="9">
        <f>B27/(8*B15*B9)</f>
        <v>3.6825396825396835E-4</v>
      </c>
      <c r="C28" s="1" t="s">
        <v>25</v>
      </c>
      <c r="D28" s="5"/>
      <c r="E28" s="5"/>
      <c r="F28" s="5"/>
    </row>
    <row r="29" spans="1:9" x14ac:dyDescent="0.35">
      <c r="A29" t="s">
        <v>61</v>
      </c>
      <c r="B29" s="3">
        <f>B28*(1+F12)</f>
        <v>3.6825396825396835E-4</v>
      </c>
      <c r="C29" s="1" t="s">
        <v>25</v>
      </c>
      <c r="D29" s="5"/>
      <c r="E29" s="5"/>
      <c r="F29" s="5"/>
    </row>
    <row r="30" spans="1:9" x14ac:dyDescent="0.35">
      <c r="A30" s="2" t="s">
        <v>6</v>
      </c>
      <c r="B30">
        <f>0.0005</f>
        <v>5.0000000000000001E-4</v>
      </c>
      <c r="C30" s="1" t="s">
        <v>25</v>
      </c>
      <c r="D30" s="5"/>
      <c r="E30" s="5"/>
      <c r="F30" s="5"/>
    </row>
    <row r="31" spans="1:9" x14ac:dyDescent="0.35">
      <c r="A31" s="2" t="s">
        <v>39</v>
      </c>
      <c r="B31" s="3">
        <f>B27/(8*B15*B30)</f>
        <v>3.6825396825396831E-3</v>
      </c>
      <c r="C31" s="1" t="s">
        <v>16</v>
      </c>
    </row>
    <row r="32" spans="1:9" x14ac:dyDescent="0.35">
      <c r="A32" t="s">
        <v>40</v>
      </c>
      <c r="B32" s="3">
        <f>F7*B27</f>
        <v>3.6825396825396831E-2</v>
      </c>
      <c r="C32" s="1" t="s">
        <v>16</v>
      </c>
    </row>
    <row r="33" spans="1:10" x14ac:dyDescent="0.35">
      <c r="A33" s="1"/>
      <c r="B33" s="1"/>
      <c r="C33" s="1"/>
    </row>
    <row r="34" spans="1:10" x14ac:dyDescent="0.35">
      <c r="A34" s="1" t="s">
        <v>37</v>
      </c>
      <c r="B34" s="1" t="s">
        <v>17</v>
      </c>
      <c r="C34" s="1" t="s">
        <v>23</v>
      </c>
    </row>
    <row r="35" spans="1:10" x14ac:dyDescent="0.35">
      <c r="A35" t="s">
        <v>41</v>
      </c>
      <c r="B35" s="10">
        <f>B4</f>
        <v>12</v>
      </c>
      <c r="C35" s="1" t="s">
        <v>16</v>
      </c>
      <c r="D35" s="7" t="s">
        <v>66</v>
      </c>
    </row>
    <row r="36" spans="1:10" x14ac:dyDescent="0.35">
      <c r="A36" t="s">
        <v>8</v>
      </c>
      <c r="B36" s="10">
        <f>B11</f>
        <v>130</v>
      </c>
      <c r="C36" s="1" t="s">
        <v>15</v>
      </c>
      <c r="D36" t="s">
        <v>67</v>
      </c>
    </row>
    <row r="37" spans="1:10" x14ac:dyDescent="0.35">
      <c r="A37" t="s">
        <v>42</v>
      </c>
      <c r="B37">
        <f>B8/B4</f>
        <v>6.6666666666666666E-2</v>
      </c>
      <c r="C37" s="1"/>
    </row>
    <row r="38" spans="1:10" x14ac:dyDescent="0.35">
      <c r="A38" t="s">
        <v>43</v>
      </c>
      <c r="B38" s="3">
        <f>B8*(1-B37)/(B15*B26)</f>
        <v>7.4666666666666677</v>
      </c>
      <c r="C38" s="1" t="s">
        <v>15</v>
      </c>
      <c r="D38" s="5"/>
      <c r="E38" s="5"/>
      <c r="F38" s="5"/>
      <c r="G38" s="5"/>
      <c r="H38" s="5"/>
      <c r="I38" s="5"/>
      <c r="J38" s="5"/>
    </row>
    <row r="39" spans="1:10" x14ac:dyDescent="0.35">
      <c r="A39" t="s">
        <v>44</v>
      </c>
      <c r="B39" s="3">
        <f>B38/B36</f>
        <v>5.7435897435897443E-2</v>
      </c>
      <c r="C39" s="1"/>
      <c r="D39" s="5"/>
      <c r="E39" s="5"/>
      <c r="F39" s="5"/>
      <c r="G39" s="5"/>
      <c r="H39" s="5"/>
      <c r="I39" s="5"/>
      <c r="J39" s="5"/>
    </row>
    <row r="40" spans="1:10" x14ac:dyDescent="0.35">
      <c r="A40" t="s">
        <v>48</v>
      </c>
      <c r="B40" s="3">
        <f>F4*B11*B11*(1+(1/12)*B39*B39)*B37</f>
        <v>5.6348819753086419</v>
      </c>
      <c r="C40" s="1" t="s">
        <v>53</v>
      </c>
      <c r="D40" s="5"/>
      <c r="E40" s="5"/>
      <c r="F40" s="5"/>
      <c r="G40" s="5"/>
      <c r="H40" s="5"/>
      <c r="I40" s="5"/>
      <c r="J40" s="5"/>
    </row>
    <row r="41" spans="1:10" x14ac:dyDescent="0.35">
      <c r="A41" t="s">
        <v>49</v>
      </c>
      <c r="B41" s="3">
        <f>F4*B11*B11*(1+(1/12)*B39*B39)*(1-B37)</f>
        <v>78.888347654320981</v>
      </c>
      <c r="C41" s="1" t="s">
        <v>53</v>
      </c>
      <c r="D41" s="5"/>
      <c r="E41" s="5"/>
      <c r="F41" s="5"/>
      <c r="G41" s="5"/>
      <c r="H41" s="5"/>
      <c r="I41" s="5"/>
      <c r="J41" s="5"/>
    </row>
    <row r="42" spans="1:10" x14ac:dyDescent="0.35">
      <c r="A42" t="s">
        <v>63</v>
      </c>
      <c r="B42" s="7">
        <v>15.6</v>
      </c>
      <c r="C42" s="1" t="s">
        <v>53</v>
      </c>
      <c r="D42" s="9">
        <f>0.5*$B$4*($B$11-$B$38)*$F$9*$B$15</f>
        <v>14.704000000000002</v>
      </c>
      <c r="E42" s="9">
        <f>0.5*$B$4*($B$11)*$F$9*$B$15</f>
        <v>15.6</v>
      </c>
      <c r="F42" s="5"/>
      <c r="G42" s="5"/>
      <c r="H42" s="5"/>
      <c r="I42" s="5"/>
      <c r="J42" s="5"/>
    </row>
    <row r="43" spans="1:10" x14ac:dyDescent="0.35">
      <c r="A43" t="s">
        <v>50</v>
      </c>
      <c r="B43" s="8">
        <v>0.91</v>
      </c>
      <c r="C43" s="1" t="s">
        <v>53</v>
      </c>
      <c r="D43" s="9">
        <f>0.5*$B$4*($B$11+$B$38)*$F$10*$B$15</f>
        <v>16.495999999999999</v>
      </c>
      <c r="E43" s="9">
        <f>0.5*$B$4*($B$11)*$F$9*$B$15</f>
        <v>15.6</v>
      </c>
      <c r="F43" s="5"/>
      <c r="G43" s="5"/>
      <c r="H43" s="5"/>
      <c r="I43" s="5"/>
      <c r="J43" s="5"/>
    </row>
    <row r="44" spans="1:10" x14ac:dyDescent="0.35">
      <c r="A44" t="s">
        <v>51</v>
      </c>
      <c r="B44" s="3">
        <f>F6*B11*B11*(1+(1/12)*B39*B39)</f>
        <v>16.904645925925927</v>
      </c>
      <c r="C44" s="1" t="s">
        <v>53</v>
      </c>
      <c r="D44" s="5"/>
      <c r="E44" s="5"/>
      <c r="F44" s="5"/>
      <c r="G44" s="5"/>
      <c r="H44" s="5"/>
      <c r="I44" s="5"/>
      <c r="J44" s="5"/>
    </row>
    <row r="45" spans="1:10" x14ac:dyDescent="0.35">
      <c r="A45" t="s">
        <v>52</v>
      </c>
      <c r="B45" s="3">
        <f>(F7*B38*B38)/12</f>
        <v>2.3229629629629631E-2</v>
      </c>
      <c r="C45" s="1" t="s">
        <v>53</v>
      </c>
      <c r="D45" s="5"/>
      <c r="E45" s="5"/>
      <c r="F45" s="5"/>
      <c r="G45" s="5"/>
      <c r="H45" s="5"/>
      <c r="I45" s="5"/>
      <c r="J45" s="5"/>
    </row>
    <row r="46" spans="1:10" x14ac:dyDescent="0.35">
      <c r="A46" t="s">
        <v>45</v>
      </c>
      <c r="B46" s="3">
        <f>SUM(B40:B45)</f>
        <v>117.96110518518516</v>
      </c>
      <c r="C46" s="1" t="s">
        <v>53</v>
      </c>
    </row>
    <row r="47" spans="1:10" x14ac:dyDescent="0.35">
      <c r="A47" t="s">
        <v>46</v>
      </c>
      <c r="B47">
        <f>B8*B11</f>
        <v>104</v>
      </c>
      <c r="C47" s="1" t="s">
        <v>53</v>
      </c>
    </row>
    <row r="48" spans="1:10" x14ac:dyDescent="0.35">
      <c r="A48" t="s">
        <v>47</v>
      </c>
      <c r="B48" s="3">
        <f>B47/(B47+B46)</f>
        <v>0.46855055940197898</v>
      </c>
    </row>
    <row r="49" spans="1:2" x14ac:dyDescent="0.35">
      <c r="A49" t="s">
        <v>62</v>
      </c>
      <c r="B49" s="3">
        <f>(B47*100)/(B46+B47)</f>
        <v>46.8550559401979</v>
      </c>
    </row>
    <row r="68" spans="1:7" x14ac:dyDescent="0.35">
      <c r="A68" t="s">
        <v>65</v>
      </c>
    </row>
    <row r="70" spans="1:7" x14ac:dyDescent="0.35">
      <c r="A70" s="1" t="s">
        <v>9</v>
      </c>
    </row>
    <row r="71" spans="1:7" x14ac:dyDescent="0.35">
      <c r="A71" s="1"/>
    </row>
    <row r="72" spans="1:7" x14ac:dyDescent="0.35">
      <c r="A72" s="1" t="s">
        <v>0</v>
      </c>
      <c r="B72" s="1" t="s">
        <v>17</v>
      </c>
      <c r="C72" s="1" t="s">
        <v>13</v>
      </c>
      <c r="D72" s="1"/>
      <c r="E72" s="1" t="s">
        <v>26</v>
      </c>
      <c r="F72" s="1" t="s">
        <v>17</v>
      </c>
      <c r="G72" s="1" t="s">
        <v>23</v>
      </c>
    </row>
    <row r="73" spans="1:7" x14ac:dyDescent="0.35">
      <c r="A73" t="s">
        <v>11</v>
      </c>
      <c r="B73">
        <v>12</v>
      </c>
      <c r="C73" s="1" t="s">
        <v>16</v>
      </c>
      <c r="D73" s="1"/>
      <c r="E73" t="s">
        <v>27</v>
      </c>
      <c r="F73">
        <v>5.0000000000000001E-3</v>
      </c>
      <c r="G73" s="6" t="s">
        <v>31</v>
      </c>
    </row>
    <row r="74" spans="1:7" x14ac:dyDescent="0.35">
      <c r="A74" t="s">
        <v>12</v>
      </c>
      <c r="B74">
        <v>12.6</v>
      </c>
      <c r="C74" s="1" t="s">
        <v>16</v>
      </c>
      <c r="D74" s="1"/>
      <c r="E74" t="s">
        <v>28</v>
      </c>
      <c r="F74" s="3">
        <v>2E-8</v>
      </c>
      <c r="G74" s="1" t="s">
        <v>32</v>
      </c>
    </row>
    <row r="75" spans="1:7" x14ac:dyDescent="0.35">
      <c r="A75" t="s">
        <v>10</v>
      </c>
      <c r="B75">
        <v>11.04</v>
      </c>
      <c r="C75" s="1" t="s">
        <v>16</v>
      </c>
      <c r="D75" s="1"/>
      <c r="E75" t="s">
        <v>29</v>
      </c>
      <c r="F75">
        <v>1E-3</v>
      </c>
      <c r="G75" s="1" t="s">
        <v>31</v>
      </c>
    </row>
    <row r="76" spans="1:7" x14ac:dyDescent="0.35">
      <c r="C76" s="1"/>
      <c r="D76" s="1"/>
      <c r="E76" t="s">
        <v>30</v>
      </c>
      <c r="F76">
        <v>5.0000000000000001E-3</v>
      </c>
      <c r="G76" s="1" t="s">
        <v>31</v>
      </c>
    </row>
    <row r="77" spans="1:7" x14ac:dyDescent="0.35">
      <c r="A77" t="s">
        <v>7</v>
      </c>
      <c r="B77">
        <v>0.8</v>
      </c>
      <c r="C77" s="1" t="s">
        <v>16</v>
      </c>
      <c r="D77" s="1"/>
      <c r="E77" t="s">
        <v>54</v>
      </c>
      <c r="G77" s="1" t="s">
        <v>16</v>
      </c>
    </row>
    <row r="78" spans="1:7" x14ac:dyDescent="0.35">
      <c r="A78" s="2" t="s">
        <v>34</v>
      </c>
      <c r="B78">
        <v>5.0000000000000001E-3</v>
      </c>
      <c r="C78" s="1" t="s">
        <v>16</v>
      </c>
      <c r="D78" s="1"/>
      <c r="E78" t="s">
        <v>55</v>
      </c>
      <c r="G78" s="1" t="s">
        <v>32</v>
      </c>
    </row>
    <row r="79" spans="1:7" x14ac:dyDescent="0.35">
      <c r="C79" s="1"/>
      <c r="D79" s="1"/>
      <c r="E79" t="s">
        <v>56</v>
      </c>
      <c r="G79" s="1" t="s">
        <v>32</v>
      </c>
    </row>
    <row r="80" spans="1:7" x14ac:dyDescent="0.35">
      <c r="A80" t="s">
        <v>8</v>
      </c>
      <c r="B80">
        <v>130</v>
      </c>
      <c r="C80" s="1" t="s">
        <v>15</v>
      </c>
      <c r="D80" s="1"/>
      <c r="E80" t="s">
        <v>58</v>
      </c>
      <c r="G80" s="1" t="s">
        <v>21</v>
      </c>
    </row>
    <row r="81" spans="1:7" x14ac:dyDescent="0.35">
      <c r="A81" s="2" t="s">
        <v>18</v>
      </c>
      <c r="B81">
        <v>5</v>
      </c>
      <c r="C81" s="1" t="s">
        <v>15</v>
      </c>
      <c r="D81" s="1"/>
      <c r="E81" t="s">
        <v>59</v>
      </c>
      <c r="G81" s="1" t="s">
        <v>21</v>
      </c>
    </row>
    <row r="82" spans="1:7" x14ac:dyDescent="0.35">
      <c r="A82" s="2" t="s">
        <v>33</v>
      </c>
      <c r="C82" s="1" t="s">
        <v>15</v>
      </c>
      <c r="D82" s="1"/>
    </row>
    <row r="83" spans="1:7" x14ac:dyDescent="0.35">
      <c r="C83" s="1"/>
      <c r="D83" s="1"/>
    </row>
    <row r="84" spans="1:7" x14ac:dyDescent="0.35">
      <c r="A84" t="s">
        <v>20</v>
      </c>
      <c r="B84" s="3">
        <v>500000</v>
      </c>
      <c r="C84" s="1" t="s">
        <v>14</v>
      </c>
      <c r="D84" s="1"/>
    </row>
    <row r="85" spans="1:7" x14ac:dyDescent="0.35">
      <c r="A85" s="2" t="s">
        <v>19</v>
      </c>
      <c r="B85">
        <v>0.8</v>
      </c>
      <c r="C85" s="1" t="s">
        <v>21</v>
      </c>
      <c r="D85" s="1"/>
    </row>
    <row r="86" spans="1:7" x14ac:dyDescent="0.35">
      <c r="A86" s="2"/>
    </row>
    <row r="87" spans="1:7" x14ac:dyDescent="0.35">
      <c r="A87" s="1" t="s">
        <v>35</v>
      </c>
    </row>
    <row r="88" spans="1:7" x14ac:dyDescent="0.35">
      <c r="A88" s="1" t="s">
        <v>36</v>
      </c>
    </row>
    <row r="90" spans="1:7" x14ac:dyDescent="0.35">
      <c r="A90" s="1" t="s">
        <v>22</v>
      </c>
      <c r="B90" s="1" t="s">
        <v>17</v>
      </c>
      <c r="C90" s="1" t="s">
        <v>23</v>
      </c>
      <c r="E90" s="1"/>
      <c r="F90" s="1"/>
      <c r="G90" s="1"/>
    </row>
    <row r="91" spans="1:7" x14ac:dyDescent="0.35">
      <c r="A91" t="s">
        <v>1</v>
      </c>
      <c r="B91">
        <f>B77/(B74*B85)</f>
        <v>7.9365079365079375E-2</v>
      </c>
      <c r="C91" s="1"/>
      <c r="F91" s="3"/>
    </row>
    <row r="92" spans="1:7" x14ac:dyDescent="0.35">
      <c r="A92" t="s">
        <v>2</v>
      </c>
      <c r="B92">
        <f>B77/(B75*B85)</f>
        <v>9.057971014492755E-2</v>
      </c>
      <c r="C92" s="1"/>
      <c r="F92" s="3"/>
    </row>
    <row r="93" spans="1:7" x14ac:dyDescent="0.35">
      <c r="A93" t="s">
        <v>3</v>
      </c>
      <c r="B93" s="3">
        <f>B77*(1-B91)/(2*B84*B81)</f>
        <v>1.4730158730158731E-7</v>
      </c>
      <c r="C93" s="1" t="s">
        <v>24</v>
      </c>
    </row>
    <row r="94" spans="1:7" x14ac:dyDescent="0.35">
      <c r="A94" t="s">
        <v>60</v>
      </c>
      <c r="B94" s="3">
        <f>B93*(1+F80)</f>
        <v>1.4730158730158731E-7</v>
      </c>
      <c r="C94" s="1" t="s">
        <v>24</v>
      </c>
      <c r="D94" s="5"/>
      <c r="E94" s="5"/>
      <c r="F94" s="5"/>
    </row>
    <row r="95" spans="1:7" x14ac:dyDescent="0.35">
      <c r="A95" t="s">
        <v>4</v>
      </c>
      <c r="B95">
        <f>0.0000002</f>
        <v>1.9999999999999999E-7</v>
      </c>
      <c r="C95" s="1" t="s">
        <v>24</v>
      </c>
      <c r="D95" s="5"/>
      <c r="E95" s="5"/>
      <c r="F95" s="5"/>
    </row>
    <row r="96" spans="1:7" x14ac:dyDescent="0.35">
      <c r="A96" s="2" t="s">
        <v>38</v>
      </c>
      <c r="B96" s="3">
        <f>B77*(1-B91)/(B84*B95)</f>
        <v>7.3650793650793664</v>
      </c>
      <c r="C96" s="1" t="s">
        <v>15</v>
      </c>
      <c r="D96" s="5"/>
      <c r="E96" s="5"/>
      <c r="F96" s="5"/>
      <c r="G96" s="5"/>
    </row>
    <row r="97" spans="1:7" x14ac:dyDescent="0.35">
      <c r="A97" s="2" t="s">
        <v>5</v>
      </c>
      <c r="B97" s="4">
        <f>B96/(8*B84*B78)</f>
        <v>3.6825396825396835E-4</v>
      </c>
      <c r="C97" s="1" t="s">
        <v>25</v>
      </c>
      <c r="D97" s="5"/>
      <c r="E97" s="5"/>
      <c r="F97" s="5"/>
    </row>
    <row r="98" spans="1:7" x14ac:dyDescent="0.35">
      <c r="A98" t="s">
        <v>61</v>
      </c>
      <c r="B98" s="3">
        <f>B97*(1+F81)</f>
        <v>3.6825396825396835E-4</v>
      </c>
      <c r="C98" s="1" t="s">
        <v>25</v>
      </c>
      <c r="D98" s="5"/>
      <c r="E98" s="5"/>
      <c r="F98" s="5"/>
    </row>
    <row r="99" spans="1:7" x14ac:dyDescent="0.35">
      <c r="A99" s="2" t="s">
        <v>6</v>
      </c>
      <c r="B99">
        <f>0.0005</f>
        <v>5.0000000000000001E-4</v>
      </c>
      <c r="C99" s="1" t="s">
        <v>25</v>
      </c>
      <c r="D99" s="5"/>
      <c r="E99" s="5"/>
      <c r="F99" s="5"/>
    </row>
    <row r="100" spans="1:7" x14ac:dyDescent="0.35">
      <c r="A100" s="2" t="s">
        <v>39</v>
      </c>
      <c r="B100" s="3">
        <f>B96/(8*B84*B99)</f>
        <v>3.6825396825396831E-3</v>
      </c>
      <c r="C100" s="1" t="s">
        <v>16</v>
      </c>
    </row>
    <row r="101" spans="1:7" x14ac:dyDescent="0.35">
      <c r="A101" t="s">
        <v>40</v>
      </c>
      <c r="B101" s="3">
        <f>F76*B96</f>
        <v>3.6825396825396831E-2</v>
      </c>
      <c r="C101" s="1" t="s">
        <v>16</v>
      </c>
    </row>
    <row r="102" spans="1:7" x14ac:dyDescent="0.35">
      <c r="A102" s="1"/>
      <c r="B102" s="1"/>
      <c r="C102" s="1"/>
    </row>
    <row r="103" spans="1:7" x14ac:dyDescent="0.35">
      <c r="A103" s="1" t="s">
        <v>37</v>
      </c>
      <c r="B103" s="1" t="s">
        <v>17</v>
      </c>
      <c r="C103" s="1" t="s">
        <v>23</v>
      </c>
    </row>
    <row r="104" spans="1:7" x14ac:dyDescent="0.35">
      <c r="A104" t="s">
        <v>41</v>
      </c>
      <c r="B104">
        <f>B73</f>
        <v>12</v>
      </c>
      <c r="C104" s="1" t="s">
        <v>16</v>
      </c>
    </row>
    <row r="105" spans="1:7" x14ac:dyDescent="0.35">
      <c r="A105" t="s">
        <v>8</v>
      </c>
      <c r="B105">
        <f>B80</f>
        <v>130</v>
      </c>
      <c r="C105" s="1" t="s">
        <v>15</v>
      </c>
    </row>
    <row r="106" spans="1:7" x14ac:dyDescent="0.35">
      <c r="A106" t="s">
        <v>42</v>
      </c>
      <c r="B106">
        <f>B77/B73</f>
        <v>6.6666666666666666E-2</v>
      </c>
      <c r="C106" s="1"/>
    </row>
    <row r="107" spans="1:7" x14ac:dyDescent="0.35">
      <c r="A107" t="s">
        <v>43</v>
      </c>
      <c r="B107" s="3">
        <f>B77*(1-B106)/(B84*B95)</f>
        <v>7.4666666666666677</v>
      </c>
      <c r="C107" s="1" t="s">
        <v>15</v>
      </c>
      <c r="D107" s="5"/>
      <c r="E107" s="5"/>
      <c r="F107" s="5"/>
      <c r="G107" s="5"/>
    </row>
    <row r="108" spans="1:7" x14ac:dyDescent="0.35">
      <c r="A108" t="s">
        <v>44</v>
      </c>
      <c r="B108" s="3">
        <f>B107/B105</f>
        <v>5.7435897435897443E-2</v>
      </c>
      <c r="C108" s="1"/>
      <c r="D108" s="5"/>
      <c r="E108" s="5"/>
      <c r="F108" s="5"/>
      <c r="G108" s="5"/>
    </row>
    <row r="109" spans="1:7" x14ac:dyDescent="0.35">
      <c r="A109" t="s">
        <v>48</v>
      </c>
      <c r="B109" s="3">
        <f>F73*B80*B80*(1+(1/12)*B108*B108)*B106</f>
        <v>5.6348819753086419</v>
      </c>
      <c r="C109" s="1" t="s">
        <v>53</v>
      </c>
      <c r="D109" s="5"/>
      <c r="E109" s="5"/>
      <c r="F109" s="5"/>
      <c r="G109" s="5"/>
    </row>
    <row r="110" spans="1:7" x14ac:dyDescent="0.35">
      <c r="A110" t="s">
        <v>49</v>
      </c>
      <c r="B110" s="3">
        <f>F73*B80*B80*(1+(1/12)*B108*B108)*(1-B106)</f>
        <v>78.888347654320981</v>
      </c>
      <c r="C110" s="1" t="s">
        <v>53</v>
      </c>
      <c r="D110" s="5"/>
      <c r="E110" s="5"/>
      <c r="F110" s="5"/>
      <c r="G110" s="5"/>
    </row>
    <row r="111" spans="1:7" x14ac:dyDescent="0.35">
      <c r="A111" t="s">
        <v>63</v>
      </c>
      <c r="B111" s="7">
        <v>15.6</v>
      </c>
      <c r="C111" s="1" t="s">
        <v>53</v>
      </c>
      <c r="D111" s="5" t="s">
        <v>64</v>
      </c>
      <c r="E111" s="5"/>
      <c r="F111" s="5"/>
      <c r="G111" s="5"/>
    </row>
    <row r="112" spans="1:7" x14ac:dyDescent="0.35">
      <c r="A112" t="s">
        <v>50</v>
      </c>
      <c r="B112" s="8">
        <v>0.91</v>
      </c>
      <c r="C112" s="1" t="s">
        <v>53</v>
      </c>
      <c r="D112" s="5"/>
      <c r="E112" s="5"/>
      <c r="F112" s="5"/>
      <c r="G112" s="5"/>
    </row>
    <row r="113" spans="1:7" x14ac:dyDescent="0.35">
      <c r="A113" t="s">
        <v>51</v>
      </c>
      <c r="B113" s="3">
        <f>F75*B80*B80*(1+(1/12)*B108*B108)</f>
        <v>16.904645925925927</v>
      </c>
      <c r="C113" s="1" t="s">
        <v>53</v>
      </c>
      <c r="D113" s="5"/>
      <c r="E113" s="5"/>
      <c r="F113" s="5"/>
      <c r="G113" s="5"/>
    </row>
    <row r="114" spans="1:7" x14ac:dyDescent="0.35">
      <c r="A114" t="s">
        <v>52</v>
      </c>
      <c r="B114" s="3">
        <f>(F76*B107*B107)/12</f>
        <v>2.3229629629629631E-2</v>
      </c>
      <c r="C114" s="1" t="s">
        <v>53</v>
      </c>
      <c r="D114" s="5"/>
      <c r="E114" s="5"/>
      <c r="F114" s="5"/>
      <c r="G114" s="5"/>
    </row>
    <row r="115" spans="1:7" x14ac:dyDescent="0.35">
      <c r="A115" t="s">
        <v>45</v>
      </c>
      <c r="B115" s="3">
        <f>SUM(B109:B114)</f>
        <v>117.96110518518516</v>
      </c>
      <c r="C115" s="1" t="s">
        <v>53</v>
      </c>
    </row>
    <row r="116" spans="1:7" x14ac:dyDescent="0.35">
      <c r="A116" t="s">
        <v>46</v>
      </c>
      <c r="B116">
        <f>B77*B80</f>
        <v>104</v>
      </c>
      <c r="C116" s="1" t="s">
        <v>53</v>
      </c>
    </row>
    <row r="117" spans="1:7" x14ac:dyDescent="0.35">
      <c r="A117" t="s">
        <v>47</v>
      </c>
      <c r="B117" s="3">
        <f>B116/(B116+B115)</f>
        <v>0.46855055940197898</v>
      </c>
    </row>
    <row r="118" spans="1:7" x14ac:dyDescent="0.35">
      <c r="A118" t="s">
        <v>62</v>
      </c>
      <c r="B118" s="3">
        <f>(B116*100)/(B115+B116)</f>
        <v>46.8550559401979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cp:lastPrinted>2020-10-05T17:54:02Z</cp:lastPrinted>
  <dcterms:created xsi:type="dcterms:W3CDTF">2020-10-05T16:21:54Z</dcterms:created>
  <dcterms:modified xsi:type="dcterms:W3CDTF">2020-10-06T09:35:39Z</dcterms:modified>
</cp:coreProperties>
</file>