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Fourth Year\Power Electronics\Lab\Power-Electronics-Lab\"/>
    </mc:Choice>
  </mc:AlternateContent>
  <xr:revisionPtr revIDLastSave="0" documentId="13_ncr:1_{78BE2B00-F679-4EE0-9C3A-785B310DC640}" xr6:coauthVersionLast="45" xr6:coauthVersionMax="45" xr10:uidLastSave="{00000000-0000-0000-0000-000000000000}"/>
  <bookViews>
    <workbookView xWindow="-110" yWindow="-110" windowWidth="19420" windowHeight="10420" xr2:uid="{9111AAFC-A209-4B03-99D3-7DD57201F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26" i="1"/>
  <c r="B54" i="1"/>
  <c r="F58" i="1"/>
  <c r="F55" i="1"/>
  <c r="F57" i="1"/>
  <c r="F54" i="1"/>
  <c r="B53" i="1"/>
  <c r="B55" i="1"/>
  <c r="F53" i="1"/>
  <c r="Q22" i="1"/>
  <c r="Q24" i="1" s="1"/>
  <c r="Q25" i="1" s="1"/>
  <c r="Q23" i="1"/>
  <c r="Q26" i="1"/>
  <c r="Q27" i="1"/>
  <c r="Q28" i="1" s="1"/>
  <c r="Q29" i="1" s="1"/>
  <c r="Q30" i="1"/>
  <c r="Q31" i="1"/>
  <c r="Q35" i="1"/>
  <c r="Q36" i="1"/>
  <c r="Q37" i="1"/>
  <c r="Q38" i="1" s="1"/>
  <c r="T42" i="1"/>
  <c r="T43" i="1"/>
  <c r="Q47" i="1"/>
  <c r="B24" i="1"/>
  <c r="B13" i="1"/>
  <c r="B9" i="1"/>
  <c r="Q39" i="1" l="1"/>
  <c r="Q45" i="1"/>
  <c r="Q32" i="1"/>
  <c r="B35" i="1"/>
  <c r="B36" i="1"/>
  <c r="B47" i="1"/>
  <c r="B37" i="1"/>
  <c r="B38" i="1" s="1"/>
  <c r="B30" i="1"/>
  <c r="B23" i="1"/>
  <c r="B22" i="1"/>
  <c r="B27" i="1" s="1"/>
  <c r="B28" i="1" s="1"/>
  <c r="S42" i="1" l="1"/>
  <c r="S43" i="1"/>
  <c r="Q44" i="1"/>
  <c r="Q40" i="1"/>
  <c r="Q41" i="1"/>
  <c r="B29" i="1"/>
  <c r="B31" i="1"/>
  <c r="B45" i="1"/>
  <c r="B39" i="1"/>
  <c r="B40" i="1" s="1"/>
  <c r="B25" i="1"/>
  <c r="B32" i="1"/>
  <c r="Q46" i="1" l="1"/>
  <c r="B44" i="1"/>
  <c r="B41" i="1"/>
  <c r="Q48" i="1" l="1"/>
  <c r="Q49" i="1"/>
  <c r="B46" i="1"/>
  <c r="B48" i="1" s="1"/>
  <c r="B49" i="1" l="1"/>
</calcChain>
</file>

<file path=xl/sharedStrings.xml><?xml version="1.0" encoding="utf-8"?>
<sst xmlns="http://schemas.openxmlformats.org/spreadsheetml/2006/main" count="225" uniqueCount="88">
  <si>
    <t>Specifications:</t>
  </si>
  <si>
    <t>D_min</t>
  </si>
  <si>
    <t>D_max</t>
  </si>
  <si>
    <t>L_min</t>
  </si>
  <si>
    <t>L_chosen</t>
  </si>
  <si>
    <t>C_min</t>
  </si>
  <si>
    <t>C_chosen</t>
  </si>
  <si>
    <t>V_out</t>
  </si>
  <si>
    <t>I_out</t>
  </si>
  <si>
    <t>Note: Tried to mimic layout seen on pages 121-123 of notes</t>
  </si>
  <si>
    <t>V_in min</t>
  </si>
  <si>
    <t>V_in nominal</t>
  </si>
  <si>
    <t xml:space="preserve">V_in max </t>
  </si>
  <si>
    <t>Units Expected:</t>
  </si>
  <si>
    <t>Hz</t>
  </si>
  <si>
    <t>A</t>
  </si>
  <si>
    <t>V</t>
  </si>
  <si>
    <t>Values:</t>
  </si>
  <si>
    <t>I_min</t>
  </si>
  <si>
    <t>η_estimated</t>
  </si>
  <si>
    <t>f_switch</t>
  </si>
  <si>
    <t>[0-1]</t>
  </si>
  <si>
    <t>Design Calculations:</t>
  </si>
  <si>
    <t>Units:</t>
  </si>
  <si>
    <t>H</t>
  </si>
  <si>
    <t>F</t>
  </si>
  <si>
    <t>Component Parasitics:</t>
  </si>
  <si>
    <t>R_switch</t>
  </si>
  <si>
    <t>Switch turn-on…</t>
  </si>
  <si>
    <t>ESR - L</t>
  </si>
  <si>
    <t>ESR -C</t>
  </si>
  <si>
    <t>Ω</t>
  </si>
  <si>
    <t>s</t>
  </si>
  <si>
    <r>
      <t>ΔI_load</t>
    </r>
    <r>
      <rPr>
        <b/>
        <sz val="11"/>
        <color theme="1"/>
        <rFont val="Calibri"/>
        <family val="2"/>
      </rPr>
      <t xml:space="preserve"> peak to peak</t>
    </r>
  </si>
  <si>
    <r>
      <t xml:space="preserve">ΔV_out </t>
    </r>
    <r>
      <rPr>
        <b/>
        <sz val="11"/>
        <color theme="1"/>
        <rFont val="Calibri"/>
        <family val="2"/>
      </rPr>
      <t>Amplitude</t>
    </r>
  </si>
  <si>
    <t>Note: In notes, ΔV is half the peak to peak voltage difference (i.e. amplitude)</t>
  </si>
  <si>
    <t>But ΔI is peak to peak difference (i.e. 2xAmplitude)</t>
  </si>
  <si>
    <t>Efficiency Calculations:</t>
  </si>
  <si>
    <t>ΔI max ripple current</t>
  </si>
  <si>
    <t>ΔV_cap from ΔI max</t>
  </si>
  <si>
    <t>ΔV_esr from ΔI max</t>
  </si>
  <si>
    <t>V_in</t>
  </si>
  <si>
    <t>D</t>
  </si>
  <si>
    <t>ΔI ripple current</t>
  </si>
  <si>
    <t>Ir ripple current ratio</t>
  </si>
  <si>
    <t>Total Loss</t>
  </si>
  <si>
    <t>P_out</t>
  </si>
  <si>
    <t>η</t>
  </si>
  <si>
    <t>Switch conduction loss - High side</t>
  </si>
  <si>
    <t>Switch conduction loss - Low side</t>
  </si>
  <si>
    <t>Switching loss - Low side</t>
  </si>
  <si>
    <t>Inductor ESR loss</t>
  </si>
  <si>
    <t>Capacitor ESR loss</t>
  </si>
  <si>
    <t>W</t>
  </si>
  <si>
    <t>V_off MOSFET</t>
  </si>
  <si>
    <t>t_rise MOSFET</t>
  </si>
  <si>
    <t>t_fall MOSFET</t>
  </si>
  <si>
    <t>Should equal - Von Diode?</t>
  </si>
  <si>
    <t>L_tolerance</t>
  </si>
  <si>
    <t>C_tolerance</t>
  </si>
  <si>
    <t>L_min with tolerance</t>
  </si>
  <si>
    <t>C_min with tolerance</t>
  </si>
  <si>
    <t>η%</t>
  </si>
  <si>
    <t>Switching loss - High side</t>
  </si>
  <si>
    <t>don’t edit here - should really get rid of these extras</t>
  </si>
  <si>
    <t>make this section unchangeable</t>
  </si>
  <si>
    <t>Need to lock cells!!!  https://www.excelcampus.com/tips/lock-cells/</t>
  </si>
  <si>
    <r>
      <t xml:space="preserve">ΔV_out </t>
    </r>
    <r>
      <rPr>
        <b/>
        <sz val="11"/>
        <color theme="1"/>
        <rFont val="Calibri"/>
        <family val="2"/>
      </rPr>
      <t>Amplitude</t>
    </r>
    <r>
      <rPr>
        <sz val="11"/>
        <color theme="1"/>
        <rFont val="Calibri"/>
        <family val="2"/>
      </rPr>
      <t xml:space="preserve"> max tolerable</t>
    </r>
  </si>
  <si>
    <t>Note: We didn't go with 2*I_min, we went with 0.2*Iout which is smaller</t>
  </si>
  <si>
    <t>Not divided by 2 - as in notes as in notes it was assumed we used a ripple current of twice I_min</t>
  </si>
  <si>
    <t>Proof formulae in sheet work: same results as his example on page 121-123</t>
  </si>
  <si>
    <t>Taken from https://www.infineon.com/dgdl/auirf9z34n.pdf?fileId=5546d462533600a4015355b0fd23141c</t>
  </si>
  <si>
    <t>Same</t>
  </si>
  <si>
    <t>LTSPICE:</t>
  </si>
  <si>
    <t>L ESR @100Hz</t>
  </si>
  <si>
    <t>L - lab measurement @100kHz</t>
  </si>
  <si>
    <t>Values</t>
  </si>
  <si>
    <t>Units</t>
  </si>
  <si>
    <t>Calculating N</t>
  </si>
  <si>
    <t>Ae</t>
  </si>
  <si>
    <t>lc</t>
  </si>
  <si>
    <t>μ</t>
  </si>
  <si>
    <t>μ_rel</t>
  </si>
  <si>
    <t>L_desired</t>
  </si>
  <si>
    <t>N</t>
  </si>
  <si>
    <t>N_chosen</t>
  </si>
  <si>
    <t>L_coil - lab measured</t>
  </si>
  <si>
    <t>check these equations - 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</si>
</sst>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0" fillId="2" borderId="0" xfId="0" applyNumberFormat="1" applyFill="1"/>
    <xf numFmtId="0" fontId="0" fillId="0" borderId="0" xfId="0" applyFill="1"/>
    <xf numFmtId="0" fontId="3" fillId="0" borderId="0" xfId="0" applyFont="1"/>
    <xf numFmtId="0" fontId="0" fillId="3" borderId="0" xfId="0" applyFill="1"/>
    <xf numFmtId="11" fontId="0" fillId="3" borderId="0" xfId="0" applyNumberFormat="1" applyFill="1"/>
    <xf numFmtId="11" fontId="0" fillId="0" borderId="0" xfId="0" applyNumberFormat="1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0" fontId="1" fillId="0" borderId="0" xfId="0" applyFont="1" applyFill="1"/>
    <xf numFmtId="0" fontId="2" fillId="0" borderId="0" xfId="0" applyFont="1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CAB4-AA50-4462-BE7A-FFBEBFA25547}">
  <dimension ref="A1:V118"/>
  <sheetViews>
    <sheetView tabSelected="1" zoomScale="87" workbookViewId="0">
      <selection activeCell="E2" sqref="E2"/>
    </sheetView>
  </sheetViews>
  <sheetFormatPr defaultRowHeight="14.5" x14ac:dyDescent="0.35"/>
  <cols>
    <col min="1" max="1" width="30.26953125" customWidth="1"/>
    <col min="2" max="2" width="14.36328125" customWidth="1"/>
    <col min="3" max="3" width="12.1796875" customWidth="1"/>
    <col min="5" max="5" width="19.90625" customWidth="1"/>
    <col min="6" max="6" width="12.54296875" customWidth="1"/>
  </cols>
  <sheetData>
    <row r="1" spans="1:22" x14ac:dyDescent="0.35">
      <c r="A1" s="1" t="s">
        <v>9</v>
      </c>
      <c r="D1" t="s">
        <v>66</v>
      </c>
    </row>
    <row r="2" spans="1:22" x14ac:dyDescent="0.35">
      <c r="A2" s="1"/>
      <c r="L2" s="5"/>
      <c r="M2" s="5"/>
      <c r="N2" s="5"/>
      <c r="O2" s="5"/>
      <c r="P2" t="s">
        <v>70</v>
      </c>
    </row>
    <row r="3" spans="1:22" x14ac:dyDescent="0.35">
      <c r="A3" s="1" t="s">
        <v>0</v>
      </c>
      <c r="B3" s="1" t="s">
        <v>17</v>
      </c>
      <c r="C3" s="1" t="s">
        <v>13</v>
      </c>
      <c r="D3" s="1"/>
      <c r="E3" s="1" t="s">
        <v>26</v>
      </c>
      <c r="F3" s="1" t="s">
        <v>17</v>
      </c>
      <c r="G3" s="1" t="s">
        <v>23</v>
      </c>
      <c r="L3" s="13"/>
      <c r="M3" s="13"/>
      <c r="N3" s="13"/>
      <c r="O3" s="13"/>
      <c r="P3" s="1" t="s">
        <v>0</v>
      </c>
      <c r="Q3" s="1" t="s">
        <v>17</v>
      </c>
      <c r="R3" s="1" t="s">
        <v>13</v>
      </c>
      <c r="S3" s="1"/>
      <c r="T3" s="1" t="s">
        <v>26</v>
      </c>
      <c r="U3" s="1" t="s">
        <v>17</v>
      </c>
      <c r="V3" s="1" t="s">
        <v>23</v>
      </c>
    </row>
    <row r="4" spans="1:22" x14ac:dyDescent="0.35">
      <c r="A4" t="s">
        <v>11</v>
      </c>
      <c r="B4" s="11">
        <v>10</v>
      </c>
      <c r="C4" s="1" t="s">
        <v>16</v>
      </c>
      <c r="D4" s="1"/>
      <c r="E4" t="s">
        <v>27</v>
      </c>
      <c r="F4" s="11">
        <v>5.0000000000000001E-3</v>
      </c>
      <c r="G4" s="6" t="s">
        <v>31</v>
      </c>
      <c r="L4" s="5"/>
      <c r="M4" s="5"/>
      <c r="N4" s="13"/>
      <c r="O4" s="13"/>
      <c r="P4" t="s">
        <v>11</v>
      </c>
      <c r="Q4" s="11">
        <v>12</v>
      </c>
      <c r="R4" s="1" t="s">
        <v>16</v>
      </c>
      <c r="S4" s="1"/>
      <c r="T4" t="s">
        <v>27</v>
      </c>
      <c r="U4" s="11">
        <v>5.0000000000000001E-3</v>
      </c>
      <c r="V4" s="6" t="s">
        <v>31</v>
      </c>
    </row>
    <row r="5" spans="1:22" x14ac:dyDescent="0.35">
      <c r="A5" t="s">
        <v>12</v>
      </c>
      <c r="B5" s="11">
        <v>12</v>
      </c>
      <c r="C5" s="1" t="s">
        <v>16</v>
      </c>
      <c r="D5" s="1"/>
      <c r="E5" t="s">
        <v>28</v>
      </c>
      <c r="F5" s="12">
        <v>2E-8</v>
      </c>
      <c r="G5" s="1" t="s">
        <v>32</v>
      </c>
      <c r="L5" s="5"/>
      <c r="M5" s="5"/>
      <c r="N5" s="13"/>
      <c r="O5" s="13"/>
      <c r="P5" t="s">
        <v>12</v>
      </c>
      <c r="Q5" s="11">
        <v>12.6</v>
      </c>
      <c r="R5" s="1" t="s">
        <v>16</v>
      </c>
      <c r="S5" s="1"/>
      <c r="T5" t="s">
        <v>28</v>
      </c>
      <c r="U5" s="12">
        <v>2E-8</v>
      </c>
      <c r="V5" s="1" t="s">
        <v>32</v>
      </c>
    </row>
    <row r="6" spans="1:22" x14ac:dyDescent="0.35">
      <c r="A6" t="s">
        <v>10</v>
      </c>
      <c r="B6" s="11">
        <v>8</v>
      </c>
      <c r="C6" s="1" t="s">
        <v>16</v>
      </c>
      <c r="D6" s="1"/>
      <c r="E6" t="s">
        <v>29</v>
      </c>
      <c r="F6" s="11">
        <v>1E-3</v>
      </c>
      <c r="G6" s="1" t="s">
        <v>31</v>
      </c>
      <c r="L6" s="5"/>
      <c r="M6" s="5"/>
      <c r="N6" s="13"/>
      <c r="O6" s="13"/>
      <c r="P6" t="s">
        <v>10</v>
      </c>
      <c r="Q6" s="11">
        <v>11.04</v>
      </c>
      <c r="R6" s="1" t="s">
        <v>16</v>
      </c>
      <c r="S6" s="1"/>
      <c r="T6" t="s">
        <v>29</v>
      </c>
      <c r="U6" s="11">
        <v>1E-3</v>
      </c>
      <c r="V6" s="1" t="s">
        <v>31</v>
      </c>
    </row>
    <row r="7" spans="1:22" x14ac:dyDescent="0.35">
      <c r="B7" s="11"/>
      <c r="C7" s="1"/>
      <c r="D7" s="1"/>
      <c r="E7" t="s">
        <v>30</v>
      </c>
      <c r="F7" s="11">
        <v>5.0000000000000001E-3</v>
      </c>
      <c r="G7" s="1" t="s">
        <v>31</v>
      </c>
      <c r="L7" s="5"/>
      <c r="M7" s="5"/>
      <c r="N7" s="13"/>
      <c r="O7" s="13"/>
      <c r="Q7" s="11"/>
      <c r="R7" s="1"/>
      <c r="S7" s="1"/>
      <c r="T7" t="s">
        <v>30</v>
      </c>
      <c r="U7" s="11">
        <v>5.0000000000000001E-3</v>
      </c>
      <c r="V7" s="1" t="s">
        <v>31</v>
      </c>
    </row>
    <row r="8" spans="1:22" x14ac:dyDescent="0.35">
      <c r="A8" t="s">
        <v>7</v>
      </c>
      <c r="B8" s="11">
        <v>5</v>
      </c>
      <c r="C8" s="1" t="s">
        <v>16</v>
      </c>
      <c r="D8" s="1"/>
      <c r="E8" t="s">
        <v>54</v>
      </c>
      <c r="F8" s="11"/>
      <c r="G8" s="1" t="s">
        <v>16</v>
      </c>
      <c r="H8" t="s">
        <v>57</v>
      </c>
      <c r="L8" s="5"/>
      <c r="M8" s="5"/>
      <c r="N8" s="13"/>
      <c r="O8" s="13"/>
      <c r="P8" t="s">
        <v>7</v>
      </c>
      <c r="Q8" s="11">
        <v>0.8</v>
      </c>
      <c r="R8" s="1" t="s">
        <v>16</v>
      </c>
      <c r="S8" s="1"/>
      <c r="T8" t="s">
        <v>54</v>
      </c>
      <c r="U8" s="11"/>
      <c r="V8" s="1" t="s">
        <v>16</v>
      </c>
    </row>
    <row r="9" spans="1:22" x14ac:dyDescent="0.35">
      <c r="A9" s="2" t="s">
        <v>67</v>
      </c>
      <c r="B9" s="11">
        <f>0.02*B8</f>
        <v>0.1</v>
      </c>
      <c r="C9" s="1" t="s">
        <v>16</v>
      </c>
      <c r="D9" s="1"/>
      <c r="E9" t="s">
        <v>55</v>
      </c>
      <c r="F9" s="12">
        <v>5.5000000000000003E-8</v>
      </c>
      <c r="G9" s="1" t="s">
        <v>32</v>
      </c>
      <c r="H9" s="1" t="s">
        <v>71</v>
      </c>
      <c r="L9" s="14"/>
      <c r="M9" s="5"/>
      <c r="N9" s="13"/>
      <c r="O9" s="13"/>
      <c r="P9" s="2" t="s">
        <v>34</v>
      </c>
      <c r="Q9" s="11">
        <v>5.0000000000000001E-3</v>
      </c>
      <c r="R9" s="1" t="s">
        <v>16</v>
      </c>
      <c r="S9" s="1"/>
      <c r="T9" t="s">
        <v>55</v>
      </c>
      <c r="U9" s="12">
        <v>4.0000000000000001E-8</v>
      </c>
      <c r="V9" s="1" t="s">
        <v>32</v>
      </c>
    </row>
    <row r="10" spans="1:22" x14ac:dyDescent="0.35">
      <c r="B10" s="11"/>
      <c r="C10" s="1"/>
      <c r="D10" s="1"/>
      <c r="E10" t="s">
        <v>56</v>
      </c>
      <c r="F10" s="12">
        <v>4.1000000000000003E-8</v>
      </c>
      <c r="G10" s="1" t="s">
        <v>32</v>
      </c>
      <c r="H10" t="s">
        <v>72</v>
      </c>
      <c r="L10" s="5"/>
      <c r="M10" s="5"/>
      <c r="N10" s="13"/>
      <c r="O10" s="13"/>
      <c r="Q10" s="11"/>
      <c r="R10" s="1"/>
      <c r="S10" s="1"/>
      <c r="T10" t="s">
        <v>56</v>
      </c>
      <c r="U10" s="12">
        <v>4.0000000000000001E-8</v>
      </c>
      <c r="V10" s="1" t="s">
        <v>32</v>
      </c>
    </row>
    <row r="11" spans="1:22" x14ac:dyDescent="0.35">
      <c r="A11" t="s">
        <v>8</v>
      </c>
      <c r="B11" s="11">
        <v>1</v>
      </c>
      <c r="C11" s="1" t="s">
        <v>15</v>
      </c>
      <c r="D11" s="1"/>
      <c r="E11" t="s">
        <v>58</v>
      </c>
      <c r="F11" s="11">
        <v>0.2</v>
      </c>
      <c r="G11" s="1" t="s">
        <v>21</v>
      </c>
      <c r="L11" s="5"/>
      <c r="M11" s="5"/>
      <c r="N11" s="13"/>
      <c r="O11" s="13"/>
      <c r="P11" t="s">
        <v>8</v>
      </c>
      <c r="Q11" s="11">
        <v>130</v>
      </c>
      <c r="R11" s="1" t="s">
        <v>15</v>
      </c>
      <c r="S11" s="1"/>
      <c r="T11" t="s">
        <v>58</v>
      </c>
      <c r="U11" s="11">
        <v>0.2</v>
      </c>
      <c r="V11" s="1" t="s">
        <v>21</v>
      </c>
    </row>
    <row r="12" spans="1:22" x14ac:dyDescent="0.35">
      <c r="A12" s="2" t="s">
        <v>18</v>
      </c>
      <c r="B12" s="11">
        <v>0.2</v>
      </c>
      <c r="C12" s="1" t="s">
        <v>15</v>
      </c>
      <c r="D12" s="1"/>
      <c r="E12" t="s">
        <v>59</v>
      </c>
      <c r="F12" s="11">
        <v>0.2</v>
      </c>
      <c r="G12" s="1" t="s">
        <v>21</v>
      </c>
      <c r="L12" s="14"/>
      <c r="M12" s="5"/>
      <c r="N12" s="13"/>
      <c r="O12" s="13"/>
      <c r="P12" s="2" t="s">
        <v>18</v>
      </c>
      <c r="Q12" s="11">
        <v>5</v>
      </c>
      <c r="R12" s="1" t="s">
        <v>15</v>
      </c>
      <c r="S12" s="1"/>
      <c r="T12" t="s">
        <v>59</v>
      </c>
      <c r="U12" s="11">
        <v>0.2</v>
      </c>
      <c r="V12" s="1" t="s">
        <v>21</v>
      </c>
    </row>
    <row r="13" spans="1:22" x14ac:dyDescent="0.35">
      <c r="A13" s="2" t="s">
        <v>33</v>
      </c>
      <c r="B13" s="11">
        <f>0.2*B11</f>
        <v>0.2</v>
      </c>
      <c r="C13" s="1" t="s">
        <v>15</v>
      </c>
      <c r="D13" s="1" t="s">
        <v>68</v>
      </c>
      <c r="L13" s="14"/>
      <c r="M13" s="5"/>
      <c r="N13" s="13"/>
      <c r="O13" s="13"/>
      <c r="P13" s="2" t="s">
        <v>33</v>
      </c>
      <c r="Q13" s="11"/>
      <c r="R13" s="1" t="s">
        <v>15</v>
      </c>
      <c r="S13" s="1"/>
    </row>
    <row r="14" spans="1:22" x14ac:dyDescent="0.35">
      <c r="B14" s="11"/>
      <c r="C14" s="1"/>
      <c r="D14" s="1"/>
      <c r="L14" s="5"/>
      <c r="M14" s="5"/>
      <c r="N14" s="13"/>
      <c r="O14" s="13"/>
      <c r="Q14" s="11"/>
      <c r="R14" s="1"/>
      <c r="S14" s="1"/>
    </row>
    <row r="15" spans="1:22" x14ac:dyDescent="0.35">
      <c r="A15" t="s">
        <v>20</v>
      </c>
      <c r="B15" s="12">
        <v>100000</v>
      </c>
      <c r="C15" s="1" t="s">
        <v>14</v>
      </c>
      <c r="D15" s="1"/>
      <c r="L15" s="5"/>
      <c r="M15" s="9"/>
      <c r="N15" s="13"/>
      <c r="O15" s="13"/>
      <c r="P15" t="s">
        <v>20</v>
      </c>
      <c r="Q15" s="12">
        <v>500000</v>
      </c>
      <c r="R15" s="1" t="s">
        <v>14</v>
      </c>
      <c r="S15" s="1"/>
    </row>
    <row r="16" spans="1:22" x14ac:dyDescent="0.35">
      <c r="A16" s="2" t="s">
        <v>19</v>
      </c>
      <c r="B16" s="11">
        <v>0.8</v>
      </c>
      <c r="C16" s="1" t="s">
        <v>21</v>
      </c>
      <c r="D16" s="1"/>
      <c r="L16" s="14"/>
      <c r="M16" s="5"/>
      <c r="N16" s="13"/>
      <c r="O16" s="13"/>
      <c r="P16" s="2" t="s">
        <v>19</v>
      </c>
      <c r="Q16" s="11">
        <v>0.8</v>
      </c>
      <c r="R16" s="1" t="s">
        <v>21</v>
      </c>
      <c r="S16" s="1"/>
    </row>
    <row r="17" spans="1:22" x14ac:dyDescent="0.35">
      <c r="A17" s="2"/>
      <c r="L17" s="14"/>
      <c r="M17" s="5"/>
      <c r="N17" s="5"/>
      <c r="O17" s="5"/>
      <c r="P17" s="2"/>
    </row>
    <row r="18" spans="1:22" x14ac:dyDescent="0.35">
      <c r="A18" s="1" t="s">
        <v>35</v>
      </c>
      <c r="L18" s="13"/>
      <c r="M18" s="5"/>
      <c r="N18" s="5"/>
      <c r="O18" s="5"/>
      <c r="P18" s="1" t="s">
        <v>35</v>
      </c>
    </row>
    <row r="19" spans="1:22" x14ac:dyDescent="0.35">
      <c r="A19" s="1" t="s">
        <v>36</v>
      </c>
      <c r="L19" s="13"/>
      <c r="M19" s="5"/>
      <c r="N19" s="5"/>
      <c r="O19" s="5"/>
      <c r="P19" s="1" t="s">
        <v>36</v>
      </c>
    </row>
    <row r="20" spans="1:22" x14ac:dyDescent="0.35">
      <c r="L20" s="5"/>
      <c r="M20" s="5"/>
      <c r="N20" s="5"/>
      <c r="O20" s="5"/>
    </row>
    <row r="21" spans="1:22" x14ac:dyDescent="0.35">
      <c r="A21" s="1" t="s">
        <v>22</v>
      </c>
      <c r="B21" s="1" t="s">
        <v>17</v>
      </c>
      <c r="C21" s="1" t="s">
        <v>23</v>
      </c>
      <c r="E21" s="1"/>
      <c r="F21" s="1"/>
      <c r="G21" s="1"/>
      <c r="L21" s="13"/>
      <c r="M21" s="13"/>
      <c r="N21" s="13"/>
      <c r="O21" s="5"/>
      <c r="P21" s="1" t="s">
        <v>22</v>
      </c>
      <c r="Q21" s="1" t="s">
        <v>17</v>
      </c>
      <c r="R21" s="1" t="s">
        <v>23</v>
      </c>
      <c r="T21" s="1"/>
      <c r="U21" s="1"/>
      <c r="V21" s="1"/>
    </row>
    <row r="22" spans="1:22" x14ac:dyDescent="0.35">
      <c r="A22" t="s">
        <v>1</v>
      </c>
      <c r="B22">
        <f>B8/(B5*B16)</f>
        <v>0.52083333333333326</v>
      </c>
      <c r="C22" s="1"/>
      <c r="F22" s="3"/>
      <c r="L22" s="5"/>
      <c r="M22" s="5"/>
      <c r="N22" s="13"/>
      <c r="O22" s="5"/>
      <c r="P22" t="s">
        <v>1</v>
      </c>
      <c r="Q22">
        <f>Q8/(Q5*Q16)</f>
        <v>7.9365079365079375E-2</v>
      </c>
      <c r="R22" s="1"/>
      <c r="U22" s="3"/>
    </row>
    <row r="23" spans="1:22" x14ac:dyDescent="0.35">
      <c r="A23" t="s">
        <v>2</v>
      </c>
      <c r="B23">
        <f>B8/(B6*B16)</f>
        <v>0.78125</v>
      </c>
      <c r="C23" s="1"/>
      <c r="F23" s="3"/>
      <c r="L23" s="5"/>
      <c r="M23" s="5"/>
      <c r="N23" s="13"/>
      <c r="O23" s="5"/>
      <c r="P23" t="s">
        <v>2</v>
      </c>
      <c r="Q23">
        <f>Q8/(Q6*Q16)</f>
        <v>9.057971014492755E-2</v>
      </c>
      <c r="R23" s="1"/>
      <c r="U23" s="3"/>
    </row>
    <row r="24" spans="1:22" x14ac:dyDescent="0.35">
      <c r="A24" s="7" t="s">
        <v>3</v>
      </c>
      <c r="B24" s="3">
        <f>B8*(1-B22)/(B15*B12)</f>
        <v>1.197916666666667E-4</v>
      </c>
      <c r="C24" s="1" t="s">
        <v>24</v>
      </c>
      <c r="D24" t="s">
        <v>69</v>
      </c>
      <c r="L24" s="5"/>
      <c r="M24" s="9"/>
      <c r="N24" s="13"/>
      <c r="O24" s="5"/>
      <c r="P24" t="s">
        <v>3</v>
      </c>
      <c r="Q24" s="3">
        <f>Q8*(1-Q22)/(2*Q15*Q12)</f>
        <v>1.4730158730158731E-7</v>
      </c>
      <c r="R24" s="1" t="s">
        <v>24</v>
      </c>
    </row>
    <row r="25" spans="1:22" x14ac:dyDescent="0.35">
      <c r="A25" t="s">
        <v>60</v>
      </c>
      <c r="B25" s="3">
        <f>B24*(1+F11)</f>
        <v>1.4375000000000002E-4</v>
      </c>
      <c r="C25" s="1" t="s">
        <v>24</v>
      </c>
      <c r="D25" s="5"/>
      <c r="E25" s="5"/>
      <c r="F25" s="5"/>
      <c r="L25" s="5"/>
      <c r="M25" s="9"/>
      <c r="N25" s="13"/>
      <c r="O25" s="5"/>
      <c r="P25" t="s">
        <v>60</v>
      </c>
      <c r="Q25" s="3">
        <f>Q24*(1+U11)</f>
        <v>1.7676190476190476E-7</v>
      </c>
      <c r="R25" s="1" t="s">
        <v>24</v>
      </c>
      <c r="S25" s="5"/>
      <c r="T25" s="5"/>
      <c r="U25" s="5"/>
    </row>
    <row r="26" spans="1:22" x14ac:dyDescent="0.35">
      <c r="A26" t="s">
        <v>86</v>
      </c>
      <c r="B26" s="3">
        <f>0.00018176</f>
        <v>1.8175999999999999E-4</v>
      </c>
      <c r="C26" s="1" t="s">
        <v>24</v>
      </c>
      <c r="D26" s="5"/>
      <c r="E26" s="5"/>
      <c r="F26" s="5"/>
      <c r="L26" s="5"/>
      <c r="M26" s="5"/>
      <c r="N26" s="13"/>
      <c r="O26" s="5"/>
      <c r="P26" t="s">
        <v>4</v>
      </c>
      <c r="Q26">
        <f>0.0000002</f>
        <v>1.9999999999999999E-7</v>
      </c>
      <c r="R26" s="1" t="s">
        <v>24</v>
      </c>
      <c r="S26" s="5"/>
      <c r="T26" s="5"/>
      <c r="U26" s="5"/>
    </row>
    <row r="27" spans="1:22" x14ac:dyDescent="0.35">
      <c r="A27" s="2" t="s">
        <v>38</v>
      </c>
      <c r="B27" s="3">
        <f>B8*(1-B22)/(B15*B26)</f>
        <v>0.13181301349765262</v>
      </c>
      <c r="C27" s="1" t="s">
        <v>15</v>
      </c>
      <c r="D27" s="5"/>
      <c r="E27" s="5"/>
      <c r="F27" s="5"/>
      <c r="G27" s="5"/>
      <c r="H27" s="5"/>
      <c r="I27" s="5"/>
      <c r="L27" s="14"/>
      <c r="M27" s="9"/>
      <c r="N27" s="13"/>
      <c r="O27" s="5"/>
      <c r="P27" s="2" t="s">
        <v>38</v>
      </c>
      <c r="Q27" s="3">
        <f>Q8*(1-Q22)/(Q15*Q26)</f>
        <v>7.3650793650793664</v>
      </c>
      <c r="R27" s="1" t="s">
        <v>15</v>
      </c>
      <c r="S27" s="5"/>
      <c r="T27" s="5"/>
      <c r="U27" s="5"/>
      <c r="V27" s="5"/>
    </row>
    <row r="28" spans="1:22" x14ac:dyDescent="0.35">
      <c r="A28" s="2" t="s">
        <v>5</v>
      </c>
      <c r="B28" s="9">
        <f>B27/(8*B15*B9)</f>
        <v>1.6476626687206578E-6</v>
      </c>
      <c r="C28" s="1" t="s">
        <v>25</v>
      </c>
      <c r="D28" s="5"/>
      <c r="E28" s="5"/>
      <c r="F28" s="5"/>
      <c r="L28" s="14"/>
      <c r="M28" s="9"/>
      <c r="N28" s="13"/>
      <c r="O28" s="5"/>
      <c r="P28" s="2" t="s">
        <v>5</v>
      </c>
      <c r="Q28" s="9">
        <f>Q27/(8*Q15*Q9)</f>
        <v>3.6825396825396835E-4</v>
      </c>
      <c r="R28" s="1" t="s">
        <v>25</v>
      </c>
      <c r="S28" s="5"/>
      <c r="T28" s="5"/>
      <c r="U28" s="5"/>
    </row>
    <row r="29" spans="1:22" x14ac:dyDescent="0.35">
      <c r="A29" t="s">
        <v>61</v>
      </c>
      <c r="B29" s="3">
        <f>B28*(1+F12)</f>
        <v>1.9771952024647891E-6</v>
      </c>
      <c r="C29" s="1" t="s">
        <v>25</v>
      </c>
      <c r="D29" s="5"/>
      <c r="E29" s="5"/>
      <c r="F29" s="5"/>
      <c r="L29" s="5"/>
      <c r="M29" s="9"/>
      <c r="N29" s="13"/>
      <c r="O29" s="5"/>
      <c r="P29" t="s">
        <v>61</v>
      </c>
      <c r="Q29" s="3">
        <f>Q28*(1+U12)</f>
        <v>4.4190476190476201E-4</v>
      </c>
      <c r="R29" s="1" t="s">
        <v>25</v>
      </c>
      <c r="S29" s="5"/>
      <c r="T29" s="5"/>
      <c r="U29" s="5"/>
    </row>
    <row r="30" spans="1:22" x14ac:dyDescent="0.35">
      <c r="A30" s="2" t="s">
        <v>6</v>
      </c>
      <c r="B30">
        <f>0.0005</f>
        <v>5.0000000000000001E-4</v>
      </c>
      <c r="C30" s="1" t="s">
        <v>25</v>
      </c>
      <c r="D30" s="5"/>
      <c r="E30" s="5"/>
      <c r="F30" s="5"/>
      <c r="L30" s="14"/>
      <c r="M30" s="5"/>
      <c r="N30" s="13"/>
      <c r="O30" s="5"/>
      <c r="P30" s="2" t="s">
        <v>6</v>
      </c>
      <c r="Q30">
        <f>0.0005</f>
        <v>5.0000000000000001E-4</v>
      </c>
      <c r="R30" s="1" t="s">
        <v>25</v>
      </c>
      <c r="S30" s="5"/>
      <c r="T30" s="5"/>
      <c r="U30" s="5"/>
    </row>
    <row r="31" spans="1:22" x14ac:dyDescent="0.35">
      <c r="A31" s="2" t="s">
        <v>39</v>
      </c>
      <c r="B31" s="3">
        <f>B27/(8*B15*B30)</f>
        <v>3.2953253374413158E-4</v>
      </c>
      <c r="C31" s="1" t="s">
        <v>16</v>
      </c>
      <c r="L31" s="14"/>
      <c r="M31" s="9"/>
      <c r="N31" s="13"/>
      <c r="O31" s="5"/>
      <c r="P31" s="2" t="s">
        <v>39</v>
      </c>
      <c r="Q31" s="3">
        <f>Q27/(8*Q15*Q30)</f>
        <v>3.6825396825396831E-3</v>
      </c>
      <c r="R31" s="1" t="s">
        <v>16</v>
      </c>
    </row>
    <row r="32" spans="1:22" x14ac:dyDescent="0.35">
      <c r="A32" t="s">
        <v>40</v>
      </c>
      <c r="B32" s="3">
        <f>F7*B27</f>
        <v>6.5906506748826315E-4</v>
      </c>
      <c r="C32" s="1" t="s">
        <v>16</v>
      </c>
      <c r="L32" s="5"/>
      <c r="M32" s="9"/>
      <c r="N32" s="13"/>
      <c r="O32" s="5"/>
      <c r="P32" t="s">
        <v>40</v>
      </c>
      <c r="Q32" s="3">
        <f>U7*Q27</f>
        <v>3.6825396825396831E-2</v>
      </c>
      <c r="R32" s="1" t="s">
        <v>16</v>
      </c>
    </row>
    <row r="33" spans="1:22" x14ac:dyDescent="0.35">
      <c r="A33" s="1"/>
      <c r="B33" s="1"/>
      <c r="C33" s="1"/>
      <c r="L33" s="13"/>
      <c r="M33" s="13"/>
      <c r="N33" s="13"/>
      <c r="O33" s="5"/>
      <c r="P33" s="1"/>
      <c r="Q33" s="1"/>
      <c r="R33" s="1"/>
    </row>
    <row r="34" spans="1:22" x14ac:dyDescent="0.35">
      <c r="A34" s="1" t="s">
        <v>37</v>
      </c>
      <c r="B34" s="1" t="s">
        <v>17</v>
      </c>
      <c r="C34" s="1" t="s">
        <v>23</v>
      </c>
      <c r="L34" s="13"/>
      <c r="M34" s="13"/>
      <c r="N34" s="13"/>
      <c r="O34" s="5"/>
      <c r="P34" s="1" t="s">
        <v>37</v>
      </c>
      <c r="Q34" s="1" t="s">
        <v>17</v>
      </c>
      <c r="R34" s="1" t="s">
        <v>23</v>
      </c>
    </row>
    <row r="35" spans="1:22" x14ac:dyDescent="0.35">
      <c r="A35" t="s">
        <v>41</v>
      </c>
      <c r="B35" s="10">
        <f>B4</f>
        <v>10</v>
      </c>
      <c r="C35" s="1" t="s">
        <v>16</v>
      </c>
      <c r="D35" s="7" t="s">
        <v>64</v>
      </c>
      <c r="L35" s="5"/>
      <c r="M35" s="5"/>
      <c r="N35" s="13"/>
      <c r="O35" s="5"/>
      <c r="P35" t="s">
        <v>41</v>
      </c>
      <c r="Q35" s="10">
        <f>Q4</f>
        <v>12</v>
      </c>
      <c r="R35" s="1" t="s">
        <v>16</v>
      </c>
      <c r="S35" s="7" t="s">
        <v>64</v>
      </c>
    </row>
    <row r="36" spans="1:22" x14ac:dyDescent="0.35">
      <c r="A36" t="s">
        <v>8</v>
      </c>
      <c r="B36" s="10">
        <f>B11</f>
        <v>1</v>
      </c>
      <c r="C36" s="1" t="s">
        <v>15</v>
      </c>
      <c r="D36" t="s">
        <v>65</v>
      </c>
      <c r="L36" s="5"/>
      <c r="M36" s="5"/>
      <c r="N36" s="13"/>
      <c r="O36" s="5"/>
      <c r="P36" t="s">
        <v>8</v>
      </c>
      <c r="Q36" s="10">
        <f>Q11</f>
        <v>130</v>
      </c>
      <c r="R36" s="1" t="s">
        <v>15</v>
      </c>
      <c r="S36" t="s">
        <v>65</v>
      </c>
    </row>
    <row r="37" spans="1:22" x14ac:dyDescent="0.35">
      <c r="A37" t="s">
        <v>42</v>
      </c>
      <c r="B37">
        <f>B8/B4</f>
        <v>0.5</v>
      </c>
      <c r="C37" s="1"/>
      <c r="L37" s="5"/>
      <c r="M37" s="5"/>
      <c r="N37" s="13"/>
      <c r="O37" s="5"/>
      <c r="P37" t="s">
        <v>42</v>
      </c>
      <c r="Q37">
        <f>Q8/Q4</f>
        <v>6.6666666666666666E-2</v>
      </c>
      <c r="R37" s="1"/>
    </row>
    <row r="38" spans="1:22" x14ac:dyDescent="0.35">
      <c r="A38" t="s">
        <v>43</v>
      </c>
      <c r="B38" s="3">
        <f>B8*(1-B37)/(B15*B26)</f>
        <v>0.13754401408450706</v>
      </c>
      <c r="C38" s="1" t="s">
        <v>15</v>
      </c>
      <c r="D38" s="5"/>
      <c r="E38" s="5"/>
      <c r="F38" s="5"/>
      <c r="G38" s="5"/>
      <c r="H38" s="5"/>
      <c r="I38" s="5"/>
      <c r="J38" s="5"/>
      <c r="L38" s="5"/>
      <c r="M38" s="9"/>
      <c r="N38" s="13"/>
      <c r="O38" s="5"/>
      <c r="P38" t="s">
        <v>43</v>
      </c>
      <c r="Q38" s="3">
        <f>Q8*(1-Q37)/(Q15*Q26)</f>
        <v>7.4666666666666677</v>
      </c>
      <c r="R38" s="1" t="s">
        <v>15</v>
      </c>
      <c r="S38" s="5"/>
      <c r="T38" s="5"/>
      <c r="U38" s="5"/>
      <c r="V38" s="5"/>
    </row>
    <row r="39" spans="1:22" x14ac:dyDescent="0.35">
      <c r="A39" t="s">
        <v>44</v>
      </c>
      <c r="B39" s="3">
        <f>B38/B36</f>
        <v>0.13754401408450706</v>
      </c>
      <c r="C39" s="1"/>
      <c r="D39" s="5"/>
      <c r="E39" s="5"/>
      <c r="F39" s="5"/>
      <c r="G39" s="5"/>
      <c r="H39" s="5"/>
      <c r="I39" s="5"/>
      <c r="J39" s="5"/>
      <c r="L39" s="5"/>
      <c r="M39" s="9"/>
      <c r="N39" s="13"/>
      <c r="O39" s="5"/>
      <c r="P39" t="s">
        <v>44</v>
      </c>
      <c r="Q39" s="3">
        <f>Q38/Q36</f>
        <v>5.7435897435897443E-2</v>
      </c>
      <c r="R39" s="1"/>
      <c r="S39" s="5"/>
      <c r="T39" s="5"/>
      <c r="U39" s="5"/>
      <c r="V39" s="5"/>
    </row>
    <row r="40" spans="1:22" x14ac:dyDescent="0.35">
      <c r="A40" t="s">
        <v>48</v>
      </c>
      <c r="B40" s="3">
        <f>F4*B11*B11*(1+(1/12)*B39*B39)*B37</f>
        <v>2.503941324127183E-3</v>
      </c>
      <c r="C40" s="1" t="s">
        <v>53</v>
      </c>
      <c r="D40" s="5"/>
      <c r="E40" s="5"/>
      <c r="F40" s="5"/>
      <c r="G40" s="5"/>
      <c r="H40" s="5"/>
      <c r="I40" s="5"/>
      <c r="J40" s="5"/>
      <c r="L40" s="5"/>
      <c r="M40" s="9"/>
      <c r="N40" s="13"/>
      <c r="O40" s="5"/>
      <c r="P40" t="s">
        <v>48</v>
      </c>
      <c r="Q40" s="3">
        <f>U4*Q11*Q11*(1+(1/12)*Q39*Q39)*Q37</f>
        <v>5.6348819753086419</v>
      </c>
      <c r="R40" s="1" t="s">
        <v>53</v>
      </c>
      <c r="S40" s="5"/>
      <c r="T40" s="5"/>
      <c r="U40" s="5"/>
      <c r="V40" s="5"/>
    </row>
    <row r="41" spans="1:22" x14ac:dyDescent="0.35">
      <c r="A41" t="s">
        <v>49</v>
      </c>
      <c r="B41" s="3">
        <f>F4*B11*B11*(1+(1/12)*B39*B39)*(1-B37)</f>
        <v>2.503941324127183E-3</v>
      </c>
      <c r="C41" s="1" t="s">
        <v>53</v>
      </c>
      <c r="D41" s="5"/>
      <c r="E41" s="5"/>
      <c r="F41" s="5"/>
      <c r="G41" s="5"/>
      <c r="H41" s="5"/>
      <c r="I41" s="5"/>
      <c r="J41" s="5"/>
      <c r="L41" s="5"/>
      <c r="M41" s="9"/>
      <c r="N41" s="13"/>
      <c r="O41" s="5"/>
      <c r="P41" t="s">
        <v>49</v>
      </c>
      <c r="Q41" s="3">
        <f>U4*Q11*Q11*(1+(1/12)*Q39*Q39)*(1-Q37)</f>
        <v>78.888347654320981</v>
      </c>
      <c r="R41" s="1" t="s">
        <v>53</v>
      </c>
      <c r="S41" s="5"/>
      <c r="T41" s="5"/>
      <c r="U41" s="5"/>
      <c r="V41" s="5"/>
    </row>
    <row r="42" spans="1:22" x14ac:dyDescent="0.35">
      <c r="A42" t="s">
        <v>63</v>
      </c>
      <c r="B42" s="15">
        <f>0.5*$B$4*($B$11-$B$38)*$F$9*$B$15</f>
        <v>2.3717539612676058E-2</v>
      </c>
      <c r="C42" s="1" t="s">
        <v>53</v>
      </c>
      <c r="D42" s="9" t="s">
        <v>87</v>
      </c>
      <c r="E42" s="9"/>
      <c r="F42" s="5"/>
      <c r="G42" s="5"/>
      <c r="H42" s="5"/>
      <c r="I42" s="5"/>
      <c r="J42" s="5"/>
      <c r="L42" s="5"/>
      <c r="M42" s="5"/>
      <c r="N42" s="13"/>
      <c r="O42" s="9"/>
      <c r="P42" t="s">
        <v>63</v>
      </c>
      <c r="Q42" s="7">
        <v>15.6</v>
      </c>
      <c r="R42" s="1" t="s">
        <v>53</v>
      </c>
      <c r="S42" s="9">
        <f>0.5*$B$4*($B$11-$B$38)*$F$9*$B$15</f>
        <v>2.3717539612676058E-2</v>
      </c>
      <c r="T42" s="9">
        <f>0.5*$B$4*($B$11)*$F$9*$B$15</f>
        <v>2.75E-2</v>
      </c>
      <c r="U42" s="5"/>
      <c r="V42" s="5"/>
    </row>
    <row r="43" spans="1:22" x14ac:dyDescent="0.35">
      <c r="A43" t="s">
        <v>50</v>
      </c>
      <c r="B43" s="15">
        <f>0.5*$B$4*($B$11+$B$38)*$F$10*$B$15</f>
        <v>2.3319652288732395E-2</v>
      </c>
      <c r="C43" s="1" t="s">
        <v>53</v>
      </c>
      <c r="D43" s="9"/>
      <c r="E43" s="9"/>
      <c r="F43" s="5"/>
      <c r="G43" s="5"/>
      <c r="H43" s="5"/>
      <c r="I43" s="5"/>
      <c r="J43" s="5"/>
      <c r="L43" s="5"/>
      <c r="M43" s="9"/>
      <c r="N43" s="13"/>
      <c r="O43" s="9"/>
      <c r="P43" t="s">
        <v>50</v>
      </c>
      <c r="Q43" s="8">
        <v>0.91</v>
      </c>
      <c r="R43" s="1" t="s">
        <v>53</v>
      </c>
      <c r="S43" s="9">
        <f>0.5*$B$4*($B$11+$B$38)*$F$10*$B$15</f>
        <v>2.3319652288732395E-2</v>
      </c>
      <c r="T43" s="9">
        <f>0.5*$B$4*($B$11)*$F$9*$B$15</f>
        <v>2.75E-2</v>
      </c>
      <c r="U43" s="5"/>
      <c r="V43" s="5"/>
    </row>
    <row r="44" spans="1:22" x14ac:dyDescent="0.35">
      <c r="A44" t="s">
        <v>51</v>
      </c>
      <c r="B44" s="3">
        <f>F6*B11*B11*(1+(1/12)*B39*B39)</f>
        <v>1.0015765296508732E-3</v>
      </c>
      <c r="C44" s="1" t="s">
        <v>53</v>
      </c>
      <c r="D44" s="5"/>
      <c r="E44" s="5"/>
      <c r="F44" s="5"/>
      <c r="G44" s="5"/>
      <c r="H44" s="5"/>
      <c r="I44" s="5"/>
      <c r="J44" s="5"/>
      <c r="L44" s="5"/>
      <c r="M44" s="9"/>
      <c r="N44" s="13"/>
      <c r="O44" s="5"/>
      <c r="P44" t="s">
        <v>51</v>
      </c>
      <c r="Q44" s="3">
        <f>U6*Q11*Q11*(1+(1/12)*Q39*Q39)</f>
        <v>16.904645925925927</v>
      </c>
      <c r="R44" s="1" t="s">
        <v>53</v>
      </c>
      <c r="S44" s="5"/>
      <c r="T44" s="5"/>
      <c r="U44" s="5"/>
      <c r="V44" s="5"/>
    </row>
    <row r="45" spans="1:22" x14ac:dyDescent="0.35">
      <c r="A45" t="s">
        <v>52</v>
      </c>
      <c r="B45" s="3">
        <f>(F7*B38*B38)/12</f>
        <v>7.8826482543662821E-6</v>
      </c>
      <c r="C45" s="1" t="s">
        <v>53</v>
      </c>
      <c r="D45" s="5"/>
      <c r="E45" s="5"/>
      <c r="F45" s="5"/>
      <c r="G45" s="5"/>
      <c r="H45" s="5"/>
      <c r="I45" s="5"/>
      <c r="J45" s="5"/>
      <c r="L45" s="5"/>
      <c r="M45" s="9"/>
      <c r="N45" s="13"/>
      <c r="O45" s="5"/>
      <c r="P45" t="s">
        <v>52</v>
      </c>
      <c r="Q45" s="3">
        <f>(U7*Q38*Q38)/12</f>
        <v>2.3229629629629631E-2</v>
      </c>
      <c r="R45" s="1" t="s">
        <v>53</v>
      </c>
      <c r="S45" s="5"/>
      <c r="T45" s="5"/>
      <c r="U45" s="5"/>
      <c r="V45" s="5"/>
    </row>
    <row r="46" spans="1:22" x14ac:dyDescent="0.35">
      <c r="A46" t="s">
        <v>45</v>
      </c>
      <c r="B46" s="3">
        <f>SUM(B40:B45)</f>
        <v>5.3054533727568062E-2</v>
      </c>
      <c r="C46" s="1" t="s">
        <v>53</v>
      </c>
      <c r="L46" s="5"/>
      <c r="M46" s="9"/>
      <c r="N46" s="13"/>
      <c r="O46" s="5"/>
      <c r="P46" t="s">
        <v>45</v>
      </c>
      <c r="Q46" s="3">
        <f>SUM(Q40:Q45)</f>
        <v>117.96110518518516</v>
      </c>
      <c r="R46" s="1" t="s">
        <v>53</v>
      </c>
    </row>
    <row r="47" spans="1:22" x14ac:dyDescent="0.35">
      <c r="A47" t="s">
        <v>46</v>
      </c>
      <c r="B47">
        <f>B8*B11</f>
        <v>5</v>
      </c>
      <c r="C47" s="1" t="s">
        <v>53</v>
      </c>
      <c r="L47" s="5"/>
      <c r="M47" s="5"/>
      <c r="N47" s="13"/>
      <c r="O47" s="5"/>
      <c r="P47" t="s">
        <v>46</v>
      </c>
      <c r="Q47">
        <f>Q8*Q11</f>
        <v>104</v>
      </c>
      <c r="R47" s="1" t="s">
        <v>53</v>
      </c>
    </row>
    <row r="48" spans="1:22" x14ac:dyDescent="0.35">
      <c r="A48" t="s">
        <v>47</v>
      </c>
      <c r="B48" s="3">
        <f>B47/(B47+B46)</f>
        <v>0.98950050244392851</v>
      </c>
      <c r="L48" s="5"/>
      <c r="M48" s="9"/>
      <c r="N48" s="5"/>
      <c r="O48" s="5"/>
      <c r="P48" t="s">
        <v>47</v>
      </c>
      <c r="Q48" s="3">
        <f>Q47/(Q47+Q46)</f>
        <v>0.46855055940197898</v>
      </c>
    </row>
    <row r="49" spans="1:17" x14ac:dyDescent="0.35">
      <c r="A49" t="s">
        <v>62</v>
      </c>
      <c r="B49" s="3">
        <f>(B47*100)/(B46+B47)</f>
        <v>98.950050244392855</v>
      </c>
      <c r="L49" s="5"/>
      <c r="M49" s="9"/>
      <c r="N49" s="5"/>
      <c r="O49" s="5"/>
      <c r="P49" t="s">
        <v>62</v>
      </c>
      <c r="Q49" s="3">
        <f>(Q47*100)/(Q46+Q47)</f>
        <v>46.8550559401979</v>
      </c>
    </row>
    <row r="50" spans="1:17" x14ac:dyDescent="0.35">
      <c r="L50" s="5"/>
      <c r="M50" s="5"/>
      <c r="N50" s="5"/>
      <c r="O50" s="5"/>
    </row>
    <row r="51" spans="1:17" x14ac:dyDescent="0.35">
      <c r="L51" s="5"/>
      <c r="M51" s="5"/>
      <c r="N51" s="5"/>
      <c r="O51" s="5"/>
    </row>
    <row r="52" spans="1:17" x14ac:dyDescent="0.35">
      <c r="A52" s="1" t="s">
        <v>73</v>
      </c>
      <c r="B52" s="1" t="s">
        <v>76</v>
      </c>
      <c r="C52" s="1" t="s">
        <v>77</v>
      </c>
      <c r="E52" s="1" t="s">
        <v>78</v>
      </c>
      <c r="L52" s="5"/>
      <c r="M52" s="5"/>
      <c r="N52" s="5"/>
      <c r="O52" s="5"/>
    </row>
    <row r="53" spans="1:17" x14ac:dyDescent="0.35">
      <c r="A53" t="s">
        <v>42</v>
      </c>
      <c r="B53">
        <f>B8/(B4*B16)</f>
        <v>0.625</v>
      </c>
      <c r="E53" t="s">
        <v>79</v>
      </c>
      <c r="F53">
        <f>0.000079</f>
        <v>7.8999999999999996E-5</v>
      </c>
      <c r="L53" s="5"/>
      <c r="M53" s="5"/>
      <c r="N53" s="5"/>
      <c r="O53" s="5"/>
    </row>
    <row r="54" spans="1:17" x14ac:dyDescent="0.35">
      <c r="A54" t="s">
        <v>75</v>
      </c>
      <c r="B54">
        <f>0.00018176</f>
        <v>1.8175999999999999E-4</v>
      </c>
      <c r="C54" s="1" t="s">
        <v>24</v>
      </c>
      <c r="E54" t="s">
        <v>80</v>
      </c>
      <c r="F54">
        <f>0.089</f>
        <v>8.8999999999999996E-2</v>
      </c>
      <c r="L54" s="5"/>
      <c r="M54" s="5"/>
      <c r="N54" s="5"/>
      <c r="O54" s="5"/>
    </row>
    <row r="55" spans="1:17" x14ac:dyDescent="0.35">
      <c r="A55" t="s">
        <v>74</v>
      </c>
      <c r="B55">
        <f>0.0345</f>
        <v>3.4500000000000003E-2</v>
      </c>
      <c r="C55" s="1" t="s">
        <v>31</v>
      </c>
      <c r="E55" s="2" t="s">
        <v>81</v>
      </c>
      <c r="F55">
        <f>0.0000004*PI()</f>
        <v>1.2566370614359173E-6</v>
      </c>
      <c r="L55" s="5"/>
      <c r="M55" s="5"/>
      <c r="N55" s="5"/>
      <c r="O55" s="5"/>
    </row>
    <row r="56" spans="1:17" x14ac:dyDescent="0.35">
      <c r="E56" s="2" t="s">
        <v>82</v>
      </c>
      <c r="F56">
        <v>800</v>
      </c>
      <c r="L56" s="5"/>
      <c r="M56" s="5"/>
      <c r="N56" s="5"/>
      <c r="O56" s="5"/>
    </row>
    <row r="57" spans="1:17" x14ac:dyDescent="0.35">
      <c r="E57" s="2" t="s">
        <v>83</v>
      </c>
      <c r="F57" s="3">
        <f>B25</f>
        <v>1.4375000000000002E-4</v>
      </c>
      <c r="L57" s="5"/>
      <c r="M57" s="5"/>
      <c r="N57" s="5"/>
      <c r="O57" s="5"/>
    </row>
    <row r="58" spans="1:17" x14ac:dyDescent="0.35">
      <c r="E58" s="2" t="s">
        <v>84</v>
      </c>
      <c r="F58">
        <f>SQRT(F57*F54/(F55*F56*F53))</f>
        <v>12.69215767902384</v>
      </c>
      <c r="L58" s="5"/>
      <c r="M58" s="5"/>
      <c r="N58" s="5"/>
      <c r="O58" s="5"/>
    </row>
    <row r="59" spans="1:17" x14ac:dyDescent="0.35">
      <c r="E59" s="2" t="s">
        <v>85</v>
      </c>
      <c r="F59">
        <v>13</v>
      </c>
      <c r="L59" s="5"/>
      <c r="M59" s="5"/>
      <c r="N59" s="5"/>
      <c r="O59" s="5"/>
    </row>
    <row r="60" spans="1:17" x14ac:dyDescent="0.35">
      <c r="L60" s="5"/>
      <c r="M60" s="5"/>
      <c r="N60" s="5"/>
      <c r="O60" s="5"/>
    </row>
    <row r="61" spans="1:17" x14ac:dyDescent="0.35">
      <c r="L61" s="5"/>
      <c r="M61" s="5"/>
      <c r="N61" s="5"/>
      <c r="O61" s="5"/>
    </row>
    <row r="62" spans="1:17" x14ac:dyDescent="0.35">
      <c r="L62" s="5"/>
      <c r="M62" s="5"/>
      <c r="N62" s="5"/>
      <c r="O62" s="5"/>
    </row>
    <row r="63" spans="1:17" x14ac:dyDescent="0.35">
      <c r="L63" s="5"/>
      <c r="M63" s="5"/>
      <c r="N63" s="5"/>
      <c r="O63" s="5"/>
    </row>
    <row r="64" spans="1:17" x14ac:dyDescent="0.35">
      <c r="L64" s="5"/>
      <c r="M64" s="5"/>
      <c r="N64" s="5"/>
      <c r="O64" s="5"/>
    </row>
    <row r="65" spans="1:15" x14ac:dyDescent="0.35">
      <c r="L65" s="5"/>
      <c r="M65" s="5"/>
      <c r="N65" s="5"/>
      <c r="O65" s="5"/>
    </row>
    <row r="66" spans="1:15" x14ac:dyDescent="0.35">
      <c r="L66" s="5"/>
      <c r="M66" s="5"/>
      <c r="N66" s="5"/>
      <c r="O66" s="5"/>
    </row>
    <row r="67" spans="1:15" x14ac:dyDescent="0.35">
      <c r="L67" s="5"/>
      <c r="M67" s="5"/>
      <c r="N67" s="5"/>
      <c r="O67" s="5"/>
    </row>
    <row r="68" spans="1:15" x14ac:dyDescent="0.35">
      <c r="L68" s="5"/>
      <c r="M68" s="5"/>
      <c r="N68" s="5"/>
      <c r="O68" s="5"/>
    </row>
    <row r="69" spans="1:15" x14ac:dyDescent="0.35">
      <c r="L69" s="5"/>
      <c r="M69" s="5"/>
      <c r="N69" s="5"/>
      <c r="O69" s="5"/>
    </row>
    <row r="70" spans="1:15" x14ac:dyDescent="0.35">
      <c r="A70" s="1"/>
      <c r="L70" s="5"/>
      <c r="M70" s="5"/>
      <c r="N70" s="5"/>
      <c r="O70" s="5"/>
    </row>
    <row r="71" spans="1:15" x14ac:dyDescent="0.35">
      <c r="A71" s="1"/>
      <c r="L71" s="5"/>
      <c r="M71" s="5"/>
      <c r="N71" s="5"/>
      <c r="O71" s="5"/>
    </row>
    <row r="72" spans="1:15" x14ac:dyDescent="0.35">
      <c r="A72" s="1"/>
      <c r="B72" s="1"/>
      <c r="C72" s="1"/>
      <c r="D72" s="1"/>
      <c r="E72" s="1"/>
      <c r="F72" s="1"/>
      <c r="G72" s="1"/>
      <c r="L72" s="5"/>
      <c r="M72" s="5"/>
      <c r="N72" s="5"/>
      <c r="O72" s="5"/>
    </row>
    <row r="73" spans="1:15" x14ac:dyDescent="0.35">
      <c r="C73" s="1"/>
      <c r="D73" s="1"/>
      <c r="G73" s="6"/>
      <c r="L73" s="5"/>
      <c r="M73" s="5"/>
      <c r="N73" s="5"/>
      <c r="O73" s="5"/>
    </row>
    <row r="74" spans="1:15" x14ac:dyDescent="0.35">
      <c r="C74" s="1"/>
      <c r="D74" s="1"/>
      <c r="F74" s="3"/>
      <c r="G74" s="1"/>
      <c r="L74" s="5"/>
      <c r="M74" s="5"/>
      <c r="N74" s="5"/>
      <c r="O74" s="5"/>
    </row>
    <row r="75" spans="1:15" x14ac:dyDescent="0.35">
      <c r="C75" s="1"/>
      <c r="D75" s="1"/>
      <c r="G75" s="1"/>
      <c r="L75" s="5"/>
      <c r="M75" s="5"/>
      <c r="N75" s="5"/>
      <c r="O75" s="5"/>
    </row>
    <row r="76" spans="1:15" x14ac:dyDescent="0.35">
      <c r="C76" s="1"/>
      <c r="D76" s="1"/>
      <c r="G76" s="1"/>
      <c r="L76" s="5"/>
      <c r="M76" s="5"/>
      <c r="N76" s="5"/>
      <c r="O76" s="5"/>
    </row>
    <row r="77" spans="1:15" x14ac:dyDescent="0.35">
      <c r="C77" s="1"/>
      <c r="D77" s="1"/>
      <c r="G77" s="1"/>
      <c r="L77" s="5"/>
      <c r="M77" s="5"/>
      <c r="N77" s="5"/>
      <c r="O77" s="5"/>
    </row>
    <row r="78" spans="1:15" x14ac:dyDescent="0.35">
      <c r="A78" s="2"/>
      <c r="C78" s="1"/>
      <c r="D78" s="1"/>
      <c r="G78" s="1"/>
      <c r="L78" s="5"/>
      <c r="M78" s="5"/>
      <c r="N78" s="5"/>
      <c r="O78" s="5"/>
    </row>
    <row r="79" spans="1:15" x14ac:dyDescent="0.35">
      <c r="C79" s="1"/>
      <c r="D79" s="1"/>
      <c r="G79" s="1"/>
      <c r="L79" s="5"/>
      <c r="M79" s="5"/>
      <c r="N79" s="5"/>
      <c r="O79" s="5"/>
    </row>
    <row r="80" spans="1:15" x14ac:dyDescent="0.35">
      <c r="C80" s="1"/>
      <c r="D80" s="1"/>
      <c r="G80" s="1"/>
      <c r="L80" s="5"/>
      <c r="M80" s="5"/>
      <c r="N80" s="5"/>
      <c r="O80" s="5"/>
    </row>
    <row r="81" spans="1:15" x14ac:dyDescent="0.35">
      <c r="A81" s="2"/>
      <c r="C81" s="1"/>
      <c r="D81" s="1"/>
      <c r="G81" s="1"/>
      <c r="L81" s="5"/>
      <c r="M81" s="5"/>
      <c r="N81" s="5"/>
      <c r="O81" s="5"/>
    </row>
    <row r="82" spans="1:15" x14ac:dyDescent="0.35">
      <c r="A82" s="2"/>
      <c r="C82" s="1"/>
      <c r="D82" s="1"/>
      <c r="L82" s="5"/>
      <c r="M82" s="5"/>
      <c r="N82" s="5"/>
      <c r="O82" s="5"/>
    </row>
    <row r="83" spans="1:15" x14ac:dyDescent="0.35">
      <c r="C83" s="1"/>
      <c r="D83" s="1"/>
      <c r="L83" s="5"/>
      <c r="M83" s="5"/>
      <c r="N83" s="5"/>
      <c r="O83" s="5"/>
    </row>
    <row r="84" spans="1:15" x14ac:dyDescent="0.35">
      <c r="B84" s="3"/>
      <c r="C84" s="1"/>
      <c r="D84" s="1"/>
      <c r="L84" s="5"/>
      <c r="M84" s="5"/>
      <c r="N84" s="5"/>
      <c r="O84" s="5"/>
    </row>
    <row r="85" spans="1:15" x14ac:dyDescent="0.35">
      <c r="A85" s="2"/>
      <c r="C85" s="1"/>
      <c r="D85" s="1"/>
      <c r="L85" s="5"/>
      <c r="M85" s="5"/>
      <c r="N85" s="5"/>
      <c r="O85" s="5"/>
    </row>
    <row r="86" spans="1:15" x14ac:dyDescent="0.35">
      <c r="A86" s="2"/>
      <c r="L86" s="5"/>
      <c r="M86" s="5"/>
      <c r="N86" s="5"/>
      <c r="O86" s="5"/>
    </row>
    <row r="87" spans="1:15" x14ac:dyDescent="0.35">
      <c r="A87" s="1"/>
      <c r="L87" s="5"/>
      <c r="M87" s="5"/>
      <c r="N87" s="5"/>
      <c r="O87" s="5"/>
    </row>
    <row r="88" spans="1:15" x14ac:dyDescent="0.35">
      <c r="A88" s="1"/>
      <c r="L88" s="5"/>
      <c r="M88" s="5"/>
      <c r="N88" s="5"/>
      <c r="O88" s="5"/>
    </row>
    <row r="89" spans="1:15" x14ac:dyDescent="0.35">
      <c r="L89" s="5"/>
      <c r="M89" s="5"/>
      <c r="N89" s="5"/>
      <c r="O89" s="5"/>
    </row>
    <row r="90" spans="1:15" x14ac:dyDescent="0.35">
      <c r="A90" s="1"/>
      <c r="B90" s="1"/>
      <c r="C90" s="1"/>
      <c r="E90" s="1"/>
      <c r="F90" s="1"/>
      <c r="G90" s="1"/>
      <c r="L90" s="5"/>
      <c r="M90" s="5"/>
      <c r="N90" s="5"/>
      <c r="O90" s="5"/>
    </row>
    <row r="91" spans="1:15" x14ac:dyDescent="0.35">
      <c r="C91" s="1"/>
      <c r="F91" s="3"/>
      <c r="L91" s="5"/>
      <c r="M91" s="5"/>
      <c r="N91" s="5"/>
      <c r="O91" s="5"/>
    </row>
    <row r="92" spans="1:15" x14ac:dyDescent="0.35">
      <c r="C92" s="1"/>
      <c r="F92" s="3"/>
      <c r="L92" s="5"/>
      <c r="M92" s="5"/>
      <c r="N92" s="5"/>
      <c r="O92" s="5"/>
    </row>
    <row r="93" spans="1:15" x14ac:dyDescent="0.35">
      <c r="B93" s="3"/>
      <c r="C93" s="1"/>
      <c r="L93" s="5"/>
      <c r="M93" s="5"/>
      <c r="N93" s="5"/>
      <c r="O93" s="5"/>
    </row>
    <row r="94" spans="1:15" x14ac:dyDescent="0.35">
      <c r="B94" s="3"/>
      <c r="C94" s="1"/>
      <c r="D94" s="5"/>
      <c r="E94" s="5"/>
      <c r="F94" s="5"/>
      <c r="L94" s="5"/>
      <c r="M94" s="5"/>
      <c r="N94" s="5"/>
      <c r="O94" s="5"/>
    </row>
    <row r="95" spans="1:15" x14ac:dyDescent="0.35">
      <c r="C95" s="1"/>
      <c r="D95" s="5"/>
      <c r="E95" s="5"/>
      <c r="F95" s="5"/>
      <c r="L95" s="5"/>
      <c r="M95" s="5"/>
      <c r="N95" s="5"/>
      <c r="O95" s="5"/>
    </row>
    <row r="96" spans="1:15" x14ac:dyDescent="0.35">
      <c r="A96" s="2"/>
      <c r="B96" s="3"/>
      <c r="C96" s="1"/>
      <c r="D96" s="5"/>
      <c r="E96" s="5"/>
      <c r="F96" s="5"/>
      <c r="G96" s="5"/>
      <c r="L96" s="5"/>
      <c r="M96" s="5"/>
      <c r="N96" s="5"/>
      <c r="O96" s="5"/>
    </row>
    <row r="97" spans="1:7" x14ac:dyDescent="0.35">
      <c r="A97" s="2"/>
      <c r="B97" s="4"/>
      <c r="C97" s="1"/>
      <c r="D97" s="5"/>
      <c r="E97" s="5"/>
      <c r="F97" s="5"/>
    </row>
    <row r="98" spans="1:7" x14ac:dyDescent="0.35">
      <c r="B98" s="3"/>
      <c r="C98" s="1"/>
      <c r="D98" s="5"/>
      <c r="E98" s="5"/>
      <c r="F98" s="5"/>
    </row>
    <row r="99" spans="1:7" x14ac:dyDescent="0.35">
      <c r="A99" s="2"/>
      <c r="C99" s="1"/>
      <c r="D99" s="5"/>
      <c r="E99" s="5"/>
      <c r="F99" s="5"/>
    </row>
    <row r="100" spans="1:7" x14ac:dyDescent="0.35">
      <c r="A100" s="2"/>
      <c r="B100" s="3"/>
      <c r="C100" s="1"/>
    </row>
    <row r="101" spans="1:7" x14ac:dyDescent="0.35">
      <c r="B101" s="3"/>
      <c r="C101" s="1"/>
    </row>
    <row r="102" spans="1:7" x14ac:dyDescent="0.35">
      <c r="A102" s="1"/>
      <c r="B102" s="1"/>
      <c r="C102" s="1"/>
    </row>
    <row r="103" spans="1:7" x14ac:dyDescent="0.35">
      <c r="A103" s="1"/>
      <c r="B103" s="1"/>
      <c r="C103" s="1"/>
    </row>
    <row r="104" spans="1:7" x14ac:dyDescent="0.35">
      <c r="C104" s="1"/>
    </row>
    <row r="105" spans="1:7" x14ac:dyDescent="0.35">
      <c r="C105" s="1"/>
    </row>
    <row r="106" spans="1:7" x14ac:dyDescent="0.35">
      <c r="C106" s="1"/>
    </row>
    <row r="107" spans="1:7" x14ac:dyDescent="0.35">
      <c r="B107" s="3"/>
      <c r="C107" s="1"/>
      <c r="D107" s="5"/>
      <c r="E107" s="5"/>
      <c r="F107" s="5"/>
      <c r="G107" s="5"/>
    </row>
    <row r="108" spans="1:7" x14ac:dyDescent="0.35">
      <c r="B108" s="3"/>
      <c r="C108" s="1"/>
      <c r="D108" s="5"/>
      <c r="E108" s="5"/>
      <c r="F108" s="5"/>
      <c r="G108" s="5"/>
    </row>
    <row r="109" spans="1:7" x14ac:dyDescent="0.35">
      <c r="B109" s="3"/>
      <c r="C109" s="1"/>
      <c r="D109" s="5"/>
      <c r="E109" s="5"/>
      <c r="F109" s="5"/>
      <c r="G109" s="5"/>
    </row>
    <row r="110" spans="1:7" x14ac:dyDescent="0.35">
      <c r="B110" s="3"/>
      <c r="C110" s="1"/>
      <c r="D110" s="5"/>
      <c r="E110" s="5"/>
      <c r="F110" s="5"/>
      <c r="G110" s="5"/>
    </row>
    <row r="111" spans="1:7" x14ac:dyDescent="0.35">
      <c r="B111" s="7"/>
      <c r="C111" s="1"/>
      <c r="D111" s="5"/>
      <c r="E111" s="5"/>
      <c r="F111" s="5"/>
      <c r="G111" s="5"/>
    </row>
    <row r="112" spans="1:7" x14ac:dyDescent="0.35">
      <c r="B112" s="8"/>
      <c r="C112" s="1"/>
      <c r="D112" s="5"/>
      <c r="E112" s="5"/>
      <c r="F112" s="5"/>
      <c r="G112" s="5"/>
    </row>
    <row r="113" spans="2:7" x14ac:dyDescent="0.35">
      <c r="B113" s="3"/>
      <c r="C113" s="1"/>
      <c r="D113" s="5"/>
      <c r="E113" s="5"/>
      <c r="F113" s="5"/>
      <c r="G113" s="5"/>
    </row>
    <row r="114" spans="2:7" x14ac:dyDescent="0.35">
      <c r="B114" s="3"/>
      <c r="C114" s="1"/>
      <c r="D114" s="5"/>
      <c r="E114" s="5"/>
      <c r="F114" s="5"/>
      <c r="G114" s="5"/>
    </row>
    <row r="115" spans="2:7" x14ac:dyDescent="0.35">
      <c r="B115" s="3"/>
      <c r="C115" s="1"/>
    </row>
    <row r="116" spans="2:7" x14ac:dyDescent="0.35">
      <c r="C116" s="1"/>
    </row>
    <row r="117" spans="2:7" x14ac:dyDescent="0.35">
      <c r="B117" s="3"/>
    </row>
    <row r="118" spans="2:7" x14ac:dyDescent="0.35">
      <c r="B11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2020-10-05T17:54:02Z</cp:lastPrinted>
  <dcterms:created xsi:type="dcterms:W3CDTF">2020-10-05T16:21:54Z</dcterms:created>
  <dcterms:modified xsi:type="dcterms:W3CDTF">2020-10-06T17:03:23Z</dcterms:modified>
</cp:coreProperties>
</file>