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ldehaukenes/Google Drive/Skole/Master biologi /Masteroppgave /01Data /"/>
    </mc:Choice>
  </mc:AlternateContent>
  <xr:revisionPtr revIDLastSave="0" documentId="13_ncr:1_{A1E97C0D-B679-5840-8E6B-FAF84FCA1CA4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TotalData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10" i="1" l="1"/>
  <c r="W211" i="1"/>
  <c r="W142" i="1"/>
  <c r="W143" i="1"/>
  <c r="W159" i="1"/>
  <c r="W160" i="1"/>
  <c r="W178" i="1"/>
  <c r="W179" i="1"/>
  <c r="W194" i="1"/>
  <c r="W195" i="1"/>
  <c r="W226" i="1"/>
  <c r="W227" i="1"/>
  <c r="W122" i="1"/>
  <c r="W123" i="1"/>
  <c r="W50" i="1"/>
  <c r="W51" i="1"/>
  <c r="W66" i="1"/>
  <c r="W67" i="1"/>
  <c r="W82" i="1"/>
  <c r="W83" i="1"/>
  <c r="W98" i="1"/>
  <c r="W99" i="1"/>
  <c r="AA227" i="1" l="1"/>
  <c r="AF227" i="1" s="1"/>
  <c r="Z227" i="1"/>
  <c r="AA226" i="1"/>
  <c r="AF226" i="1" s="1"/>
  <c r="Z226" i="1"/>
  <c r="AA211" i="1"/>
  <c r="AF211" i="1" s="1"/>
  <c r="Z211" i="1"/>
  <c r="AA210" i="1"/>
  <c r="AF210" i="1" s="1"/>
  <c r="Z210" i="1"/>
  <c r="AA195" i="1"/>
  <c r="AF195" i="1" s="1"/>
  <c r="Z195" i="1"/>
  <c r="AA194" i="1"/>
  <c r="AF194" i="1" s="1"/>
  <c r="Z194" i="1"/>
  <c r="AA179" i="1"/>
  <c r="AF179" i="1" s="1"/>
  <c r="Z179" i="1"/>
  <c r="AA178" i="1"/>
  <c r="AF178" i="1" s="1"/>
  <c r="Z178" i="1"/>
  <c r="AA160" i="1"/>
  <c r="AF160" i="1" s="1"/>
  <c r="Z160" i="1"/>
  <c r="AA159" i="1"/>
  <c r="AF159" i="1" s="1"/>
  <c r="Z159" i="1"/>
  <c r="AA143" i="1"/>
  <c r="AF143" i="1" s="1"/>
  <c r="Z143" i="1"/>
  <c r="AA142" i="1"/>
  <c r="AF142" i="1" s="1"/>
  <c r="Z142" i="1"/>
  <c r="AA123" i="1"/>
  <c r="AF123" i="1" s="1"/>
  <c r="Z123" i="1"/>
  <c r="AA122" i="1"/>
  <c r="AF122" i="1" s="1"/>
  <c r="Z122" i="1"/>
  <c r="AA99" i="1"/>
  <c r="AF99" i="1" s="1"/>
  <c r="Z99" i="1"/>
  <c r="AA98" i="1"/>
  <c r="AF98" i="1" s="1"/>
  <c r="Z98" i="1"/>
  <c r="AA83" i="1"/>
  <c r="AF83" i="1" s="1"/>
  <c r="Z83" i="1"/>
  <c r="AA82" i="1"/>
  <c r="AF82" i="1" s="1"/>
  <c r="Z82" i="1"/>
  <c r="AA67" i="1"/>
  <c r="AF67" i="1" s="1"/>
  <c r="Z67" i="1"/>
  <c r="AA66" i="1"/>
  <c r="AF66" i="1" s="1"/>
  <c r="Z66" i="1"/>
  <c r="AA51" i="1"/>
  <c r="AF51" i="1" s="1"/>
  <c r="Z51" i="1"/>
  <c r="AA50" i="1"/>
  <c r="AF50" i="1" s="1"/>
  <c r="Z50" i="1"/>
  <c r="AA35" i="1"/>
  <c r="AF35" i="1" s="1"/>
  <c r="Z35" i="1"/>
  <c r="AA34" i="1"/>
  <c r="AF34" i="1" s="1"/>
  <c r="Z34" i="1"/>
  <c r="AA19" i="1"/>
  <c r="AF19" i="1" s="1"/>
  <c r="Z19" i="1"/>
  <c r="AA18" i="1"/>
  <c r="AF18" i="1" s="1"/>
  <c r="Z18" i="1"/>
  <c r="AA3" i="1"/>
  <c r="AF3" i="1" s="1"/>
  <c r="Z3" i="1"/>
  <c r="AA2" i="1"/>
  <c r="AF2" i="1" s="1"/>
  <c r="Z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133" i="1" l="1"/>
  <c r="U133" i="1" s="1"/>
  <c r="J130" i="1"/>
  <c r="U130" i="1" s="1"/>
  <c r="J100" i="1"/>
  <c r="U100" i="1" s="1"/>
  <c r="J193" i="1"/>
  <c r="U193" i="1" s="1"/>
  <c r="J195" i="1"/>
  <c r="U195" i="1" s="1"/>
  <c r="J197" i="1"/>
  <c r="U197" i="1" s="1"/>
  <c r="J199" i="1"/>
  <c r="U199" i="1" s="1"/>
  <c r="J227" i="1"/>
  <c r="U227" i="1" s="1"/>
  <c r="J18" i="1"/>
  <c r="J20" i="1"/>
  <c r="U20" i="1" s="1"/>
  <c r="J22" i="1"/>
  <c r="U22" i="1" s="1"/>
  <c r="J24" i="1"/>
  <c r="U24" i="1" s="1"/>
  <c r="J26" i="1"/>
  <c r="U26" i="1" s="1"/>
  <c r="J28" i="1"/>
  <c r="U28" i="1" s="1"/>
  <c r="J30" i="1"/>
  <c r="U30" i="1" s="1"/>
  <c r="J32" i="1"/>
  <c r="U32" i="1" s="1"/>
  <c r="J34" i="1"/>
  <c r="J36" i="1"/>
  <c r="U36" i="1" s="1"/>
  <c r="J38" i="1"/>
  <c r="U38" i="1" s="1"/>
  <c r="J40" i="1"/>
  <c r="U40" i="1" s="1"/>
  <c r="J42" i="1"/>
  <c r="U42" i="1" s="1"/>
  <c r="J44" i="1"/>
  <c r="U44" i="1" s="1"/>
  <c r="J46" i="1"/>
  <c r="U46" i="1" s="1"/>
  <c r="J48" i="1"/>
  <c r="U48" i="1" s="1"/>
  <c r="J50" i="1"/>
  <c r="U50" i="1" s="1"/>
  <c r="J52" i="1"/>
  <c r="U52" i="1" s="1"/>
  <c r="J54" i="1"/>
  <c r="U54" i="1" s="1"/>
  <c r="J56" i="1"/>
  <c r="U56" i="1" s="1"/>
  <c r="J58" i="1"/>
  <c r="U58" i="1" s="1"/>
  <c r="J60" i="1"/>
  <c r="U60" i="1" s="1"/>
  <c r="J62" i="1"/>
  <c r="U62" i="1" s="1"/>
  <c r="J64" i="1"/>
  <c r="U64" i="1" s="1"/>
  <c r="J66" i="1"/>
  <c r="U66" i="1" s="1"/>
  <c r="J68" i="1"/>
  <c r="U68" i="1" s="1"/>
  <c r="J70" i="1"/>
  <c r="U70" i="1" s="1"/>
  <c r="J72" i="1"/>
  <c r="U72" i="1" s="1"/>
  <c r="J74" i="1"/>
  <c r="U74" i="1" s="1"/>
  <c r="J76" i="1"/>
  <c r="U76" i="1" s="1"/>
  <c r="J78" i="1"/>
  <c r="U78" i="1" s="1"/>
  <c r="J80" i="1"/>
  <c r="U80" i="1" s="1"/>
  <c r="J82" i="1"/>
  <c r="U82" i="1" s="1"/>
  <c r="J84" i="1"/>
  <c r="U84" i="1" s="1"/>
  <c r="J86" i="1"/>
  <c r="U86" i="1" s="1"/>
  <c r="J88" i="1"/>
  <c r="U88" i="1" s="1"/>
  <c r="J90" i="1"/>
  <c r="U90" i="1" s="1"/>
  <c r="J92" i="1"/>
  <c r="U92" i="1" s="1"/>
  <c r="J94" i="1"/>
  <c r="U94" i="1" s="1"/>
  <c r="J96" i="1"/>
  <c r="U96" i="1" s="1"/>
  <c r="J98" i="1"/>
  <c r="U98" i="1" s="1"/>
  <c r="J101" i="1"/>
  <c r="U101" i="1" s="1"/>
  <c r="J104" i="1"/>
  <c r="U104" i="1" s="1"/>
  <c r="J107" i="1"/>
  <c r="U107" i="1" s="1"/>
  <c r="J110" i="1"/>
  <c r="U110" i="1" s="1"/>
  <c r="J113" i="1"/>
  <c r="U113" i="1" s="1"/>
  <c r="J116" i="1"/>
  <c r="U116" i="1" s="1"/>
  <c r="J119" i="1"/>
  <c r="U119" i="1" s="1"/>
  <c r="J122" i="1"/>
  <c r="U122" i="1" s="1"/>
  <c r="J125" i="1"/>
  <c r="U125" i="1" s="1"/>
  <c r="J128" i="1"/>
  <c r="U128" i="1" s="1"/>
  <c r="J131" i="1"/>
  <c r="U131" i="1" s="1"/>
  <c r="J134" i="1"/>
  <c r="U134" i="1" s="1"/>
  <c r="J136" i="1"/>
  <c r="U136" i="1" s="1"/>
  <c r="J138" i="1"/>
  <c r="U138" i="1" s="1"/>
  <c r="J140" i="1"/>
  <c r="U140" i="1" s="1"/>
  <c r="J142" i="1"/>
  <c r="U142" i="1" s="1"/>
  <c r="J144" i="1"/>
  <c r="U144" i="1" s="1"/>
  <c r="J146" i="1"/>
  <c r="U146" i="1" s="1"/>
  <c r="J148" i="1"/>
  <c r="U148" i="1" s="1"/>
  <c r="J151" i="1"/>
  <c r="U151" i="1" s="1"/>
  <c r="J153" i="1"/>
  <c r="U153" i="1" s="1"/>
  <c r="J155" i="1"/>
  <c r="U155" i="1" s="1"/>
  <c r="J157" i="1"/>
  <c r="U157" i="1" s="1"/>
  <c r="J159" i="1"/>
  <c r="U159" i="1" s="1"/>
  <c r="J161" i="1"/>
  <c r="U161" i="1" s="1"/>
  <c r="J163" i="1"/>
  <c r="U163" i="1" s="1"/>
  <c r="J165" i="1"/>
  <c r="U165" i="1" s="1"/>
  <c r="J168" i="1"/>
  <c r="U168" i="1" s="1"/>
  <c r="J171" i="1"/>
  <c r="U171" i="1" s="1"/>
  <c r="J173" i="1"/>
  <c r="U173" i="1" s="1"/>
  <c r="J176" i="1"/>
  <c r="U176" i="1" s="1"/>
  <c r="J178" i="1"/>
  <c r="U178" i="1" s="1"/>
  <c r="J180" i="1"/>
  <c r="U180" i="1" s="1"/>
  <c r="J182" i="1"/>
  <c r="U182" i="1" s="1"/>
  <c r="J184" i="1"/>
  <c r="U184" i="1" s="1"/>
  <c r="J186" i="1"/>
  <c r="U186" i="1" s="1"/>
  <c r="J188" i="1"/>
  <c r="U188" i="1" s="1"/>
  <c r="J190" i="1"/>
  <c r="U190" i="1" s="1"/>
  <c r="J192" i="1"/>
  <c r="U192" i="1" s="1"/>
  <c r="J194" i="1"/>
  <c r="U194" i="1" s="1"/>
  <c r="J196" i="1"/>
  <c r="U196" i="1" s="1"/>
  <c r="J198" i="1"/>
  <c r="U198" i="1" s="1"/>
  <c r="J200" i="1"/>
  <c r="U200" i="1" s="1"/>
  <c r="J202" i="1"/>
  <c r="U202" i="1" s="1"/>
  <c r="J204" i="1"/>
  <c r="U204" i="1" s="1"/>
  <c r="J206" i="1"/>
  <c r="U206" i="1" s="1"/>
  <c r="J208" i="1"/>
  <c r="U208" i="1" s="1"/>
  <c r="J210" i="1"/>
  <c r="U210" i="1" s="1"/>
  <c r="J212" i="1"/>
  <c r="U212" i="1" s="1"/>
  <c r="J214" i="1"/>
  <c r="U214" i="1" s="1"/>
  <c r="J216" i="1"/>
  <c r="U216" i="1" s="1"/>
  <c r="J218" i="1"/>
  <c r="U218" i="1" s="1"/>
  <c r="J220" i="1"/>
  <c r="U220" i="1" s="1"/>
  <c r="J222" i="1"/>
  <c r="U222" i="1" s="1"/>
  <c r="J224" i="1"/>
  <c r="U224" i="1" s="1"/>
  <c r="J226" i="1"/>
  <c r="U226" i="1" s="1"/>
  <c r="J228" i="1"/>
  <c r="U228" i="1" s="1"/>
  <c r="J230" i="1"/>
  <c r="U230" i="1" s="1"/>
  <c r="J232" i="1"/>
  <c r="U232" i="1" s="1"/>
  <c r="J234" i="1"/>
  <c r="U234" i="1" s="1"/>
  <c r="J236" i="1"/>
  <c r="U236" i="1" s="1"/>
  <c r="J238" i="1"/>
  <c r="U238" i="1" s="1"/>
  <c r="J240" i="1"/>
  <c r="U240" i="1" s="1"/>
  <c r="J4" i="1"/>
  <c r="U4" i="1" s="1"/>
  <c r="J6" i="1"/>
  <c r="U6" i="1" s="1"/>
  <c r="J8" i="1"/>
  <c r="U8" i="1" s="1"/>
  <c r="J10" i="1"/>
  <c r="U10" i="1" s="1"/>
  <c r="J12" i="1"/>
  <c r="U12" i="1" s="1"/>
  <c r="J14" i="1"/>
  <c r="U14" i="1" s="1"/>
  <c r="J16" i="1"/>
  <c r="U16" i="1" s="1"/>
  <c r="J2" i="1"/>
  <c r="U2" i="1" s="1"/>
  <c r="U34" i="1" l="1"/>
  <c r="W34" i="1"/>
  <c r="W18" i="1"/>
  <c r="U18" i="1"/>
  <c r="W2" i="1"/>
  <c r="I241" i="1"/>
  <c r="J241" i="1" s="1"/>
  <c r="U241" i="1" s="1"/>
  <c r="I239" i="1"/>
  <c r="J239" i="1" s="1"/>
  <c r="U239" i="1" s="1"/>
  <c r="I237" i="1"/>
  <c r="J237" i="1" s="1"/>
  <c r="U237" i="1" s="1"/>
  <c r="I235" i="1"/>
  <c r="J235" i="1" s="1"/>
  <c r="U235" i="1" s="1"/>
  <c r="I233" i="1"/>
  <c r="J233" i="1" s="1"/>
  <c r="U233" i="1" s="1"/>
  <c r="I231" i="1"/>
  <c r="J231" i="1" s="1"/>
  <c r="U231" i="1" s="1"/>
  <c r="I229" i="1"/>
  <c r="J229" i="1" s="1"/>
  <c r="U229" i="1" s="1"/>
  <c r="I225" i="1"/>
  <c r="J225" i="1" s="1"/>
  <c r="U225" i="1" s="1"/>
  <c r="I223" i="1"/>
  <c r="J223" i="1" s="1"/>
  <c r="U223" i="1" s="1"/>
  <c r="I221" i="1"/>
  <c r="J221" i="1" s="1"/>
  <c r="U221" i="1" s="1"/>
  <c r="I219" i="1"/>
  <c r="J219" i="1" s="1"/>
  <c r="U219" i="1" s="1"/>
  <c r="I170" i="1"/>
  <c r="J170" i="1" s="1"/>
  <c r="U170" i="1" s="1"/>
  <c r="I217" i="1"/>
  <c r="J217" i="1" s="1"/>
  <c r="U217" i="1" s="1"/>
  <c r="I215" i="1"/>
  <c r="J215" i="1" s="1"/>
  <c r="U215" i="1" s="1"/>
  <c r="I213" i="1"/>
  <c r="J213" i="1" s="1"/>
  <c r="U213" i="1" s="1"/>
  <c r="I211" i="1"/>
  <c r="J211" i="1" s="1"/>
  <c r="U211" i="1" s="1"/>
  <c r="I209" i="1"/>
  <c r="J209" i="1" s="1"/>
  <c r="U209" i="1" s="1"/>
  <c r="I207" i="1"/>
  <c r="J207" i="1" s="1"/>
  <c r="U207" i="1" s="1"/>
  <c r="I205" i="1"/>
  <c r="J205" i="1" s="1"/>
  <c r="U205" i="1" s="1"/>
  <c r="I203" i="1"/>
  <c r="J203" i="1" s="1"/>
  <c r="U203" i="1" s="1"/>
  <c r="I201" i="1"/>
  <c r="J201" i="1" s="1"/>
  <c r="U201" i="1" s="1"/>
  <c r="I191" i="1"/>
  <c r="J191" i="1" s="1"/>
  <c r="U191" i="1" s="1"/>
  <c r="I189" i="1"/>
  <c r="J189" i="1" s="1"/>
  <c r="U189" i="1" s="1"/>
  <c r="I187" i="1"/>
  <c r="J187" i="1" s="1"/>
  <c r="U187" i="1" s="1"/>
  <c r="I185" i="1"/>
  <c r="J185" i="1" s="1"/>
  <c r="U185" i="1" s="1"/>
  <c r="I183" i="1"/>
  <c r="J183" i="1" s="1"/>
  <c r="U183" i="1" s="1"/>
  <c r="I181" i="1"/>
  <c r="J181" i="1" s="1"/>
  <c r="U181" i="1" s="1"/>
  <c r="I179" i="1"/>
  <c r="J179" i="1" s="1"/>
  <c r="U179" i="1" s="1"/>
  <c r="I177" i="1"/>
  <c r="J177" i="1" s="1"/>
  <c r="U177" i="1" s="1"/>
  <c r="I175" i="1"/>
  <c r="J175" i="1" s="1"/>
  <c r="U175" i="1" s="1"/>
  <c r="I174" i="1"/>
  <c r="J174" i="1" s="1"/>
  <c r="U174" i="1" s="1"/>
  <c r="I172" i="1"/>
  <c r="J172" i="1" s="1"/>
  <c r="U172" i="1" s="1"/>
  <c r="I169" i="1"/>
  <c r="J169" i="1" s="1"/>
  <c r="U169" i="1" s="1"/>
  <c r="I167" i="1"/>
  <c r="J167" i="1" s="1"/>
  <c r="U167" i="1" s="1"/>
  <c r="I166" i="1"/>
  <c r="J166" i="1" s="1"/>
  <c r="U166" i="1" s="1"/>
  <c r="I164" i="1"/>
  <c r="J164" i="1" s="1"/>
  <c r="U164" i="1" s="1"/>
  <c r="I162" i="1"/>
  <c r="J162" i="1" s="1"/>
  <c r="U162" i="1" s="1"/>
  <c r="I160" i="1"/>
  <c r="J160" i="1" s="1"/>
  <c r="U160" i="1" s="1"/>
  <c r="I158" i="1"/>
  <c r="J158" i="1" s="1"/>
  <c r="U158" i="1" s="1"/>
  <c r="I156" i="1"/>
  <c r="J156" i="1" s="1"/>
  <c r="U156" i="1" s="1"/>
  <c r="I154" i="1"/>
  <c r="J154" i="1" s="1"/>
  <c r="U154" i="1" s="1"/>
  <c r="I152" i="1"/>
  <c r="J152" i="1" s="1"/>
  <c r="U152" i="1" s="1"/>
  <c r="I150" i="1"/>
  <c r="J150" i="1" s="1"/>
  <c r="U150" i="1" s="1"/>
  <c r="I149" i="1"/>
  <c r="J149" i="1" s="1"/>
  <c r="U149" i="1" s="1"/>
  <c r="I147" i="1"/>
  <c r="J147" i="1" s="1"/>
  <c r="U147" i="1" s="1"/>
  <c r="I145" i="1"/>
  <c r="J145" i="1" s="1"/>
  <c r="U145" i="1" s="1"/>
  <c r="I143" i="1"/>
  <c r="J143" i="1" s="1"/>
  <c r="U143" i="1" s="1"/>
  <c r="I141" i="1"/>
  <c r="J141" i="1" s="1"/>
  <c r="U141" i="1" s="1"/>
  <c r="I139" i="1"/>
  <c r="J139" i="1" s="1"/>
  <c r="U139" i="1" s="1"/>
  <c r="I137" i="1"/>
  <c r="J137" i="1" s="1"/>
  <c r="U137" i="1" s="1"/>
  <c r="I135" i="1"/>
  <c r="J135" i="1" s="1"/>
  <c r="U135" i="1" s="1"/>
  <c r="I132" i="1"/>
  <c r="J132" i="1" s="1"/>
  <c r="U132" i="1" s="1"/>
  <c r="I129" i="1"/>
  <c r="J129" i="1" s="1"/>
  <c r="U129" i="1" s="1"/>
  <c r="I127" i="1"/>
  <c r="J127" i="1" s="1"/>
  <c r="U127" i="1" s="1"/>
  <c r="I126" i="1"/>
  <c r="J126" i="1" s="1"/>
  <c r="U126" i="1" s="1"/>
  <c r="I124" i="1"/>
  <c r="J124" i="1" s="1"/>
  <c r="U124" i="1" s="1"/>
  <c r="I123" i="1"/>
  <c r="J123" i="1" s="1"/>
  <c r="U123" i="1" s="1"/>
  <c r="I121" i="1"/>
  <c r="J121" i="1" s="1"/>
  <c r="U121" i="1" s="1"/>
  <c r="I120" i="1"/>
  <c r="J120" i="1" s="1"/>
  <c r="U120" i="1" s="1"/>
  <c r="I118" i="1"/>
  <c r="J118" i="1" s="1"/>
  <c r="U118" i="1" s="1"/>
  <c r="I117" i="1"/>
  <c r="J117" i="1" s="1"/>
  <c r="U117" i="1" s="1"/>
  <c r="I115" i="1"/>
  <c r="J115" i="1" s="1"/>
  <c r="U115" i="1" s="1"/>
  <c r="I114" i="1"/>
  <c r="J114" i="1" s="1"/>
  <c r="U114" i="1" s="1"/>
  <c r="I112" i="1"/>
  <c r="J112" i="1" s="1"/>
  <c r="U112" i="1" s="1"/>
  <c r="I111" i="1"/>
  <c r="J111" i="1" s="1"/>
  <c r="U111" i="1" s="1"/>
  <c r="I109" i="1"/>
  <c r="J109" i="1" s="1"/>
  <c r="U109" i="1" s="1"/>
  <c r="I108" i="1"/>
  <c r="J108" i="1" s="1"/>
  <c r="U108" i="1" s="1"/>
  <c r="I106" i="1"/>
  <c r="J106" i="1" s="1"/>
  <c r="U106" i="1" s="1"/>
  <c r="I105" i="1"/>
  <c r="J105" i="1" s="1"/>
  <c r="U105" i="1" s="1"/>
  <c r="I103" i="1"/>
  <c r="J103" i="1" s="1"/>
  <c r="U103" i="1" s="1"/>
  <c r="I102" i="1"/>
  <c r="J102" i="1" s="1"/>
  <c r="U102" i="1" s="1"/>
  <c r="I99" i="1"/>
  <c r="J99" i="1" s="1"/>
  <c r="U99" i="1" s="1"/>
  <c r="I97" i="1"/>
  <c r="J97" i="1" s="1"/>
  <c r="U97" i="1" s="1"/>
  <c r="I95" i="1"/>
  <c r="J95" i="1" s="1"/>
  <c r="U95" i="1" s="1"/>
  <c r="I93" i="1"/>
  <c r="J93" i="1" s="1"/>
  <c r="U93" i="1" s="1"/>
  <c r="I91" i="1"/>
  <c r="J91" i="1" s="1"/>
  <c r="U91" i="1" s="1"/>
  <c r="I89" i="1"/>
  <c r="J89" i="1" s="1"/>
  <c r="U89" i="1" s="1"/>
  <c r="I87" i="1"/>
  <c r="J87" i="1" s="1"/>
  <c r="U87" i="1" s="1"/>
  <c r="I85" i="1"/>
  <c r="J85" i="1" s="1"/>
  <c r="U85" i="1" s="1"/>
  <c r="I83" i="1"/>
  <c r="J83" i="1" s="1"/>
  <c r="U83" i="1" s="1"/>
  <c r="I81" i="1"/>
  <c r="J81" i="1" s="1"/>
  <c r="U81" i="1" s="1"/>
  <c r="I79" i="1"/>
  <c r="J79" i="1" s="1"/>
  <c r="U79" i="1" s="1"/>
  <c r="I77" i="1"/>
  <c r="J77" i="1" s="1"/>
  <c r="U77" i="1" s="1"/>
  <c r="I75" i="1"/>
  <c r="J75" i="1" s="1"/>
  <c r="U75" i="1" s="1"/>
  <c r="I73" i="1"/>
  <c r="J73" i="1" s="1"/>
  <c r="U73" i="1" s="1"/>
  <c r="I71" i="1"/>
  <c r="J71" i="1" s="1"/>
  <c r="U71" i="1" s="1"/>
  <c r="I69" i="1"/>
  <c r="J69" i="1" s="1"/>
  <c r="U69" i="1" s="1"/>
  <c r="I67" i="1"/>
  <c r="J67" i="1" s="1"/>
  <c r="U67" i="1" s="1"/>
  <c r="I65" i="1"/>
  <c r="J65" i="1" s="1"/>
  <c r="U65" i="1" s="1"/>
  <c r="I63" i="1"/>
  <c r="J63" i="1" s="1"/>
  <c r="U63" i="1" s="1"/>
  <c r="I61" i="1"/>
  <c r="J61" i="1" s="1"/>
  <c r="U61" i="1" s="1"/>
  <c r="I59" i="1"/>
  <c r="J59" i="1" s="1"/>
  <c r="U59" i="1" s="1"/>
  <c r="I41" i="1"/>
  <c r="J41" i="1" s="1"/>
  <c r="U41" i="1" s="1"/>
  <c r="I39" i="1"/>
  <c r="J39" i="1" s="1"/>
  <c r="U39" i="1" s="1"/>
  <c r="I37" i="1"/>
  <c r="J37" i="1" s="1"/>
  <c r="U37" i="1" s="1"/>
  <c r="I35" i="1"/>
  <c r="J35" i="1" s="1"/>
  <c r="I57" i="1"/>
  <c r="J57" i="1" s="1"/>
  <c r="U57" i="1" s="1"/>
  <c r="I55" i="1"/>
  <c r="J55" i="1" s="1"/>
  <c r="U55" i="1" s="1"/>
  <c r="I53" i="1"/>
  <c r="J53" i="1" s="1"/>
  <c r="U53" i="1" s="1"/>
  <c r="I51" i="1"/>
  <c r="J51" i="1" s="1"/>
  <c r="U51" i="1" s="1"/>
  <c r="I49" i="1"/>
  <c r="J49" i="1" s="1"/>
  <c r="U49" i="1" s="1"/>
  <c r="I47" i="1"/>
  <c r="J47" i="1" s="1"/>
  <c r="U47" i="1" s="1"/>
  <c r="I45" i="1"/>
  <c r="J45" i="1" s="1"/>
  <c r="U45" i="1" s="1"/>
  <c r="I43" i="1"/>
  <c r="J43" i="1" s="1"/>
  <c r="U43" i="1" s="1"/>
  <c r="I33" i="1"/>
  <c r="J33" i="1" s="1"/>
  <c r="U33" i="1" s="1"/>
  <c r="I31" i="1"/>
  <c r="J31" i="1" s="1"/>
  <c r="U31" i="1" s="1"/>
  <c r="I29" i="1"/>
  <c r="J29" i="1" s="1"/>
  <c r="U29" i="1" s="1"/>
  <c r="I27" i="1"/>
  <c r="J27" i="1" s="1"/>
  <c r="U27" i="1" s="1"/>
  <c r="I25" i="1"/>
  <c r="J25" i="1" s="1"/>
  <c r="U25" i="1" s="1"/>
  <c r="I23" i="1"/>
  <c r="J23" i="1" s="1"/>
  <c r="U23" i="1" s="1"/>
  <c r="I21" i="1"/>
  <c r="J21" i="1" s="1"/>
  <c r="U21" i="1" s="1"/>
  <c r="I19" i="1"/>
  <c r="J19" i="1" s="1"/>
  <c r="I17" i="1"/>
  <c r="J17" i="1" s="1"/>
  <c r="U17" i="1" s="1"/>
  <c r="I15" i="1"/>
  <c r="J15" i="1" s="1"/>
  <c r="U15" i="1" s="1"/>
  <c r="I13" i="1"/>
  <c r="J13" i="1" s="1"/>
  <c r="U13" i="1" s="1"/>
  <c r="I11" i="1"/>
  <c r="J11" i="1" s="1"/>
  <c r="U11" i="1" s="1"/>
  <c r="I9" i="1"/>
  <c r="J9" i="1" s="1"/>
  <c r="U9" i="1" s="1"/>
  <c r="I7" i="1"/>
  <c r="J7" i="1" s="1"/>
  <c r="U7" i="1" s="1"/>
  <c r="I5" i="1"/>
  <c r="J5" i="1" s="1"/>
  <c r="U5" i="1" s="1"/>
  <c r="I3" i="1"/>
  <c r="J3" i="1" s="1"/>
  <c r="U3" i="1" l="1"/>
  <c r="W3" i="1"/>
  <c r="W19" i="1"/>
  <c r="U19" i="1"/>
  <c r="W35" i="1"/>
  <c r="U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vildehaukenes92@gmail.com</author>
  </authors>
  <commentList>
    <comment ref="P1" authorId="0" shapeId="0" xr:uid="{47D378F9-218B-C846-A4A9-4A9F04B567DB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 Seronera with a bad balance </t>
        </r>
      </text>
    </comment>
    <comment ref="AL1" authorId="0" shapeId="0" xr:uid="{7DAE1584-54E4-C14D-8C13-927776153B85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Soluble P 
</t>
        </r>
      </text>
    </comment>
    <comment ref="AM1" authorId="0" shapeId="0" xr:uid="{1B5AC35A-4073-B249-AC9C-A06156F0E2CC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 avaliable P
</t>
        </r>
        <r>
          <rPr>
            <sz val="10"/>
            <color rgb="FF000000"/>
            <rFont val="Tahoma"/>
            <family val="2"/>
          </rPr>
          <t xml:space="preserve">LD = Limit of detection (1.55) &lt;LD = 0
</t>
        </r>
        <r>
          <rPr>
            <sz val="10"/>
            <color rgb="FF000000"/>
            <rFont val="Tahoma"/>
            <family val="2"/>
          </rPr>
          <t xml:space="preserve">LQ = Limit of quantification (5,2)
</t>
        </r>
      </text>
    </comment>
    <comment ref="S34" authorId="0" shapeId="0" xr:uid="{460525FD-9856-CE49-98F7-F77C9C198F06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Ingen stein&gt;2mm 
</t>
        </r>
        <r>
          <rPr>
            <sz val="10"/>
            <color rgb="FF000000"/>
            <rFont val="Tahoma"/>
            <family val="2"/>
          </rPr>
          <t>i Maswa</t>
        </r>
      </text>
    </comment>
    <comment ref="K4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Missing WP here.. </t>
        </r>
      </text>
    </comment>
    <comment ref="I130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  <comment ref="I13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one </t>
        </r>
      </text>
    </comment>
    <comment ref="P155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P156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Too big? 4 samples?</t>
        </r>
      </text>
    </comment>
    <comment ref="I170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only two
</t>
        </r>
      </text>
    </comment>
    <comment ref="S192" authorId="0" shapeId="0" xr:uid="{D7483C01-42F3-044B-9170-005FD7FD96C1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 stor stein</t>
        </r>
      </text>
    </comment>
    <comment ref="I217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vildehaukenes92@gmail.com: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two</t>
        </r>
      </text>
    </comment>
  </commentList>
</comments>
</file>

<file path=xl/sharedStrings.xml><?xml version="1.0" encoding="utf-8"?>
<sst xmlns="http://schemas.openxmlformats.org/spreadsheetml/2006/main" count="1953" uniqueCount="272">
  <si>
    <t>WP</t>
  </si>
  <si>
    <t>S1</t>
  </si>
  <si>
    <t>B1</t>
  </si>
  <si>
    <t>C1</t>
  </si>
  <si>
    <t>C2</t>
  </si>
  <si>
    <t>C3</t>
  </si>
  <si>
    <t>C4</t>
  </si>
  <si>
    <t>B2</t>
  </si>
  <si>
    <t>B3</t>
  </si>
  <si>
    <t>B4</t>
  </si>
  <si>
    <t>S2</t>
  </si>
  <si>
    <t>S3</t>
  </si>
  <si>
    <t>S4</t>
  </si>
  <si>
    <t>S5</t>
  </si>
  <si>
    <t>S6</t>
  </si>
  <si>
    <t>S7</t>
  </si>
  <si>
    <t>Site</t>
  </si>
  <si>
    <t>Block</t>
  </si>
  <si>
    <t>Circle</t>
  </si>
  <si>
    <t>Region</t>
  </si>
  <si>
    <t>3 24.561</t>
  </si>
  <si>
    <t>3 24.552</t>
  </si>
  <si>
    <t>3 24.555</t>
  </si>
  <si>
    <t>3 24.499</t>
  </si>
  <si>
    <t>3 24.503</t>
  </si>
  <si>
    <t>3 24.504</t>
  </si>
  <si>
    <t>3 24.502</t>
  </si>
  <si>
    <t>3 24.377</t>
  </si>
  <si>
    <t>3 24.376</t>
  </si>
  <si>
    <t>3 24.374</t>
  </si>
  <si>
    <t>3 17.744</t>
  </si>
  <si>
    <t>3 17.746</t>
  </si>
  <si>
    <t>3 17.735</t>
  </si>
  <si>
    <t>3 17.739</t>
  </si>
  <si>
    <t>3 17.802</t>
  </si>
  <si>
    <t>3 17.795</t>
  </si>
  <si>
    <t>3 17.807</t>
  </si>
  <si>
    <t>3 17.800</t>
  </si>
  <si>
    <t>3 17.971</t>
  </si>
  <si>
    <t>3 17.969</t>
  </si>
  <si>
    <t>3 17.958</t>
  </si>
  <si>
    <t>3 17.974</t>
  </si>
  <si>
    <t>3 18.144</t>
  </si>
  <si>
    <t>3 18.155</t>
  </si>
  <si>
    <t>3 24.391</t>
  </si>
  <si>
    <t>3 24.389</t>
  </si>
  <si>
    <t>3 24.382</t>
  </si>
  <si>
    <t>3 24.379</t>
  </si>
  <si>
    <t>2 21.014</t>
  </si>
  <si>
    <t>2 21.029</t>
  </si>
  <si>
    <t>2 21.022</t>
  </si>
  <si>
    <t>2 21.023</t>
  </si>
  <si>
    <t>2 20.911</t>
  </si>
  <si>
    <t>2 20.927</t>
  </si>
  <si>
    <t>2 20.923</t>
  </si>
  <si>
    <t>2 20.919</t>
  </si>
  <si>
    <t>2 22.051</t>
  </si>
  <si>
    <t>2 22.061</t>
  </si>
  <si>
    <t>2 22.050</t>
  </si>
  <si>
    <t>2 22.056</t>
  </si>
  <si>
    <t>2 22.063</t>
  </si>
  <si>
    <t>2 22.069</t>
  </si>
  <si>
    <t>2 22.058</t>
  </si>
  <si>
    <t>2 16.374</t>
  </si>
  <si>
    <t>2 16.372</t>
  </si>
  <si>
    <t>2 16.373</t>
  </si>
  <si>
    <t>2 16.365</t>
  </si>
  <si>
    <t>2 16.698</t>
  </si>
  <si>
    <t>2 16.701</t>
  </si>
  <si>
    <t>2 16.708</t>
  </si>
  <si>
    <t>2 16.663</t>
  </si>
  <si>
    <t>2 16.671</t>
  </si>
  <si>
    <t>2 16.675</t>
  </si>
  <si>
    <t>2 16.672</t>
  </si>
  <si>
    <t>2 16.717</t>
  </si>
  <si>
    <t>2 16.714</t>
  </si>
  <si>
    <t>2 16.733</t>
  </si>
  <si>
    <t>2 16.720</t>
  </si>
  <si>
    <t>2 26.281</t>
  </si>
  <si>
    <t>2 26.275</t>
  </si>
  <si>
    <t>2 26.268</t>
  </si>
  <si>
    <t>2 26.355</t>
  </si>
  <si>
    <t>2 26.359</t>
  </si>
  <si>
    <t>2 26.361</t>
  </si>
  <si>
    <t>2 26.365</t>
  </si>
  <si>
    <t>2 26.296</t>
  </si>
  <si>
    <t>2 26.286</t>
  </si>
  <si>
    <t>2 26.299</t>
  </si>
  <si>
    <t>2 26.291</t>
  </si>
  <si>
    <t>2 26.087</t>
  </si>
  <si>
    <t>2 26.080</t>
  </si>
  <si>
    <t>2 26.091</t>
  </si>
  <si>
    <t>2 26.086</t>
  </si>
  <si>
    <t>2 01.101</t>
  </si>
  <si>
    <t>2 01.111</t>
  </si>
  <si>
    <t>2 01.112</t>
  </si>
  <si>
    <t>2 01.498</t>
  </si>
  <si>
    <t>2 01.491</t>
  </si>
  <si>
    <t>2 01.496</t>
  </si>
  <si>
    <t>2 01.488</t>
  </si>
  <si>
    <t>2 01.952</t>
  </si>
  <si>
    <t>2 01.945</t>
  </si>
  <si>
    <t>2 01.946</t>
  </si>
  <si>
    <t>2 01.953</t>
  </si>
  <si>
    <t>2 02.297</t>
  </si>
  <si>
    <t>2 02.310</t>
  </si>
  <si>
    <t>2 02.298</t>
  </si>
  <si>
    <t>2 02.307</t>
  </si>
  <si>
    <t>2 01.744</t>
  </si>
  <si>
    <t>2 01.735</t>
  </si>
  <si>
    <t>2 01.745</t>
  </si>
  <si>
    <t>2 01.740</t>
  </si>
  <si>
    <t>2 01.173</t>
  </si>
  <si>
    <t>2 01.167</t>
  </si>
  <si>
    <t>2 01.182</t>
  </si>
  <si>
    <t>2 01.184</t>
  </si>
  <si>
    <t>2 00.988</t>
  </si>
  <si>
    <t>2 00.995</t>
  </si>
  <si>
    <t>2 00.990</t>
  </si>
  <si>
    <t>2 00.982</t>
  </si>
  <si>
    <t>2 00.756</t>
  </si>
  <si>
    <t>2 00.738</t>
  </si>
  <si>
    <t>2 00.748</t>
  </si>
  <si>
    <t>2 00.751</t>
  </si>
  <si>
    <t>34 51.158</t>
  </si>
  <si>
    <t>34 51.154</t>
  </si>
  <si>
    <t>34 51.163</t>
  </si>
  <si>
    <t>34 51.164</t>
  </si>
  <si>
    <t>34 51.006</t>
  </si>
  <si>
    <t>34 51.018</t>
  </si>
  <si>
    <t>34 51.013</t>
  </si>
  <si>
    <t>34 51.016</t>
  </si>
  <si>
    <t>34 51.029</t>
  </si>
  <si>
    <t>34 51.034</t>
  </si>
  <si>
    <t>34 51.028</t>
  </si>
  <si>
    <t>34 51.128</t>
  </si>
  <si>
    <t>34 51.140</t>
  </si>
  <si>
    <t>34 51.133</t>
  </si>
  <si>
    <t>34 51.146</t>
  </si>
  <si>
    <t>34 51.267</t>
  </si>
  <si>
    <t>34 51.259</t>
  </si>
  <si>
    <t>34 51.257</t>
  </si>
  <si>
    <t>34 50.892</t>
  </si>
  <si>
    <t>34 50.902</t>
  </si>
  <si>
    <t>34 50.894</t>
  </si>
  <si>
    <t>34 50.891</t>
  </si>
  <si>
    <t>34 50.887</t>
  </si>
  <si>
    <t>34 50.886</t>
  </si>
  <si>
    <t>34 50.885</t>
  </si>
  <si>
    <t>34 51.074</t>
  </si>
  <si>
    <t>34 51.068</t>
  </si>
  <si>
    <t>34 51.066</t>
  </si>
  <si>
    <t>34 02.978</t>
  </si>
  <si>
    <t>34 02.977</t>
  </si>
  <si>
    <t>34 02.983</t>
  </si>
  <si>
    <t>34 03.005</t>
  </si>
  <si>
    <t>34 02.999</t>
  </si>
  <si>
    <t>34 03.006</t>
  </si>
  <si>
    <t>34 03.007</t>
  </si>
  <si>
    <t>34 03.624</t>
  </si>
  <si>
    <t>34 03.628</t>
  </si>
  <si>
    <t>34 03.637</t>
  </si>
  <si>
    <t>34 03.572</t>
  </si>
  <si>
    <t>34 03.560</t>
  </si>
  <si>
    <t>34 03.559</t>
  </si>
  <si>
    <t>34 03.564</t>
  </si>
  <si>
    <t>34 01.399</t>
  </si>
  <si>
    <t>34 01.386</t>
  </si>
  <si>
    <t>34 01.384</t>
  </si>
  <si>
    <t>34 01.391</t>
  </si>
  <si>
    <t>34 01.462</t>
  </si>
  <si>
    <t>34 01.459</t>
  </si>
  <si>
    <t>34 01.460</t>
  </si>
  <si>
    <t>34 01.661</t>
  </si>
  <si>
    <t>34 01.662</t>
  </si>
  <si>
    <t>34 01.665</t>
  </si>
  <si>
    <t>34 01.668</t>
  </si>
  <si>
    <t>34 01.922</t>
  </si>
  <si>
    <t>34 01.931</t>
  </si>
  <si>
    <t>34 01.930</t>
  </si>
  <si>
    <t>34 01.934</t>
  </si>
  <si>
    <t>34 51.312</t>
  </si>
  <si>
    <t>34 51.322</t>
  </si>
  <si>
    <t>34 51.317</t>
  </si>
  <si>
    <t>34 51.320</t>
  </si>
  <si>
    <t>34 50.305</t>
  </si>
  <si>
    <t>34 50.311</t>
  </si>
  <si>
    <t>34 50.307</t>
  </si>
  <si>
    <t>34 50.203</t>
  </si>
  <si>
    <t>34 50.206</t>
  </si>
  <si>
    <t>34 50.193</t>
  </si>
  <si>
    <t>34 50.197</t>
  </si>
  <si>
    <t>34 50.042</t>
  </si>
  <si>
    <t>34 50.050</t>
  </si>
  <si>
    <t>34 50.037</t>
  </si>
  <si>
    <t>34 50.033</t>
  </si>
  <si>
    <t>34 39.382</t>
  </si>
  <si>
    <t>34 39.384</t>
  </si>
  <si>
    <t>34 39.388</t>
  </si>
  <si>
    <t>34 39.379</t>
  </si>
  <si>
    <t>34 39.169</t>
  </si>
  <si>
    <t>34 39.174</t>
  </si>
  <si>
    <t>34 39.178</t>
  </si>
  <si>
    <t>34 39.136</t>
  </si>
  <si>
    <t>34 39.138</t>
  </si>
  <si>
    <t>34 39.135</t>
  </si>
  <si>
    <t>34 39.121</t>
  </si>
  <si>
    <t>34 39.130</t>
  </si>
  <si>
    <t>34 39.125</t>
  </si>
  <si>
    <t>34 39.129</t>
  </si>
  <si>
    <t>34 39.617</t>
  </si>
  <si>
    <t>34 39.632</t>
  </si>
  <si>
    <t>34 39.621</t>
  </si>
  <si>
    <t>34 39.624</t>
  </si>
  <si>
    <t>34 39.643</t>
  </si>
  <si>
    <t>34 39.652</t>
  </si>
  <si>
    <t>34 39.648</t>
  </si>
  <si>
    <t>34 39.656</t>
  </si>
  <si>
    <t>34 39.794</t>
  </si>
  <si>
    <t>34 39.789</t>
  </si>
  <si>
    <t>34 39.798</t>
  </si>
  <si>
    <t>34 39.851</t>
  </si>
  <si>
    <t>34 39.859</t>
  </si>
  <si>
    <t>34 39.852</t>
  </si>
  <si>
    <t>34 39.860</t>
  </si>
  <si>
    <t>Altitude</t>
  </si>
  <si>
    <t xml:space="preserve">Date_time </t>
  </si>
  <si>
    <t>Depth.cm</t>
  </si>
  <si>
    <t>Makao</t>
  </si>
  <si>
    <t>Maswa</t>
  </si>
  <si>
    <t>Mwantimba</t>
  </si>
  <si>
    <t>Handajega</t>
  </si>
  <si>
    <t>Seronera</t>
  </si>
  <si>
    <t>Park Nyigoti</t>
  </si>
  <si>
    <t>Ikorongo</t>
  </si>
  <si>
    <t>Total_weight.g</t>
  </si>
  <si>
    <t>SubBefore_DRY.g</t>
  </si>
  <si>
    <t>SubAfter_DRY.g</t>
  </si>
  <si>
    <t>Horizon</t>
  </si>
  <si>
    <t>A-hor</t>
  </si>
  <si>
    <t>Min-hor</t>
  </si>
  <si>
    <t>O-hor</t>
  </si>
  <si>
    <t>pH</t>
  </si>
  <si>
    <t>ID</t>
  </si>
  <si>
    <t>SubAfter_SIEVED.g</t>
  </si>
  <si>
    <t>&lt;5.2</t>
  </si>
  <si>
    <t>Volume.cm3</t>
  </si>
  <si>
    <t>Land_Use</t>
  </si>
  <si>
    <t>Pasture</t>
  </si>
  <si>
    <t>Wild</t>
  </si>
  <si>
    <t>Tot_weight_fine_earth_air_dry.g</t>
  </si>
  <si>
    <t>BD_fine_earth_air_dry</t>
  </si>
  <si>
    <t>BD_fine_earth.DM.corr</t>
  </si>
  <si>
    <t>fraction_inorg_C</t>
  </si>
  <si>
    <t>fraction_org_C</t>
  </si>
  <si>
    <t>Tot.N.per</t>
  </si>
  <si>
    <t>Tot.C.per</t>
  </si>
  <si>
    <t>Clay.per</t>
  </si>
  <si>
    <t>Silt.per</t>
  </si>
  <si>
    <t>Sand.per</t>
  </si>
  <si>
    <t>Org.C.per</t>
  </si>
  <si>
    <t>Latitude.S</t>
  </si>
  <si>
    <t>Longitude.E</t>
  </si>
  <si>
    <t>DryMatter.per</t>
  </si>
  <si>
    <t>CEC.cmol_kg</t>
  </si>
  <si>
    <t>Al.mg_kg</t>
  </si>
  <si>
    <t>Fe.mg_kg</t>
  </si>
  <si>
    <t>P.mg_kg</t>
  </si>
  <si>
    <t>Olsen-P.mg_kg</t>
  </si>
  <si>
    <t>LOI_550.per</t>
  </si>
  <si>
    <t>LOI_900.per</t>
  </si>
  <si>
    <t>Year.of.last.fire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</si>
</sst>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9"/>
      </patternFill>
    </fill>
  </fills>
  <borders count="1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9.9948118533890809E-2"/>
      </right>
      <top/>
      <bottom style="thin">
        <color theme="2" tint="-9.9917600024414813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" fontId="7" fillId="5" borderId="0" applyFont="0" applyFill="0" applyBorder="0" applyAlignment="0" applyProtection="0"/>
  </cellStyleXfs>
  <cellXfs count="63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Font="1" applyAlignment="1"/>
    <xf numFmtId="0" fontId="0" fillId="3" borderId="0" xfId="0" applyFill="1"/>
    <xf numFmtId="0" fontId="0" fillId="0" borderId="0" xfId="0" applyNumberFormat="1" applyFill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 applyAlignment="1"/>
    <xf numFmtId="0" fontId="1" fillId="4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1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12" xfId="0" applyFont="1" applyBorder="1"/>
    <xf numFmtId="0" fontId="9" fillId="0" borderId="13" xfId="0" applyFont="1" applyBorder="1"/>
    <xf numFmtId="0" fontId="8" fillId="4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Font="1" applyBorder="1" applyAlignment="1"/>
    <xf numFmtId="22" fontId="0" fillId="0" borderId="1" xfId="0" applyNumberFormat="1" applyFont="1" applyBorder="1"/>
    <xf numFmtId="2" fontId="9" fillId="0" borderId="1" xfId="0" applyNumberFormat="1" applyFont="1" applyBorder="1"/>
    <xf numFmtId="2" fontId="0" fillId="5" borderId="1" xfId="0" applyNumberForma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7" fillId="5" borderId="1" xfId="1" applyNumberFormat="1" applyBorder="1" applyAlignment="1">
      <alignment horizontal="center"/>
    </xf>
    <xf numFmtId="0" fontId="0" fillId="0" borderId="1" xfId="0" applyNumberFormat="1" applyBorder="1"/>
    <xf numFmtId="0" fontId="9" fillId="0" borderId="1" xfId="0" applyFont="1" applyBorder="1"/>
    <xf numFmtId="0" fontId="0" fillId="0" borderId="1" xfId="0" applyFont="1" applyFill="1" applyBorder="1" applyAlignment="1"/>
    <xf numFmtId="0" fontId="0" fillId="2" borderId="1" xfId="0" applyFont="1" applyFill="1" applyBorder="1" applyAlignment="1"/>
    <xf numFmtId="2" fontId="0" fillId="0" borderId="1" xfId="0" applyNumberFormat="1" applyFont="1" applyBorder="1"/>
    <xf numFmtId="2" fontId="0" fillId="0" borderId="1" xfId="0" applyNumberFormat="1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22" fontId="0" fillId="3" borderId="1" xfId="0" applyNumberFormat="1" applyFont="1" applyFill="1" applyBorder="1"/>
    <xf numFmtId="0" fontId="9" fillId="0" borderId="1" xfId="0" applyFont="1" applyFill="1" applyBorder="1"/>
    <xf numFmtId="0" fontId="0" fillId="0" borderId="1" xfId="0" applyNumberFormat="1" applyFill="1" applyBorder="1"/>
    <xf numFmtId="0" fontId="9" fillId="3" borderId="1" xfId="0" applyFont="1" applyFill="1" applyBorder="1"/>
    <xf numFmtId="0" fontId="0" fillId="3" borderId="1" xfId="0" applyNumberFormat="1" applyFill="1" applyBorder="1"/>
    <xf numFmtId="0" fontId="9" fillId="0" borderId="1" xfId="0" applyFont="1" applyFill="1" applyBorder="1" applyAlignment="1"/>
    <xf numFmtId="0" fontId="0" fillId="0" borderId="1" xfId="0" applyFont="1" applyBorder="1"/>
    <xf numFmtId="0" fontId="8" fillId="4" borderId="4" xfId="0" applyNumberFormat="1" applyFont="1" applyFill="1" applyBorder="1" applyAlignment="1">
      <alignment horizontal="center" vertical="center" wrapText="1"/>
    </xf>
    <xf numFmtId="2" fontId="10" fillId="5" borderId="5" xfId="1" applyNumberFormat="1" applyFont="1" applyBorder="1" applyAlignment="1">
      <alignment horizontal="center"/>
    </xf>
    <xf numFmtId="2" fontId="10" fillId="5" borderId="3" xfId="1" applyNumberFormat="1" applyFont="1" applyBorder="1" applyAlignment="1">
      <alignment horizontal="center"/>
    </xf>
    <xf numFmtId="0" fontId="9" fillId="0" borderId="0" xfId="0" applyNumberFormat="1" applyFont="1"/>
    <xf numFmtId="0" fontId="9" fillId="0" borderId="0" xfId="0" applyNumberFormat="1" applyFont="1" applyBorder="1"/>
    <xf numFmtId="0" fontId="9" fillId="0" borderId="0" xfId="0" applyNumberFormat="1" applyFont="1" applyFill="1"/>
    <xf numFmtId="22" fontId="4" fillId="4" borderId="4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/>
    </xf>
    <xf numFmtId="167" fontId="0" fillId="0" borderId="0" xfId="0" applyNumberFormat="1"/>
  </cellXfs>
  <cellStyles count="2">
    <cellStyle name="Komma" xfId="1" xr:uid="{B7ED0522-1082-5C4C-AA14-59379DAAB1E6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4"/>
  <sheetViews>
    <sheetView tabSelected="1" workbookViewId="0">
      <selection activeCell="Y134" sqref="Y134"/>
    </sheetView>
  </sheetViews>
  <sheetFormatPr baseColWidth="10" defaultRowHeight="16" x14ac:dyDescent="0.2"/>
  <cols>
    <col min="2" max="2" width="12.1640625" customWidth="1"/>
    <col min="3" max="3" width="9.5" customWidth="1"/>
    <col min="4" max="4" width="8.83203125" customWidth="1"/>
    <col min="5" max="6" width="10.1640625" customWidth="1"/>
    <col min="7" max="7" width="13.5" customWidth="1"/>
    <col min="8" max="8" width="10.83203125" style="2" customWidth="1"/>
    <col min="9" max="9" width="10.83203125" style="1" customWidth="1"/>
    <col min="10" max="10" width="12.6640625" style="1" customWidth="1"/>
    <col min="11" max="11" width="6.33203125" style="3" customWidth="1"/>
    <col min="12" max="12" width="15.5" style="3" customWidth="1"/>
    <col min="13" max="13" width="10.6640625" style="3" customWidth="1"/>
    <col min="14" max="14" width="12.33203125" style="3" customWidth="1"/>
    <col min="15" max="15" width="8" style="3" customWidth="1"/>
    <col min="16" max="16" width="13.5" style="3" bestFit="1" customWidth="1"/>
    <col min="17" max="17" width="15.6640625" bestFit="1" customWidth="1"/>
    <col min="18" max="18" width="14.33203125" bestFit="1" customWidth="1"/>
    <col min="19" max="19" width="17.33203125" customWidth="1"/>
    <col min="20" max="20" width="16.1640625" style="21" customWidth="1"/>
    <col min="21" max="21" width="14" style="21" customWidth="1"/>
    <col min="22" max="22" width="13.1640625" style="11" customWidth="1"/>
    <col min="23" max="23" width="13" style="23" customWidth="1"/>
    <col min="24" max="24" width="12" style="12" customWidth="1"/>
    <col min="25" max="25" width="11" style="13" customWidth="1"/>
    <col min="26" max="26" width="9.33203125" style="23" customWidth="1"/>
    <col min="27" max="27" width="11.33203125" style="23" customWidth="1"/>
    <col min="28" max="28" width="8.1640625" style="12" customWidth="1"/>
    <col min="29" max="29" width="8.33203125" style="6" customWidth="1"/>
    <col min="30" max="30" width="8.6640625" style="7" customWidth="1"/>
    <col min="31" max="31" width="9.33203125" style="1" customWidth="1"/>
    <col min="32" max="32" width="9" style="55" customWidth="1"/>
    <col min="33" max="33" width="9.33203125" style="1" customWidth="1"/>
    <col min="34" max="34" width="6.1640625" bestFit="1" customWidth="1"/>
    <col min="35" max="35" width="12.33203125" customWidth="1"/>
    <col min="36" max="38" width="13.5" customWidth="1"/>
    <col min="39" max="39" width="12" customWidth="1"/>
  </cols>
  <sheetData>
    <row r="1" spans="1:40" s="10" customFormat="1" ht="47.25" customHeight="1" x14ac:dyDescent="0.2">
      <c r="A1" s="10" t="s">
        <v>243</v>
      </c>
      <c r="B1" s="10" t="s">
        <v>19</v>
      </c>
      <c r="C1" s="10" t="s">
        <v>16</v>
      </c>
      <c r="D1" s="10" t="s">
        <v>17</v>
      </c>
      <c r="E1" s="10" t="s">
        <v>18</v>
      </c>
      <c r="F1" s="59" t="s">
        <v>247</v>
      </c>
      <c r="G1" s="61" t="s">
        <v>271</v>
      </c>
      <c r="H1" s="60" t="s">
        <v>238</v>
      </c>
      <c r="I1" s="14" t="s">
        <v>227</v>
      </c>
      <c r="J1" s="14" t="s">
        <v>246</v>
      </c>
      <c r="K1" s="15" t="s">
        <v>0</v>
      </c>
      <c r="L1" s="58" t="s">
        <v>226</v>
      </c>
      <c r="M1" s="15" t="s">
        <v>261</v>
      </c>
      <c r="N1" s="15" t="s">
        <v>262</v>
      </c>
      <c r="O1" s="15" t="s">
        <v>225</v>
      </c>
      <c r="P1" s="15" t="s">
        <v>235</v>
      </c>
      <c r="Q1" s="10" t="s">
        <v>236</v>
      </c>
      <c r="R1" s="10" t="s">
        <v>237</v>
      </c>
      <c r="S1" s="10" t="s">
        <v>244</v>
      </c>
      <c r="T1" s="20" t="s">
        <v>250</v>
      </c>
      <c r="U1" s="20" t="s">
        <v>251</v>
      </c>
      <c r="V1" s="10" t="s">
        <v>263</v>
      </c>
      <c r="W1" s="20" t="s">
        <v>252</v>
      </c>
      <c r="X1" s="10" t="s">
        <v>269</v>
      </c>
      <c r="Y1" s="10" t="s">
        <v>270</v>
      </c>
      <c r="Z1" s="24" t="s">
        <v>253</v>
      </c>
      <c r="AA1" s="24" t="s">
        <v>254</v>
      </c>
      <c r="AB1" s="10" t="s">
        <v>257</v>
      </c>
      <c r="AC1" s="10" t="s">
        <v>258</v>
      </c>
      <c r="AD1" s="10" t="s">
        <v>259</v>
      </c>
      <c r="AE1" s="16" t="s">
        <v>256</v>
      </c>
      <c r="AF1" s="52" t="s">
        <v>260</v>
      </c>
      <c r="AG1" s="16" t="s">
        <v>255</v>
      </c>
      <c r="AH1" s="17" t="s">
        <v>242</v>
      </c>
      <c r="AI1" s="17" t="s">
        <v>264</v>
      </c>
      <c r="AJ1" s="18" t="s">
        <v>265</v>
      </c>
      <c r="AK1" s="18" t="s">
        <v>266</v>
      </c>
      <c r="AL1" s="18" t="s">
        <v>267</v>
      </c>
      <c r="AM1" s="18" t="s">
        <v>268</v>
      </c>
    </row>
    <row r="2" spans="1:40" x14ac:dyDescent="0.2">
      <c r="A2" s="7">
        <v>1</v>
      </c>
      <c r="B2" s="7" t="s">
        <v>228</v>
      </c>
      <c r="C2" s="7" t="s">
        <v>1</v>
      </c>
      <c r="D2" s="7" t="s">
        <v>2</v>
      </c>
      <c r="E2" s="7" t="s">
        <v>3</v>
      </c>
      <c r="F2" s="7" t="s">
        <v>248</v>
      </c>
      <c r="G2">
        <v>2010</v>
      </c>
      <c r="H2" s="29" t="s">
        <v>239</v>
      </c>
      <c r="I2" s="30">
        <v>5</v>
      </c>
      <c r="J2" s="30">
        <f>(6*5*2.83)+(3*5*3.14)</f>
        <v>132</v>
      </c>
      <c r="K2" s="31">
        <v>2</v>
      </c>
      <c r="L2" s="32">
        <v>43079.635428240741</v>
      </c>
      <c r="M2" s="31" t="s">
        <v>20</v>
      </c>
      <c r="N2" s="31" t="s">
        <v>124</v>
      </c>
      <c r="O2" s="31">
        <v>1666</v>
      </c>
      <c r="P2" s="31">
        <v>203</v>
      </c>
      <c r="Q2" s="30">
        <v>100</v>
      </c>
      <c r="R2" s="7">
        <v>94.46</v>
      </c>
      <c r="S2" s="7">
        <v>94.46</v>
      </c>
      <c r="T2" s="33">
        <f>+(S2/Q2)*P2</f>
        <v>191.75379999999998</v>
      </c>
      <c r="U2" s="33">
        <f>+T2/J2</f>
        <v>1.4526803030303028</v>
      </c>
      <c r="V2" s="34">
        <v>97.96</v>
      </c>
      <c r="W2" s="35">
        <f>+T2*(V2/100)/J2</f>
        <v>1.4230456248484846</v>
      </c>
      <c r="X2" s="34">
        <v>4.0199999999999996</v>
      </c>
      <c r="Y2" s="34">
        <v>5.1189999999999998</v>
      </c>
      <c r="Z2" s="35">
        <f>1-(X2/Y2)</f>
        <v>0.21469036921273688</v>
      </c>
      <c r="AA2" s="35">
        <f>+X2/Y2</f>
        <v>0.78530963078726312</v>
      </c>
      <c r="AB2" s="19">
        <v>21</v>
      </c>
      <c r="AC2" s="19">
        <v>14</v>
      </c>
      <c r="AD2" s="19">
        <v>65</v>
      </c>
      <c r="AE2" s="36">
        <v>1.82</v>
      </c>
      <c r="AF2" s="53">
        <f>+AE2*AA2</f>
        <v>1.429263528032819</v>
      </c>
      <c r="AG2" s="36">
        <v>0.1913</v>
      </c>
      <c r="AH2" s="37">
        <v>7.15</v>
      </c>
      <c r="AI2" s="7">
        <v>30.66</v>
      </c>
      <c r="AJ2" s="19">
        <v>1.1000000000000001</v>
      </c>
      <c r="AK2" s="19">
        <v>0.96</v>
      </c>
      <c r="AL2" s="19">
        <v>0.15</v>
      </c>
      <c r="AM2" s="19" t="s">
        <v>245</v>
      </c>
      <c r="AN2" s="62"/>
    </row>
    <row r="3" spans="1:40" x14ac:dyDescent="0.2">
      <c r="A3" s="7">
        <v>2</v>
      </c>
      <c r="B3" s="7" t="s">
        <v>228</v>
      </c>
      <c r="C3" s="7" t="s">
        <v>1</v>
      </c>
      <c r="D3" s="7" t="s">
        <v>2</v>
      </c>
      <c r="E3" s="7" t="s">
        <v>3</v>
      </c>
      <c r="F3" s="7" t="s">
        <v>248</v>
      </c>
      <c r="G3">
        <v>2010</v>
      </c>
      <c r="H3" s="29" t="s">
        <v>240</v>
      </c>
      <c r="I3" s="30">
        <f>(20+16.5+20)/3</f>
        <v>18.833333333333332</v>
      </c>
      <c r="J3" s="30">
        <f>(3*(I3-5)*3.14)</f>
        <v>130.31</v>
      </c>
      <c r="K3" s="31">
        <v>2</v>
      </c>
      <c r="L3" s="32">
        <v>43079.635428240741</v>
      </c>
      <c r="M3" s="31" t="s">
        <v>20</v>
      </c>
      <c r="N3" s="31" t="s">
        <v>124</v>
      </c>
      <c r="O3" s="31">
        <v>1666</v>
      </c>
      <c r="P3" s="31">
        <v>186.5</v>
      </c>
      <c r="Q3" s="30">
        <v>101.1</v>
      </c>
      <c r="R3" s="7">
        <v>93.91</v>
      </c>
      <c r="S3" s="7">
        <v>82.6</v>
      </c>
      <c r="T3" s="33">
        <f>+(S3/Q3)*P3</f>
        <v>152.3728981206726</v>
      </c>
      <c r="U3" s="33">
        <f t="shared" ref="U3:U66" si="0">+T3/J3</f>
        <v>1.1693108596475528</v>
      </c>
      <c r="V3" s="34">
        <v>97.15</v>
      </c>
      <c r="W3" s="35">
        <f>+T3*(V3/100)/J3</f>
        <v>1.1359855001475976</v>
      </c>
      <c r="X3" s="34">
        <v>4.13</v>
      </c>
      <c r="Y3" s="34">
        <v>5.5170000000000003</v>
      </c>
      <c r="Z3" s="35">
        <f>1-(X3/Y3)</f>
        <v>0.25140474895776699</v>
      </c>
      <c r="AA3" s="35">
        <f>+X3/Y3</f>
        <v>0.74859525104223301</v>
      </c>
      <c r="AB3" s="19">
        <v>28</v>
      </c>
      <c r="AC3" s="19">
        <v>14</v>
      </c>
      <c r="AD3" s="19">
        <v>59</v>
      </c>
      <c r="AE3" s="36">
        <v>1.47</v>
      </c>
      <c r="AF3" s="53">
        <f>+AE3*AA3</f>
        <v>1.1004350190320824</v>
      </c>
      <c r="AG3" s="36">
        <v>0.14369999999999999</v>
      </c>
      <c r="AH3" s="37">
        <v>7.16</v>
      </c>
      <c r="AI3" s="7">
        <v>37.479999999999997</v>
      </c>
      <c r="AJ3" s="19">
        <v>1.2</v>
      </c>
      <c r="AK3" s="19">
        <v>0.91</v>
      </c>
      <c r="AL3" s="19">
        <v>0.12</v>
      </c>
      <c r="AM3" s="19">
        <v>0</v>
      </c>
      <c r="AN3" s="62"/>
    </row>
    <row r="4" spans="1:40" x14ac:dyDescent="0.2">
      <c r="A4" s="7">
        <v>3</v>
      </c>
      <c r="B4" s="7" t="s">
        <v>228</v>
      </c>
      <c r="C4" s="7" t="s">
        <v>1</v>
      </c>
      <c r="D4" s="7" t="s">
        <v>2</v>
      </c>
      <c r="E4" s="7" t="s">
        <v>4</v>
      </c>
      <c r="F4" s="7" t="s">
        <v>248</v>
      </c>
      <c r="G4">
        <v>2010</v>
      </c>
      <c r="H4" s="29" t="s">
        <v>239</v>
      </c>
      <c r="I4" s="30">
        <v>5</v>
      </c>
      <c r="J4" s="30">
        <f>(6*5*2.83)+(3*5*3.14)</f>
        <v>132</v>
      </c>
      <c r="K4" s="31">
        <v>3</v>
      </c>
      <c r="L4" s="32">
        <v>43079.655497685184</v>
      </c>
      <c r="M4" s="31" t="s">
        <v>21</v>
      </c>
      <c r="N4" s="31" t="s">
        <v>125</v>
      </c>
      <c r="O4" s="31">
        <v>1667</v>
      </c>
      <c r="P4" s="31">
        <v>233</v>
      </c>
      <c r="Q4" s="30">
        <v>51.53</v>
      </c>
      <c r="R4" s="7">
        <v>48.68</v>
      </c>
      <c r="S4" s="7">
        <v>43.1</v>
      </c>
      <c r="T4" s="33">
        <f>+(S4/Q4)*P4</f>
        <v>194.8825926644673</v>
      </c>
      <c r="U4" s="33">
        <f t="shared" si="0"/>
        <v>1.4763832777611159</v>
      </c>
      <c r="V4" s="7"/>
      <c r="W4" s="38"/>
      <c r="X4" s="7"/>
      <c r="Y4" s="7"/>
      <c r="Z4" s="38"/>
      <c r="AA4" s="38"/>
      <c r="AB4" s="7"/>
      <c r="AC4" s="7"/>
      <c r="AE4" s="36">
        <v>1.34</v>
      </c>
      <c r="AF4" s="54"/>
      <c r="AG4" s="36">
        <v>8.9700000000000002E-2</v>
      </c>
      <c r="AH4" s="37">
        <v>6.82</v>
      </c>
      <c r="AI4" s="7"/>
      <c r="AJ4" s="7"/>
      <c r="AK4" s="7"/>
      <c r="AL4" s="7"/>
      <c r="AM4" s="7"/>
      <c r="AN4" s="62"/>
    </row>
    <row r="5" spans="1:40" x14ac:dyDescent="0.2">
      <c r="A5" s="7">
        <v>4</v>
      </c>
      <c r="B5" s="7" t="s">
        <v>228</v>
      </c>
      <c r="C5" s="7" t="s">
        <v>1</v>
      </c>
      <c r="D5" s="7" t="s">
        <v>2</v>
      </c>
      <c r="E5" s="7" t="s">
        <v>4</v>
      </c>
      <c r="F5" s="7" t="s">
        <v>248</v>
      </c>
      <c r="G5">
        <v>2010</v>
      </c>
      <c r="H5" s="29" t="s">
        <v>240</v>
      </c>
      <c r="I5" s="30">
        <f>(20+20+16.5)/3</f>
        <v>18.833333333333332</v>
      </c>
      <c r="J5" s="30">
        <f>(3*(I5-5)*3.14)</f>
        <v>130.31</v>
      </c>
      <c r="K5" s="31">
        <v>3</v>
      </c>
      <c r="L5" s="32">
        <v>43079.655497685184</v>
      </c>
      <c r="M5" s="31" t="s">
        <v>21</v>
      </c>
      <c r="N5" s="31" t="s">
        <v>125</v>
      </c>
      <c r="O5" s="31">
        <v>1667</v>
      </c>
      <c r="P5" s="39">
        <v>214</v>
      </c>
      <c r="Q5" s="30">
        <v>50.47</v>
      </c>
      <c r="R5" s="31">
        <v>45.51</v>
      </c>
      <c r="S5" s="31">
        <v>37.6</v>
      </c>
      <c r="T5" s="33">
        <f t="shared" ref="T5:T68" si="1">+(S5/Q5)*P5</f>
        <v>159.42936397860117</v>
      </c>
      <c r="U5" s="33">
        <f t="shared" si="0"/>
        <v>1.2234622360417555</v>
      </c>
      <c r="V5" s="7"/>
      <c r="W5" s="38"/>
      <c r="X5" s="7"/>
      <c r="Y5" s="7"/>
      <c r="Z5" s="38"/>
      <c r="AA5" s="38"/>
      <c r="AB5" s="7"/>
      <c r="AC5" s="7"/>
      <c r="AE5" s="36">
        <v>0.96799999999999997</v>
      </c>
      <c r="AF5" s="54"/>
      <c r="AG5" s="36">
        <v>6.5799999999999997E-2</v>
      </c>
      <c r="AH5" s="37">
        <v>8.3699999999999992</v>
      </c>
      <c r="AI5" s="7"/>
      <c r="AJ5" s="7"/>
      <c r="AK5" s="7"/>
      <c r="AL5" s="7"/>
      <c r="AM5" s="7"/>
      <c r="AN5" s="62"/>
    </row>
    <row r="6" spans="1:40" x14ac:dyDescent="0.2">
      <c r="A6" s="7">
        <v>5</v>
      </c>
      <c r="B6" s="7" t="s">
        <v>228</v>
      </c>
      <c r="C6" s="7" t="s">
        <v>1</v>
      </c>
      <c r="D6" s="7" t="s">
        <v>2</v>
      </c>
      <c r="E6" s="7" t="s">
        <v>5</v>
      </c>
      <c r="F6" s="7" t="s">
        <v>248</v>
      </c>
      <c r="G6">
        <v>2010</v>
      </c>
      <c r="H6" s="29" t="s">
        <v>239</v>
      </c>
      <c r="I6" s="30">
        <v>5</v>
      </c>
      <c r="J6" s="30">
        <f>(6*5*2.83)+(3*5*3.14)</f>
        <v>132</v>
      </c>
      <c r="K6" s="31">
        <v>4</v>
      </c>
      <c r="L6" s="32">
        <v>43079.672615740739</v>
      </c>
      <c r="M6" s="31" t="s">
        <v>22</v>
      </c>
      <c r="N6" s="31" t="s">
        <v>126</v>
      </c>
      <c r="O6" s="31">
        <v>1668</v>
      </c>
      <c r="P6" s="39">
        <v>227.5</v>
      </c>
      <c r="Q6" s="30">
        <v>51.9</v>
      </c>
      <c r="R6" s="39">
        <v>48.58</v>
      </c>
      <c r="S6" s="39">
        <v>41.8</v>
      </c>
      <c r="T6" s="33">
        <f t="shared" si="1"/>
        <v>183.22736030828517</v>
      </c>
      <c r="U6" s="33">
        <f t="shared" si="0"/>
        <v>1.3880860629415543</v>
      </c>
      <c r="V6" s="7"/>
      <c r="W6" s="38"/>
      <c r="X6" s="7"/>
      <c r="Y6" s="7"/>
      <c r="Z6" s="38"/>
      <c r="AA6" s="38"/>
      <c r="AB6" s="7"/>
      <c r="AC6" s="7"/>
      <c r="AE6" s="36">
        <v>1.26</v>
      </c>
      <c r="AF6" s="54"/>
      <c r="AG6" s="36">
        <v>0.1216</v>
      </c>
      <c r="AH6" s="37">
        <v>6.48</v>
      </c>
      <c r="AI6" s="7"/>
      <c r="AJ6" s="7"/>
      <c r="AK6" s="7"/>
      <c r="AL6" s="7"/>
      <c r="AM6" s="7"/>
      <c r="AN6" s="62"/>
    </row>
    <row r="7" spans="1:40" x14ac:dyDescent="0.2">
      <c r="A7" s="7">
        <v>6</v>
      </c>
      <c r="B7" s="7" t="s">
        <v>228</v>
      </c>
      <c r="C7" s="7" t="s">
        <v>1</v>
      </c>
      <c r="D7" s="7" t="s">
        <v>2</v>
      </c>
      <c r="E7" s="7" t="s">
        <v>5</v>
      </c>
      <c r="F7" s="7" t="s">
        <v>248</v>
      </c>
      <c r="G7">
        <v>2010</v>
      </c>
      <c r="H7" s="29" t="s">
        <v>240</v>
      </c>
      <c r="I7" s="30">
        <f>(20+20+19)/3</f>
        <v>19.666666666666668</v>
      </c>
      <c r="J7" s="30">
        <f>(3*(I7-5)*3.14)</f>
        <v>138.16</v>
      </c>
      <c r="K7" s="31">
        <v>4</v>
      </c>
      <c r="L7" s="32">
        <v>43079.672615740739</v>
      </c>
      <c r="M7" s="31" t="s">
        <v>22</v>
      </c>
      <c r="N7" s="31" t="s">
        <v>126</v>
      </c>
      <c r="O7" s="31">
        <v>1668</v>
      </c>
      <c r="P7" s="39">
        <v>193</v>
      </c>
      <c r="Q7" s="30">
        <v>53.04</v>
      </c>
      <c r="R7" s="39">
        <v>50.6</v>
      </c>
      <c r="S7" s="39">
        <v>41.6</v>
      </c>
      <c r="T7" s="33">
        <f t="shared" si="1"/>
        <v>151.37254901960785</v>
      </c>
      <c r="U7" s="33">
        <f t="shared" si="0"/>
        <v>1.0956322308888813</v>
      </c>
      <c r="V7" s="7"/>
      <c r="W7" s="38"/>
      <c r="X7" s="7"/>
      <c r="Y7" s="7"/>
      <c r="Z7" s="38"/>
      <c r="AA7" s="38"/>
      <c r="AB7" s="7"/>
      <c r="AC7" s="7"/>
      <c r="AE7" s="36">
        <v>0.98899999999999999</v>
      </c>
      <c r="AF7" s="54"/>
      <c r="AG7" s="36">
        <v>9.11E-2</v>
      </c>
      <c r="AH7" s="37">
        <v>6.75</v>
      </c>
      <c r="AI7" s="7"/>
      <c r="AJ7" s="7"/>
      <c r="AK7" s="7"/>
      <c r="AL7" s="7"/>
      <c r="AM7" s="7"/>
      <c r="AN7" s="62"/>
    </row>
    <row r="8" spans="1:40" x14ac:dyDescent="0.2">
      <c r="A8" s="7">
        <v>7</v>
      </c>
      <c r="B8" s="7" t="s">
        <v>228</v>
      </c>
      <c r="C8" s="7" t="s">
        <v>1</v>
      </c>
      <c r="D8" s="7" t="s">
        <v>2</v>
      </c>
      <c r="E8" s="7" t="s">
        <v>6</v>
      </c>
      <c r="F8" s="7" t="s">
        <v>248</v>
      </c>
      <c r="G8">
        <v>2010</v>
      </c>
      <c r="H8" s="29" t="s">
        <v>239</v>
      </c>
      <c r="I8" s="30">
        <v>5</v>
      </c>
      <c r="J8" s="30">
        <f>(6*5*2.83)+(3*5*3.14)</f>
        <v>132</v>
      </c>
      <c r="K8" s="31">
        <v>5</v>
      </c>
      <c r="L8" s="32">
        <v>43079.68818287037</v>
      </c>
      <c r="M8" s="31" t="s">
        <v>21</v>
      </c>
      <c r="N8" s="31" t="s">
        <v>127</v>
      </c>
      <c r="O8" s="31">
        <v>1664</v>
      </c>
      <c r="P8" s="39">
        <v>213</v>
      </c>
      <c r="Q8" s="30">
        <v>47.91</v>
      </c>
      <c r="R8" s="39">
        <v>45.25</v>
      </c>
      <c r="S8" s="39">
        <v>42.2</v>
      </c>
      <c r="T8" s="33">
        <f t="shared" si="1"/>
        <v>187.61427676894181</v>
      </c>
      <c r="U8" s="33">
        <f t="shared" si="0"/>
        <v>1.4213202785525894</v>
      </c>
      <c r="V8" s="7"/>
      <c r="W8" s="38"/>
      <c r="X8" s="7"/>
      <c r="Y8" s="7"/>
      <c r="Z8" s="38"/>
      <c r="AA8" s="38"/>
      <c r="AB8" s="7"/>
      <c r="AC8" s="7"/>
      <c r="AE8" s="36">
        <v>2.04</v>
      </c>
      <c r="AF8" s="54"/>
      <c r="AG8" s="36">
        <v>0.2208</v>
      </c>
      <c r="AH8" s="37">
        <v>6.82</v>
      </c>
      <c r="AI8" s="7"/>
      <c r="AJ8" s="7"/>
      <c r="AK8" s="7"/>
      <c r="AL8" s="7"/>
      <c r="AM8" s="7"/>
      <c r="AN8" s="62"/>
    </row>
    <row r="9" spans="1:40" x14ac:dyDescent="0.2">
      <c r="A9" s="7">
        <v>8</v>
      </c>
      <c r="B9" s="7" t="s">
        <v>228</v>
      </c>
      <c r="C9" s="7" t="s">
        <v>1</v>
      </c>
      <c r="D9" s="7" t="s">
        <v>2</v>
      </c>
      <c r="E9" s="7" t="s">
        <v>6</v>
      </c>
      <c r="F9" s="7" t="s">
        <v>248</v>
      </c>
      <c r="G9">
        <v>2010</v>
      </c>
      <c r="H9" s="29" t="s">
        <v>240</v>
      </c>
      <c r="I9" s="30">
        <f>(18.5+18+17.5)/3</f>
        <v>18</v>
      </c>
      <c r="J9" s="30">
        <f>(3*(I9-5)*3.14)</f>
        <v>122.46000000000001</v>
      </c>
      <c r="K9" s="31">
        <v>5</v>
      </c>
      <c r="L9" s="32">
        <v>43079.68818287037</v>
      </c>
      <c r="M9" s="31" t="s">
        <v>21</v>
      </c>
      <c r="N9" s="31" t="s">
        <v>127</v>
      </c>
      <c r="O9" s="31">
        <v>1664</v>
      </c>
      <c r="P9" s="39">
        <v>197</v>
      </c>
      <c r="Q9" s="30">
        <v>46.85</v>
      </c>
      <c r="R9" s="39">
        <v>42.1</v>
      </c>
      <c r="S9" s="39">
        <v>38.4</v>
      </c>
      <c r="T9" s="33">
        <f t="shared" si="1"/>
        <v>161.46851654215581</v>
      </c>
      <c r="U9" s="33">
        <f t="shared" si="0"/>
        <v>1.3185408830814618</v>
      </c>
      <c r="V9" s="7"/>
      <c r="W9" s="38"/>
      <c r="X9" s="7"/>
      <c r="Y9" s="7"/>
      <c r="Z9" s="38"/>
      <c r="AA9" s="38"/>
      <c r="AB9" s="7"/>
      <c r="AC9" s="7"/>
      <c r="AE9" s="36">
        <v>1.3</v>
      </c>
      <c r="AF9" s="54"/>
      <c r="AG9" s="36">
        <v>0.1113</v>
      </c>
      <c r="AH9" s="37">
        <v>6.78</v>
      </c>
      <c r="AI9" s="7"/>
      <c r="AJ9" s="7"/>
      <c r="AK9" s="7"/>
      <c r="AL9" s="7"/>
      <c r="AM9" s="7"/>
    </row>
    <row r="10" spans="1:40" x14ac:dyDescent="0.2">
      <c r="A10" s="7">
        <v>9</v>
      </c>
      <c r="B10" s="7" t="s">
        <v>228</v>
      </c>
      <c r="C10" s="7" t="s">
        <v>1</v>
      </c>
      <c r="D10" s="7" t="s">
        <v>7</v>
      </c>
      <c r="E10" s="7" t="s">
        <v>3</v>
      </c>
      <c r="F10" s="7" t="s">
        <v>248</v>
      </c>
      <c r="G10">
        <v>2010</v>
      </c>
      <c r="H10" s="29" t="s">
        <v>239</v>
      </c>
      <c r="I10" s="30">
        <v>5</v>
      </c>
      <c r="J10" s="30">
        <f>(6*5*2.83)+(3*5*3.14)</f>
        <v>132</v>
      </c>
      <c r="K10" s="31">
        <v>6</v>
      </c>
      <c r="L10" s="32">
        <v>43079.703622685185</v>
      </c>
      <c r="M10" s="31" t="s">
        <v>23</v>
      </c>
      <c r="N10" s="31" t="s">
        <v>128</v>
      </c>
      <c r="O10" s="31">
        <v>1663</v>
      </c>
      <c r="P10" s="39">
        <v>209</v>
      </c>
      <c r="Q10" s="30">
        <v>100.13</v>
      </c>
      <c r="R10" s="39">
        <v>94.65</v>
      </c>
      <c r="S10" s="39">
        <v>84.2</v>
      </c>
      <c r="T10" s="33">
        <f t="shared" si="1"/>
        <v>175.74952561669832</v>
      </c>
      <c r="U10" s="33">
        <f t="shared" si="0"/>
        <v>1.3314358001265025</v>
      </c>
      <c r="V10" s="7"/>
      <c r="W10" s="38"/>
      <c r="X10" s="7"/>
      <c r="Y10" s="7"/>
      <c r="Z10" s="38"/>
      <c r="AA10" s="38"/>
      <c r="AB10" s="7"/>
      <c r="AC10" s="7"/>
      <c r="AE10" s="36">
        <v>1.41</v>
      </c>
      <c r="AF10" s="54"/>
      <c r="AG10" s="36">
        <v>8.6400000000000005E-2</v>
      </c>
      <c r="AH10" s="37">
        <v>6.87</v>
      </c>
      <c r="AI10" s="37"/>
      <c r="AJ10" s="7"/>
      <c r="AK10" s="7"/>
      <c r="AL10" s="7"/>
      <c r="AM10" s="37"/>
    </row>
    <row r="11" spans="1:40" x14ac:dyDescent="0.2">
      <c r="A11" s="7">
        <v>10</v>
      </c>
      <c r="B11" s="7" t="s">
        <v>228</v>
      </c>
      <c r="C11" s="7" t="s">
        <v>1</v>
      </c>
      <c r="D11" s="7" t="s">
        <v>7</v>
      </c>
      <c r="E11" s="7" t="s">
        <v>3</v>
      </c>
      <c r="F11" s="7" t="s">
        <v>248</v>
      </c>
      <c r="G11">
        <v>2010</v>
      </c>
      <c r="H11" s="29" t="s">
        <v>240</v>
      </c>
      <c r="I11" s="30">
        <f>(20+18+20)/3</f>
        <v>19.333333333333332</v>
      </c>
      <c r="J11" s="30">
        <f>(3*(I11-5)*3.14)</f>
        <v>135.02000000000001</v>
      </c>
      <c r="K11" s="31">
        <v>6</v>
      </c>
      <c r="L11" s="32">
        <v>43079.703622685185</v>
      </c>
      <c r="M11" s="31" t="s">
        <v>23</v>
      </c>
      <c r="N11" s="31" t="s">
        <v>128</v>
      </c>
      <c r="O11" s="31">
        <v>1663</v>
      </c>
      <c r="P11" s="39">
        <v>206</v>
      </c>
      <c r="Q11" s="30">
        <v>97.55</v>
      </c>
      <c r="R11" s="39">
        <v>92.37</v>
      </c>
      <c r="S11" s="39">
        <v>79</v>
      </c>
      <c r="T11" s="33">
        <f t="shared" si="1"/>
        <v>166.8272680676576</v>
      </c>
      <c r="U11" s="33">
        <f t="shared" si="0"/>
        <v>1.2355744931688459</v>
      </c>
      <c r="V11" s="7"/>
      <c r="W11" s="38"/>
      <c r="X11" s="7"/>
      <c r="Y11" s="7"/>
      <c r="Z11" s="38"/>
      <c r="AA11" s="38"/>
      <c r="AB11" s="7"/>
      <c r="AC11" s="7"/>
      <c r="AE11" s="36">
        <v>1.0900000000000001</v>
      </c>
      <c r="AF11" s="54"/>
      <c r="AG11" s="36">
        <v>8.1600000000000006E-2</v>
      </c>
      <c r="AH11" s="37">
        <v>6.42</v>
      </c>
      <c r="AI11" s="37"/>
      <c r="AJ11" s="7"/>
      <c r="AK11" s="7"/>
      <c r="AL11" s="7"/>
      <c r="AM11" s="37"/>
    </row>
    <row r="12" spans="1:40" x14ac:dyDescent="0.2">
      <c r="A12" s="7">
        <v>11</v>
      </c>
      <c r="B12" s="7" t="s">
        <v>228</v>
      </c>
      <c r="C12" s="7" t="s">
        <v>1</v>
      </c>
      <c r="D12" s="7" t="s">
        <v>7</v>
      </c>
      <c r="E12" s="7" t="s">
        <v>4</v>
      </c>
      <c r="F12" s="7" t="s">
        <v>248</v>
      </c>
      <c r="G12">
        <v>2010</v>
      </c>
      <c r="H12" s="29" t="s">
        <v>239</v>
      </c>
      <c r="I12" s="30">
        <v>5</v>
      </c>
      <c r="J12" s="30">
        <f>(6*5*2.83)+(3*5*3.14)</f>
        <v>132</v>
      </c>
      <c r="K12" s="31">
        <v>7</v>
      </c>
      <c r="L12" s="32">
        <v>43079.714467592596</v>
      </c>
      <c r="M12" s="31" t="s">
        <v>24</v>
      </c>
      <c r="N12" s="31" t="s">
        <v>129</v>
      </c>
      <c r="O12" s="31">
        <v>1664</v>
      </c>
      <c r="P12" s="39">
        <v>226</v>
      </c>
      <c r="Q12" s="30">
        <v>53.69</v>
      </c>
      <c r="R12" s="39">
        <v>50.34</v>
      </c>
      <c r="S12" s="39">
        <v>45.6</v>
      </c>
      <c r="T12" s="33">
        <f t="shared" si="1"/>
        <v>191.94635872601975</v>
      </c>
      <c r="U12" s="33">
        <f t="shared" si="0"/>
        <v>1.4541390812577255</v>
      </c>
      <c r="V12" s="7"/>
      <c r="W12" s="38"/>
      <c r="X12" s="7"/>
      <c r="Y12" s="7"/>
      <c r="Z12" s="38"/>
      <c r="AA12" s="38"/>
      <c r="AB12" s="7"/>
      <c r="AC12" s="7"/>
      <c r="AE12" s="36">
        <v>1.76</v>
      </c>
      <c r="AF12" s="54"/>
      <c r="AG12" s="36">
        <v>0.15970000000000001</v>
      </c>
      <c r="AH12" s="37">
        <v>6.9</v>
      </c>
      <c r="AI12" s="7"/>
      <c r="AJ12" s="7"/>
      <c r="AK12" s="7"/>
      <c r="AL12" s="7"/>
      <c r="AM12" s="7"/>
    </row>
    <row r="13" spans="1:40" x14ac:dyDescent="0.2">
      <c r="A13" s="7">
        <v>12</v>
      </c>
      <c r="B13" s="7" t="s">
        <v>228</v>
      </c>
      <c r="C13" s="7" t="s">
        <v>1</v>
      </c>
      <c r="D13" s="7" t="s">
        <v>7</v>
      </c>
      <c r="E13" s="7" t="s">
        <v>4</v>
      </c>
      <c r="F13" s="7" t="s">
        <v>248</v>
      </c>
      <c r="G13">
        <v>2010</v>
      </c>
      <c r="H13" s="29" t="s">
        <v>240</v>
      </c>
      <c r="I13" s="30">
        <f>(20+20+17.5)/3</f>
        <v>19.166666666666668</v>
      </c>
      <c r="J13" s="30">
        <f>(3*(I13-5)*3.14)</f>
        <v>133.45000000000002</v>
      </c>
      <c r="K13" s="31">
        <v>7</v>
      </c>
      <c r="L13" s="32">
        <v>43079.714467592596</v>
      </c>
      <c r="M13" s="31" t="s">
        <v>24</v>
      </c>
      <c r="N13" s="31" t="s">
        <v>129</v>
      </c>
      <c r="O13" s="31">
        <v>1664</v>
      </c>
      <c r="P13" s="39">
        <v>189</v>
      </c>
      <c r="Q13" s="30">
        <v>53.84</v>
      </c>
      <c r="R13" s="39">
        <v>51.29</v>
      </c>
      <c r="S13" s="39">
        <v>41.1</v>
      </c>
      <c r="T13" s="33">
        <f t="shared" si="1"/>
        <v>144.27748885586922</v>
      </c>
      <c r="U13" s="33">
        <f t="shared" si="0"/>
        <v>1.0811351731425194</v>
      </c>
      <c r="V13" s="7"/>
      <c r="W13" s="38"/>
      <c r="X13" s="7"/>
      <c r="Y13" s="7"/>
      <c r="Z13" s="38"/>
      <c r="AA13" s="38"/>
      <c r="AB13" s="7"/>
      <c r="AC13" s="7"/>
      <c r="AE13" s="36">
        <v>1.32</v>
      </c>
      <c r="AF13" s="54"/>
      <c r="AG13" s="36">
        <v>0.13339999999999999</v>
      </c>
      <c r="AH13" s="37">
        <v>6.83</v>
      </c>
      <c r="AI13" s="7"/>
      <c r="AJ13" s="7"/>
      <c r="AK13" s="7"/>
      <c r="AL13" s="7"/>
      <c r="AM13" s="7"/>
    </row>
    <row r="14" spans="1:40" x14ac:dyDescent="0.2">
      <c r="A14" s="7">
        <v>13</v>
      </c>
      <c r="B14" s="7" t="s">
        <v>228</v>
      </c>
      <c r="C14" s="7" t="s">
        <v>1</v>
      </c>
      <c r="D14" s="7" t="s">
        <v>7</v>
      </c>
      <c r="E14" s="7" t="s">
        <v>5</v>
      </c>
      <c r="F14" s="7" t="s">
        <v>248</v>
      </c>
      <c r="G14">
        <v>2010</v>
      </c>
      <c r="H14" s="29" t="s">
        <v>239</v>
      </c>
      <c r="I14" s="30">
        <v>5</v>
      </c>
      <c r="J14" s="30">
        <f>(6*5*2.83)+(3*5*3.14)</f>
        <v>132</v>
      </c>
      <c r="K14" s="31">
        <v>8</v>
      </c>
      <c r="L14" s="32">
        <v>43079.723877314813</v>
      </c>
      <c r="M14" s="31" t="s">
        <v>25</v>
      </c>
      <c r="N14" s="31" t="s">
        <v>130</v>
      </c>
      <c r="O14" s="31">
        <v>1665</v>
      </c>
      <c r="P14" s="39">
        <v>243</v>
      </c>
      <c r="Q14" s="30">
        <v>51.24</v>
      </c>
      <c r="R14" s="39">
        <v>48.5</v>
      </c>
      <c r="S14" s="39">
        <v>43.1</v>
      </c>
      <c r="T14" s="33">
        <f t="shared" si="1"/>
        <v>204.39695550351288</v>
      </c>
      <c r="U14" s="33">
        <f t="shared" si="0"/>
        <v>1.5484617841175219</v>
      </c>
      <c r="V14" s="7"/>
      <c r="W14" s="38"/>
      <c r="X14" s="7"/>
      <c r="Y14" s="7"/>
      <c r="Z14" s="38"/>
      <c r="AA14" s="38"/>
      <c r="AB14" s="7"/>
      <c r="AC14" s="7"/>
      <c r="AE14" s="36">
        <v>1.35</v>
      </c>
      <c r="AF14" s="54"/>
      <c r="AG14" s="36">
        <v>0.1074</v>
      </c>
      <c r="AH14" s="37">
        <v>6.53</v>
      </c>
      <c r="AI14" s="7"/>
      <c r="AJ14" s="7"/>
      <c r="AK14" s="7"/>
      <c r="AL14" s="7"/>
      <c r="AM14" s="7"/>
    </row>
    <row r="15" spans="1:40" x14ac:dyDescent="0.2">
      <c r="A15" s="7">
        <v>14</v>
      </c>
      <c r="B15" s="7" t="s">
        <v>228</v>
      </c>
      <c r="C15" s="7" t="s">
        <v>1</v>
      </c>
      <c r="D15" s="7" t="s">
        <v>7</v>
      </c>
      <c r="E15" s="7" t="s">
        <v>5</v>
      </c>
      <c r="F15" s="7" t="s">
        <v>248</v>
      </c>
      <c r="G15">
        <v>2010</v>
      </c>
      <c r="H15" s="29" t="s">
        <v>240</v>
      </c>
      <c r="I15" s="30">
        <f>(20+16.5+19.5)/3</f>
        <v>18.666666666666668</v>
      </c>
      <c r="J15" s="30">
        <f>(3*(I15-5)*3.14)</f>
        <v>128.74</v>
      </c>
      <c r="K15" s="31">
        <v>8</v>
      </c>
      <c r="L15" s="32">
        <v>43079.723877314813</v>
      </c>
      <c r="M15" s="31" t="s">
        <v>25</v>
      </c>
      <c r="N15" s="31" t="s">
        <v>130</v>
      </c>
      <c r="O15" s="31">
        <v>1665</v>
      </c>
      <c r="P15" s="39">
        <v>217</v>
      </c>
      <c r="Q15" s="30">
        <v>50.19</v>
      </c>
      <c r="R15" s="39">
        <v>46.93</v>
      </c>
      <c r="S15" s="39">
        <v>42.2</v>
      </c>
      <c r="T15" s="33">
        <f t="shared" si="1"/>
        <v>182.45467224546724</v>
      </c>
      <c r="U15" s="33">
        <f t="shared" si="0"/>
        <v>1.4172337443332859</v>
      </c>
      <c r="V15" s="7"/>
      <c r="W15" s="38"/>
      <c r="X15" s="7"/>
      <c r="Y15" s="7"/>
      <c r="Z15" s="38"/>
      <c r="AA15" s="38"/>
      <c r="AB15" s="7"/>
      <c r="AC15" s="7"/>
      <c r="AE15" s="36">
        <v>1.72</v>
      </c>
      <c r="AF15" s="54"/>
      <c r="AG15" s="36">
        <v>0.1575</v>
      </c>
      <c r="AH15" s="37">
        <v>6.8</v>
      </c>
      <c r="AI15" s="7"/>
      <c r="AJ15" s="7"/>
      <c r="AK15" s="7"/>
      <c r="AL15" s="7"/>
      <c r="AM15" s="7"/>
    </row>
    <row r="16" spans="1:40" x14ac:dyDescent="0.2">
      <c r="A16" s="7">
        <v>15</v>
      </c>
      <c r="B16" s="7" t="s">
        <v>228</v>
      </c>
      <c r="C16" s="7" t="s">
        <v>1</v>
      </c>
      <c r="D16" s="7" t="s">
        <v>7</v>
      </c>
      <c r="E16" s="7" t="s">
        <v>6</v>
      </c>
      <c r="F16" s="7" t="s">
        <v>248</v>
      </c>
      <c r="G16">
        <v>2010</v>
      </c>
      <c r="H16" s="29" t="s">
        <v>239</v>
      </c>
      <c r="I16" s="30">
        <v>5</v>
      </c>
      <c r="J16" s="30">
        <f>(6*5*2.83)+(3*5*3.14)</f>
        <v>132</v>
      </c>
      <c r="K16" s="31">
        <v>9</v>
      </c>
      <c r="L16" s="32">
        <v>43079.730914351851</v>
      </c>
      <c r="M16" s="31" t="s">
        <v>26</v>
      </c>
      <c r="N16" s="31" t="s">
        <v>131</v>
      </c>
      <c r="O16" s="31">
        <v>1664</v>
      </c>
      <c r="P16" s="39">
        <v>205</v>
      </c>
      <c r="Q16" s="30">
        <v>52.71</v>
      </c>
      <c r="R16" s="39">
        <v>50</v>
      </c>
      <c r="S16" s="39">
        <v>44.6</v>
      </c>
      <c r="T16" s="33">
        <f t="shared" si="1"/>
        <v>173.45854676531968</v>
      </c>
      <c r="U16" s="33">
        <f t="shared" si="0"/>
        <v>1.3140798997372702</v>
      </c>
      <c r="V16" s="7"/>
      <c r="W16" s="38"/>
      <c r="X16" s="7"/>
      <c r="Y16" s="7"/>
      <c r="Z16" s="38"/>
      <c r="AA16" s="38"/>
      <c r="AB16" s="7"/>
      <c r="AC16" s="7"/>
      <c r="AE16" s="36">
        <v>1.91</v>
      </c>
      <c r="AF16" s="54"/>
      <c r="AG16" s="36">
        <v>0.15049999999999999</v>
      </c>
      <c r="AH16" s="37">
        <v>6.73</v>
      </c>
      <c r="AI16" s="7"/>
      <c r="AJ16" s="7"/>
      <c r="AK16" s="7"/>
      <c r="AL16" s="7"/>
      <c r="AM16" s="7"/>
    </row>
    <row r="17" spans="1:39" x14ac:dyDescent="0.2">
      <c r="A17" s="7">
        <v>16</v>
      </c>
      <c r="B17" s="7" t="s">
        <v>228</v>
      </c>
      <c r="C17" s="7" t="s">
        <v>1</v>
      </c>
      <c r="D17" s="7" t="s">
        <v>7</v>
      </c>
      <c r="E17" s="7" t="s">
        <v>6</v>
      </c>
      <c r="F17" s="7" t="s">
        <v>248</v>
      </c>
      <c r="G17">
        <v>2010</v>
      </c>
      <c r="H17" s="29" t="s">
        <v>240</v>
      </c>
      <c r="I17" s="30">
        <f>(20+16.5+16)/3</f>
        <v>17.5</v>
      </c>
      <c r="J17" s="30">
        <f>(3*(I17-5)*3.14)</f>
        <v>117.75</v>
      </c>
      <c r="K17" s="31">
        <v>9</v>
      </c>
      <c r="L17" s="32">
        <v>43079.730914351851</v>
      </c>
      <c r="M17" s="31" t="s">
        <v>26</v>
      </c>
      <c r="N17" s="31" t="s">
        <v>131</v>
      </c>
      <c r="O17" s="31">
        <v>1664</v>
      </c>
      <c r="P17" s="39">
        <v>205</v>
      </c>
      <c r="Q17" s="30">
        <v>46.95</v>
      </c>
      <c r="R17" s="39">
        <v>44.32</v>
      </c>
      <c r="S17" s="39">
        <v>36.9</v>
      </c>
      <c r="T17" s="33">
        <f t="shared" si="1"/>
        <v>161.11821086261978</v>
      </c>
      <c r="U17" s="33">
        <f t="shared" si="0"/>
        <v>1.3683075232494248</v>
      </c>
      <c r="V17" s="7"/>
      <c r="W17" s="38"/>
      <c r="X17" s="7"/>
      <c r="Y17" s="7"/>
      <c r="Z17" s="38"/>
      <c r="AA17" s="38"/>
      <c r="AB17" s="7"/>
      <c r="AC17" s="7"/>
      <c r="AE17" s="36">
        <v>1.4</v>
      </c>
      <c r="AF17" s="54"/>
      <c r="AG17" s="36">
        <v>0.1502</v>
      </c>
      <c r="AH17" s="37">
        <v>6.73</v>
      </c>
      <c r="AI17" s="7"/>
      <c r="AJ17" s="7"/>
      <c r="AK17" s="7"/>
      <c r="AL17" s="7"/>
      <c r="AM17" s="7"/>
    </row>
    <row r="18" spans="1:39" x14ac:dyDescent="0.2">
      <c r="A18" s="7">
        <v>17</v>
      </c>
      <c r="B18" s="7" t="s">
        <v>228</v>
      </c>
      <c r="C18" s="7" t="s">
        <v>1</v>
      </c>
      <c r="D18" s="7" t="s">
        <v>8</v>
      </c>
      <c r="E18" s="7" t="s">
        <v>3</v>
      </c>
      <c r="F18" s="7" t="s">
        <v>248</v>
      </c>
      <c r="G18">
        <v>2010</v>
      </c>
      <c r="H18" s="29" t="s">
        <v>239</v>
      </c>
      <c r="I18" s="30">
        <v>5</v>
      </c>
      <c r="J18" s="30">
        <f>(6*5*2.83)+(3*5*3.14)</f>
        <v>132</v>
      </c>
      <c r="K18" s="31">
        <v>10</v>
      </c>
      <c r="L18" s="32">
        <v>43079.756076388891</v>
      </c>
      <c r="M18" s="31" t="s">
        <v>27</v>
      </c>
      <c r="N18" s="31" t="s">
        <v>132</v>
      </c>
      <c r="O18" s="31">
        <v>1651</v>
      </c>
      <c r="P18" s="39">
        <v>241</v>
      </c>
      <c r="Q18" s="30">
        <v>96.05</v>
      </c>
      <c r="R18" s="39">
        <v>90.94</v>
      </c>
      <c r="S18" s="39">
        <v>84.1</v>
      </c>
      <c r="T18" s="33">
        <f t="shared" si="1"/>
        <v>211.0161374284227</v>
      </c>
      <c r="U18" s="33">
        <f t="shared" si="0"/>
        <v>1.598607101730475</v>
      </c>
      <c r="V18" s="34">
        <v>98.37</v>
      </c>
      <c r="W18" s="35">
        <f>+T18*(V18/100)/J18</f>
        <v>1.5725498059722682</v>
      </c>
      <c r="X18" s="34">
        <v>5.47</v>
      </c>
      <c r="Y18" s="34">
        <v>6.7969999999999997</v>
      </c>
      <c r="Z18" s="35">
        <f>1-(X18/Y18)</f>
        <v>0.19523319111372661</v>
      </c>
      <c r="AA18" s="35">
        <f>+X18/Y18</f>
        <v>0.80476680888627339</v>
      </c>
      <c r="AB18" s="19">
        <v>22</v>
      </c>
      <c r="AC18" s="19">
        <v>18</v>
      </c>
      <c r="AD18" s="19">
        <v>60</v>
      </c>
      <c r="AE18" s="36">
        <v>2.2400000000000002</v>
      </c>
      <c r="AF18" s="53">
        <f>+AE18*AA18</f>
        <v>1.8026776519052525</v>
      </c>
      <c r="AG18" s="36">
        <v>0.20080000000000001</v>
      </c>
      <c r="AH18" s="37">
        <v>6.98</v>
      </c>
      <c r="AI18" s="7">
        <v>30.91</v>
      </c>
      <c r="AJ18" s="19">
        <v>1.2</v>
      </c>
      <c r="AK18" s="19">
        <v>2.1</v>
      </c>
      <c r="AL18" s="19">
        <v>0.17</v>
      </c>
      <c r="AM18" s="19">
        <v>6.4</v>
      </c>
    </row>
    <row r="19" spans="1:39" x14ac:dyDescent="0.2">
      <c r="A19" s="7">
        <v>18</v>
      </c>
      <c r="B19" s="7" t="s">
        <v>228</v>
      </c>
      <c r="C19" s="7" t="s">
        <v>1</v>
      </c>
      <c r="D19" s="7" t="s">
        <v>8</v>
      </c>
      <c r="E19" s="7" t="s">
        <v>3</v>
      </c>
      <c r="F19" s="7" t="s">
        <v>248</v>
      </c>
      <c r="G19">
        <v>2010</v>
      </c>
      <c r="H19" s="29" t="s">
        <v>240</v>
      </c>
      <c r="I19" s="30">
        <f>(20+18.5+18)/3</f>
        <v>18.833333333333332</v>
      </c>
      <c r="J19" s="30">
        <f>(3*(I19-5)*3.14)</f>
        <v>130.31</v>
      </c>
      <c r="K19" s="31">
        <v>10</v>
      </c>
      <c r="L19" s="32">
        <v>43079.756076388891</v>
      </c>
      <c r="M19" s="31" t="s">
        <v>27</v>
      </c>
      <c r="N19" s="31" t="s">
        <v>132</v>
      </c>
      <c r="O19" s="31">
        <v>1651</v>
      </c>
      <c r="P19" s="39">
        <v>187</v>
      </c>
      <c r="Q19" s="30">
        <v>95.78</v>
      </c>
      <c r="R19" s="39">
        <v>89.58</v>
      </c>
      <c r="S19" s="39">
        <v>77</v>
      </c>
      <c r="T19" s="33">
        <f t="shared" si="1"/>
        <v>150.33409897682188</v>
      </c>
      <c r="U19" s="33">
        <f t="shared" si="0"/>
        <v>1.1536650984331354</v>
      </c>
      <c r="V19" s="34">
        <v>97.19</v>
      </c>
      <c r="W19" s="35">
        <f>+T19*(V19/100)/J19</f>
        <v>1.1212471091671643</v>
      </c>
      <c r="X19" s="34">
        <v>5.12</v>
      </c>
      <c r="Y19" s="34">
        <v>6.5380000000000003</v>
      </c>
      <c r="Z19" s="35">
        <f>1-(X19/Y19)</f>
        <v>0.21688589782808199</v>
      </c>
      <c r="AA19" s="35">
        <f>+X19/Y19</f>
        <v>0.78311410217191801</v>
      </c>
      <c r="AB19" s="19">
        <v>26</v>
      </c>
      <c r="AC19" s="19">
        <v>17</v>
      </c>
      <c r="AD19" s="19">
        <v>58</v>
      </c>
      <c r="AE19" s="36">
        <v>1.65</v>
      </c>
      <c r="AF19" s="53">
        <f>+AE19*AA19</f>
        <v>1.2921382685836647</v>
      </c>
      <c r="AG19" s="36">
        <v>0.13689999999999999</v>
      </c>
      <c r="AH19" s="37">
        <v>7.02</v>
      </c>
      <c r="AI19" s="7">
        <v>41.45</v>
      </c>
      <c r="AJ19" s="19">
        <v>1.5</v>
      </c>
      <c r="AK19" s="19">
        <v>3</v>
      </c>
      <c r="AL19" s="19">
        <v>0.15</v>
      </c>
      <c r="AM19" s="19">
        <v>66</v>
      </c>
    </row>
    <row r="20" spans="1:39" x14ac:dyDescent="0.2">
      <c r="A20" s="7">
        <v>19</v>
      </c>
      <c r="B20" s="7" t="s">
        <v>228</v>
      </c>
      <c r="C20" s="7" t="s">
        <v>1</v>
      </c>
      <c r="D20" s="7" t="s">
        <v>8</v>
      </c>
      <c r="E20" s="7" t="s">
        <v>4</v>
      </c>
      <c r="F20" s="7" t="s">
        <v>248</v>
      </c>
      <c r="G20">
        <v>2010</v>
      </c>
      <c r="H20" s="29" t="s">
        <v>239</v>
      </c>
      <c r="I20" s="30">
        <v>5</v>
      </c>
      <c r="J20" s="30">
        <f>(6*5*2.83)+(3*5*3.14)</f>
        <v>132</v>
      </c>
      <c r="K20" s="31">
        <v>11</v>
      </c>
      <c r="L20" s="32">
        <v>43079.756909722222</v>
      </c>
      <c r="M20" s="31" t="s">
        <v>28</v>
      </c>
      <c r="N20" s="31" t="s">
        <v>133</v>
      </c>
      <c r="O20" s="31">
        <v>1649</v>
      </c>
      <c r="P20" s="39">
        <v>160</v>
      </c>
      <c r="Q20" s="30">
        <v>52.36</v>
      </c>
      <c r="R20" s="39">
        <v>49.12</v>
      </c>
      <c r="S20" s="39">
        <v>37.700000000000003</v>
      </c>
      <c r="T20" s="33">
        <f t="shared" si="1"/>
        <v>115.20244461420933</v>
      </c>
      <c r="U20" s="33">
        <f t="shared" si="0"/>
        <v>0.87274579253188889</v>
      </c>
      <c r="V20" s="7"/>
      <c r="W20" s="38"/>
      <c r="X20" s="7"/>
      <c r="Y20" s="7"/>
      <c r="Z20" s="38"/>
      <c r="AA20" s="38"/>
      <c r="AB20" s="7"/>
      <c r="AC20" s="7"/>
      <c r="AE20" s="36">
        <v>1.77</v>
      </c>
      <c r="AF20" s="54"/>
      <c r="AG20" s="36">
        <v>0.1527</v>
      </c>
      <c r="AH20" s="37">
        <v>7.27</v>
      </c>
      <c r="AI20" s="7"/>
      <c r="AJ20" s="7"/>
      <c r="AK20" s="7"/>
      <c r="AL20" s="7"/>
      <c r="AM20" s="7"/>
    </row>
    <row r="21" spans="1:39" x14ac:dyDescent="0.2">
      <c r="A21" s="7">
        <v>20</v>
      </c>
      <c r="B21" s="7" t="s">
        <v>228</v>
      </c>
      <c r="C21" s="7" t="s">
        <v>1</v>
      </c>
      <c r="D21" s="7" t="s">
        <v>8</v>
      </c>
      <c r="E21" s="7" t="s">
        <v>4</v>
      </c>
      <c r="F21" s="7" t="s">
        <v>248</v>
      </c>
      <c r="G21">
        <v>2010</v>
      </c>
      <c r="H21" s="29" t="s">
        <v>240</v>
      </c>
      <c r="I21" s="30">
        <f>(18+16+12)/3</f>
        <v>15.333333333333334</v>
      </c>
      <c r="J21" s="30">
        <f>(3*(I21-5)*3.14)</f>
        <v>97.34</v>
      </c>
      <c r="K21" s="31">
        <v>11</v>
      </c>
      <c r="L21" s="32">
        <v>43079.756909722222</v>
      </c>
      <c r="M21" s="31" t="s">
        <v>28</v>
      </c>
      <c r="N21" s="31" t="s">
        <v>133</v>
      </c>
      <c r="O21" s="31">
        <v>1649</v>
      </c>
      <c r="P21" s="39">
        <v>187</v>
      </c>
      <c r="Q21" s="30">
        <v>51.79</v>
      </c>
      <c r="R21" s="39">
        <v>47.96</v>
      </c>
      <c r="S21" s="39">
        <v>30.8</v>
      </c>
      <c r="T21" s="33">
        <f t="shared" si="1"/>
        <v>111.21065842826802</v>
      </c>
      <c r="U21" s="33">
        <f t="shared" si="0"/>
        <v>1.1424970046051779</v>
      </c>
      <c r="V21" s="7"/>
      <c r="W21" s="38"/>
      <c r="X21" s="7"/>
      <c r="Y21" s="7"/>
      <c r="Z21" s="38"/>
      <c r="AA21" s="38"/>
      <c r="AB21" s="7"/>
      <c r="AC21" s="7"/>
      <c r="AE21" s="36">
        <v>1.48</v>
      </c>
      <c r="AF21" s="54"/>
      <c r="AG21" s="36">
        <v>0.1368</v>
      </c>
      <c r="AH21" s="37">
        <v>7.37</v>
      </c>
      <c r="AI21" s="7"/>
      <c r="AJ21" s="7"/>
      <c r="AK21" s="7"/>
      <c r="AL21" s="7"/>
      <c r="AM21" s="7"/>
    </row>
    <row r="22" spans="1:39" x14ac:dyDescent="0.2">
      <c r="A22" s="7">
        <v>21</v>
      </c>
      <c r="B22" s="7" t="s">
        <v>228</v>
      </c>
      <c r="C22" s="7" t="s">
        <v>1</v>
      </c>
      <c r="D22" s="7" t="s">
        <v>8</v>
      </c>
      <c r="E22" s="7" t="s">
        <v>5</v>
      </c>
      <c r="F22" s="7" t="s">
        <v>248</v>
      </c>
      <c r="G22">
        <v>2010</v>
      </c>
      <c r="H22" s="29" t="s">
        <v>239</v>
      </c>
      <c r="I22" s="30">
        <v>5</v>
      </c>
      <c r="J22" s="30">
        <f>(6*5*2.83)+(3*5*3.14)</f>
        <v>132</v>
      </c>
      <c r="K22" s="31">
        <v>12</v>
      </c>
      <c r="L22" s="32">
        <v>43079.766550925924</v>
      </c>
      <c r="M22" s="31" t="s">
        <v>29</v>
      </c>
      <c r="N22" s="31" t="s">
        <v>134</v>
      </c>
      <c r="O22" s="31">
        <v>1649</v>
      </c>
      <c r="P22" s="39">
        <v>207</v>
      </c>
      <c r="Q22" s="30">
        <v>51.64</v>
      </c>
      <c r="R22" s="39">
        <v>49.2</v>
      </c>
      <c r="S22" s="39">
        <v>45.2</v>
      </c>
      <c r="T22" s="33">
        <f t="shared" si="1"/>
        <v>181.18512780790084</v>
      </c>
      <c r="U22" s="33">
        <f t="shared" si="0"/>
        <v>1.3726146046053094</v>
      </c>
      <c r="V22" s="7"/>
      <c r="W22" s="38"/>
      <c r="X22" s="7"/>
      <c r="Y22" s="7"/>
      <c r="Z22" s="38"/>
      <c r="AA22" s="38"/>
      <c r="AB22" s="7"/>
      <c r="AC22" s="7"/>
      <c r="AE22" s="36">
        <v>2.2400000000000002</v>
      </c>
      <c r="AF22" s="54"/>
      <c r="AG22" s="36">
        <v>0.2039</v>
      </c>
      <c r="AH22" s="37">
        <v>7.15</v>
      </c>
      <c r="AI22" s="7"/>
      <c r="AJ22" s="7"/>
      <c r="AK22" s="7"/>
      <c r="AL22" s="7"/>
      <c r="AM22" s="7"/>
    </row>
    <row r="23" spans="1:39" x14ac:dyDescent="0.2">
      <c r="A23" s="7">
        <v>22</v>
      </c>
      <c r="B23" s="7" t="s">
        <v>228</v>
      </c>
      <c r="C23" s="7" t="s">
        <v>1</v>
      </c>
      <c r="D23" s="7" t="s">
        <v>8</v>
      </c>
      <c r="E23" s="7" t="s">
        <v>5</v>
      </c>
      <c r="F23" s="7" t="s">
        <v>248</v>
      </c>
      <c r="G23">
        <v>2010</v>
      </c>
      <c r="H23" s="29" t="s">
        <v>240</v>
      </c>
      <c r="I23" s="30">
        <f>(17.5+18+19)/3</f>
        <v>18.166666666666668</v>
      </c>
      <c r="J23" s="30">
        <f>(3*(I23-5)*3.14)</f>
        <v>124.03</v>
      </c>
      <c r="K23" s="31">
        <v>12</v>
      </c>
      <c r="L23" s="32">
        <v>43079.766550925924</v>
      </c>
      <c r="M23" s="31" t="s">
        <v>29</v>
      </c>
      <c r="N23" s="31" t="s">
        <v>134</v>
      </c>
      <c r="O23" s="31">
        <v>1649</v>
      </c>
      <c r="P23" s="39">
        <v>191.5</v>
      </c>
      <c r="Q23" s="30">
        <v>52.71</v>
      </c>
      <c r="R23" s="39">
        <v>49.97</v>
      </c>
      <c r="S23" s="39">
        <v>38.4</v>
      </c>
      <c r="T23" s="33">
        <f t="shared" si="1"/>
        <v>139.51052931132611</v>
      </c>
      <c r="U23" s="33">
        <f t="shared" si="0"/>
        <v>1.124812781676418</v>
      </c>
      <c r="V23" s="7"/>
      <c r="W23" s="38"/>
      <c r="X23" s="7"/>
      <c r="Y23" s="7"/>
      <c r="Z23" s="38"/>
      <c r="AA23" s="38"/>
      <c r="AB23" s="7"/>
      <c r="AC23" s="7"/>
      <c r="AE23" s="36">
        <v>1.86</v>
      </c>
      <c r="AF23" s="54"/>
      <c r="AG23" s="36">
        <v>9.2600000000000002E-2</v>
      </c>
      <c r="AH23" s="37">
        <v>8.2799999999999994</v>
      </c>
      <c r="AI23" s="7"/>
      <c r="AJ23" s="7"/>
      <c r="AK23" s="7"/>
      <c r="AL23" s="7"/>
      <c r="AM23" s="7"/>
    </row>
    <row r="24" spans="1:39" x14ac:dyDescent="0.2">
      <c r="A24" s="7">
        <v>23</v>
      </c>
      <c r="B24" s="7" t="s">
        <v>228</v>
      </c>
      <c r="C24" s="7" t="s">
        <v>1</v>
      </c>
      <c r="D24" s="7" t="s">
        <v>8</v>
      </c>
      <c r="E24" s="7" t="s">
        <v>6</v>
      </c>
      <c r="F24" s="7" t="s">
        <v>248</v>
      </c>
      <c r="G24">
        <v>2010</v>
      </c>
      <c r="H24" s="29" t="s">
        <v>239</v>
      </c>
      <c r="I24" s="30">
        <v>5</v>
      </c>
      <c r="J24" s="30">
        <f>(6*5*2.83)+(3*5*3.14)</f>
        <v>132</v>
      </c>
      <c r="K24" s="40"/>
      <c r="L24" s="31"/>
      <c r="M24" s="31"/>
      <c r="N24" s="31"/>
      <c r="O24" s="31"/>
      <c r="P24" s="39">
        <v>212</v>
      </c>
      <c r="Q24" s="30">
        <v>53.52</v>
      </c>
      <c r="R24" s="39">
        <v>51.04</v>
      </c>
      <c r="S24" s="39">
        <v>46.2</v>
      </c>
      <c r="T24" s="33">
        <f t="shared" si="1"/>
        <v>183.00448430493276</v>
      </c>
      <c r="U24" s="33">
        <f t="shared" si="0"/>
        <v>1.3863976083707028</v>
      </c>
      <c r="V24" s="7"/>
      <c r="W24" s="38"/>
      <c r="X24" s="7"/>
      <c r="Y24" s="7"/>
      <c r="Z24" s="38"/>
      <c r="AA24" s="38"/>
      <c r="AB24" s="7"/>
      <c r="AC24" s="7"/>
      <c r="AE24" s="36">
        <v>1.76</v>
      </c>
      <c r="AF24" s="54"/>
      <c r="AG24" s="36">
        <v>0.16569999999999999</v>
      </c>
      <c r="AH24" s="37">
        <v>7.98</v>
      </c>
      <c r="AI24" s="7"/>
      <c r="AJ24" s="7"/>
      <c r="AK24" s="7"/>
      <c r="AL24" s="7"/>
      <c r="AM24" s="7"/>
    </row>
    <row r="25" spans="1:39" x14ac:dyDescent="0.2">
      <c r="A25" s="7">
        <v>24</v>
      </c>
      <c r="B25" s="7" t="s">
        <v>228</v>
      </c>
      <c r="C25" s="7" t="s">
        <v>1</v>
      </c>
      <c r="D25" s="7" t="s">
        <v>8</v>
      </c>
      <c r="E25" s="7" t="s">
        <v>6</v>
      </c>
      <c r="F25" s="7" t="s">
        <v>248</v>
      </c>
      <c r="G25">
        <v>2010</v>
      </c>
      <c r="H25" s="29" t="s">
        <v>240</v>
      </c>
      <c r="I25" s="30">
        <f>(20+16.5+16)/3</f>
        <v>17.5</v>
      </c>
      <c r="J25" s="30">
        <f>(3*(I25-5)*3.14)</f>
        <v>117.75</v>
      </c>
      <c r="K25" s="31"/>
      <c r="L25" s="31"/>
      <c r="M25" s="31"/>
      <c r="N25" s="31"/>
      <c r="O25" s="31"/>
      <c r="P25" s="39">
        <v>174.5</v>
      </c>
      <c r="Q25" s="30">
        <v>52.81</v>
      </c>
      <c r="R25" s="39">
        <v>49.94</v>
      </c>
      <c r="S25" s="39">
        <v>41.7</v>
      </c>
      <c r="T25" s="33">
        <f t="shared" si="1"/>
        <v>137.7892444612763</v>
      </c>
      <c r="U25" s="33">
        <f t="shared" si="0"/>
        <v>1.170184666337803</v>
      </c>
      <c r="V25" s="7"/>
      <c r="W25" s="38"/>
      <c r="X25" s="7"/>
      <c r="Y25" s="7"/>
      <c r="Z25" s="38"/>
      <c r="AA25" s="38"/>
      <c r="AB25" s="7"/>
      <c r="AC25" s="7"/>
      <c r="AE25" s="36">
        <v>1.7</v>
      </c>
      <c r="AF25" s="54"/>
      <c r="AG25" s="36">
        <v>7.7499999999999999E-2</v>
      </c>
      <c r="AH25" s="37">
        <v>8.4</v>
      </c>
      <c r="AI25" s="7"/>
      <c r="AJ25" s="7"/>
      <c r="AK25" s="7"/>
      <c r="AL25" s="7"/>
      <c r="AM25" s="7"/>
    </row>
    <row r="26" spans="1:39" x14ac:dyDescent="0.2">
      <c r="A26" s="7">
        <v>25</v>
      </c>
      <c r="B26" s="7" t="s">
        <v>228</v>
      </c>
      <c r="C26" s="7" t="s">
        <v>1</v>
      </c>
      <c r="D26" s="7" t="s">
        <v>9</v>
      </c>
      <c r="E26" s="7" t="s">
        <v>3</v>
      </c>
      <c r="F26" s="7" t="s">
        <v>248</v>
      </c>
      <c r="G26">
        <v>2010</v>
      </c>
      <c r="H26" s="29" t="s">
        <v>239</v>
      </c>
      <c r="I26" s="30">
        <v>5</v>
      </c>
      <c r="J26" s="30">
        <f>(6*5*2.83)+(3*5*3.14)</f>
        <v>132</v>
      </c>
      <c r="K26" s="31">
        <v>28</v>
      </c>
      <c r="L26" s="32">
        <v>43080.663148148145</v>
      </c>
      <c r="M26" s="31" t="s">
        <v>44</v>
      </c>
      <c r="N26" s="31" t="s">
        <v>149</v>
      </c>
      <c r="O26" s="31">
        <v>1656</v>
      </c>
      <c r="P26" s="39">
        <v>212</v>
      </c>
      <c r="Q26" s="30">
        <v>105.41</v>
      </c>
      <c r="R26" s="39">
        <v>100.54</v>
      </c>
      <c r="S26" s="39">
        <v>90.6</v>
      </c>
      <c r="T26" s="33">
        <f t="shared" si="1"/>
        <v>182.2142111754103</v>
      </c>
      <c r="U26" s="33">
        <f t="shared" si="0"/>
        <v>1.3804106907228053</v>
      </c>
      <c r="V26" s="7"/>
      <c r="W26" s="38"/>
      <c r="X26" s="7"/>
      <c r="Y26" s="7"/>
      <c r="Z26" s="38"/>
      <c r="AA26" s="38"/>
      <c r="AB26" s="7"/>
      <c r="AC26" s="7"/>
      <c r="AE26" s="36">
        <v>1.55</v>
      </c>
      <c r="AF26" s="54"/>
      <c r="AG26" s="36">
        <v>0.1449</v>
      </c>
      <c r="AH26" s="37">
        <v>7.05</v>
      </c>
      <c r="AI26" s="37"/>
      <c r="AJ26" s="7"/>
      <c r="AK26" s="7"/>
      <c r="AL26" s="7"/>
      <c r="AM26" s="37"/>
    </row>
    <row r="27" spans="1:39" x14ac:dyDescent="0.2">
      <c r="A27" s="7">
        <v>26</v>
      </c>
      <c r="B27" s="7" t="s">
        <v>228</v>
      </c>
      <c r="C27" s="7" t="s">
        <v>1</v>
      </c>
      <c r="D27" s="7" t="s">
        <v>9</v>
      </c>
      <c r="E27" s="7" t="s">
        <v>3</v>
      </c>
      <c r="F27" s="7" t="s">
        <v>248</v>
      </c>
      <c r="G27">
        <v>2010</v>
      </c>
      <c r="H27" s="29" t="s">
        <v>240</v>
      </c>
      <c r="I27" s="30">
        <f>(18+10+18)/3</f>
        <v>15.333333333333334</v>
      </c>
      <c r="J27" s="30">
        <f>(3*(I27-5)*3.14)</f>
        <v>97.34</v>
      </c>
      <c r="K27" s="31">
        <v>28</v>
      </c>
      <c r="L27" s="32">
        <v>43080.663148148145</v>
      </c>
      <c r="M27" s="31" t="s">
        <v>44</v>
      </c>
      <c r="N27" s="31" t="s">
        <v>149</v>
      </c>
      <c r="O27" s="31">
        <v>1656</v>
      </c>
      <c r="P27" s="39">
        <v>162.5</v>
      </c>
      <c r="Q27" s="30">
        <v>49.56</v>
      </c>
      <c r="R27" s="39">
        <v>47.77</v>
      </c>
      <c r="S27" s="39">
        <v>36.799999999999997</v>
      </c>
      <c r="T27" s="33">
        <f t="shared" si="1"/>
        <v>120.66182405165453</v>
      </c>
      <c r="U27" s="33">
        <f t="shared" si="0"/>
        <v>1.2395913709847393</v>
      </c>
      <c r="V27" s="7"/>
      <c r="W27" s="38"/>
      <c r="X27" s="7"/>
      <c r="Y27" s="7"/>
      <c r="Z27" s="38"/>
      <c r="AA27" s="38"/>
      <c r="AB27" s="7"/>
      <c r="AC27" s="7"/>
      <c r="AE27" s="36">
        <v>0.79200000000000004</v>
      </c>
      <c r="AF27" s="54"/>
      <c r="AG27" s="36">
        <v>3.0300000000000001E-2</v>
      </c>
      <c r="AH27" s="37">
        <v>7.44</v>
      </c>
      <c r="AI27" s="37"/>
      <c r="AJ27" s="7"/>
      <c r="AK27" s="7"/>
      <c r="AL27" s="7"/>
      <c r="AM27" s="37"/>
    </row>
    <row r="28" spans="1:39" x14ac:dyDescent="0.2">
      <c r="A28" s="7">
        <v>27</v>
      </c>
      <c r="B28" s="7" t="s">
        <v>228</v>
      </c>
      <c r="C28" s="7" t="s">
        <v>1</v>
      </c>
      <c r="D28" s="7" t="s">
        <v>9</v>
      </c>
      <c r="E28" s="7" t="s">
        <v>4</v>
      </c>
      <c r="F28" s="7" t="s">
        <v>248</v>
      </c>
      <c r="G28">
        <v>2010</v>
      </c>
      <c r="H28" s="29" t="s">
        <v>239</v>
      </c>
      <c r="I28" s="30">
        <v>5</v>
      </c>
      <c r="J28" s="30">
        <f>(6*5*2.83)+(3*5*3.14)</f>
        <v>132</v>
      </c>
      <c r="K28" s="31">
        <v>29</v>
      </c>
      <c r="L28" s="32">
        <v>43080.670844907407</v>
      </c>
      <c r="M28" s="31" t="s">
        <v>45</v>
      </c>
      <c r="N28" s="31" t="s">
        <v>150</v>
      </c>
      <c r="O28" s="31">
        <v>1656</v>
      </c>
      <c r="P28" s="39">
        <v>179</v>
      </c>
      <c r="Q28" s="30">
        <v>52.63</v>
      </c>
      <c r="R28" s="39">
        <v>51.46</v>
      </c>
      <c r="S28" s="39">
        <v>44.1</v>
      </c>
      <c r="T28" s="33">
        <f t="shared" si="1"/>
        <v>149.98859965798974</v>
      </c>
      <c r="U28" s="33">
        <f t="shared" si="0"/>
        <v>1.136277270136286</v>
      </c>
      <c r="V28" s="7"/>
      <c r="W28" s="38"/>
      <c r="X28" s="7"/>
      <c r="Y28" s="7"/>
      <c r="Z28" s="38"/>
      <c r="AA28" s="38"/>
      <c r="AB28" s="7"/>
      <c r="AC28" s="7"/>
      <c r="AE28" s="36">
        <v>1.75</v>
      </c>
      <c r="AF28" s="54"/>
      <c r="AG28" s="36">
        <v>0.13539999999999999</v>
      </c>
      <c r="AH28" s="37">
        <v>6.77</v>
      </c>
      <c r="AI28" s="7"/>
      <c r="AJ28" s="7"/>
      <c r="AK28" s="7"/>
      <c r="AL28" s="7"/>
      <c r="AM28" s="7"/>
    </row>
    <row r="29" spans="1:39" x14ac:dyDescent="0.2">
      <c r="A29" s="7">
        <v>28</v>
      </c>
      <c r="B29" s="7" t="s">
        <v>228</v>
      </c>
      <c r="C29" s="7" t="s">
        <v>1</v>
      </c>
      <c r="D29" s="7" t="s">
        <v>9</v>
      </c>
      <c r="E29" s="7" t="s">
        <v>4</v>
      </c>
      <c r="F29" s="7" t="s">
        <v>248</v>
      </c>
      <c r="G29">
        <v>2010</v>
      </c>
      <c r="H29" s="29" t="s">
        <v>240</v>
      </c>
      <c r="I29" s="30">
        <f>(9.5+10+6)/3</f>
        <v>8.5</v>
      </c>
      <c r="J29" s="30">
        <f>(3*(I29-5)*3.14)</f>
        <v>32.97</v>
      </c>
      <c r="K29" s="31">
        <v>29</v>
      </c>
      <c r="L29" s="32">
        <v>43080.670844907407</v>
      </c>
      <c r="M29" s="31" t="s">
        <v>45</v>
      </c>
      <c r="N29" s="31" t="s">
        <v>150</v>
      </c>
      <c r="O29" s="31">
        <v>1656</v>
      </c>
      <c r="P29" s="39">
        <v>49</v>
      </c>
      <c r="Q29" s="30">
        <v>49.5</v>
      </c>
      <c r="R29" s="39">
        <v>48.56</v>
      </c>
      <c r="S29" s="39">
        <v>32.1</v>
      </c>
      <c r="T29" s="33">
        <f t="shared" si="1"/>
        <v>31.775757575757581</v>
      </c>
      <c r="U29" s="33">
        <f t="shared" si="0"/>
        <v>0.96377790645306582</v>
      </c>
      <c r="V29" s="7"/>
      <c r="W29" s="38"/>
      <c r="X29" s="7"/>
      <c r="Y29" s="7"/>
      <c r="Z29" s="38"/>
      <c r="AA29" s="38"/>
      <c r="AB29" s="7"/>
      <c r="AC29" s="7"/>
      <c r="AE29" s="36">
        <v>1.19</v>
      </c>
      <c r="AF29" s="54"/>
      <c r="AG29" s="36">
        <v>6.5500000000000003E-2</v>
      </c>
      <c r="AH29" s="37">
        <v>6.63</v>
      </c>
      <c r="AI29" s="7"/>
      <c r="AJ29" s="7"/>
      <c r="AK29" s="7"/>
      <c r="AL29" s="7"/>
      <c r="AM29" s="7"/>
    </row>
    <row r="30" spans="1:39" x14ac:dyDescent="0.2">
      <c r="A30" s="7">
        <v>29</v>
      </c>
      <c r="B30" s="7" t="s">
        <v>228</v>
      </c>
      <c r="C30" s="7" t="s">
        <v>1</v>
      </c>
      <c r="D30" s="7" t="s">
        <v>9</v>
      </c>
      <c r="E30" s="7" t="s">
        <v>5</v>
      </c>
      <c r="F30" s="7" t="s">
        <v>248</v>
      </c>
      <c r="G30">
        <v>2010</v>
      </c>
      <c r="H30" s="29" t="s">
        <v>239</v>
      </c>
      <c r="I30" s="30">
        <v>5</v>
      </c>
      <c r="J30" s="30">
        <f>(6*5*2.83)+(3*5*3.14)</f>
        <v>132</v>
      </c>
      <c r="K30" s="31">
        <v>30</v>
      </c>
      <c r="L30" s="32">
        <v>43080.685740740744</v>
      </c>
      <c r="M30" s="31" t="s">
        <v>46</v>
      </c>
      <c r="N30" s="31" t="s">
        <v>151</v>
      </c>
      <c r="O30" s="31">
        <v>1657</v>
      </c>
      <c r="P30" s="39">
        <v>168</v>
      </c>
      <c r="Q30" s="30">
        <v>49.14</v>
      </c>
      <c r="R30" s="39">
        <v>47.63</v>
      </c>
      <c r="S30" s="39">
        <v>38.5</v>
      </c>
      <c r="T30" s="33">
        <f t="shared" si="1"/>
        <v>131.62393162393164</v>
      </c>
      <c r="U30" s="33">
        <f t="shared" si="0"/>
        <v>0.99715099715099731</v>
      </c>
      <c r="V30" s="7"/>
      <c r="W30" s="38"/>
      <c r="X30" s="7"/>
      <c r="Y30" s="7"/>
      <c r="Z30" s="38"/>
      <c r="AA30" s="38"/>
      <c r="AB30" s="7"/>
      <c r="AC30" s="7"/>
      <c r="AE30" s="36">
        <v>2.29</v>
      </c>
      <c r="AF30" s="54"/>
      <c r="AG30" s="36">
        <v>0.20830000000000001</v>
      </c>
      <c r="AH30" s="37">
        <v>6.94</v>
      </c>
      <c r="AI30" s="7"/>
      <c r="AJ30" s="7"/>
      <c r="AK30" s="7"/>
      <c r="AL30" s="7"/>
      <c r="AM30" s="7"/>
    </row>
    <row r="31" spans="1:39" x14ac:dyDescent="0.2">
      <c r="A31" s="7">
        <v>30</v>
      </c>
      <c r="B31" s="7" t="s">
        <v>228</v>
      </c>
      <c r="C31" s="7" t="s">
        <v>1</v>
      </c>
      <c r="D31" s="7" t="s">
        <v>9</v>
      </c>
      <c r="E31" s="7" t="s">
        <v>5</v>
      </c>
      <c r="F31" s="7" t="s">
        <v>248</v>
      </c>
      <c r="G31">
        <v>2010</v>
      </c>
      <c r="H31" s="29" t="s">
        <v>240</v>
      </c>
      <c r="I31" s="30">
        <f>(6+9+9)/3</f>
        <v>8</v>
      </c>
      <c r="J31" s="30">
        <f>(3*(I31-5)*3.14)</f>
        <v>28.26</v>
      </c>
      <c r="K31" s="31">
        <v>30</v>
      </c>
      <c r="L31" s="32">
        <v>43080.685740740744</v>
      </c>
      <c r="M31" s="31" t="s">
        <v>46</v>
      </c>
      <c r="N31" s="31" t="s">
        <v>151</v>
      </c>
      <c r="O31" s="31">
        <v>1657</v>
      </c>
      <c r="P31" s="39">
        <v>38.5</v>
      </c>
      <c r="Q31" s="30">
        <v>39.33</v>
      </c>
      <c r="R31" s="39">
        <v>37.93</v>
      </c>
      <c r="S31" s="39">
        <v>25.7</v>
      </c>
      <c r="T31" s="33">
        <f t="shared" si="1"/>
        <v>25.157640478006609</v>
      </c>
      <c r="U31" s="33">
        <f t="shared" si="0"/>
        <v>0.89022082370865563</v>
      </c>
      <c r="V31" s="7"/>
      <c r="W31" s="38"/>
      <c r="X31" s="7"/>
      <c r="Y31" s="7"/>
      <c r="Z31" s="38"/>
      <c r="AA31" s="38"/>
      <c r="AB31" s="7"/>
      <c r="AC31" s="7"/>
      <c r="AE31" s="36">
        <v>1.28</v>
      </c>
      <c r="AF31" s="54"/>
      <c r="AG31" s="36">
        <v>9.8699999999999996E-2</v>
      </c>
      <c r="AH31" s="37">
        <v>7.05</v>
      </c>
      <c r="AI31" s="7"/>
      <c r="AJ31" s="7"/>
      <c r="AK31" s="7"/>
      <c r="AL31" s="7"/>
      <c r="AM31" s="7"/>
    </row>
    <row r="32" spans="1:39" x14ac:dyDescent="0.2">
      <c r="A32" s="7">
        <v>31</v>
      </c>
      <c r="B32" s="7" t="s">
        <v>228</v>
      </c>
      <c r="C32" s="7" t="s">
        <v>1</v>
      </c>
      <c r="D32" s="7" t="s">
        <v>9</v>
      </c>
      <c r="E32" s="7" t="s">
        <v>6</v>
      </c>
      <c r="F32" s="7" t="s">
        <v>248</v>
      </c>
      <c r="G32">
        <v>2010</v>
      </c>
      <c r="H32" s="29" t="s">
        <v>239</v>
      </c>
      <c r="I32" s="30">
        <v>5</v>
      </c>
      <c r="J32" s="30">
        <f>(6*5*2.83)+(3*5*3.14)</f>
        <v>132</v>
      </c>
      <c r="K32" s="31">
        <v>31</v>
      </c>
      <c r="L32" s="32">
        <v>43080.690949074073</v>
      </c>
      <c r="M32" s="31" t="s">
        <v>47</v>
      </c>
      <c r="N32" s="31" t="s">
        <v>149</v>
      </c>
      <c r="O32" s="31">
        <v>1655</v>
      </c>
      <c r="P32" s="39">
        <v>140</v>
      </c>
      <c r="Q32" s="30">
        <v>47.97</v>
      </c>
      <c r="R32" s="39">
        <v>45.56</v>
      </c>
      <c r="S32" s="39">
        <v>35.1</v>
      </c>
      <c r="T32" s="33">
        <f t="shared" si="1"/>
        <v>102.43902439024392</v>
      </c>
      <c r="U32" s="33">
        <f t="shared" si="0"/>
        <v>0.77605321507760539</v>
      </c>
      <c r="V32" s="7"/>
      <c r="W32" s="38"/>
      <c r="X32" s="7"/>
      <c r="Y32" s="7"/>
      <c r="Z32" s="38"/>
      <c r="AA32" s="38"/>
      <c r="AB32" s="7"/>
      <c r="AC32" s="7"/>
      <c r="AE32" s="36">
        <v>3.07</v>
      </c>
      <c r="AF32" s="54"/>
      <c r="AG32" s="36">
        <v>0.29299999999999998</v>
      </c>
      <c r="AH32" s="37">
        <v>7.09</v>
      </c>
      <c r="AI32" s="7"/>
      <c r="AJ32" s="7"/>
      <c r="AK32" s="7"/>
      <c r="AL32" s="7"/>
      <c r="AM32" s="7"/>
    </row>
    <row r="33" spans="1:39" x14ac:dyDescent="0.2">
      <c r="A33" s="7">
        <v>32</v>
      </c>
      <c r="B33" s="7" t="s">
        <v>228</v>
      </c>
      <c r="C33" s="7" t="s">
        <v>1</v>
      </c>
      <c r="D33" s="7" t="s">
        <v>9</v>
      </c>
      <c r="E33" s="7" t="s">
        <v>6</v>
      </c>
      <c r="F33" s="7" t="s">
        <v>248</v>
      </c>
      <c r="G33">
        <v>2010</v>
      </c>
      <c r="H33" s="29" t="s">
        <v>240</v>
      </c>
      <c r="I33" s="30">
        <f>(6.5+18+5)/3</f>
        <v>9.8333333333333339</v>
      </c>
      <c r="J33" s="30">
        <f>(3*(I33-5)*3.14)</f>
        <v>45.530000000000008</v>
      </c>
      <c r="K33" s="31">
        <v>31</v>
      </c>
      <c r="L33" s="32">
        <v>43080.690949074073</v>
      </c>
      <c r="M33" s="31" t="s">
        <v>47</v>
      </c>
      <c r="N33" s="31" t="s">
        <v>149</v>
      </c>
      <c r="O33" s="31">
        <v>1655</v>
      </c>
      <c r="P33" s="39">
        <v>91</v>
      </c>
      <c r="Q33" s="30">
        <v>48.04</v>
      </c>
      <c r="R33" s="39">
        <v>44.9</v>
      </c>
      <c r="S33" s="39">
        <v>36.700000000000003</v>
      </c>
      <c r="T33" s="33">
        <f t="shared" si="1"/>
        <v>69.519150707743549</v>
      </c>
      <c r="U33" s="33">
        <f t="shared" si="0"/>
        <v>1.5268866836754564</v>
      </c>
      <c r="V33" s="7"/>
      <c r="W33" s="38"/>
      <c r="X33" s="7"/>
      <c r="Y33" s="7"/>
      <c r="Z33" s="38"/>
      <c r="AA33" s="38"/>
      <c r="AB33" s="7"/>
      <c r="AC33" s="7"/>
      <c r="AE33" s="36">
        <v>2.17</v>
      </c>
      <c r="AF33" s="54"/>
      <c r="AG33" s="36">
        <v>0.18340000000000001</v>
      </c>
      <c r="AH33" s="37">
        <v>7.59</v>
      </c>
      <c r="AI33" s="7"/>
      <c r="AJ33" s="7"/>
      <c r="AK33" s="7"/>
      <c r="AL33" s="7"/>
      <c r="AM33" s="7"/>
    </row>
    <row r="34" spans="1:39" x14ac:dyDescent="0.2">
      <c r="A34" s="7">
        <v>33</v>
      </c>
      <c r="B34" s="7" t="s">
        <v>229</v>
      </c>
      <c r="C34" s="7" t="s">
        <v>10</v>
      </c>
      <c r="D34" s="7" t="s">
        <v>2</v>
      </c>
      <c r="E34" s="7" t="s">
        <v>3</v>
      </c>
      <c r="F34" s="7" t="s">
        <v>249</v>
      </c>
      <c r="G34">
        <v>2004</v>
      </c>
      <c r="H34" s="29" t="s">
        <v>239</v>
      </c>
      <c r="I34" s="30">
        <v>5</v>
      </c>
      <c r="J34" s="30">
        <f>(6*5*2.83)+(3*5*3.14)</f>
        <v>132</v>
      </c>
      <c r="K34" s="31">
        <v>21</v>
      </c>
      <c r="L34" s="32">
        <v>43080.466122685182</v>
      </c>
      <c r="M34" s="31" t="s">
        <v>38</v>
      </c>
      <c r="N34" s="31" t="s">
        <v>142</v>
      </c>
      <c r="O34" s="31">
        <v>1667</v>
      </c>
      <c r="P34" s="31">
        <v>145</v>
      </c>
      <c r="Q34" s="30">
        <v>99.61</v>
      </c>
      <c r="R34" s="39">
        <v>88.82</v>
      </c>
      <c r="S34" s="39">
        <v>88.82</v>
      </c>
      <c r="T34" s="33">
        <f t="shared" si="1"/>
        <v>129.29324365023592</v>
      </c>
      <c r="U34" s="33">
        <f t="shared" si="0"/>
        <v>0.97949427007754486</v>
      </c>
      <c r="V34" s="34">
        <v>94.02</v>
      </c>
      <c r="W34" s="35">
        <f>+T34*(V34/100)/J34</f>
        <v>0.92092051272690756</v>
      </c>
      <c r="X34" s="34">
        <v>9.3000000000000007</v>
      </c>
      <c r="Y34" s="34">
        <v>12.249000000000001</v>
      </c>
      <c r="Z34" s="35">
        <f>1-(X34/Y34)</f>
        <v>0.24075434729365663</v>
      </c>
      <c r="AA34" s="35">
        <f>+X34/Y34</f>
        <v>0.75924565270634337</v>
      </c>
      <c r="AB34" s="19">
        <v>62</v>
      </c>
      <c r="AC34" s="19">
        <v>26</v>
      </c>
      <c r="AD34" s="19">
        <v>12</v>
      </c>
      <c r="AE34" s="36">
        <v>3.71</v>
      </c>
      <c r="AF34" s="53">
        <f>+AE34*AA34</f>
        <v>2.8168013715405338</v>
      </c>
      <c r="AG34" s="36">
        <v>0.36730000000000002</v>
      </c>
      <c r="AH34" s="37">
        <v>7.22</v>
      </c>
      <c r="AI34" s="7">
        <v>70.73</v>
      </c>
      <c r="AJ34" s="19">
        <v>2.8</v>
      </c>
      <c r="AK34" s="19">
        <v>1.6</v>
      </c>
      <c r="AL34" s="19">
        <v>0.37</v>
      </c>
      <c r="AM34" s="19">
        <v>15</v>
      </c>
    </row>
    <row r="35" spans="1:39" x14ac:dyDescent="0.2">
      <c r="A35" s="7">
        <v>34</v>
      </c>
      <c r="B35" s="7" t="s">
        <v>229</v>
      </c>
      <c r="C35" s="7" t="s">
        <v>10</v>
      </c>
      <c r="D35" s="7" t="s">
        <v>2</v>
      </c>
      <c r="E35" s="7" t="s">
        <v>3</v>
      </c>
      <c r="F35" s="7" t="s">
        <v>249</v>
      </c>
      <c r="G35">
        <v>2004</v>
      </c>
      <c r="H35" s="29" t="s">
        <v>240</v>
      </c>
      <c r="I35" s="30">
        <f>(17.5+17.5+17.5)/3</f>
        <v>17.5</v>
      </c>
      <c r="J35" s="30">
        <f>(3*(I35-5)*3.14)</f>
        <v>117.75</v>
      </c>
      <c r="K35" s="31">
        <v>21</v>
      </c>
      <c r="L35" s="32">
        <v>43080.466122685182</v>
      </c>
      <c r="M35" s="31" t="s">
        <v>38</v>
      </c>
      <c r="N35" s="31" t="s">
        <v>142</v>
      </c>
      <c r="O35" s="31">
        <v>1667</v>
      </c>
      <c r="P35" s="31">
        <v>146</v>
      </c>
      <c r="Q35" s="30">
        <v>97.8</v>
      </c>
      <c r="R35" s="39">
        <v>83.86</v>
      </c>
      <c r="S35" s="39">
        <v>83.86</v>
      </c>
      <c r="T35" s="33">
        <f t="shared" si="1"/>
        <v>125.18977505112474</v>
      </c>
      <c r="U35" s="33">
        <f t="shared" si="0"/>
        <v>1.063182802981951</v>
      </c>
      <c r="V35" s="34">
        <v>93.64</v>
      </c>
      <c r="W35" s="35">
        <f>+T35*(V35/100)/J35</f>
        <v>0.99556437671229903</v>
      </c>
      <c r="X35" s="34">
        <v>8.17</v>
      </c>
      <c r="Y35" s="34">
        <v>11.34</v>
      </c>
      <c r="Z35" s="35">
        <f>1-(X35/Y35)</f>
        <v>0.27954144620811283</v>
      </c>
      <c r="AA35" s="35">
        <f>+X35/Y35</f>
        <v>0.72045855379188717</v>
      </c>
      <c r="AB35" s="19">
        <v>62</v>
      </c>
      <c r="AC35" s="19">
        <v>26</v>
      </c>
      <c r="AD35" s="19">
        <v>12</v>
      </c>
      <c r="AE35" s="36">
        <v>2.58</v>
      </c>
      <c r="AF35" s="53">
        <f>+AE35*AA35</f>
        <v>1.8587830687830689</v>
      </c>
      <c r="AG35" s="36">
        <v>0.24379999999999999</v>
      </c>
      <c r="AH35" s="37">
        <v>7.18</v>
      </c>
      <c r="AI35" s="7">
        <v>65.010000000000005</v>
      </c>
      <c r="AJ35" s="19">
        <v>2.7</v>
      </c>
      <c r="AK35" s="19">
        <v>1.5</v>
      </c>
      <c r="AL35" s="19">
        <v>0.28999999999999998</v>
      </c>
      <c r="AM35" s="19" t="s">
        <v>245</v>
      </c>
    </row>
    <row r="36" spans="1:39" x14ac:dyDescent="0.2">
      <c r="A36" s="7">
        <v>35</v>
      </c>
      <c r="B36" s="7" t="s">
        <v>229</v>
      </c>
      <c r="C36" s="7" t="s">
        <v>10</v>
      </c>
      <c r="D36" s="7" t="s">
        <v>2</v>
      </c>
      <c r="E36" s="7" t="s">
        <v>4</v>
      </c>
      <c r="F36" s="7" t="s">
        <v>249</v>
      </c>
      <c r="G36">
        <v>2004</v>
      </c>
      <c r="H36" s="29" t="s">
        <v>239</v>
      </c>
      <c r="I36" s="30">
        <v>5</v>
      </c>
      <c r="J36" s="30">
        <f>(6*5*2.83)+(3*5*3.14)</f>
        <v>132</v>
      </c>
      <c r="K36" s="31">
        <v>22</v>
      </c>
      <c r="L36" s="32">
        <v>43080.475277777776</v>
      </c>
      <c r="M36" s="31" t="s">
        <v>39</v>
      </c>
      <c r="N36" s="31" t="s">
        <v>143</v>
      </c>
      <c r="O36" s="31">
        <v>1666</v>
      </c>
      <c r="P36" s="31">
        <v>140</v>
      </c>
      <c r="Q36" s="30">
        <v>50.14</v>
      </c>
      <c r="R36" s="39">
        <v>45.3</v>
      </c>
      <c r="S36" s="39">
        <v>45.3</v>
      </c>
      <c r="T36" s="33">
        <f t="shared" si="1"/>
        <v>126.48583964898283</v>
      </c>
      <c r="U36" s="33">
        <f t="shared" si="0"/>
        <v>0.95822605794683968</v>
      </c>
      <c r="V36" s="7"/>
      <c r="W36" s="38"/>
      <c r="X36" s="7"/>
      <c r="Y36" s="7"/>
      <c r="Z36" s="38"/>
      <c r="AA36" s="38"/>
      <c r="AB36" s="7"/>
      <c r="AC36" s="7"/>
      <c r="AE36" s="36">
        <v>3.5</v>
      </c>
      <c r="AF36" s="54"/>
      <c r="AG36" s="36">
        <v>0.35809999999999997</v>
      </c>
      <c r="AH36" s="37">
        <v>7.38</v>
      </c>
      <c r="AI36" s="7"/>
      <c r="AJ36" s="7"/>
      <c r="AK36" s="7"/>
      <c r="AL36" s="7"/>
      <c r="AM36" s="7"/>
    </row>
    <row r="37" spans="1:39" x14ac:dyDescent="0.2">
      <c r="A37" s="7">
        <v>36</v>
      </c>
      <c r="B37" s="7" t="s">
        <v>229</v>
      </c>
      <c r="C37" s="7" t="s">
        <v>10</v>
      </c>
      <c r="D37" s="7" t="s">
        <v>2</v>
      </c>
      <c r="E37" s="7" t="s">
        <v>4</v>
      </c>
      <c r="F37" s="7" t="s">
        <v>249</v>
      </c>
      <c r="G37">
        <v>2004</v>
      </c>
      <c r="H37" s="29" t="s">
        <v>240</v>
      </c>
      <c r="I37" s="30">
        <f>(18+17+16.5)/3</f>
        <v>17.166666666666668</v>
      </c>
      <c r="J37" s="30">
        <f>(3*(I37-5)*3.14)</f>
        <v>114.61</v>
      </c>
      <c r="K37" s="31">
        <v>22</v>
      </c>
      <c r="L37" s="32">
        <v>43080.475277777776</v>
      </c>
      <c r="M37" s="31" t="s">
        <v>39</v>
      </c>
      <c r="N37" s="31" t="s">
        <v>143</v>
      </c>
      <c r="O37" s="31">
        <v>1666</v>
      </c>
      <c r="P37" s="39">
        <v>146</v>
      </c>
      <c r="Q37" s="30">
        <v>48.75</v>
      </c>
      <c r="R37" s="39">
        <v>42.08</v>
      </c>
      <c r="S37" s="39">
        <v>42.08</v>
      </c>
      <c r="T37" s="33">
        <f t="shared" si="1"/>
        <v>126.02420512820512</v>
      </c>
      <c r="U37" s="33">
        <f t="shared" si="0"/>
        <v>1.0995917034133595</v>
      </c>
      <c r="V37" s="7"/>
      <c r="W37" s="38"/>
      <c r="X37" s="7"/>
      <c r="Y37" s="7"/>
      <c r="Z37" s="38"/>
      <c r="AA37" s="38"/>
      <c r="AB37" s="7"/>
      <c r="AC37" s="7"/>
      <c r="AE37" s="36">
        <v>2.72</v>
      </c>
      <c r="AF37" s="54"/>
      <c r="AG37" s="36">
        <v>0.23930000000000001</v>
      </c>
      <c r="AH37" s="37">
        <v>7.3109999999999999</v>
      </c>
      <c r="AI37" s="7"/>
      <c r="AJ37" s="7"/>
      <c r="AK37" s="7"/>
      <c r="AL37" s="7"/>
      <c r="AM37" s="7"/>
    </row>
    <row r="38" spans="1:39" x14ac:dyDescent="0.2">
      <c r="A38" s="7">
        <v>37</v>
      </c>
      <c r="B38" s="7" t="s">
        <v>229</v>
      </c>
      <c r="C38" s="7" t="s">
        <v>10</v>
      </c>
      <c r="D38" s="7" t="s">
        <v>2</v>
      </c>
      <c r="E38" s="7" t="s">
        <v>5</v>
      </c>
      <c r="F38" s="7" t="s">
        <v>249</v>
      </c>
      <c r="G38">
        <v>2004</v>
      </c>
      <c r="H38" s="29" t="s">
        <v>239</v>
      </c>
      <c r="I38" s="30">
        <v>5</v>
      </c>
      <c r="J38" s="30">
        <f>(6*5*2.83)+(3*5*3.14)</f>
        <v>132</v>
      </c>
      <c r="K38" s="31">
        <v>23</v>
      </c>
      <c r="L38" s="32">
        <v>43080.477337962962</v>
      </c>
      <c r="M38" s="31" t="s">
        <v>40</v>
      </c>
      <c r="N38" s="31" t="s">
        <v>144</v>
      </c>
      <c r="O38" s="31">
        <v>1668</v>
      </c>
      <c r="P38" s="39">
        <v>157</v>
      </c>
      <c r="Q38" s="30">
        <v>48.6</v>
      </c>
      <c r="R38" s="39">
        <v>43.6</v>
      </c>
      <c r="S38" s="39">
        <v>43.6</v>
      </c>
      <c r="T38" s="33">
        <f t="shared" si="1"/>
        <v>140.84773662551441</v>
      </c>
      <c r="U38" s="33">
        <f t="shared" si="0"/>
        <v>1.0670283077690486</v>
      </c>
      <c r="V38" s="7"/>
      <c r="W38" s="38"/>
      <c r="X38" s="7"/>
      <c r="Y38" s="7"/>
      <c r="Z38" s="38"/>
      <c r="AA38" s="38"/>
      <c r="AB38" s="7"/>
      <c r="AC38" s="7"/>
      <c r="AE38" s="36">
        <v>3.31</v>
      </c>
      <c r="AF38" s="54"/>
      <c r="AG38" s="36">
        <v>0.33739999999999998</v>
      </c>
      <c r="AH38" s="37">
        <v>7.04</v>
      </c>
      <c r="AI38" s="7"/>
      <c r="AJ38" s="7"/>
      <c r="AK38" s="7"/>
      <c r="AL38" s="7"/>
      <c r="AM38" s="7"/>
    </row>
    <row r="39" spans="1:39" x14ac:dyDescent="0.2">
      <c r="A39" s="7">
        <v>38</v>
      </c>
      <c r="B39" s="7" t="s">
        <v>229</v>
      </c>
      <c r="C39" s="7" t="s">
        <v>10</v>
      </c>
      <c r="D39" s="7" t="s">
        <v>2</v>
      </c>
      <c r="E39" s="7" t="s">
        <v>5</v>
      </c>
      <c r="F39" s="7" t="s">
        <v>249</v>
      </c>
      <c r="G39">
        <v>2004</v>
      </c>
      <c r="H39" s="29" t="s">
        <v>240</v>
      </c>
      <c r="I39" s="30">
        <f>(20+20+15.5)/3</f>
        <v>18.5</v>
      </c>
      <c r="J39" s="30">
        <f>(3*(I39-5)*3.14)</f>
        <v>127.17</v>
      </c>
      <c r="K39" s="31">
        <v>23</v>
      </c>
      <c r="L39" s="32">
        <v>43080.477337962962</v>
      </c>
      <c r="M39" s="31" t="s">
        <v>40</v>
      </c>
      <c r="N39" s="31" t="s">
        <v>144</v>
      </c>
      <c r="O39" s="31">
        <v>1668</v>
      </c>
      <c r="P39" s="39">
        <v>134.5</v>
      </c>
      <c r="Q39" s="30">
        <v>52.37</v>
      </c>
      <c r="R39" s="39">
        <v>45.08</v>
      </c>
      <c r="S39" s="39">
        <v>45.08</v>
      </c>
      <c r="T39" s="33">
        <f t="shared" si="1"/>
        <v>115.77735344662976</v>
      </c>
      <c r="U39" s="33">
        <f t="shared" si="0"/>
        <v>0.91041403984139146</v>
      </c>
      <c r="V39" s="7"/>
      <c r="W39" s="38"/>
      <c r="X39" s="7"/>
      <c r="Y39" s="7"/>
      <c r="Z39" s="38"/>
      <c r="AA39" s="38"/>
      <c r="AB39" s="7"/>
      <c r="AC39" s="7"/>
      <c r="AE39" s="36">
        <v>2.67</v>
      </c>
      <c r="AF39" s="54"/>
      <c r="AG39" s="36">
        <v>0.23549999999999999</v>
      </c>
      <c r="AH39" s="37">
        <v>7.1</v>
      </c>
      <c r="AI39" s="7"/>
      <c r="AJ39" s="7"/>
      <c r="AK39" s="7"/>
      <c r="AL39" s="7"/>
      <c r="AM39" s="7"/>
    </row>
    <row r="40" spans="1:39" x14ac:dyDescent="0.2">
      <c r="A40" s="7">
        <v>39</v>
      </c>
      <c r="B40" s="7" t="s">
        <v>229</v>
      </c>
      <c r="C40" s="7" t="s">
        <v>10</v>
      </c>
      <c r="D40" s="7" t="s">
        <v>2</v>
      </c>
      <c r="E40" s="7" t="s">
        <v>6</v>
      </c>
      <c r="F40" s="7" t="s">
        <v>249</v>
      </c>
      <c r="G40">
        <v>2004</v>
      </c>
      <c r="H40" s="29" t="s">
        <v>239</v>
      </c>
      <c r="I40" s="30">
        <v>5</v>
      </c>
      <c r="J40" s="30">
        <f>(6*5*2.83)+(3*5*3.14)</f>
        <v>132</v>
      </c>
      <c r="K40" s="31">
        <v>24</v>
      </c>
      <c r="L40" s="32">
        <v>43080.484837962962</v>
      </c>
      <c r="M40" s="31" t="s">
        <v>41</v>
      </c>
      <c r="N40" s="31" t="s">
        <v>145</v>
      </c>
      <c r="O40" s="31">
        <v>1667</v>
      </c>
      <c r="P40" s="39">
        <v>165</v>
      </c>
      <c r="Q40" s="30">
        <v>51.54</v>
      </c>
      <c r="R40" s="39">
        <v>46.42</v>
      </c>
      <c r="S40" s="39">
        <v>46.42</v>
      </c>
      <c r="T40" s="33">
        <f t="shared" si="1"/>
        <v>148.60884749708964</v>
      </c>
      <c r="U40" s="33">
        <f t="shared" si="0"/>
        <v>1.125824602250679</v>
      </c>
      <c r="V40" s="7"/>
      <c r="W40" s="38"/>
      <c r="X40" s="7"/>
      <c r="Y40" s="7"/>
      <c r="Z40" s="38"/>
      <c r="AA40" s="38"/>
      <c r="AB40" s="7"/>
      <c r="AC40" s="7"/>
      <c r="AE40" s="36">
        <v>3.16</v>
      </c>
      <c r="AF40" s="54"/>
      <c r="AG40" s="36">
        <v>0.29830000000000001</v>
      </c>
      <c r="AH40" s="37">
        <v>7.35</v>
      </c>
      <c r="AI40" s="7"/>
      <c r="AJ40" s="7"/>
      <c r="AK40" s="7"/>
      <c r="AL40" s="7"/>
      <c r="AM40" s="7"/>
    </row>
    <row r="41" spans="1:39" x14ac:dyDescent="0.2">
      <c r="A41" s="7">
        <v>40</v>
      </c>
      <c r="B41" s="7" t="s">
        <v>229</v>
      </c>
      <c r="C41" s="7" t="s">
        <v>10</v>
      </c>
      <c r="D41" s="7" t="s">
        <v>2</v>
      </c>
      <c r="E41" s="7" t="s">
        <v>6</v>
      </c>
      <c r="F41" s="7" t="s">
        <v>249</v>
      </c>
      <c r="G41">
        <v>2004</v>
      </c>
      <c r="H41" s="29" t="s">
        <v>240</v>
      </c>
      <c r="I41" s="30">
        <f>(18+18+16)/3</f>
        <v>17.333333333333332</v>
      </c>
      <c r="J41" s="30">
        <f>(3*(I41-5)*3.14)</f>
        <v>116.18</v>
      </c>
      <c r="K41" s="31">
        <v>24</v>
      </c>
      <c r="L41" s="32">
        <v>43080.484837962962</v>
      </c>
      <c r="M41" s="31" t="s">
        <v>41</v>
      </c>
      <c r="N41" s="31" t="s">
        <v>145</v>
      </c>
      <c r="O41" s="31">
        <v>1667</v>
      </c>
      <c r="P41" s="39">
        <v>165</v>
      </c>
      <c r="Q41" s="30">
        <v>50.13</v>
      </c>
      <c r="R41" s="39">
        <v>43.65</v>
      </c>
      <c r="S41" s="39">
        <v>43.65</v>
      </c>
      <c r="T41" s="33">
        <f t="shared" si="1"/>
        <v>143.67145421903049</v>
      </c>
      <c r="U41" s="33">
        <f t="shared" si="0"/>
        <v>1.23662811343631</v>
      </c>
      <c r="V41" s="7"/>
      <c r="W41" s="38"/>
      <c r="X41" s="7"/>
      <c r="Y41" s="7"/>
      <c r="Z41" s="38"/>
      <c r="AA41" s="38"/>
      <c r="AB41" s="7"/>
      <c r="AC41" s="7"/>
      <c r="AE41" s="36">
        <v>2.75</v>
      </c>
      <c r="AF41" s="54"/>
      <c r="AG41" s="36">
        <v>0.25580000000000003</v>
      </c>
      <c r="AH41" s="37">
        <v>7.3</v>
      </c>
      <c r="AI41" s="7"/>
      <c r="AJ41" s="7"/>
      <c r="AK41" s="7"/>
      <c r="AL41" s="7"/>
      <c r="AM41" s="7"/>
    </row>
    <row r="42" spans="1:39" x14ac:dyDescent="0.2">
      <c r="A42" s="7">
        <v>41</v>
      </c>
      <c r="B42" s="7" t="s">
        <v>229</v>
      </c>
      <c r="C42" s="7" t="s">
        <v>10</v>
      </c>
      <c r="D42" s="7" t="s">
        <v>7</v>
      </c>
      <c r="E42" s="7" t="s">
        <v>3</v>
      </c>
      <c r="F42" s="7" t="s">
        <v>249</v>
      </c>
      <c r="G42">
        <v>2004</v>
      </c>
      <c r="H42" s="29" t="s">
        <v>239</v>
      </c>
      <c r="I42" s="30">
        <v>5</v>
      </c>
      <c r="J42" s="30">
        <f>(6*5*2.83)+(3*5*3.14)</f>
        <v>132</v>
      </c>
      <c r="K42" s="31">
        <v>25</v>
      </c>
      <c r="L42" s="32">
        <v>43080.505543981482</v>
      </c>
      <c r="M42" s="31" t="s">
        <v>42</v>
      </c>
      <c r="N42" s="31" t="s">
        <v>146</v>
      </c>
      <c r="O42" s="31">
        <v>1668</v>
      </c>
      <c r="P42" s="39">
        <v>139</v>
      </c>
      <c r="Q42" s="30">
        <v>103.04</v>
      </c>
      <c r="R42" s="39">
        <v>95.04</v>
      </c>
      <c r="S42" s="39">
        <v>95.04</v>
      </c>
      <c r="T42" s="33">
        <f t="shared" si="1"/>
        <v>128.20807453416148</v>
      </c>
      <c r="U42" s="33">
        <f t="shared" si="0"/>
        <v>0.97127329192546574</v>
      </c>
      <c r="V42" s="7"/>
      <c r="W42" s="38"/>
      <c r="X42" s="7"/>
      <c r="Y42" s="7"/>
      <c r="Z42" s="38"/>
      <c r="AA42" s="38"/>
      <c r="AB42" s="7"/>
      <c r="AC42" s="7"/>
      <c r="AE42" s="36">
        <v>2.97</v>
      </c>
      <c r="AF42" s="54"/>
      <c r="AG42" s="36">
        <v>0.26619999999999999</v>
      </c>
      <c r="AH42" s="37">
        <v>7.32</v>
      </c>
      <c r="AI42" s="37"/>
      <c r="AJ42" s="7"/>
      <c r="AK42" s="7"/>
      <c r="AL42" s="7"/>
      <c r="AM42" s="37"/>
    </row>
    <row r="43" spans="1:39" x14ac:dyDescent="0.2">
      <c r="A43" s="7">
        <v>42</v>
      </c>
      <c r="B43" s="7" t="s">
        <v>229</v>
      </c>
      <c r="C43" s="7" t="s">
        <v>10</v>
      </c>
      <c r="D43" s="7" t="s">
        <v>7</v>
      </c>
      <c r="E43" s="7" t="s">
        <v>3</v>
      </c>
      <c r="F43" s="7" t="s">
        <v>249</v>
      </c>
      <c r="G43">
        <v>2004</v>
      </c>
      <c r="H43" s="29" t="s">
        <v>240</v>
      </c>
      <c r="I43" s="30">
        <f>(18+15.5+15)/3</f>
        <v>16.166666666666668</v>
      </c>
      <c r="J43" s="30">
        <f>(3*(I43-5)*3.14)</f>
        <v>105.19</v>
      </c>
      <c r="K43" s="31">
        <v>25</v>
      </c>
      <c r="L43" s="32">
        <v>43080.505543981482</v>
      </c>
      <c r="M43" s="31" t="s">
        <v>42</v>
      </c>
      <c r="N43" s="31" t="s">
        <v>146</v>
      </c>
      <c r="O43" s="31">
        <v>1668</v>
      </c>
      <c r="P43" s="39">
        <v>156</v>
      </c>
      <c r="Q43" s="30">
        <v>96.36</v>
      </c>
      <c r="R43" s="39">
        <v>86.6</v>
      </c>
      <c r="S43" s="39">
        <v>86.6</v>
      </c>
      <c r="T43" s="33">
        <f t="shared" si="1"/>
        <v>140.19925280199251</v>
      </c>
      <c r="U43" s="33">
        <f t="shared" si="0"/>
        <v>1.3328192109705534</v>
      </c>
      <c r="V43" s="7"/>
      <c r="W43" s="38"/>
      <c r="X43" s="7"/>
      <c r="Y43" s="7"/>
      <c r="Z43" s="38"/>
      <c r="AA43" s="38"/>
      <c r="AB43" s="7"/>
      <c r="AC43" s="7"/>
      <c r="AE43" s="36">
        <v>2.5</v>
      </c>
      <c r="AF43" s="54"/>
      <c r="AG43" s="36">
        <v>0.2447</v>
      </c>
      <c r="AH43" s="37">
        <v>7.49</v>
      </c>
      <c r="AI43" s="37"/>
      <c r="AJ43" s="7"/>
      <c r="AK43" s="7"/>
      <c r="AL43" s="7"/>
      <c r="AM43" s="37"/>
    </row>
    <row r="44" spans="1:39" x14ac:dyDescent="0.2">
      <c r="A44" s="7">
        <v>43</v>
      </c>
      <c r="B44" s="7" t="s">
        <v>229</v>
      </c>
      <c r="C44" s="7" t="s">
        <v>10</v>
      </c>
      <c r="D44" s="7" t="s">
        <v>7</v>
      </c>
      <c r="E44" s="7" t="s">
        <v>4</v>
      </c>
      <c r="F44" s="7" t="s">
        <v>249</v>
      </c>
      <c r="G44">
        <v>2004</v>
      </c>
      <c r="H44" s="29" t="s">
        <v>239</v>
      </c>
      <c r="I44" s="30">
        <v>5</v>
      </c>
      <c r="J44" s="30">
        <f>(6*5*2.83)+(3*5*3.14)</f>
        <v>132</v>
      </c>
      <c r="K44" s="31">
        <v>26</v>
      </c>
      <c r="L44" s="32">
        <v>43080.517233796294</v>
      </c>
      <c r="M44" s="31" t="s">
        <v>43</v>
      </c>
      <c r="N44" s="31" t="s">
        <v>147</v>
      </c>
      <c r="O44" s="31">
        <v>1668</v>
      </c>
      <c r="P44" s="39">
        <v>135</v>
      </c>
      <c r="Q44" s="30">
        <v>49.79</v>
      </c>
      <c r="R44" s="39">
        <v>46.14</v>
      </c>
      <c r="S44" s="39">
        <v>46.14</v>
      </c>
      <c r="T44" s="33">
        <f t="shared" si="1"/>
        <v>125.10343442458324</v>
      </c>
      <c r="U44" s="33">
        <f t="shared" si="0"/>
        <v>0.94775329109532758</v>
      </c>
      <c r="V44" s="7"/>
      <c r="W44" s="38"/>
      <c r="X44" s="7"/>
      <c r="Y44" s="7"/>
      <c r="Z44" s="38"/>
      <c r="AA44" s="38"/>
      <c r="AB44" s="7"/>
      <c r="AC44" s="7"/>
      <c r="AE44" s="36">
        <v>3.2</v>
      </c>
      <c r="AF44" s="54"/>
      <c r="AG44" s="36">
        <v>0.31830000000000003</v>
      </c>
      <c r="AH44" s="37">
        <v>7.44</v>
      </c>
      <c r="AI44" s="7"/>
      <c r="AJ44" s="7"/>
      <c r="AK44" s="7"/>
      <c r="AL44" s="7"/>
      <c r="AM44" s="7"/>
    </row>
    <row r="45" spans="1:39" x14ac:dyDescent="0.2">
      <c r="A45" s="7">
        <v>44</v>
      </c>
      <c r="B45" s="7" t="s">
        <v>229</v>
      </c>
      <c r="C45" s="7" t="s">
        <v>10</v>
      </c>
      <c r="D45" s="7" t="s">
        <v>7</v>
      </c>
      <c r="E45" s="7" t="s">
        <v>4</v>
      </c>
      <c r="F45" s="7" t="s">
        <v>249</v>
      </c>
      <c r="G45">
        <v>2004</v>
      </c>
      <c r="H45" s="29" t="s">
        <v>240</v>
      </c>
      <c r="I45" s="30">
        <f>(13+18.5+15)/3</f>
        <v>15.5</v>
      </c>
      <c r="J45" s="30">
        <f>(3*(I45-5)*3.14)</f>
        <v>98.910000000000011</v>
      </c>
      <c r="K45" s="31">
        <v>26</v>
      </c>
      <c r="L45" s="32">
        <v>43080.517233796294</v>
      </c>
      <c r="M45" s="31" t="s">
        <v>43</v>
      </c>
      <c r="N45" s="31" t="s">
        <v>147</v>
      </c>
      <c r="O45" s="31">
        <v>1668</v>
      </c>
      <c r="P45" s="39">
        <v>130.5</v>
      </c>
      <c r="Q45" s="30">
        <v>50.92</v>
      </c>
      <c r="R45" s="39">
        <v>45.22</v>
      </c>
      <c r="S45" s="39">
        <v>45.22</v>
      </c>
      <c r="T45" s="33">
        <f t="shared" si="1"/>
        <v>115.89179104477611</v>
      </c>
      <c r="U45" s="33">
        <f t="shared" si="0"/>
        <v>1.1716893240802355</v>
      </c>
      <c r="V45" s="7"/>
      <c r="W45" s="38"/>
      <c r="X45" s="7"/>
      <c r="Y45" s="7"/>
      <c r="Z45" s="38"/>
      <c r="AA45" s="38"/>
      <c r="AB45" s="7"/>
      <c r="AC45" s="7"/>
      <c r="AE45" s="36">
        <v>2.42</v>
      </c>
      <c r="AF45" s="54"/>
      <c r="AG45" s="36">
        <v>0.2298</v>
      </c>
      <c r="AH45" s="37">
        <v>7.45</v>
      </c>
      <c r="AI45" s="7"/>
      <c r="AJ45" s="7"/>
      <c r="AK45" s="7"/>
      <c r="AL45" s="7"/>
      <c r="AM45" s="7"/>
    </row>
    <row r="46" spans="1:39" x14ac:dyDescent="0.2">
      <c r="A46" s="7">
        <v>45</v>
      </c>
      <c r="B46" s="7" t="s">
        <v>229</v>
      </c>
      <c r="C46" s="7" t="s">
        <v>10</v>
      </c>
      <c r="D46" s="7" t="s">
        <v>7</v>
      </c>
      <c r="E46" s="7" t="s">
        <v>5</v>
      </c>
      <c r="F46" s="7" t="s">
        <v>249</v>
      </c>
      <c r="G46">
        <v>2004</v>
      </c>
      <c r="H46" s="29" t="s">
        <v>239</v>
      </c>
      <c r="I46" s="30">
        <v>5</v>
      </c>
      <c r="J46" s="30">
        <f>(6*5*2.83)+(3*5*3.14)</f>
        <v>132</v>
      </c>
      <c r="K46" s="31">
        <v>27</v>
      </c>
      <c r="L46" s="32">
        <v>43080.51771990741</v>
      </c>
      <c r="M46" s="31" t="s">
        <v>43</v>
      </c>
      <c r="N46" s="31" t="s">
        <v>148</v>
      </c>
      <c r="O46" s="31">
        <v>1667</v>
      </c>
      <c r="P46" s="39">
        <v>149</v>
      </c>
      <c r="Q46" s="30">
        <v>54.53</v>
      </c>
      <c r="R46" s="39">
        <v>50.28</v>
      </c>
      <c r="S46" s="39">
        <v>50.28</v>
      </c>
      <c r="T46" s="33">
        <f t="shared" si="1"/>
        <v>137.38712635246654</v>
      </c>
      <c r="U46" s="33">
        <f t="shared" si="0"/>
        <v>1.0408115632762616</v>
      </c>
      <c r="V46" s="7"/>
      <c r="W46" s="38"/>
      <c r="X46" s="7"/>
      <c r="Y46" s="7"/>
      <c r="Z46" s="38"/>
      <c r="AA46" s="38"/>
      <c r="AB46" s="7"/>
      <c r="AC46" s="7"/>
      <c r="AE46" s="36">
        <v>2.93</v>
      </c>
      <c r="AF46" s="54"/>
      <c r="AG46" s="36">
        <v>0.31209999999999999</v>
      </c>
      <c r="AH46" s="37">
        <v>7.16</v>
      </c>
      <c r="AI46" s="7"/>
      <c r="AJ46" s="7"/>
      <c r="AK46" s="7"/>
      <c r="AL46" s="7"/>
      <c r="AM46" s="7"/>
    </row>
    <row r="47" spans="1:39" x14ac:dyDescent="0.2">
      <c r="A47" s="7">
        <v>46</v>
      </c>
      <c r="B47" s="7" t="s">
        <v>229</v>
      </c>
      <c r="C47" s="7" t="s">
        <v>10</v>
      </c>
      <c r="D47" s="7" t="s">
        <v>7</v>
      </c>
      <c r="E47" s="7" t="s">
        <v>5</v>
      </c>
      <c r="F47" s="7" t="s">
        <v>249</v>
      </c>
      <c r="G47">
        <v>2004</v>
      </c>
      <c r="H47" s="29" t="s">
        <v>240</v>
      </c>
      <c r="I47" s="30">
        <f>(20+16+16.5)/3</f>
        <v>17.5</v>
      </c>
      <c r="J47" s="30">
        <f>(3*(I47-5)*3.14)</f>
        <v>117.75</v>
      </c>
      <c r="K47" s="31">
        <v>27</v>
      </c>
      <c r="L47" s="32">
        <v>43080.51771990741</v>
      </c>
      <c r="M47" s="31" t="s">
        <v>43</v>
      </c>
      <c r="N47" s="31" t="s">
        <v>148</v>
      </c>
      <c r="O47" s="31">
        <v>1667</v>
      </c>
      <c r="P47" s="39">
        <v>147</v>
      </c>
      <c r="Q47" s="30">
        <v>47.58</v>
      </c>
      <c r="R47" s="39">
        <v>42.16</v>
      </c>
      <c r="S47" s="39">
        <v>42.16</v>
      </c>
      <c r="T47" s="33">
        <f t="shared" si="1"/>
        <v>130.2547288776797</v>
      </c>
      <c r="U47" s="33">
        <f t="shared" si="0"/>
        <v>1.1061972728465368</v>
      </c>
      <c r="V47" s="7"/>
      <c r="W47" s="38"/>
      <c r="X47" s="7"/>
      <c r="Y47" s="7"/>
      <c r="Z47" s="38"/>
      <c r="AA47" s="38"/>
      <c r="AB47" s="7"/>
      <c r="AC47" s="7"/>
      <c r="AE47" s="36">
        <v>2.4900000000000002</v>
      </c>
      <c r="AF47" s="54"/>
      <c r="AG47" s="36">
        <v>0.23860000000000001</v>
      </c>
      <c r="AH47" s="37">
        <v>7.35</v>
      </c>
      <c r="AI47" s="7"/>
      <c r="AJ47" s="7"/>
      <c r="AK47" s="7"/>
      <c r="AL47" s="7"/>
      <c r="AM47" s="7"/>
    </row>
    <row r="48" spans="1:39" x14ac:dyDescent="0.2">
      <c r="A48" s="7">
        <v>47</v>
      </c>
      <c r="B48" s="7" t="s">
        <v>229</v>
      </c>
      <c r="C48" s="7" t="s">
        <v>10</v>
      </c>
      <c r="D48" s="7" t="s">
        <v>7</v>
      </c>
      <c r="E48" s="7" t="s">
        <v>6</v>
      </c>
      <c r="F48" s="7" t="s">
        <v>249</v>
      </c>
      <c r="G48">
        <v>2004</v>
      </c>
      <c r="H48" s="29" t="s">
        <v>239</v>
      </c>
      <c r="I48" s="30">
        <v>5</v>
      </c>
      <c r="J48" s="30">
        <f>(6*5*2.83)+(3*5*3.14)</f>
        <v>132</v>
      </c>
      <c r="K48" s="40"/>
      <c r="L48" s="32"/>
      <c r="M48" s="31"/>
      <c r="N48" s="31"/>
      <c r="O48" s="31"/>
      <c r="P48" s="39">
        <v>145.19999999999999</v>
      </c>
      <c r="Q48" s="30">
        <v>51</v>
      </c>
      <c r="R48" s="39">
        <v>47.7</v>
      </c>
      <c r="S48" s="39">
        <v>47.7</v>
      </c>
      <c r="T48" s="33">
        <f t="shared" si="1"/>
        <v>135.80470588235292</v>
      </c>
      <c r="U48" s="33">
        <f t="shared" si="0"/>
        <v>1.0288235294117645</v>
      </c>
      <c r="V48" s="7"/>
      <c r="W48" s="38"/>
      <c r="X48" s="7"/>
      <c r="Y48" s="7"/>
      <c r="Z48" s="38"/>
      <c r="AA48" s="38"/>
      <c r="AB48" s="7"/>
      <c r="AC48" s="7"/>
      <c r="AE48" s="36">
        <v>3.23</v>
      </c>
      <c r="AF48" s="54"/>
      <c r="AG48" s="36">
        <v>0.27689999999999998</v>
      </c>
      <c r="AH48" s="37">
        <v>7.65</v>
      </c>
      <c r="AI48" s="7"/>
      <c r="AJ48" s="7"/>
      <c r="AK48" s="7"/>
      <c r="AL48" s="7"/>
      <c r="AM48" s="7"/>
    </row>
    <row r="49" spans="1:39" x14ac:dyDescent="0.2">
      <c r="A49" s="7">
        <v>48</v>
      </c>
      <c r="B49" s="7" t="s">
        <v>229</v>
      </c>
      <c r="C49" s="7" t="s">
        <v>10</v>
      </c>
      <c r="D49" s="7" t="s">
        <v>7</v>
      </c>
      <c r="E49" s="7" t="s">
        <v>6</v>
      </c>
      <c r="F49" s="7" t="s">
        <v>249</v>
      </c>
      <c r="G49">
        <v>2004</v>
      </c>
      <c r="H49" s="29" t="s">
        <v>240</v>
      </c>
      <c r="I49" s="30">
        <f>(17+16+15)/3</f>
        <v>16</v>
      </c>
      <c r="J49" s="30">
        <f>(3*(I49-5)*3.14)</f>
        <v>103.62</v>
      </c>
      <c r="K49" s="31"/>
      <c r="L49" s="32"/>
      <c r="M49" s="31"/>
      <c r="N49" s="31"/>
      <c r="O49" s="31"/>
      <c r="P49" s="39">
        <v>137</v>
      </c>
      <c r="Q49" s="30">
        <v>54.05</v>
      </c>
      <c r="R49" s="39">
        <v>47.94</v>
      </c>
      <c r="S49" s="39">
        <v>47.94</v>
      </c>
      <c r="T49" s="33">
        <f t="shared" si="1"/>
        <v>121.51304347826087</v>
      </c>
      <c r="U49" s="33">
        <f t="shared" si="0"/>
        <v>1.1726794390876363</v>
      </c>
      <c r="V49" s="7"/>
      <c r="W49" s="38"/>
      <c r="X49" s="7"/>
      <c r="Y49" s="7"/>
      <c r="Z49" s="38"/>
      <c r="AA49" s="38"/>
      <c r="AB49" s="7"/>
      <c r="AC49" s="7"/>
      <c r="AE49" s="36">
        <v>2.5</v>
      </c>
      <c r="AF49" s="54"/>
      <c r="AG49" s="36">
        <v>0.21970000000000001</v>
      </c>
      <c r="AH49" s="37">
        <v>7.58</v>
      </c>
      <c r="AI49" s="7"/>
      <c r="AJ49" s="7"/>
      <c r="AK49" s="7"/>
      <c r="AL49" s="7"/>
      <c r="AM49" s="7"/>
    </row>
    <row r="50" spans="1:39" x14ac:dyDescent="0.2">
      <c r="A50" s="7">
        <v>49</v>
      </c>
      <c r="B50" s="7" t="s">
        <v>229</v>
      </c>
      <c r="C50" s="7" t="s">
        <v>10</v>
      </c>
      <c r="D50" s="7" t="s">
        <v>8</v>
      </c>
      <c r="E50" s="7" t="s">
        <v>3</v>
      </c>
      <c r="F50" s="7" t="s">
        <v>249</v>
      </c>
      <c r="G50">
        <v>2007</v>
      </c>
      <c r="H50" s="29" t="s">
        <v>239</v>
      </c>
      <c r="I50" s="30">
        <v>5</v>
      </c>
      <c r="J50" s="30">
        <f>(6*5*2.83)+(3*5*3.14)</f>
        <v>132</v>
      </c>
      <c r="K50" s="31">
        <v>13</v>
      </c>
      <c r="L50" s="32">
        <v>43080.349687499998</v>
      </c>
      <c r="M50" s="31" t="s">
        <v>30</v>
      </c>
      <c r="N50" s="31" t="s">
        <v>135</v>
      </c>
      <c r="O50" s="31">
        <v>1669</v>
      </c>
      <c r="P50" s="39">
        <v>188</v>
      </c>
      <c r="Q50" s="30">
        <v>97.7</v>
      </c>
      <c r="R50" s="39">
        <v>88.3</v>
      </c>
      <c r="S50" s="39">
        <v>88.3</v>
      </c>
      <c r="T50" s="33">
        <f t="shared" si="1"/>
        <v>169.9119754350051</v>
      </c>
      <c r="U50" s="33">
        <f t="shared" si="0"/>
        <v>1.287211935113675</v>
      </c>
      <c r="V50" s="34">
        <v>94.58</v>
      </c>
      <c r="W50" s="35">
        <f t="shared" ref="W50:W51" si="2">+T50*(V50/100)/J50</f>
        <v>1.2174450482305137</v>
      </c>
      <c r="X50" s="34">
        <v>8.48</v>
      </c>
      <c r="Y50" s="34">
        <v>10.938000000000001</v>
      </c>
      <c r="Z50" s="35">
        <f>1-(X50/Y50)</f>
        <v>0.22472115560431527</v>
      </c>
      <c r="AA50" s="35">
        <f>+X50/Y50</f>
        <v>0.77527884439568473</v>
      </c>
      <c r="AB50" s="19">
        <v>44</v>
      </c>
      <c r="AC50" s="19">
        <v>39</v>
      </c>
      <c r="AD50" s="19">
        <v>17</v>
      </c>
      <c r="AE50" s="36">
        <v>3.05</v>
      </c>
      <c r="AF50" s="53">
        <f>+AE50*AA50</f>
        <v>2.3646004754068382</v>
      </c>
      <c r="AG50" s="36">
        <v>0.27300000000000002</v>
      </c>
      <c r="AH50" s="37">
        <v>7.03</v>
      </c>
      <c r="AI50" s="7">
        <v>56.57</v>
      </c>
      <c r="AJ50" s="19">
        <v>2.5</v>
      </c>
      <c r="AK50" s="19">
        <v>1.2</v>
      </c>
      <c r="AL50" s="19">
        <v>1.2</v>
      </c>
      <c r="AM50" s="19">
        <v>44</v>
      </c>
    </row>
    <row r="51" spans="1:39" x14ac:dyDescent="0.2">
      <c r="A51" s="7">
        <v>50</v>
      </c>
      <c r="B51" s="7" t="s">
        <v>229</v>
      </c>
      <c r="C51" s="7" t="s">
        <v>10</v>
      </c>
      <c r="D51" s="7" t="s">
        <v>8</v>
      </c>
      <c r="E51" s="7" t="s">
        <v>3</v>
      </c>
      <c r="F51" s="7" t="s">
        <v>249</v>
      </c>
      <c r="G51">
        <v>2007</v>
      </c>
      <c r="H51" s="29" t="s">
        <v>240</v>
      </c>
      <c r="I51" s="30">
        <f>(17+16.5+16.5)/3</f>
        <v>16.666666666666668</v>
      </c>
      <c r="J51" s="30">
        <f>(3*(I51-5)*3.14)</f>
        <v>109.9</v>
      </c>
      <c r="K51" s="31">
        <v>13</v>
      </c>
      <c r="L51" s="32">
        <v>43080.349687499998</v>
      </c>
      <c r="M51" s="31" t="s">
        <v>30</v>
      </c>
      <c r="N51" s="31" t="s">
        <v>135</v>
      </c>
      <c r="O51" s="31">
        <v>1669</v>
      </c>
      <c r="P51" s="39">
        <v>133</v>
      </c>
      <c r="Q51" s="30">
        <v>89.41</v>
      </c>
      <c r="R51" s="39">
        <v>79.63</v>
      </c>
      <c r="S51" s="39">
        <v>79.63</v>
      </c>
      <c r="T51" s="33">
        <f t="shared" si="1"/>
        <v>118.45196286768818</v>
      </c>
      <c r="U51" s="33">
        <f t="shared" si="0"/>
        <v>1.0778158586686821</v>
      </c>
      <c r="V51" s="34">
        <v>94.64</v>
      </c>
      <c r="W51" s="35">
        <f t="shared" si="2"/>
        <v>1.0200449286440407</v>
      </c>
      <c r="X51" s="34">
        <v>7.2</v>
      </c>
      <c r="Y51" s="34">
        <v>9.8659999999999997</v>
      </c>
      <c r="Z51" s="35">
        <f>1-(X51/Y51)</f>
        <v>0.27022096087573477</v>
      </c>
      <c r="AA51" s="35">
        <f>+X51/Y51</f>
        <v>0.72977903912426523</v>
      </c>
      <c r="AB51" s="19">
        <v>45</v>
      </c>
      <c r="AC51" s="19">
        <v>39</v>
      </c>
      <c r="AD51" s="19">
        <v>16</v>
      </c>
      <c r="AE51" s="36">
        <v>2.16</v>
      </c>
      <c r="AF51" s="53">
        <f>+AE51*AA51</f>
        <v>1.576322724508413</v>
      </c>
      <c r="AG51" s="36">
        <v>0.20630000000000001</v>
      </c>
      <c r="AH51" s="37">
        <v>7.02</v>
      </c>
      <c r="AI51" s="7">
        <v>54.36</v>
      </c>
      <c r="AJ51" s="19">
        <v>2.2999999999999998</v>
      </c>
      <c r="AK51" s="19">
        <v>1</v>
      </c>
      <c r="AL51" s="19">
        <v>1.2</v>
      </c>
      <c r="AM51" s="19">
        <v>25</v>
      </c>
    </row>
    <row r="52" spans="1:39" x14ac:dyDescent="0.2">
      <c r="A52" s="7">
        <v>51</v>
      </c>
      <c r="B52" s="7" t="s">
        <v>229</v>
      </c>
      <c r="C52" s="7" t="s">
        <v>10</v>
      </c>
      <c r="D52" s="7" t="s">
        <v>8</v>
      </c>
      <c r="E52" s="7" t="s">
        <v>4</v>
      </c>
      <c r="F52" s="7" t="s">
        <v>249</v>
      </c>
      <c r="G52">
        <v>2007</v>
      </c>
      <c r="H52" s="29" t="s">
        <v>239</v>
      </c>
      <c r="I52" s="30">
        <v>5</v>
      </c>
      <c r="J52" s="30">
        <f>(6*5*2.83)+(3*5*3.14)</f>
        <v>132</v>
      </c>
      <c r="K52" s="31">
        <v>14</v>
      </c>
      <c r="L52" s="32">
        <v>43080.357453703706</v>
      </c>
      <c r="M52" s="31" t="s">
        <v>31</v>
      </c>
      <c r="N52" s="31" t="s">
        <v>136</v>
      </c>
      <c r="O52" s="31">
        <v>1670</v>
      </c>
      <c r="P52" s="39">
        <v>159</v>
      </c>
      <c r="Q52" s="30">
        <v>50.29</v>
      </c>
      <c r="R52" s="39">
        <v>47.46</v>
      </c>
      <c r="S52" s="39">
        <v>47.46</v>
      </c>
      <c r="T52" s="33">
        <f t="shared" si="1"/>
        <v>150.0524955259495</v>
      </c>
      <c r="U52" s="33">
        <f t="shared" si="0"/>
        <v>1.1367613297420416</v>
      </c>
      <c r="V52" s="7"/>
      <c r="W52" s="38"/>
      <c r="X52" s="7"/>
      <c r="Y52" s="7"/>
      <c r="Z52" s="38"/>
      <c r="AA52" s="38"/>
      <c r="AB52" s="7"/>
      <c r="AC52" s="7"/>
      <c r="AE52" s="36">
        <v>3.93</v>
      </c>
      <c r="AF52" s="54"/>
      <c r="AG52" s="36">
        <v>0.38519999999999999</v>
      </c>
      <c r="AH52" s="37">
        <v>7.31</v>
      </c>
      <c r="AI52" s="7"/>
      <c r="AJ52" s="7"/>
      <c r="AK52" s="7"/>
      <c r="AL52" s="7"/>
      <c r="AM52" s="7"/>
    </row>
    <row r="53" spans="1:39" x14ac:dyDescent="0.2">
      <c r="A53" s="7">
        <v>52</v>
      </c>
      <c r="B53" s="7" t="s">
        <v>229</v>
      </c>
      <c r="C53" s="7" t="s">
        <v>10</v>
      </c>
      <c r="D53" s="7" t="s">
        <v>8</v>
      </c>
      <c r="E53" s="7" t="s">
        <v>4</v>
      </c>
      <c r="F53" s="7" t="s">
        <v>249</v>
      </c>
      <c r="G53">
        <v>2007</v>
      </c>
      <c r="H53" s="29" t="s">
        <v>240</v>
      </c>
      <c r="I53" s="30">
        <f>(16.5+17+17)/3</f>
        <v>16.833333333333332</v>
      </c>
      <c r="J53" s="30">
        <f>(3*(I53-5)*3.14)</f>
        <v>111.47</v>
      </c>
      <c r="K53" s="31">
        <v>14</v>
      </c>
      <c r="L53" s="32">
        <v>43080.357453703706</v>
      </c>
      <c r="M53" s="31" t="s">
        <v>31</v>
      </c>
      <c r="N53" s="31" t="s">
        <v>136</v>
      </c>
      <c r="O53" s="31">
        <v>1670</v>
      </c>
      <c r="P53" s="39">
        <v>124</v>
      </c>
      <c r="Q53" s="30">
        <v>50.75</v>
      </c>
      <c r="R53" s="39">
        <v>46.2</v>
      </c>
      <c r="S53" s="39">
        <v>46.2</v>
      </c>
      <c r="T53" s="33">
        <f t="shared" si="1"/>
        <v>112.88275862068966</v>
      </c>
      <c r="U53" s="33">
        <f t="shared" si="0"/>
        <v>1.01267389091854</v>
      </c>
      <c r="V53" s="7"/>
      <c r="W53" s="38"/>
      <c r="X53" s="7"/>
      <c r="Y53" s="7"/>
      <c r="Z53" s="38"/>
      <c r="AA53" s="38"/>
      <c r="AB53" s="7"/>
      <c r="AC53" s="7"/>
      <c r="AE53" s="37">
        <v>1</v>
      </c>
      <c r="AG53" s="37">
        <v>1</v>
      </c>
      <c r="AH53" s="37">
        <v>7.13</v>
      </c>
      <c r="AI53" s="7"/>
      <c r="AJ53" s="7"/>
      <c r="AK53" s="7"/>
      <c r="AL53" s="7"/>
      <c r="AM53" s="7"/>
    </row>
    <row r="54" spans="1:39" x14ac:dyDescent="0.2">
      <c r="A54" s="7">
        <v>53</v>
      </c>
      <c r="B54" s="7" t="s">
        <v>229</v>
      </c>
      <c r="C54" s="7" t="s">
        <v>10</v>
      </c>
      <c r="D54" s="7" t="s">
        <v>8</v>
      </c>
      <c r="E54" s="7" t="s">
        <v>5</v>
      </c>
      <c r="F54" s="7" t="s">
        <v>249</v>
      </c>
      <c r="G54">
        <v>2007</v>
      </c>
      <c r="H54" s="29" t="s">
        <v>239</v>
      </c>
      <c r="I54" s="30">
        <v>5</v>
      </c>
      <c r="J54" s="30">
        <f>(6*5*2.83)+(3*5*3.14)</f>
        <v>132</v>
      </c>
      <c r="K54" s="31">
        <v>15</v>
      </c>
      <c r="L54" s="32">
        <v>43080.361527777779</v>
      </c>
      <c r="M54" s="31" t="s">
        <v>32</v>
      </c>
      <c r="N54" s="31" t="s">
        <v>137</v>
      </c>
      <c r="O54" s="31">
        <v>1670</v>
      </c>
      <c r="P54" s="39">
        <v>161</v>
      </c>
      <c r="Q54" s="30">
        <v>50.15</v>
      </c>
      <c r="R54" s="39">
        <v>48.03</v>
      </c>
      <c r="S54" s="39">
        <v>48.03</v>
      </c>
      <c r="T54" s="33">
        <f t="shared" si="1"/>
        <v>154.19401794616152</v>
      </c>
      <c r="U54" s="33">
        <f t="shared" si="0"/>
        <v>1.1681364995921328</v>
      </c>
      <c r="V54" s="7"/>
      <c r="W54" s="38"/>
      <c r="X54" s="7"/>
      <c r="Y54" s="7"/>
      <c r="Z54" s="38"/>
      <c r="AA54" s="38"/>
      <c r="AB54" s="7"/>
      <c r="AC54" s="7"/>
      <c r="AE54" s="37">
        <v>1</v>
      </c>
      <c r="AF54" s="56"/>
      <c r="AG54" s="37">
        <v>1</v>
      </c>
      <c r="AH54" s="37">
        <v>7.07</v>
      </c>
      <c r="AI54" s="7"/>
      <c r="AJ54" s="7"/>
      <c r="AK54" s="7"/>
      <c r="AL54" s="7"/>
      <c r="AM54" s="7"/>
    </row>
    <row r="55" spans="1:39" x14ac:dyDescent="0.2">
      <c r="A55" s="7">
        <v>54</v>
      </c>
      <c r="B55" s="7" t="s">
        <v>229</v>
      </c>
      <c r="C55" s="7" t="s">
        <v>10</v>
      </c>
      <c r="D55" s="7" t="s">
        <v>8</v>
      </c>
      <c r="E55" s="7" t="s">
        <v>5</v>
      </c>
      <c r="F55" s="7" t="s">
        <v>249</v>
      </c>
      <c r="G55">
        <v>2007</v>
      </c>
      <c r="H55" s="29" t="s">
        <v>240</v>
      </c>
      <c r="I55" s="30">
        <f>(18+18+17)/3</f>
        <v>17.666666666666668</v>
      </c>
      <c r="J55" s="30">
        <f>(3*(I55-5)*3.14)</f>
        <v>119.32000000000001</v>
      </c>
      <c r="K55" s="31">
        <v>15</v>
      </c>
      <c r="L55" s="32">
        <v>43080.361527777779</v>
      </c>
      <c r="M55" s="31" t="s">
        <v>32</v>
      </c>
      <c r="N55" s="31" t="s">
        <v>137</v>
      </c>
      <c r="O55" s="31">
        <v>1670</v>
      </c>
      <c r="P55" s="39">
        <v>159</v>
      </c>
      <c r="Q55" s="30">
        <v>50.54</v>
      </c>
      <c r="R55" s="39">
        <v>46.82</v>
      </c>
      <c r="S55" s="39">
        <v>46.82</v>
      </c>
      <c r="T55" s="33">
        <f t="shared" si="1"/>
        <v>147.29679461812427</v>
      </c>
      <c r="U55" s="33">
        <f t="shared" si="0"/>
        <v>1.2344686106111653</v>
      </c>
      <c r="V55" s="7"/>
      <c r="W55" s="38"/>
      <c r="X55" s="7"/>
      <c r="Y55" s="7"/>
      <c r="Z55" s="38"/>
      <c r="AA55" s="38"/>
      <c r="AB55" s="7"/>
      <c r="AC55" s="7"/>
      <c r="AE55" s="37">
        <v>1</v>
      </c>
      <c r="AG55" s="37">
        <v>1</v>
      </c>
      <c r="AH55" s="37">
        <v>7.03</v>
      </c>
      <c r="AI55" s="7"/>
      <c r="AJ55" s="7"/>
      <c r="AK55" s="7"/>
      <c r="AL55" s="7"/>
      <c r="AM55" s="7"/>
    </row>
    <row r="56" spans="1:39" x14ac:dyDescent="0.2">
      <c r="A56" s="7">
        <v>55</v>
      </c>
      <c r="B56" s="7" t="s">
        <v>229</v>
      </c>
      <c r="C56" s="7" t="s">
        <v>10</v>
      </c>
      <c r="D56" s="7" t="s">
        <v>8</v>
      </c>
      <c r="E56" s="7" t="s">
        <v>6</v>
      </c>
      <c r="F56" s="7" t="s">
        <v>249</v>
      </c>
      <c r="G56">
        <v>2007</v>
      </c>
      <c r="H56" s="29" t="s">
        <v>239</v>
      </c>
      <c r="I56" s="30">
        <v>5</v>
      </c>
      <c r="J56" s="30">
        <f>(6*5*2.83)+(3*5*3.14)</f>
        <v>132</v>
      </c>
      <c r="K56" s="31">
        <v>16</v>
      </c>
      <c r="L56" s="32">
        <v>43080.369791666664</v>
      </c>
      <c r="M56" s="31" t="s">
        <v>33</v>
      </c>
      <c r="N56" s="31" t="s">
        <v>138</v>
      </c>
      <c r="O56" s="31">
        <v>1671</v>
      </c>
      <c r="P56" s="39">
        <v>155.5</v>
      </c>
      <c r="Q56" s="30">
        <v>51.49</v>
      </c>
      <c r="R56" s="39">
        <v>47.51</v>
      </c>
      <c r="S56" s="39">
        <v>47.51</v>
      </c>
      <c r="T56" s="33">
        <f t="shared" si="1"/>
        <v>143.48038454068748</v>
      </c>
      <c r="U56" s="33">
        <f t="shared" si="0"/>
        <v>1.0869726101567234</v>
      </c>
      <c r="V56" s="7"/>
      <c r="W56" s="38"/>
      <c r="X56" s="7"/>
      <c r="Y56" s="7"/>
      <c r="Z56" s="38"/>
      <c r="AA56" s="38"/>
      <c r="AB56" s="7"/>
      <c r="AC56" s="7"/>
      <c r="AE56" s="37">
        <v>1</v>
      </c>
      <c r="AF56" s="56"/>
      <c r="AG56" s="37">
        <v>1</v>
      </c>
      <c r="AH56" s="37">
        <v>7.07</v>
      </c>
      <c r="AI56" s="7"/>
      <c r="AJ56" s="7"/>
      <c r="AK56" s="7"/>
      <c r="AL56" s="7"/>
      <c r="AM56" s="7"/>
    </row>
    <row r="57" spans="1:39" x14ac:dyDescent="0.2">
      <c r="A57" s="7">
        <v>56</v>
      </c>
      <c r="B57" s="7" t="s">
        <v>229</v>
      </c>
      <c r="C57" s="7" t="s">
        <v>10</v>
      </c>
      <c r="D57" s="7" t="s">
        <v>8</v>
      </c>
      <c r="E57" s="7" t="s">
        <v>6</v>
      </c>
      <c r="F57" s="7" t="s">
        <v>249</v>
      </c>
      <c r="G57">
        <v>2007</v>
      </c>
      <c r="H57" s="29" t="s">
        <v>240</v>
      </c>
      <c r="I57" s="30">
        <f>(15+15+19)/3</f>
        <v>16.333333333333332</v>
      </c>
      <c r="J57" s="30">
        <f>(3*(I57-5)*3.14)</f>
        <v>106.76</v>
      </c>
      <c r="K57" s="31">
        <v>16</v>
      </c>
      <c r="L57" s="32">
        <v>43080.369791666664</v>
      </c>
      <c r="M57" s="31" t="s">
        <v>33</v>
      </c>
      <c r="N57" s="31" t="s">
        <v>138</v>
      </c>
      <c r="O57" s="31">
        <v>1671</v>
      </c>
      <c r="P57" s="39">
        <v>139</v>
      </c>
      <c r="Q57" s="30">
        <v>50.2</v>
      </c>
      <c r="R57" s="7">
        <v>46.79</v>
      </c>
      <c r="S57" s="7">
        <v>46.79</v>
      </c>
      <c r="T57" s="33">
        <f t="shared" si="1"/>
        <v>129.55796812749003</v>
      </c>
      <c r="U57" s="33">
        <f t="shared" si="0"/>
        <v>1.2135441001076248</v>
      </c>
      <c r="V57" s="7"/>
      <c r="W57" s="38"/>
      <c r="X57" s="7"/>
      <c r="Y57" s="7"/>
      <c r="Z57" s="38"/>
      <c r="AA57" s="38"/>
      <c r="AB57" s="7"/>
      <c r="AC57" s="7"/>
      <c r="AE57" s="37">
        <v>1</v>
      </c>
      <c r="AG57" s="37">
        <v>1</v>
      </c>
      <c r="AH57" s="37">
        <v>7.23</v>
      </c>
      <c r="AI57" s="7"/>
      <c r="AJ57" s="7"/>
      <c r="AK57" s="7"/>
      <c r="AL57" s="7"/>
      <c r="AM57" s="7"/>
    </row>
    <row r="58" spans="1:39" x14ac:dyDescent="0.2">
      <c r="A58" s="7">
        <v>57</v>
      </c>
      <c r="B58" s="7" t="s">
        <v>229</v>
      </c>
      <c r="C58" s="7" t="s">
        <v>10</v>
      </c>
      <c r="D58" s="7" t="s">
        <v>9</v>
      </c>
      <c r="E58" s="7" t="s">
        <v>3</v>
      </c>
      <c r="F58" s="7" t="s">
        <v>249</v>
      </c>
      <c r="G58">
        <v>2007</v>
      </c>
      <c r="H58" s="29" t="s">
        <v>239</v>
      </c>
      <c r="I58" s="30">
        <v>5</v>
      </c>
      <c r="J58" s="30">
        <f>(6*5*2.83)+(3*5*3.14)</f>
        <v>132</v>
      </c>
      <c r="K58" s="31">
        <v>17</v>
      </c>
      <c r="L58" s="32">
        <v>43080.412569444445</v>
      </c>
      <c r="M58" s="31" t="s">
        <v>34</v>
      </c>
      <c r="N58" s="31" t="s">
        <v>139</v>
      </c>
      <c r="O58" s="31">
        <v>1667</v>
      </c>
      <c r="P58" s="39">
        <v>186.5</v>
      </c>
      <c r="Q58" s="30">
        <v>102.98</v>
      </c>
      <c r="R58" s="7">
        <v>99.29</v>
      </c>
      <c r="S58" s="7">
        <v>99.29</v>
      </c>
      <c r="T58" s="33">
        <f t="shared" si="1"/>
        <v>179.81729462031461</v>
      </c>
      <c r="U58" s="33">
        <f t="shared" si="0"/>
        <v>1.3622522319720805</v>
      </c>
      <c r="V58" s="7"/>
      <c r="W58" s="38"/>
      <c r="X58" s="7"/>
      <c r="Y58" s="7"/>
      <c r="Z58" s="38"/>
      <c r="AA58" s="38"/>
      <c r="AB58" s="7"/>
      <c r="AC58" s="7"/>
      <c r="AE58" s="37">
        <v>1</v>
      </c>
      <c r="AF58" s="56"/>
      <c r="AG58" s="37">
        <v>1</v>
      </c>
      <c r="AH58" s="37">
        <v>8.06</v>
      </c>
      <c r="AI58" s="37"/>
      <c r="AJ58" s="7"/>
      <c r="AK58" s="7"/>
      <c r="AL58" s="7"/>
      <c r="AM58" s="37"/>
    </row>
    <row r="59" spans="1:39" x14ac:dyDescent="0.2">
      <c r="A59" s="7">
        <v>58</v>
      </c>
      <c r="B59" s="7" t="s">
        <v>229</v>
      </c>
      <c r="C59" s="7" t="s">
        <v>10</v>
      </c>
      <c r="D59" s="7" t="s">
        <v>9</v>
      </c>
      <c r="E59" s="7" t="s">
        <v>3</v>
      </c>
      <c r="F59" s="7" t="s">
        <v>249</v>
      </c>
      <c r="G59">
        <v>2007</v>
      </c>
      <c r="H59" s="29" t="s">
        <v>240</v>
      </c>
      <c r="I59" s="30">
        <f>(15.5+17.5+17.5)/3</f>
        <v>16.833333333333332</v>
      </c>
      <c r="J59" s="30">
        <f>(3*(I59-5)*3.14)</f>
        <v>111.47</v>
      </c>
      <c r="K59" s="31">
        <v>17</v>
      </c>
      <c r="L59" s="32">
        <v>43080.412569444445</v>
      </c>
      <c r="M59" s="31" t="s">
        <v>34</v>
      </c>
      <c r="N59" s="31" t="s">
        <v>139</v>
      </c>
      <c r="O59" s="31">
        <v>1667</v>
      </c>
      <c r="P59" s="39">
        <v>139</v>
      </c>
      <c r="Q59" s="41">
        <v>107.46</v>
      </c>
      <c r="R59" s="7">
        <v>98.8</v>
      </c>
      <c r="S59" s="7">
        <v>92.8</v>
      </c>
      <c r="T59" s="33">
        <f t="shared" si="1"/>
        <v>120.03722315280103</v>
      </c>
      <c r="U59" s="33">
        <f t="shared" si="0"/>
        <v>1.0768567610370596</v>
      </c>
      <c r="V59" s="7"/>
      <c r="W59" s="38"/>
      <c r="X59" s="7"/>
      <c r="Y59" s="7"/>
      <c r="Z59" s="38"/>
      <c r="AA59" s="38"/>
      <c r="AB59" s="7"/>
      <c r="AC59" s="7"/>
      <c r="AE59" s="37">
        <v>1</v>
      </c>
      <c r="AG59" s="37">
        <v>1</v>
      </c>
      <c r="AH59" s="37">
        <v>7.81</v>
      </c>
      <c r="AI59" s="37"/>
      <c r="AJ59" s="7"/>
      <c r="AK59" s="7"/>
      <c r="AL59" s="7"/>
      <c r="AM59" s="37"/>
    </row>
    <row r="60" spans="1:39" x14ac:dyDescent="0.2">
      <c r="A60" s="7">
        <v>59</v>
      </c>
      <c r="B60" s="7" t="s">
        <v>229</v>
      </c>
      <c r="C60" s="7" t="s">
        <v>10</v>
      </c>
      <c r="D60" s="7" t="s">
        <v>9</v>
      </c>
      <c r="E60" s="7" t="s">
        <v>4</v>
      </c>
      <c r="F60" s="7" t="s">
        <v>249</v>
      </c>
      <c r="G60">
        <v>2007</v>
      </c>
      <c r="H60" s="29" t="s">
        <v>239</v>
      </c>
      <c r="I60" s="30">
        <v>5</v>
      </c>
      <c r="J60" s="30">
        <f>(6*5*2.83)+(3*5*3.14)</f>
        <v>132</v>
      </c>
      <c r="K60" s="31">
        <v>18</v>
      </c>
      <c r="L60" s="32">
        <v>43080.421851851854</v>
      </c>
      <c r="M60" s="31" t="s">
        <v>35</v>
      </c>
      <c r="N60" s="31" t="s">
        <v>140</v>
      </c>
      <c r="O60" s="31">
        <v>1668</v>
      </c>
      <c r="P60" s="39">
        <v>156</v>
      </c>
      <c r="Q60" s="41">
        <v>56.07</v>
      </c>
      <c r="R60" s="7">
        <v>52.34</v>
      </c>
      <c r="S60" s="7">
        <v>52.34</v>
      </c>
      <c r="T60" s="33">
        <f t="shared" si="1"/>
        <v>145.62225789192084</v>
      </c>
      <c r="U60" s="33">
        <f t="shared" si="0"/>
        <v>1.1031989234236428</v>
      </c>
      <c r="V60" s="7"/>
      <c r="W60" s="38"/>
      <c r="X60" s="7"/>
      <c r="Y60" s="7"/>
      <c r="Z60" s="38"/>
      <c r="AA60" s="38"/>
      <c r="AB60" s="7"/>
      <c r="AC60" s="7"/>
      <c r="AE60" s="37">
        <v>1</v>
      </c>
      <c r="AF60" s="56"/>
      <c r="AG60" s="37">
        <v>1</v>
      </c>
      <c r="AH60" s="37">
        <v>7.89</v>
      </c>
      <c r="AI60" s="7"/>
      <c r="AJ60" s="7"/>
      <c r="AK60" s="7"/>
      <c r="AL60" s="7"/>
      <c r="AM60" s="7"/>
    </row>
    <row r="61" spans="1:39" x14ac:dyDescent="0.2">
      <c r="A61" s="7">
        <v>60</v>
      </c>
      <c r="B61" s="7" t="s">
        <v>229</v>
      </c>
      <c r="C61" s="7" t="s">
        <v>10</v>
      </c>
      <c r="D61" s="7" t="s">
        <v>9</v>
      </c>
      <c r="E61" s="7" t="s">
        <v>4</v>
      </c>
      <c r="F61" s="7" t="s">
        <v>249</v>
      </c>
      <c r="G61">
        <v>2007</v>
      </c>
      <c r="H61" s="29" t="s">
        <v>240</v>
      </c>
      <c r="I61" s="30">
        <f>(17+16.5+19)/3</f>
        <v>17.5</v>
      </c>
      <c r="J61" s="30">
        <f>(3*(I61-5)*3.14)</f>
        <v>117.75</v>
      </c>
      <c r="K61" s="31">
        <v>18</v>
      </c>
      <c r="L61" s="32">
        <v>43080.421851851854</v>
      </c>
      <c r="M61" s="31" t="s">
        <v>35</v>
      </c>
      <c r="N61" s="31" t="s">
        <v>140</v>
      </c>
      <c r="O61" s="31">
        <v>1668</v>
      </c>
      <c r="P61" s="39">
        <v>146</v>
      </c>
      <c r="Q61" s="41">
        <v>50.83</v>
      </c>
      <c r="R61" s="7">
        <v>44.57</v>
      </c>
      <c r="S61" s="7">
        <v>44.57</v>
      </c>
      <c r="T61" s="33">
        <f t="shared" si="1"/>
        <v>128.01927995278379</v>
      </c>
      <c r="U61" s="33">
        <f t="shared" si="0"/>
        <v>1.0872125686011362</v>
      </c>
      <c r="V61" s="7"/>
      <c r="W61" s="38"/>
      <c r="X61" s="7"/>
      <c r="Y61" s="7"/>
      <c r="Z61" s="38"/>
      <c r="AA61" s="38"/>
      <c r="AB61" s="7"/>
      <c r="AC61" s="7"/>
      <c r="AE61" s="37">
        <v>1</v>
      </c>
      <c r="AG61" s="37">
        <v>1</v>
      </c>
      <c r="AH61" s="37">
        <v>7.58</v>
      </c>
      <c r="AI61" s="7"/>
      <c r="AJ61" s="7"/>
      <c r="AK61" s="7"/>
      <c r="AL61" s="7"/>
      <c r="AM61" s="7"/>
    </row>
    <row r="62" spans="1:39" x14ac:dyDescent="0.2">
      <c r="A62" s="7">
        <v>61</v>
      </c>
      <c r="B62" s="7" t="s">
        <v>229</v>
      </c>
      <c r="C62" s="7" t="s">
        <v>10</v>
      </c>
      <c r="D62" s="7" t="s">
        <v>9</v>
      </c>
      <c r="E62" s="7" t="s">
        <v>5</v>
      </c>
      <c r="F62" s="7" t="s">
        <v>249</v>
      </c>
      <c r="G62">
        <v>2007</v>
      </c>
      <c r="H62" s="29" t="s">
        <v>239</v>
      </c>
      <c r="I62" s="30">
        <v>5</v>
      </c>
      <c r="J62" s="30">
        <f>(6*5*2.83)+(3*5*3.14)</f>
        <v>132</v>
      </c>
      <c r="K62" s="31">
        <v>19</v>
      </c>
      <c r="L62" s="32">
        <v>43080.431516203702</v>
      </c>
      <c r="M62" s="31" t="s">
        <v>36</v>
      </c>
      <c r="N62" s="31" t="s">
        <v>140</v>
      </c>
      <c r="O62" s="31">
        <v>1668</v>
      </c>
      <c r="P62" s="39">
        <v>160</v>
      </c>
      <c r="Q62" s="41">
        <v>50.63</v>
      </c>
      <c r="R62" s="7">
        <v>47.16</v>
      </c>
      <c r="S62" s="7">
        <v>47.16</v>
      </c>
      <c r="T62" s="33">
        <f t="shared" si="1"/>
        <v>149.0341694647442</v>
      </c>
      <c r="U62" s="33">
        <f t="shared" si="0"/>
        <v>1.1290467383692742</v>
      </c>
      <c r="V62" s="7"/>
      <c r="W62" s="38"/>
      <c r="X62" s="7"/>
      <c r="Y62" s="7"/>
      <c r="Z62" s="38"/>
      <c r="AA62" s="38"/>
      <c r="AB62" s="7"/>
      <c r="AC62" s="7"/>
      <c r="AE62" s="37">
        <v>1</v>
      </c>
      <c r="AF62" s="56"/>
      <c r="AG62" s="37">
        <v>1</v>
      </c>
      <c r="AH62" s="37">
        <v>7.86</v>
      </c>
      <c r="AI62" s="7"/>
      <c r="AJ62" s="7"/>
      <c r="AK62" s="7"/>
      <c r="AL62" s="7"/>
      <c r="AM62" s="7"/>
    </row>
    <row r="63" spans="1:39" x14ac:dyDescent="0.2">
      <c r="A63" s="7">
        <v>62</v>
      </c>
      <c r="B63" s="7" t="s">
        <v>229</v>
      </c>
      <c r="C63" s="7" t="s">
        <v>10</v>
      </c>
      <c r="D63" s="7" t="s">
        <v>9</v>
      </c>
      <c r="E63" s="7" t="s">
        <v>5</v>
      </c>
      <c r="F63" s="7" t="s">
        <v>249</v>
      </c>
      <c r="G63">
        <v>2007</v>
      </c>
      <c r="H63" s="29" t="s">
        <v>240</v>
      </c>
      <c r="I63" s="30">
        <f>(18+17.5+18)/3</f>
        <v>17.833333333333332</v>
      </c>
      <c r="J63" s="30">
        <f>(3*(I63-5)*3.14)</f>
        <v>120.89</v>
      </c>
      <c r="K63" s="31">
        <v>19</v>
      </c>
      <c r="L63" s="32">
        <v>43080.431516203702</v>
      </c>
      <c r="M63" s="31" t="s">
        <v>36</v>
      </c>
      <c r="N63" s="31" t="s">
        <v>140</v>
      </c>
      <c r="O63" s="31">
        <v>1668</v>
      </c>
      <c r="P63" s="39">
        <v>168</v>
      </c>
      <c r="Q63" s="41">
        <v>54.33</v>
      </c>
      <c r="R63" s="7">
        <v>49.04</v>
      </c>
      <c r="S63" s="7">
        <v>49.04</v>
      </c>
      <c r="T63" s="33">
        <f t="shared" si="1"/>
        <v>151.64218663721701</v>
      </c>
      <c r="U63" s="33">
        <f t="shared" si="0"/>
        <v>1.2543815587494169</v>
      </c>
      <c r="V63" s="7"/>
      <c r="W63" s="38"/>
      <c r="X63" s="7"/>
      <c r="Y63" s="7"/>
      <c r="Z63" s="38"/>
      <c r="AA63" s="38"/>
      <c r="AB63" s="7"/>
      <c r="AC63" s="7"/>
      <c r="AE63" s="37">
        <v>1</v>
      </c>
      <c r="AG63" s="37">
        <v>1</v>
      </c>
      <c r="AH63" s="37">
        <v>7.8</v>
      </c>
      <c r="AI63" s="7"/>
      <c r="AJ63" s="7"/>
      <c r="AK63" s="7"/>
      <c r="AL63" s="7"/>
      <c r="AM63" s="7"/>
    </row>
    <row r="64" spans="1:39" x14ac:dyDescent="0.2">
      <c r="A64" s="7">
        <v>63</v>
      </c>
      <c r="B64" s="7" t="s">
        <v>229</v>
      </c>
      <c r="C64" s="7" t="s">
        <v>10</v>
      </c>
      <c r="D64" s="7" t="s">
        <v>9</v>
      </c>
      <c r="E64" s="7" t="s">
        <v>6</v>
      </c>
      <c r="F64" s="7" t="s">
        <v>249</v>
      </c>
      <c r="G64">
        <v>2007</v>
      </c>
      <c r="H64" s="29" t="s">
        <v>239</v>
      </c>
      <c r="I64" s="30">
        <v>5</v>
      </c>
      <c r="J64" s="30">
        <f>(6*5*2.83)+(3*5*3.14)</f>
        <v>132</v>
      </c>
      <c r="K64" s="31">
        <v>20</v>
      </c>
      <c r="L64" s="32">
        <v>43080.43959490741</v>
      </c>
      <c r="M64" s="31" t="s">
        <v>37</v>
      </c>
      <c r="N64" s="31" t="s">
        <v>141</v>
      </c>
      <c r="O64" s="31">
        <v>1667</v>
      </c>
      <c r="P64" s="39">
        <v>166</v>
      </c>
      <c r="Q64" s="41">
        <v>52.78</v>
      </c>
      <c r="R64" s="7">
        <v>49.76</v>
      </c>
      <c r="S64" s="7">
        <v>49.76</v>
      </c>
      <c r="T64" s="33">
        <f t="shared" si="1"/>
        <v>156.50170519136034</v>
      </c>
      <c r="U64" s="33">
        <f t="shared" si="0"/>
        <v>1.1856189787224269</v>
      </c>
      <c r="V64" s="7"/>
      <c r="W64" s="38"/>
      <c r="X64" s="7"/>
      <c r="Y64" s="7"/>
      <c r="Z64" s="38"/>
      <c r="AA64" s="38"/>
      <c r="AB64" s="7"/>
      <c r="AC64" s="7"/>
      <c r="AE64" s="37">
        <v>1</v>
      </c>
      <c r="AF64" s="56"/>
      <c r="AG64" s="37">
        <v>1</v>
      </c>
      <c r="AH64" s="37">
        <v>7.85</v>
      </c>
      <c r="AI64" s="7"/>
      <c r="AJ64" s="7"/>
      <c r="AK64" s="7"/>
      <c r="AL64" s="7"/>
      <c r="AM64" s="7"/>
    </row>
    <row r="65" spans="1:39" x14ac:dyDescent="0.2">
      <c r="A65" s="7">
        <v>64</v>
      </c>
      <c r="B65" s="7" t="s">
        <v>229</v>
      </c>
      <c r="C65" s="7" t="s">
        <v>10</v>
      </c>
      <c r="D65" s="7" t="s">
        <v>9</v>
      </c>
      <c r="E65" s="7" t="s">
        <v>6</v>
      </c>
      <c r="F65" s="7" t="s">
        <v>249</v>
      </c>
      <c r="G65">
        <v>2007</v>
      </c>
      <c r="H65" s="29" t="s">
        <v>240</v>
      </c>
      <c r="I65" s="30">
        <f>(17.5+18.5+18.5)/3</f>
        <v>18.166666666666668</v>
      </c>
      <c r="J65" s="30">
        <f>(3*(I65-5)*3.14)</f>
        <v>124.03</v>
      </c>
      <c r="K65" s="31">
        <v>20</v>
      </c>
      <c r="L65" s="32">
        <v>43080.43959490741</v>
      </c>
      <c r="M65" s="31" t="s">
        <v>37</v>
      </c>
      <c r="N65" s="31" t="s">
        <v>141</v>
      </c>
      <c r="O65" s="31">
        <v>1667</v>
      </c>
      <c r="P65" s="39">
        <v>175</v>
      </c>
      <c r="Q65" s="41">
        <v>51.85</v>
      </c>
      <c r="R65" s="7">
        <v>46.93</v>
      </c>
      <c r="S65" s="7">
        <v>46.93</v>
      </c>
      <c r="T65" s="33">
        <f t="shared" si="1"/>
        <v>158.39440694310511</v>
      </c>
      <c r="U65" s="33">
        <f t="shared" si="0"/>
        <v>1.2770652821342023</v>
      </c>
      <c r="V65" s="7"/>
      <c r="W65" s="38"/>
      <c r="X65" s="7"/>
      <c r="Y65" s="7"/>
      <c r="Z65" s="38"/>
      <c r="AA65" s="38"/>
      <c r="AB65" s="7"/>
      <c r="AC65" s="7"/>
      <c r="AE65" s="37">
        <v>1</v>
      </c>
      <c r="AG65" s="37">
        <v>1</v>
      </c>
      <c r="AH65" s="37">
        <v>7.77</v>
      </c>
      <c r="AI65" s="7"/>
      <c r="AJ65" s="7"/>
      <c r="AK65" s="7"/>
      <c r="AL65" s="7"/>
      <c r="AM65" s="7"/>
    </row>
    <row r="66" spans="1:39" x14ac:dyDescent="0.2">
      <c r="A66" s="7">
        <v>65</v>
      </c>
      <c r="B66" s="7" t="s">
        <v>230</v>
      </c>
      <c r="C66" s="7" t="s">
        <v>11</v>
      </c>
      <c r="D66" s="7" t="s">
        <v>2</v>
      </c>
      <c r="E66" s="7" t="s">
        <v>3</v>
      </c>
      <c r="F66" s="7" t="s">
        <v>248</v>
      </c>
      <c r="G66">
        <v>2000</v>
      </c>
      <c r="H66" s="29" t="s">
        <v>239</v>
      </c>
      <c r="I66" s="30">
        <v>5</v>
      </c>
      <c r="J66" s="30">
        <f>(6*5*2.83)+(3*5*3.14)</f>
        <v>132</v>
      </c>
      <c r="K66" s="31">
        <v>32</v>
      </c>
      <c r="L66" s="32">
        <v>43082.395208333335</v>
      </c>
      <c r="M66" s="31" t="s">
        <v>48</v>
      </c>
      <c r="N66" s="31" t="s">
        <v>152</v>
      </c>
      <c r="O66" s="31">
        <v>1249</v>
      </c>
      <c r="P66" s="39">
        <v>175.5</v>
      </c>
      <c r="Q66" s="7">
        <v>102.84</v>
      </c>
      <c r="R66" s="7">
        <v>96.46</v>
      </c>
      <c r="S66" s="7">
        <v>96.46</v>
      </c>
      <c r="T66" s="33">
        <f t="shared" si="1"/>
        <v>164.61231038506415</v>
      </c>
      <c r="U66" s="33">
        <f t="shared" si="0"/>
        <v>1.2470629574626071</v>
      </c>
      <c r="V66" s="34">
        <v>97.26</v>
      </c>
      <c r="W66" s="35">
        <f t="shared" ref="W66:W67" si="3">+T66*(V66/100)/J66</f>
        <v>1.2128934324281317</v>
      </c>
      <c r="X66" s="34">
        <v>6.32</v>
      </c>
      <c r="Y66" s="34">
        <v>7.6269999999999998</v>
      </c>
      <c r="Z66" s="35">
        <f>1-(X66/Y66)</f>
        <v>0.1713648878982561</v>
      </c>
      <c r="AA66" s="35">
        <f>+X66/Y66</f>
        <v>0.8286351121017439</v>
      </c>
      <c r="AB66" s="19">
        <v>34</v>
      </c>
      <c r="AC66" s="19">
        <v>20</v>
      </c>
      <c r="AD66" s="19">
        <v>46</v>
      </c>
      <c r="AE66" s="37">
        <v>1</v>
      </c>
      <c r="AF66" s="53">
        <f>+AE66*AA66</f>
        <v>0.8286351121017439</v>
      </c>
      <c r="AG66" s="37">
        <v>1</v>
      </c>
      <c r="AH66" s="37">
        <v>6.71</v>
      </c>
      <c r="AI66" s="7">
        <v>38.43</v>
      </c>
      <c r="AJ66" s="19">
        <v>0.96</v>
      </c>
      <c r="AK66" s="19">
        <v>1.6</v>
      </c>
      <c r="AL66" s="19">
        <v>1.3</v>
      </c>
      <c r="AM66" s="19">
        <v>150</v>
      </c>
    </row>
    <row r="67" spans="1:39" x14ac:dyDescent="0.2">
      <c r="A67" s="7">
        <v>66</v>
      </c>
      <c r="B67" s="7" t="s">
        <v>230</v>
      </c>
      <c r="C67" s="7" t="s">
        <v>11</v>
      </c>
      <c r="D67" s="7" t="s">
        <v>2</v>
      </c>
      <c r="E67" s="7" t="s">
        <v>3</v>
      </c>
      <c r="F67" s="7" t="s">
        <v>248</v>
      </c>
      <c r="G67">
        <v>2000</v>
      </c>
      <c r="H67" s="29" t="s">
        <v>240</v>
      </c>
      <c r="I67" s="30">
        <f>(17.5+16.5+17.5)/3</f>
        <v>17.166666666666668</v>
      </c>
      <c r="J67" s="30">
        <f>(3*(I67-5)*3.14)</f>
        <v>114.61</v>
      </c>
      <c r="K67" s="31">
        <v>32</v>
      </c>
      <c r="L67" s="32">
        <v>43082.395208333335</v>
      </c>
      <c r="M67" s="31" t="s">
        <v>48</v>
      </c>
      <c r="N67" s="31" t="s">
        <v>152</v>
      </c>
      <c r="O67" s="31">
        <v>1249</v>
      </c>
      <c r="P67" s="39">
        <v>168</v>
      </c>
      <c r="Q67" s="7">
        <v>99.89</v>
      </c>
      <c r="R67" s="7">
        <v>91.74</v>
      </c>
      <c r="S67" s="7">
        <v>91.74</v>
      </c>
      <c r="T67" s="33">
        <f t="shared" si="1"/>
        <v>154.29292221443586</v>
      </c>
      <c r="U67" s="33">
        <f t="shared" ref="U67:U130" si="4">+T67/J67</f>
        <v>1.3462431045671046</v>
      </c>
      <c r="V67" s="34">
        <v>97.17</v>
      </c>
      <c r="W67" s="35">
        <f t="shared" si="3"/>
        <v>1.3081444247078555</v>
      </c>
      <c r="X67" s="34">
        <v>5.68</v>
      </c>
      <c r="Y67" s="34">
        <v>7.0430000000000001</v>
      </c>
      <c r="Z67" s="35">
        <f>1-(X67/Y67)</f>
        <v>0.19352548629845245</v>
      </c>
      <c r="AA67" s="35">
        <f>+X67/Y67</f>
        <v>0.80647451370154755</v>
      </c>
      <c r="AB67" s="19">
        <v>37</v>
      </c>
      <c r="AC67" s="19">
        <v>19</v>
      </c>
      <c r="AD67" s="19">
        <v>44</v>
      </c>
      <c r="AE67" s="37">
        <v>1</v>
      </c>
      <c r="AF67" s="53">
        <f>+AE67*AA67</f>
        <v>0.80647451370154755</v>
      </c>
      <c r="AG67" s="37">
        <v>1</v>
      </c>
      <c r="AH67" s="37">
        <v>7.04</v>
      </c>
      <c r="AI67" s="7">
        <v>43.52</v>
      </c>
      <c r="AJ67" s="19">
        <v>0.98</v>
      </c>
      <c r="AK67" s="19">
        <v>2.2999999999999998</v>
      </c>
      <c r="AL67" s="19">
        <v>1.3</v>
      </c>
      <c r="AM67" s="19">
        <v>250</v>
      </c>
    </row>
    <row r="68" spans="1:39" x14ac:dyDescent="0.2">
      <c r="A68" s="7">
        <v>67</v>
      </c>
      <c r="B68" s="7" t="s">
        <v>230</v>
      </c>
      <c r="C68" s="7" t="s">
        <v>11</v>
      </c>
      <c r="D68" s="7" t="s">
        <v>2</v>
      </c>
      <c r="E68" s="7" t="s">
        <v>4</v>
      </c>
      <c r="F68" s="7" t="s">
        <v>248</v>
      </c>
      <c r="G68">
        <v>2000</v>
      </c>
      <c r="H68" s="29" t="s">
        <v>239</v>
      </c>
      <c r="I68" s="30">
        <v>5</v>
      </c>
      <c r="J68" s="30">
        <f>(6*5*2.83)+(3*5*3.14)</f>
        <v>132</v>
      </c>
      <c r="K68" s="31">
        <v>33</v>
      </c>
      <c r="L68" s="32">
        <v>43082.411574074074</v>
      </c>
      <c r="M68" s="31" t="s">
        <v>49</v>
      </c>
      <c r="N68" s="31" t="s">
        <v>153</v>
      </c>
      <c r="O68" s="31">
        <v>1252</v>
      </c>
      <c r="P68" s="39">
        <v>195</v>
      </c>
      <c r="Q68" s="7">
        <v>52.72</v>
      </c>
      <c r="R68" s="7">
        <v>49.75</v>
      </c>
      <c r="S68" s="7">
        <v>46.6</v>
      </c>
      <c r="T68" s="33">
        <f t="shared" si="1"/>
        <v>172.36342943854325</v>
      </c>
      <c r="U68" s="33">
        <f t="shared" si="4"/>
        <v>1.3057835563526003</v>
      </c>
      <c r="V68" s="7"/>
      <c r="W68" s="38"/>
      <c r="X68" s="7"/>
      <c r="Y68" s="7"/>
      <c r="Z68" s="38"/>
      <c r="AA68" s="38"/>
      <c r="AB68" s="7"/>
      <c r="AC68" s="7"/>
      <c r="AE68" s="37">
        <v>1</v>
      </c>
      <c r="AF68" s="56"/>
      <c r="AG68" s="37">
        <v>1</v>
      </c>
      <c r="AH68" s="37">
        <v>6.53</v>
      </c>
      <c r="AI68" s="7"/>
      <c r="AJ68" s="7"/>
      <c r="AK68" s="7"/>
      <c r="AL68" s="7"/>
      <c r="AM68" s="7"/>
    </row>
    <row r="69" spans="1:39" x14ac:dyDescent="0.2">
      <c r="A69" s="7">
        <v>68</v>
      </c>
      <c r="B69" s="7" t="s">
        <v>230</v>
      </c>
      <c r="C69" s="7" t="s">
        <v>11</v>
      </c>
      <c r="D69" s="7" t="s">
        <v>2</v>
      </c>
      <c r="E69" s="7" t="s">
        <v>4</v>
      </c>
      <c r="F69" s="7" t="s">
        <v>248</v>
      </c>
      <c r="G69">
        <v>2000</v>
      </c>
      <c r="H69" s="29" t="s">
        <v>240</v>
      </c>
      <c r="I69" s="30">
        <f>(15.5+18.5+18)/3</f>
        <v>17.333333333333332</v>
      </c>
      <c r="J69" s="30">
        <f>(3*(I69-5)*3.14)</f>
        <v>116.18</v>
      </c>
      <c r="K69" s="31">
        <v>33</v>
      </c>
      <c r="L69" s="32">
        <v>43082.411574074074</v>
      </c>
      <c r="M69" s="31" t="s">
        <v>49</v>
      </c>
      <c r="N69" s="31" t="s">
        <v>153</v>
      </c>
      <c r="O69" s="31">
        <v>1252</v>
      </c>
      <c r="P69" s="39">
        <v>168</v>
      </c>
      <c r="Q69" s="7">
        <v>52.77</v>
      </c>
      <c r="R69" s="7">
        <v>49.05</v>
      </c>
      <c r="S69" s="7">
        <v>49.05</v>
      </c>
      <c r="T69" s="33">
        <f t="shared" ref="T69:T132" si="5">+(S69/Q69)*P69</f>
        <v>156.15690733371233</v>
      </c>
      <c r="U69" s="33">
        <f t="shared" si="4"/>
        <v>1.3440945716449675</v>
      </c>
      <c r="V69" s="7"/>
      <c r="W69" s="38"/>
      <c r="X69" s="7"/>
      <c r="Y69" s="7"/>
      <c r="Z69" s="38"/>
      <c r="AA69" s="38"/>
      <c r="AB69" s="7"/>
      <c r="AC69" s="7"/>
      <c r="AE69" s="37">
        <v>1</v>
      </c>
      <c r="AG69" s="37">
        <v>1</v>
      </c>
      <c r="AH69" s="37">
        <v>6.62</v>
      </c>
      <c r="AI69" s="7"/>
      <c r="AJ69" s="7"/>
      <c r="AK69" s="7"/>
      <c r="AL69" s="7"/>
      <c r="AM69" s="7"/>
    </row>
    <row r="70" spans="1:39" x14ac:dyDescent="0.2">
      <c r="A70" s="7">
        <v>69</v>
      </c>
      <c r="B70" s="7" t="s">
        <v>230</v>
      </c>
      <c r="C70" s="7" t="s">
        <v>11</v>
      </c>
      <c r="D70" s="7" t="s">
        <v>2</v>
      </c>
      <c r="E70" s="7" t="s">
        <v>5</v>
      </c>
      <c r="F70" s="7" t="s">
        <v>248</v>
      </c>
      <c r="G70">
        <v>2000</v>
      </c>
      <c r="H70" s="29" t="s">
        <v>239</v>
      </c>
      <c r="I70" s="30">
        <v>5</v>
      </c>
      <c r="J70" s="30">
        <f>(6*5*2.83)+(3*5*3.14)</f>
        <v>132</v>
      </c>
      <c r="K70" s="31">
        <v>34</v>
      </c>
      <c r="L70" s="32">
        <v>43082.413055555553</v>
      </c>
      <c r="M70" s="31" t="s">
        <v>50</v>
      </c>
      <c r="N70" s="31" t="s">
        <v>154</v>
      </c>
      <c r="O70" s="31">
        <v>1252</v>
      </c>
      <c r="P70" s="39">
        <v>200</v>
      </c>
      <c r="Q70" s="7">
        <v>48.07</v>
      </c>
      <c r="R70" s="7">
        <v>45.33</v>
      </c>
      <c r="S70" s="7">
        <v>45.33</v>
      </c>
      <c r="T70" s="33">
        <f t="shared" si="5"/>
        <v>188.59995839400875</v>
      </c>
      <c r="U70" s="33">
        <f t="shared" si="4"/>
        <v>1.4287875635909755</v>
      </c>
      <c r="V70" s="7"/>
      <c r="W70" s="38"/>
      <c r="X70" s="7"/>
      <c r="Y70" s="7"/>
      <c r="Z70" s="38"/>
      <c r="AA70" s="38"/>
      <c r="AB70" s="7"/>
      <c r="AC70" s="7"/>
      <c r="AE70" s="37">
        <v>1</v>
      </c>
      <c r="AF70" s="56"/>
      <c r="AG70" s="37">
        <v>1</v>
      </c>
      <c r="AH70" s="37">
        <v>6.39</v>
      </c>
      <c r="AI70" s="7"/>
      <c r="AJ70" s="7"/>
      <c r="AK70" s="7"/>
      <c r="AL70" s="7"/>
      <c r="AM70" s="7"/>
    </row>
    <row r="71" spans="1:39" x14ac:dyDescent="0.2">
      <c r="A71" s="7">
        <v>70</v>
      </c>
      <c r="B71" s="7" t="s">
        <v>230</v>
      </c>
      <c r="C71" s="7" t="s">
        <v>11</v>
      </c>
      <c r="D71" s="7" t="s">
        <v>2</v>
      </c>
      <c r="E71" s="7" t="s">
        <v>5</v>
      </c>
      <c r="F71" s="7" t="s">
        <v>248</v>
      </c>
      <c r="G71">
        <v>2000</v>
      </c>
      <c r="H71" s="29" t="s">
        <v>240</v>
      </c>
      <c r="I71" s="30">
        <f>(18+15.5+18)/3</f>
        <v>17.166666666666668</v>
      </c>
      <c r="J71" s="30">
        <f>(3*(I71-5)*3.14)</f>
        <v>114.61</v>
      </c>
      <c r="K71" s="31">
        <v>34</v>
      </c>
      <c r="L71" s="32">
        <v>43082.413055555553</v>
      </c>
      <c r="M71" s="31" t="s">
        <v>50</v>
      </c>
      <c r="N71" s="31" t="s">
        <v>154</v>
      </c>
      <c r="O71" s="31">
        <v>1252</v>
      </c>
      <c r="P71" s="39">
        <v>177</v>
      </c>
      <c r="Q71" s="7">
        <v>48.69</v>
      </c>
      <c r="R71" s="7">
        <v>45.02</v>
      </c>
      <c r="S71" s="7">
        <v>45.02</v>
      </c>
      <c r="T71" s="33">
        <f t="shared" si="5"/>
        <v>163.65865680837956</v>
      </c>
      <c r="U71" s="33">
        <f t="shared" si="4"/>
        <v>1.4279614065821444</v>
      </c>
      <c r="V71" s="7"/>
      <c r="W71" s="38"/>
      <c r="X71" s="7"/>
      <c r="Y71" s="7"/>
      <c r="Z71" s="38"/>
      <c r="AA71" s="38"/>
      <c r="AB71" s="7"/>
      <c r="AC71" s="7"/>
      <c r="AE71" s="37">
        <v>1</v>
      </c>
      <c r="AG71" s="37">
        <v>1</v>
      </c>
      <c r="AH71" s="37">
        <v>6.55</v>
      </c>
      <c r="AI71" s="7"/>
      <c r="AJ71" s="7"/>
      <c r="AK71" s="7"/>
      <c r="AL71" s="7"/>
      <c r="AM71" s="7"/>
    </row>
    <row r="72" spans="1:39" x14ac:dyDescent="0.2">
      <c r="A72" s="7">
        <v>71</v>
      </c>
      <c r="B72" s="7" t="s">
        <v>230</v>
      </c>
      <c r="C72" s="7" t="s">
        <v>11</v>
      </c>
      <c r="D72" s="7" t="s">
        <v>2</v>
      </c>
      <c r="E72" s="7" t="s">
        <v>6</v>
      </c>
      <c r="F72" s="7" t="s">
        <v>248</v>
      </c>
      <c r="G72">
        <v>2000</v>
      </c>
      <c r="H72" s="29" t="s">
        <v>239</v>
      </c>
      <c r="I72" s="30">
        <v>5</v>
      </c>
      <c r="J72" s="30">
        <f>(6*5*2.83)+(3*5*3.14)</f>
        <v>132</v>
      </c>
      <c r="K72" s="31">
        <v>35</v>
      </c>
      <c r="L72" s="32">
        <v>43082.418888888889</v>
      </c>
      <c r="M72" s="31" t="s">
        <v>51</v>
      </c>
      <c r="N72" s="31" t="s">
        <v>152</v>
      </c>
      <c r="O72" s="31">
        <v>1253</v>
      </c>
      <c r="P72" s="39">
        <v>194</v>
      </c>
      <c r="Q72" s="7">
        <v>45.25</v>
      </c>
      <c r="R72" s="7">
        <v>42.53</v>
      </c>
      <c r="S72" s="7">
        <v>42.53</v>
      </c>
      <c r="T72" s="33">
        <f t="shared" si="5"/>
        <v>182.33856353591162</v>
      </c>
      <c r="U72" s="33">
        <f t="shared" si="4"/>
        <v>1.3813527540599364</v>
      </c>
      <c r="V72" s="7"/>
      <c r="W72" s="38"/>
      <c r="X72" s="7"/>
      <c r="Y72" s="7"/>
      <c r="Z72" s="38"/>
      <c r="AA72" s="38"/>
      <c r="AB72" s="7"/>
      <c r="AC72" s="7"/>
      <c r="AE72" s="37">
        <v>1</v>
      </c>
      <c r="AF72" s="56"/>
      <c r="AG72" s="37">
        <v>1</v>
      </c>
      <c r="AH72" s="37">
        <v>6.52</v>
      </c>
      <c r="AI72" s="7"/>
      <c r="AJ72" s="7"/>
      <c r="AK72" s="7"/>
      <c r="AL72" s="7"/>
      <c r="AM72" s="7"/>
    </row>
    <row r="73" spans="1:39" x14ac:dyDescent="0.2">
      <c r="A73" s="7">
        <v>72</v>
      </c>
      <c r="B73" s="7" t="s">
        <v>230</v>
      </c>
      <c r="C73" s="7" t="s">
        <v>11</v>
      </c>
      <c r="D73" s="7" t="s">
        <v>2</v>
      </c>
      <c r="E73" s="7" t="s">
        <v>6</v>
      </c>
      <c r="F73" s="7" t="s">
        <v>248</v>
      </c>
      <c r="G73">
        <v>2000</v>
      </c>
      <c r="H73" s="29" t="s">
        <v>240</v>
      </c>
      <c r="I73" s="30">
        <f>(17+16.5+20)/3</f>
        <v>17.833333333333332</v>
      </c>
      <c r="J73" s="30">
        <f>(3*(I73-5)*3.14)</f>
        <v>120.89</v>
      </c>
      <c r="K73" s="31">
        <v>35</v>
      </c>
      <c r="L73" s="32">
        <v>43082.418888888889</v>
      </c>
      <c r="M73" s="31" t="s">
        <v>51</v>
      </c>
      <c r="N73" s="31" t="s">
        <v>152</v>
      </c>
      <c r="O73" s="31">
        <v>1253</v>
      </c>
      <c r="P73" s="39">
        <v>185.5</v>
      </c>
      <c r="Q73" s="7">
        <v>48.88</v>
      </c>
      <c r="R73" s="7">
        <v>45.66</v>
      </c>
      <c r="S73" s="7">
        <v>45.66</v>
      </c>
      <c r="T73" s="33">
        <f t="shared" si="5"/>
        <v>173.28007364975448</v>
      </c>
      <c r="U73" s="33">
        <f t="shared" si="4"/>
        <v>1.4333697878216105</v>
      </c>
      <c r="V73" s="7"/>
      <c r="W73" s="38"/>
      <c r="X73" s="7"/>
      <c r="Y73" s="7"/>
      <c r="Z73" s="38"/>
      <c r="AA73" s="38"/>
      <c r="AB73" s="7"/>
      <c r="AC73" s="7"/>
      <c r="AE73" s="37">
        <v>1</v>
      </c>
      <c r="AG73" s="37">
        <v>1</v>
      </c>
      <c r="AH73" s="37">
        <v>6.79</v>
      </c>
      <c r="AI73" s="7"/>
      <c r="AJ73" s="7"/>
      <c r="AK73" s="7"/>
      <c r="AL73" s="7"/>
      <c r="AM73" s="7"/>
    </row>
    <row r="74" spans="1:39" x14ac:dyDescent="0.2">
      <c r="A74" s="7">
        <v>73</v>
      </c>
      <c r="B74" s="7" t="s">
        <v>230</v>
      </c>
      <c r="C74" s="7" t="s">
        <v>11</v>
      </c>
      <c r="D74" s="7" t="s">
        <v>7</v>
      </c>
      <c r="E74" s="7" t="s">
        <v>3</v>
      </c>
      <c r="F74" s="7" t="s">
        <v>248</v>
      </c>
      <c r="G74">
        <v>2000</v>
      </c>
      <c r="H74" s="29" t="s">
        <v>239</v>
      </c>
      <c r="I74" s="30">
        <v>5</v>
      </c>
      <c r="J74" s="30">
        <f>(6*5*2.83)+(3*5*3.14)</f>
        <v>132</v>
      </c>
      <c r="K74" s="31">
        <v>36</v>
      </c>
      <c r="L74" s="32">
        <v>43082.445011574076</v>
      </c>
      <c r="M74" s="31" t="s">
        <v>52</v>
      </c>
      <c r="N74" s="31" t="s">
        <v>155</v>
      </c>
      <c r="O74" s="31">
        <v>1252</v>
      </c>
      <c r="P74" s="39">
        <v>178.3</v>
      </c>
      <c r="Q74" s="7">
        <v>98.69</v>
      </c>
      <c r="R74" s="7">
        <v>90.15</v>
      </c>
      <c r="S74" s="7">
        <v>90.15</v>
      </c>
      <c r="T74" s="33">
        <f t="shared" si="5"/>
        <v>162.87106089776069</v>
      </c>
      <c r="U74" s="33">
        <f t="shared" si="4"/>
        <v>1.2338716734678841</v>
      </c>
      <c r="V74" s="7"/>
      <c r="W74" s="38"/>
      <c r="X74" s="7"/>
      <c r="Y74" s="7"/>
      <c r="Z74" s="38"/>
      <c r="AA74" s="38"/>
      <c r="AB74" s="7"/>
      <c r="AC74" s="7"/>
      <c r="AE74" s="37">
        <v>1</v>
      </c>
      <c r="AF74" s="56"/>
      <c r="AG74" s="37">
        <v>1</v>
      </c>
      <c r="AH74" s="37">
        <v>6.65</v>
      </c>
      <c r="AI74" s="37"/>
      <c r="AJ74" s="7"/>
      <c r="AK74" s="7"/>
      <c r="AL74" s="7"/>
      <c r="AM74" s="37"/>
    </row>
    <row r="75" spans="1:39" x14ac:dyDescent="0.2">
      <c r="A75" s="7">
        <v>74</v>
      </c>
      <c r="B75" s="7" t="s">
        <v>230</v>
      </c>
      <c r="C75" s="7" t="s">
        <v>11</v>
      </c>
      <c r="D75" s="7" t="s">
        <v>7</v>
      </c>
      <c r="E75" s="7" t="s">
        <v>3</v>
      </c>
      <c r="F75" s="7" t="s">
        <v>248</v>
      </c>
      <c r="G75">
        <v>2000</v>
      </c>
      <c r="H75" s="29" t="s">
        <v>240</v>
      </c>
      <c r="I75" s="30">
        <f>(18.5+13.5+18)/3</f>
        <v>16.666666666666668</v>
      </c>
      <c r="J75" s="30">
        <f>(3*(I75-5)*3.14)</f>
        <v>109.9</v>
      </c>
      <c r="K75" s="31">
        <v>36</v>
      </c>
      <c r="L75" s="32">
        <v>43082.445011574076</v>
      </c>
      <c r="M75" s="31" t="s">
        <v>52</v>
      </c>
      <c r="N75" s="31" t="s">
        <v>155</v>
      </c>
      <c r="O75" s="31">
        <v>1252</v>
      </c>
      <c r="P75" s="39">
        <v>175</v>
      </c>
      <c r="Q75" s="7">
        <v>101.94</v>
      </c>
      <c r="R75" s="7">
        <v>95.8</v>
      </c>
      <c r="S75" s="7">
        <v>95.8</v>
      </c>
      <c r="T75" s="33">
        <f t="shared" si="5"/>
        <v>164.45948597214047</v>
      </c>
      <c r="U75" s="33">
        <f t="shared" si="4"/>
        <v>1.4964466421486848</v>
      </c>
      <c r="V75" s="7"/>
      <c r="W75" s="38"/>
      <c r="X75" s="7"/>
      <c r="Y75" s="7"/>
      <c r="Z75" s="38"/>
      <c r="AA75" s="38"/>
      <c r="AB75" s="7"/>
      <c r="AC75" s="7"/>
      <c r="AE75" s="37">
        <v>1</v>
      </c>
      <c r="AG75" s="37">
        <v>1</v>
      </c>
      <c r="AH75" s="37">
        <v>6.81</v>
      </c>
      <c r="AI75" s="37"/>
      <c r="AJ75" s="7"/>
      <c r="AK75" s="7"/>
      <c r="AL75" s="7"/>
      <c r="AM75" s="37"/>
    </row>
    <row r="76" spans="1:39" x14ac:dyDescent="0.2">
      <c r="A76" s="7">
        <v>75</v>
      </c>
      <c r="B76" s="7" t="s">
        <v>230</v>
      </c>
      <c r="C76" s="7" t="s">
        <v>11</v>
      </c>
      <c r="D76" s="7" t="s">
        <v>7</v>
      </c>
      <c r="E76" s="7" t="s">
        <v>4</v>
      </c>
      <c r="F76" s="7" t="s">
        <v>248</v>
      </c>
      <c r="G76">
        <v>2000</v>
      </c>
      <c r="H76" s="29" t="s">
        <v>239</v>
      </c>
      <c r="I76" s="30">
        <v>5</v>
      </c>
      <c r="J76" s="30">
        <f>(6*5*2.83)+(3*5*3.14)</f>
        <v>132</v>
      </c>
      <c r="K76" s="31">
        <v>37</v>
      </c>
      <c r="L76" s="32">
        <v>43082.455196759256</v>
      </c>
      <c r="M76" s="31" t="s">
        <v>53</v>
      </c>
      <c r="N76" s="31" t="s">
        <v>156</v>
      </c>
      <c r="O76" s="31">
        <v>1252</v>
      </c>
      <c r="P76" s="39">
        <v>194</v>
      </c>
      <c r="Q76" s="7">
        <v>50.2</v>
      </c>
      <c r="R76" s="7">
        <v>47.65</v>
      </c>
      <c r="S76" s="7">
        <v>47.65</v>
      </c>
      <c r="T76" s="33">
        <f t="shared" si="5"/>
        <v>184.1454183266932</v>
      </c>
      <c r="U76" s="33">
        <f t="shared" si="4"/>
        <v>1.3950410479294939</v>
      </c>
      <c r="V76" s="7"/>
      <c r="W76" s="38"/>
      <c r="X76" s="7"/>
      <c r="Y76" s="7"/>
      <c r="Z76" s="38"/>
      <c r="AA76" s="38"/>
      <c r="AB76" s="7"/>
      <c r="AC76" s="7"/>
      <c r="AE76" s="37">
        <v>1</v>
      </c>
      <c r="AF76" s="56"/>
      <c r="AG76" s="37">
        <v>1</v>
      </c>
      <c r="AH76" s="37">
        <v>6.68</v>
      </c>
      <c r="AI76" s="7"/>
      <c r="AJ76" s="7"/>
      <c r="AK76" s="7"/>
      <c r="AL76" s="7"/>
      <c r="AM76" s="7"/>
    </row>
    <row r="77" spans="1:39" x14ac:dyDescent="0.2">
      <c r="A77" s="7">
        <v>76</v>
      </c>
      <c r="B77" s="7" t="s">
        <v>230</v>
      </c>
      <c r="C77" s="7" t="s">
        <v>11</v>
      </c>
      <c r="D77" s="7" t="s">
        <v>7</v>
      </c>
      <c r="E77" s="7" t="s">
        <v>4</v>
      </c>
      <c r="F77" s="7" t="s">
        <v>248</v>
      </c>
      <c r="G77">
        <v>2000</v>
      </c>
      <c r="H77" s="29" t="s">
        <v>240</v>
      </c>
      <c r="I77" s="30">
        <f>(16.5+16.5+9.5)/3</f>
        <v>14.166666666666666</v>
      </c>
      <c r="J77" s="30">
        <f>(3*(I77-5)*3.14)</f>
        <v>86.350000000000009</v>
      </c>
      <c r="K77" s="31">
        <v>37</v>
      </c>
      <c r="L77" s="32">
        <v>43082.455196759256</v>
      </c>
      <c r="M77" s="31" t="s">
        <v>53</v>
      </c>
      <c r="N77" s="31" t="s">
        <v>156</v>
      </c>
      <c r="O77" s="31">
        <v>1252</v>
      </c>
      <c r="P77" s="39">
        <v>142</v>
      </c>
      <c r="Q77" s="7">
        <v>53.19</v>
      </c>
      <c r="R77" s="7">
        <v>48.63</v>
      </c>
      <c r="S77" s="7">
        <v>48.63</v>
      </c>
      <c r="T77" s="33">
        <f t="shared" si="5"/>
        <v>129.82628313592784</v>
      </c>
      <c r="U77" s="33">
        <f t="shared" si="4"/>
        <v>1.5034890924832407</v>
      </c>
      <c r="V77" s="7"/>
      <c r="W77" s="38"/>
      <c r="X77" s="7"/>
      <c r="Y77" s="7"/>
      <c r="Z77" s="38"/>
      <c r="AA77" s="38"/>
      <c r="AB77" s="7"/>
      <c r="AC77" s="7"/>
      <c r="AE77" s="37">
        <v>1</v>
      </c>
      <c r="AG77" s="37">
        <v>1</v>
      </c>
      <c r="AH77" s="37">
        <v>6.81</v>
      </c>
      <c r="AI77" s="7"/>
      <c r="AJ77" s="7"/>
      <c r="AK77" s="7"/>
      <c r="AL77" s="7"/>
      <c r="AM77" s="7"/>
    </row>
    <row r="78" spans="1:39" x14ac:dyDescent="0.2">
      <c r="A78" s="7">
        <v>77</v>
      </c>
      <c r="B78" s="7" t="s">
        <v>230</v>
      </c>
      <c r="C78" s="7" t="s">
        <v>11</v>
      </c>
      <c r="D78" s="7" t="s">
        <v>7</v>
      </c>
      <c r="E78" s="7" t="s">
        <v>5</v>
      </c>
      <c r="F78" s="7" t="s">
        <v>248</v>
      </c>
      <c r="G78">
        <v>2000</v>
      </c>
      <c r="H78" s="29" t="s">
        <v>239</v>
      </c>
      <c r="I78" s="30">
        <v>5</v>
      </c>
      <c r="J78" s="30">
        <f>(6*5*2.83)+(3*5*3.14)</f>
        <v>132</v>
      </c>
      <c r="K78" s="31">
        <v>38</v>
      </c>
      <c r="L78" s="32">
        <v>43082.463437500002</v>
      </c>
      <c r="M78" s="31" t="s">
        <v>54</v>
      </c>
      <c r="N78" s="31" t="s">
        <v>157</v>
      </c>
      <c r="O78" s="31">
        <v>1252</v>
      </c>
      <c r="P78" s="39">
        <v>195</v>
      </c>
      <c r="Q78" s="7">
        <v>55.36</v>
      </c>
      <c r="R78" s="7">
        <v>50.97</v>
      </c>
      <c r="S78" s="7">
        <v>50.97</v>
      </c>
      <c r="T78" s="33">
        <f t="shared" si="5"/>
        <v>179.53666907514452</v>
      </c>
      <c r="U78" s="33">
        <f t="shared" si="4"/>
        <v>1.3601262808723069</v>
      </c>
      <c r="V78" s="7"/>
      <c r="W78" s="38"/>
      <c r="X78" s="7"/>
      <c r="Y78" s="7"/>
      <c r="Z78" s="38"/>
      <c r="AA78" s="38"/>
      <c r="AB78" s="7"/>
      <c r="AC78" s="7"/>
      <c r="AE78" s="37">
        <v>1</v>
      </c>
      <c r="AF78" s="56"/>
      <c r="AG78" s="37">
        <v>1</v>
      </c>
      <c r="AH78" s="37">
        <v>6.84</v>
      </c>
      <c r="AI78" s="7"/>
      <c r="AJ78" s="7"/>
      <c r="AK78" s="7"/>
      <c r="AL78" s="7"/>
      <c r="AM78" s="7"/>
    </row>
    <row r="79" spans="1:39" x14ac:dyDescent="0.2">
      <c r="A79" s="7">
        <v>78</v>
      </c>
      <c r="B79" s="7" t="s">
        <v>230</v>
      </c>
      <c r="C79" s="7" t="s">
        <v>11</v>
      </c>
      <c r="D79" s="7" t="s">
        <v>7</v>
      </c>
      <c r="E79" s="7" t="s">
        <v>5</v>
      </c>
      <c r="F79" s="7" t="s">
        <v>248</v>
      </c>
      <c r="G79">
        <v>2000</v>
      </c>
      <c r="H79" s="29" t="s">
        <v>240</v>
      </c>
      <c r="I79" s="30">
        <f>(17+14.5+19)/3</f>
        <v>16.833333333333332</v>
      </c>
      <c r="J79" s="30">
        <f>(3*(I79-5)*3.14)</f>
        <v>111.47</v>
      </c>
      <c r="K79" s="31">
        <v>38</v>
      </c>
      <c r="L79" s="32">
        <v>43082.463437500002</v>
      </c>
      <c r="M79" s="31" t="s">
        <v>54</v>
      </c>
      <c r="N79" s="31" t="s">
        <v>157</v>
      </c>
      <c r="O79" s="31">
        <v>1252</v>
      </c>
      <c r="P79" s="39">
        <v>185.5</v>
      </c>
      <c r="Q79" s="7">
        <v>51.77</v>
      </c>
      <c r="R79" s="7">
        <v>48.22</v>
      </c>
      <c r="S79" s="7">
        <v>48.22</v>
      </c>
      <c r="T79" s="33">
        <f t="shared" si="5"/>
        <v>172.77979524821322</v>
      </c>
      <c r="U79" s="33">
        <f t="shared" si="4"/>
        <v>1.5500116197022806</v>
      </c>
      <c r="V79" s="7"/>
      <c r="W79" s="38"/>
      <c r="X79" s="7"/>
      <c r="Y79" s="7"/>
      <c r="Z79" s="38"/>
      <c r="AA79" s="38"/>
      <c r="AB79" s="7"/>
      <c r="AC79" s="7"/>
      <c r="AE79" s="37">
        <v>1</v>
      </c>
      <c r="AG79" s="37">
        <v>1</v>
      </c>
      <c r="AH79" s="37">
        <v>6.84</v>
      </c>
      <c r="AI79" s="7"/>
      <c r="AJ79" s="7"/>
      <c r="AK79" s="7"/>
      <c r="AL79" s="7"/>
      <c r="AM79" s="7"/>
    </row>
    <row r="80" spans="1:39" x14ac:dyDescent="0.2">
      <c r="A80" s="7">
        <v>79</v>
      </c>
      <c r="B80" s="7" t="s">
        <v>230</v>
      </c>
      <c r="C80" s="7" t="s">
        <v>11</v>
      </c>
      <c r="D80" s="7" t="s">
        <v>7</v>
      </c>
      <c r="E80" s="7" t="s">
        <v>6</v>
      </c>
      <c r="F80" s="7" t="s">
        <v>248</v>
      </c>
      <c r="G80">
        <v>2000</v>
      </c>
      <c r="H80" s="29" t="s">
        <v>239</v>
      </c>
      <c r="I80" s="30">
        <v>5</v>
      </c>
      <c r="J80" s="30">
        <f>(6*5*2.83)+(3*5*3.14)</f>
        <v>132</v>
      </c>
      <c r="K80" s="31">
        <v>39</v>
      </c>
      <c r="L80" s="32">
        <v>43082.474120370367</v>
      </c>
      <c r="M80" s="31" t="s">
        <v>55</v>
      </c>
      <c r="N80" s="31" t="s">
        <v>158</v>
      </c>
      <c r="O80" s="31">
        <v>1251</v>
      </c>
      <c r="P80" s="39">
        <v>205</v>
      </c>
      <c r="Q80" s="7">
        <v>50.5</v>
      </c>
      <c r="R80" s="7">
        <v>47.23</v>
      </c>
      <c r="S80" s="7">
        <v>47.23</v>
      </c>
      <c r="T80" s="33">
        <f t="shared" si="5"/>
        <v>191.72574257425742</v>
      </c>
      <c r="U80" s="33">
        <f t="shared" si="4"/>
        <v>1.4524677467746774</v>
      </c>
      <c r="V80" s="7"/>
      <c r="W80" s="38"/>
      <c r="X80" s="7"/>
      <c r="Y80" s="7"/>
      <c r="Z80" s="38"/>
      <c r="AA80" s="38"/>
      <c r="AB80" s="7"/>
      <c r="AC80" s="7"/>
      <c r="AE80" s="37">
        <v>1</v>
      </c>
      <c r="AF80" s="56"/>
      <c r="AG80" s="37">
        <v>1</v>
      </c>
      <c r="AH80" s="37">
        <v>6.69</v>
      </c>
      <c r="AI80" s="7"/>
      <c r="AJ80" s="7"/>
      <c r="AK80" s="7"/>
      <c r="AL80" s="7"/>
      <c r="AM80" s="7"/>
    </row>
    <row r="81" spans="1:39" x14ac:dyDescent="0.2">
      <c r="A81" s="7">
        <v>80</v>
      </c>
      <c r="B81" s="7" t="s">
        <v>230</v>
      </c>
      <c r="C81" s="7" t="s">
        <v>11</v>
      </c>
      <c r="D81" s="7" t="s">
        <v>7</v>
      </c>
      <c r="E81" s="7" t="s">
        <v>6</v>
      </c>
      <c r="F81" s="7" t="s">
        <v>248</v>
      </c>
      <c r="G81">
        <v>2000</v>
      </c>
      <c r="H81" s="29" t="s">
        <v>240</v>
      </c>
      <c r="I81" s="30">
        <f>(13+18+19)/3</f>
        <v>16.666666666666668</v>
      </c>
      <c r="J81" s="30">
        <f>(3*(I81-5)*3.14)</f>
        <v>109.9</v>
      </c>
      <c r="K81" s="31">
        <v>39</v>
      </c>
      <c r="L81" s="32">
        <v>43082.474120370367</v>
      </c>
      <c r="M81" s="31" t="s">
        <v>55</v>
      </c>
      <c r="N81" s="31" t="s">
        <v>158</v>
      </c>
      <c r="O81" s="31">
        <v>1251</v>
      </c>
      <c r="P81" s="39">
        <v>196</v>
      </c>
      <c r="Q81" s="7">
        <v>49.22</v>
      </c>
      <c r="R81" s="7">
        <v>45.41</v>
      </c>
      <c r="S81" s="7">
        <v>45.41</v>
      </c>
      <c r="T81" s="33">
        <f t="shared" si="5"/>
        <v>180.82811865095491</v>
      </c>
      <c r="U81" s="33">
        <f t="shared" si="4"/>
        <v>1.6453877948221556</v>
      </c>
      <c r="V81" s="7"/>
      <c r="W81" s="38"/>
      <c r="X81" s="7"/>
      <c r="Y81" s="7"/>
      <c r="Z81" s="38"/>
      <c r="AA81" s="38"/>
      <c r="AB81" s="7"/>
      <c r="AC81" s="7"/>
      <c r="AE81" s="37">
        <v>1</v>
      </c>
      <c r="AG81" s="37">
        <v>1</v>
      </c>
      <c r="AH81" s="37">
        <v>6.83</v>
      </c>
      <c r="AI81" s="7"/>
      <c r="AJ81" s="7"/>
      <c r="AK81" s="7"/>
      <c r="AL81" s="7"/>
      <c r="AM81" s="7"/>
    </row>
    <row r="82" spans="1:39" x14ac:dyDescent="0.2">
      <c r="A82" s="7">
        <v>81</v>
      </c>
      <c r="B82" s="7" t="s">
        <v>230</v>
      </c>
      <c r="C82" s="7" t="s">
        <v>11</v>
      </c>
      <c r="D82" s="7" t="s">
        <v>8</v>
      </c>
      <c r="E82" s="7" t="s">
        <v>3</v>
      </c>
      <c r="F82" s="7" t="s">
        <v>248</v>
      </c>
      <c r="G82">
        <v>2000</v>
      </c>
      <c r="H82" s="29" t="s">
        <v>239</v>
      </c>
      <c r="I82" s="30">
        <v>5</v>
      </c>
      <c r="J82" s="30">
        <f>(6*5*2.83)+(3*5*3.14)</f>
        <v>132</v>
      </c>
      <c r="K82" s="31">
        <v>45</v>
      </c>
      <c r="L82" s="32">
        <v>43082.576631944445</v>
      </c>
      <c r="M82" s="31" t="s">
        <v>57</v>
      </c>
      <c r="N82" s="31" t="s">
        <v>162</v>
      </c>
      <c r="O82" s="31">
        <v>1288</v>
      </c>
      <c r="P82" s="39">
        <v>166</v>
      </c>
      <c r="Q82" s="7">
        <v>103.97</v>
      </c>
      <c r="R82" s="7">
        <v>98.64</v>
      </c>
      <c r="S82" s="7">
        <v>89.7</v>
      </c>
      <c r="T82" s="33">
        <f t="shared" si="5"/>
        <v>143.21631239780706</v>
      </c>
      <c r="U82" s="33">
        <f t="shared" si="4"/>
        <v>1.0849720636197504</v>
      </c>
      <c r="V82" s="34">
        <v>97.47</v>
      </c>
      <c r="W82" s="35">
        <f t="shared" ref="W82:W83" si="6">+T82*(V82/100)/J82</f>
        <v>1.0575222704101708</v>
      </c>
      <c r="X82" s="34">
        <v>7.16</v>
      </c>
      <c r="Y82" s="34">
        <v>8.06</v>
      </c>
      <c r="Z82" s="35">
        <f>1-(X82/Y82)</f>
        <v>0.11166253101736978</v>
      </c>
      <c r="AA82" s="35">
        <f>+X82/Y82</f>
        <v>0.88833746898263022</v>
      </c>
      <c r="AB82" s="19">
        <v>28</v>
      </c>
      <c r="AC82" s="19">
        <v>27</v>
      </c>
      <c r="AD82" s="19">
        <v>46</v>
      </c>
      <c r="AE82" s="37">
        <v>1</v>
      </c>
      <c r="AF82" s="53">
        <f>+AE82*AA82</f>
        <v>0.88833746898263022</v>
      </c>
      <c r="AG82" s="37">
        <v>1</v>
      </c>
      <c r="AH82" s="37">
        <v>6.19</v>
      </c>
      <c r="AI82" s="7">
        <v>38.83</v>
      </c>
      <c r="AJ82" s="19">
        <v>1.3</v>
      </c>
      <c r="AK82" s="19">
        <v>5.8</v>
      </c>
      <c r="AL82" s="19">
        <v>0.76</v>
      </c>
      <c r="AM82" s="19">
        <v>81</v>
      </c>
    </row>
    <row r="83" spans="1:39" x14ac:dyDescent="0.2">
      <c r="A83" s="7">
        <v>82</v>
      </c>
      <c r="B83" s="7" t="s">
        <v>230</v>
      </c>
      <c r="C83" s="7" t="s">
        <v>11</v>
      </c>
      <c r="D83" s="7" t="s">
        <v>8</v>
      </c>
      <c r="E83" s="7" t="s">
        <v>3</v>
      </c>
      <c r="F83" s="7" t="s">
        <v>248</v>
      </c>
      <c r="G83">
        <v>2000</v>
      </c>
      <c r="H83" s="29" t="s">
        <v>240</v>
      </c>
      <c r="I83" s="30">
        <f>(18+17+16.5)/3</f>
        <v>17.166666666666668</v>
      </c>
      <c r="J83" s="30">
        <f>(3*(I83-5)*3.14)</f>
        <v>114.61</v>
      </c>
      <c r="K83" s="31">
        <v>45</v>
      </c>
      <c r="L83" s="32">
        <v>43082.576631944445</v>
      </c>
      <c r="M83" s="31" t="s">
        <v>57</v>
      </c>
      <c r="N83" s="31" t="s">
        <v>162</v>
      </c>
      <c r="O83" s="31">
        <v>1288</v>
      </c>
      <c r="P83" s="39">
        <v>178</v>
      </c>
      <c r="Q83" s="7">
        <v>105.96</v>
      </c>
      <c r="R83" s="7">
        <v>94.8</v>
      </c>
      <c r="S83" s="7">
        <v>86.4</v>
      </c>
      <c r="T83" s="33">
        <f t="shared" si="5"/>
        <v>145.14156285390715</v>
      </c>
      <c r="U83" s="33">
        <f t="shared" si="4"/>
        <v>1.2663952783693146</v>
      </c>
      <c r="V83" s="34">
        <v>97.26</v>
      </c>
      <c r="W83" s="35">
        <f t="shared" si="6"/>
        <v>1.2316960477419954</v>
      </c>
      <c r="X83" s="34">
        <v>6.75</v>
      </c>
      <c r="Y83" s="34">
        <v>7.7480000000000002</v>
      </c>
      <c r="Z83" s="35">
        <f>1-(X83/Y83)</f>
        <v>0.12880743417656171</v>
      </c>
      <c r="AA83" s="35">
        <f>+X83/Y83</f>
        <v>0.87119256582343829</v>
      </c>
      <c r="AB83" s="19">
        <v>34</v>
      </c>
      <c r="AC83" s="19">
        <v>26</v>
      </c>
      <c r="AD83" s="19">
        <v>39</v>
      </c>
      <c r="AE83" s="37">
        <v>1</v>
      </c>
      <c r="AF83" s="53">
        <f>+AE83*AA83</f>
        <v>0.87119256582343829</v>
      </c>
      <c r="AG83" s="37">
        <v>1</v>
      </c>
      <c r="AH83" s="37">
        <v>6.01</v>
      </c>
      <c r="AI83" s="7">
        <v>39.909999999999997</v>
      </c>
      <c r="AJ83" s="19">
        <v>1.5</v>
      </c>
      <c r="AK83" s="19">
        <v>5.8</v>
      </c>
      <c r="AL83" s="19">
        <v>0.62</v>
      </c>
      <c r="AM83" s="19">
        <v>57</v>
      </c>
    </row>
    <row r="84" spans="1:39" x14ac:dyDescent="0.2">
      <c r="A84" s="7">
        <v>83</v>
      </c>
      <c r="B84" s="7" t="s">
        <v>230</v>
      </c>
      <c r="C84" s="7" t="s">
        <v>11</v>
      </c>
      <c r="D84" s="7" t="s">
        <v>8</v>
      </c>
      <c r="E84" s="7" t="s">
        <v>4</v>
      </c>
      <c r="F84" s="7" t="s">
        <v>248</v>
      </c>
      <c r="G84">
        <v>2000</v>
      </c>
      <c r="H84" s="29" t="s">
        <v>239</v>
      </c>
      <c r="I84" s="30">
        <v>5</v>
      </c>
      <c r="J84" s="30">
        <f>(6*5*2.83)+(3*5*3.14)</f>
        <v>132</v>
      </c>
      <c r="K84" s="31">
        <v>46</v>
      </c>
      <c r="L84" s="32">
        <v>43082.587071759262</v>
      </c>
      <c r="M84" s="31" t="s">
        <v>60</v>
      </c>
      <c r="N84" s="31" t="s">
        <v>163</v>
      </c>
      <c r="O84" s="31">
        <v>1267</v>
      </c>
      <c r="P84" s="39">
        <v>158</v>
      </c>
      <c r="Q84" s="7">
        <v>53.35</v>
      </c>
      <c r="R84" s="7">
        <v>47.64</v>
      </c>
      <c r="S84" s="7">
        <v>44.9</v>
      </c>
      <c r="T84" s="33">
        <f t="shared" si="5"/>
        <v>132.97469540768509</v>
      </c>
      <c r="U84" s="33">
        <f t="shared" si="4"/>
        <v>1.0073840561188265</v>
      </c>
      <c r="V84" s="7"/>
      <c r="W84" s="38"/>
      <c r="X84" s="7"/>
      <c r="Y84" s="7"/>
      <c r="Z84" s="38"/>
      <c r="AA84" s="38"/>
      <c r="AB84" s="7"/>
      <c r="AC84" s="7"/>
      <c r="AE84" s="37">
        <v>1</v>
      </c>
      <c r="AF84" s="56"/>
      <c r="AG84" s="37">
        <v>1</v>
      </c>
      <c r="AH84" s="37">
        <v>6.39</v>
      </c>
      <c r="AI84" s="7"/>
      <c r="AJ84" s="7"/>
      <c r="AK84" s="7"/>
      <c r="AL84" s="7"/>
      <c r="AM84" s="7"/>
    </row>
    <row r="85" spans="1:39" x14ac:dyDescent="0.2">
      <c r="A85" s="7">
        <v>84</v>
      </c>
      <c r="B85" s="7" t="s">
        <v>230</v>
      </c>
      <c r="C85" s="7" t="s">
        <v>11</v>
      </c>
      <c r="D85" s="7" t="s">
        <v>8</v>
      </c>
      <c r="E85" s="7" t="s">
        <v>4</v>
      </c>
      <c r="F85" s="7" t="s">
        <v>248</v>
      </c>
      <c r="G85">
        <v>2000</v>
      </c>
      <c r="H85" s="29" t="s">
        <v>240</v>
      </c>
      <c r="I85" s="30">
        <f>(11+16+16)/3</f>
        <v>14.333333333333334</v>
      </c>
      <c r="J85" s="30">
        <f>(3*(I85-5)*3.14)</f>
        <v>87.92</v>
      </c>
      <c r="K85" s="31">
        <v>46</v>
      </c>
      <c r="L85" s="32">
        <v>43082.587071759262</v>
      </c>
      <c r="M85" s="31" t="s">
        <v>60</v>
      </c>
      <c r="N85" s="31" t="s">
        <v>163</v>
      </c>
      <c r="O85" s="31">
        <v>1267</v>
      </c>
      <c r="P85" s="39">
        <v>112</v>
      </c>
      <c r="Q85" s="7">
        <v>49.16</v>
      </c>
      <c r="R85" s="7">
        <v>43.25</v>
      </c>
      <c r="S85" s="7">
        <v>43.25</v>
      </c>
      <c r="T85" s="33">
        <f t="shared" si="5"/>
        <v>98.535394629780313</v>
      </c>
      <c r="U85" s="33">
        <f t="shared" si="4"/>
        <v>1.1207392473814868</v>
      </c>
      <c r="V85" s="7"/>
      <c r="W85" s="38"/>
      <c r="X85" s="7"/>
      <c r="Y85" s="7"/>
      <c r="Z85" s="38"/>
      <c r="AA85" s="38"/>
      <c r="AB85" s="7"/>
      <c r="AC85" s="7"/>
      <c r="AE85" s="37">
        <v>1</v>
      </c>
      <c r="AG85" s="37">
        <v>1</v>
      </c>
      <c r="AH85" s="37">
        <v>6.37</v>
      </c>
      <c r="AI85" s="7"/>
      <c r="AJ85" s="7"/>
      <c r="AK85" s="7"/>
      <c r="AL85" s="7"/>
      <c r="AM85" s="7"/>
    </row>
    <row r="86" spans="1:39" x14ac:dyDescent="0.2">
      <c r="A86" s="7">
        <v>85</v>
      </c>
      <c r="B86" s="7" t="s">
        <v>230</v>
      </c>
      <c r="C86" s="7" t="s">
        <v>11</v>
      </c>
      <c r="D86" s="7" t="s">
        <v>8</v>
      </c>
      <c r="E86" s="7" t="s">
        <v>5</v>
      </c>
      <c r="F86" s="7" t="s">
        <v>248</v>
      </c>
      <c r="G86">
        <v>2000</v>
      </c>
      <c r="H86" s="29" t="s">
        <v>239</v>
      </c>
      <c r="I86" s="30">
        <v>5</v>
      </c>
      <c r="J86" s="30">
        <f>(6*5*2.83)+(3*5*3.14)</f>
        <v>132</v>
      </c>
      <c r="K86" s="31">
        <v>47</v>
      </c>
      <c r="L86" s="32">
        <v>43082.591261574074</v>
      </c>
      <c r="M86" s="31" t="s">
        <v>61</v>
      </c>
      <c r="N86" s="31" t="s">
        <v>164</v>
      </c>
      <c r="O86" s="31">
        <v>1268</v>
      </c>
      <c r="P86" s="39">
        <v>176</v>
      </c>
      <c r="Q86" s="7">
        <v>51.06</v>
      </c>
      <c r="R86" s="7">
        <v>47.58</v>
      </c>
      <c r="S86" s="7">
        <v>45.2</v>
      </c>
      <c r="T86" s="33">
        <f t="shared" si="5"/>
        <v>155.80101840971406</v>
      </c>
      <c r="U86" s="33">
        <f t="shared" si="4"/>
        <v>1.1803107455281368</v>
      </c>
      <c r="V86" s="7"/>
      <c r="W86" s="38"/>
      <c r="X86" s="7"/>
      <c r="Y86" s="7"/>
      <c r="Z86" s="38"/>
      <c r="AA86" s="38"/>
      <c r="AB86" s="7"/>
      <c r="AC86" s="7"/>
      <c r="AE86" s="37">
        <v>1</v>
      </c>
      <c r="AF86" s="56"/>
      <c r="AG86" s="37">
        <v>1</v>
      </c>
      <c r="AH86" s="37">
        <v>6.35</v>
      </c>
      <c r="AI86" s="7"/>
      <c r="AJ86" s="7"/>
      <c r="AK86" s="7"/>
      <c r="AL86" s="7"/>
      <c r="AM86" s="7"/>
    </row>
    <row r="87" spans="1:39" x14ac:dyDescent="0.2">
      <c r="A87" s="7">
        <v>86</v>
      </c>
      <c r="B87" s="7" t="s">
        <v>230</v>
      </c>
      <c r="C87" s="7" t="s">
        <v>11</v>
      </c>
      <c r="D87" s="7" t="s">
        <v>8</v>
      </c>
      <c r="E87" s="7" t="s">
        <v>5</v>
      </c>
      <c r="F87" s="7" t="s">
        <v>248</v>
      </c>
      <c r="G87">
        <v>2000</v>
      </c>
      <c r="H87" s="29" t="s">
        <v>240</v>
      </c>
      <c r="I87" s="30">
        <f>(17+17.5+18)/3</f>
        <v>17.5</v>
      </c>
      <c r="J87" s="30">
        <f>(3*(I87-5)*3.14)</f>
        <v>117.75</v>
      </c>
      <c r="K87" s="31">
        <v>47</v>
      </c>
      <c r="L87" s="32">
        <v>43082.591261574074</v>
      </c>
      <c r="M87" s="31" t="s">
        <v>61</v>
      </c>
      <c r="N87" s="31" t="s">
        <v>164</v>
      </c>
      <c r="O87" s="31">
        <v>1268</v>
      </c>
      <c r="P87" s="39">
        <v>166</v>
      </c>
      <c r="Q87" s="7">
        <v>49.35</v>
      </c>
      <c r="R87" s="7">
        <v>43.77</v>
      </c>
      <c r="S87" s="7">
        <v>39</v>
      </c>
      <c r="T87" s="33">
        <f t="shared" si="5"/>
        <v>131.1854103343465</v>
      </c>
      <c r="U87" s="33">
        <f t="shared" si="4"/>
        <v>1.114101149336276</v>
      </c>
      <c r="V87" s="7"/>
      <c r="W87" s="38"/>
      <c r="X87" s="7"/>
      <c r="Y87" s="7"/>
      <c r="Z87" s="38"/>
      <c r="AA87" s="38"/>
      <c r="AB87" s="7"/>
      <c r="AC87" s="7"/>
      <c r="AE87" s="37">
        <v>1</v>
      </c>
      <c r="AG87" s="37">
        <v>1</v>
      </c>
      <c r="AH87" s="37">
        <v>6.2</v>
      </c>
      <c r="AI87" s="7"/>
      <c r="AJ87" s="7"/>
      <c r="AK87" s="7"/>
      <c r="AL87" s="7"/>
      <c r="AM87" s="7"/>
    </row>
    <row r="88" spans="1:39" x14ac:dyDescent="0.2">
      <c r="A88" s="7">
        <v>87</v>
      </c>
      <c r="B88" s="7" t="s">
        <v>230</v>
      </c>
      <c r="C88" s="7" t="s">
        <v>11</v>
      </c>
      <c r="D88" s="7" t="s">
        <v>8</v>
      </c>
      <c r="E88" s="7" t="s">
        <v>6</v>
      </c>
      <c r="F88" s="7" t="s">
        <v>248</v>
      </c>
      <c r="G88">
        <v>2000</v>
      </c>
      <c r="H88" s="29" t="s">
        <v>239</v>
      </c>
      <c r="I88" s="30">
        <v>5</v>
      </c>
      <c r="J88" s="30">
        <f>(6*5*2.83)+(3*5*3.14)</f>
        <v>132</v>
      </c>
      <c r="K88" s="31">
        <v>48</v>
      </c>
      <c r="L88" s="32">
        <v>43082.597962962966</v>
      </c>
      <c r="M88" s="31" t="s">
        <v>62</v>
      </c>
      <c r="N88" s="31" t="s">
        <v>165</v>
      </c>
      <c r="O88" s="31">
        <v>1269</v>
      </c>
      <c r="P88" s="39">
        <v>170</v>
      </c>
      <c r="Q88" s="7">
        <v>52.27</v>
      </c>
      <c r="R88" s="7">
        <v>48.67</v>
      </c>
      <c r="S88" s="7">
        <v>46.1</v>
      </c>
      <c r="T88" s="33">
        <f t="shared" si="5"/>
        <v>149.93303998469486</v>
      </c>
      <c r="U88" s="33">
        <f t="shared" si="4"/>
        <v>1.1358563635204155</v>
      </c>
      <c r="V88" s="7"/>
      <c r="W88" s="38"/>
      <c r="X88" s="7"/>
      <c r="Y88" s="7"/>
      <c r="Z88" s="38"/>
      <c r="AA88" s="38"/>
      <c r="AB88" s="7"/>
      <c r="AC88" s="7"/>
      <c r="AE88" s="37">
        <v>1</v>
      </c>
      <c r="AF88" s="56"/>
      <c r="AG88" s="37">
        <v>1</v>
      </c>
      <c r="AH88" s="37">
        <v>6.43</v>
      </c>
      <c r="AI88" s="7"/>
      <c r="AJ88" s="7"/>
      <c r="AK88" s="7"/>
      <c r="AL88" s="7"/>
      <c r="AM88" s="7"/>
    </row>
    <row r="89" spans="1:39" x14ac:dyDescent="0.2">
      <c r="A89" s="7">
        <v>88</v>
      </c>
      <c r="B89" s="7" t="s">
        <v>230</v>
      </c>
      <c r="C89" s="7" t="s">
        <v>11</v>
      </c>
      <c r="D89" s="7" t="s">
        <v>8</v>
      </c>
      <c r="E89" s="7" t="s">
        <v>6</v>
      </c>
      <c r="F89" s="7" t="s">
        <v>248</v>
      </c>
      <c r="G89">
        <v>2000</v>
      </c>
      <c r="H89" s="29" t="s">
        <v>240</v>
      </c>
      <c r="I89" s="30">
        <f>(17.5+17+14)/3</f>
        <v>16.166666666666668</v>
      </c>
      <c r="J89" s="30">
        <f>(3*(I89-5)*3.14)</f>
        <v>105.19</v>
      </c>
      <c r="K89" s="31">
        <v>48</v>
      </c>
      <c r="L89" s="32">
        <v>43082.597962962966</v>
      </c>
      <c r="M89" s="31" t="s">
        <v>62</v>
      </c>
      <c r="N89" s="31" t="s">
        <v>165</v>
      </c>
      <c r="O89" s="31">
        <v>1269</v>
      </c>
      <c r="P89" s="39">
        <v>172</v>
      </c>
      <c r="Q89" s="7">
        <v>43.76</v>
      </c>
      <c r="R89" s="7">
        <v>38.090000000000003</v>
      </c>
      <c r="S89" s="7">
        <v>38.090000000000003</v>
      </c>
      <c r="T89" s="33">
        <f t="shared" si="5"/>
        <v>149.71389396709327</v>
      </c>
      <c r="U89" s="33">
        <f t="shared" si="4"/>
        <v>1.4232711661478588</v>
      </c>
      <c r="V89" s="7"/>
      <c r="W89" s="38"/>
      <c r="X89" s="7"/>
      <c r="Y89" s="7"/>
      <c r="Z89" s="38"/>
      <c r="AA89" s="38"/>
      <c r="AB89" s="7"/>
      <c r="AC89" s="7"/>
      <c r="AE89" s="37">
        <v>1</v>
      </c>
      <c r="AG89" s="37">
        <v>1</v>
      </c>
      <c r="AH89" s="37">
        <v>6.13</v>
      </c>
      <c r="AI89" s="7"/>
      <c r="AJ89" s="7"/>
      <c r="AK89" s="7"/>
      <c r="AL89" s="7"/>
      <c r="AM89" s="7"/>
    </row>
    <row r="90" spans="1:39" x14ac:dyDescent="0.2">
      <c r="A90" s="7">
        <v>89</v>
      </c>
      <c r="B90" s="7" t="s">
        <v>230</v>
      </c>
      <c r="C90" s="7" t="s">
        <v>11</v>
      </c>
      <c r="D90" s="7" t="s">
        <v>9</v>
      </c>
      <c r="E90" s="7" t="s">
        <v>3</v>
      </c>
      <c r="F90" s="7" t="s">
        <v>248</v>
      </c>
      <c r="G90">
        <v>2000</v>
      </c>
      <c r="H90" s="29" t="s">
        <v>239</v>
      </c>
      <c r="I90" s="30">
        <v>5</v>
      </c>
      <c r="J90" s="30">
        <f>(6*5*2.83)+(3*5*3.14)</f>
        <v>132</v>
      </c>
      <c r="K90" s="31">
        <v>41</v>
      </c>
      <c r="L90" s="32">
        <v>43082.53460648148</v>
      </c>
      <c r="M90" s="31" t="s">
        <v>56</v>
      </c>
      <c r="N90" s="31" t="s">
        <v>159</v>
      </c>
      <c r="O90" s="31">
        <v>1271</v>
      </c>
      <c r="P90" s="39">
        <v>167</v>
      </c>
      <c r="Q90" s="7">
        <v>101.93</v>
      </c>
      <c r="R90" s="7">
        <v>92.81</v>
      </c>
      <c r="S90" s="7">
        <v>90.1</v>
      </c>
      <c r="T90" s="33">
        <f t="shared" si="5"/>
        <v>147.61797311880701</v>
      </c>
      <c r="U90" s="33">
        <f t="shared" si="4"/>
        <v>1.1183179781727803</v>
      </c>
      <c r="V90" s="7"/>
      <c r="W90" s="38"/>
      <c r="X90" s="7"/>
      <c r="Y90" s="7"/>
      <c r="Z90" s="38"/>
      <c r="AA90" s="38"/>
      <c r="AB90" s="7"/>
      <c r="AC90" s="7"/>
      <c r="AE90" s="37">
        <v>1</v>
      </c>
      <c r="AF90" s="56"/>
      <c r="AG90" s="37">
        <v>1</v>
      </c>
      <c r="AH90" s="37">
        <v>6.63</v>
      </c>
      <c r="AI90" s="37"/>
      <c r="AJ90" s="7"/>
      <c r="AK90" s="7"/>
      <c r="AL90" s="7"/>
      <c r="AM90" s="37"/>
    </row>
    <row r="91" spans="1:39" x14ac:dyDescent="0.2">
      <c r="A91" s="7">
        <v>90</v>
      </c>
      <c r="B91" s="7" t="s">
        <v>230</v>
      </c>
      <c r="C91" s="7" t="s">
        <v>11</v>
      </c>
      <c r="D91" s="7" t="s">
        <v>9</v>
      </c>
      <c r="E91" s="7" t="s">
        <v>3</v>
      </c>
      <c r="F91" s="7" t="s">
        <v>248</v>
      </c>
      <c r="G91">
        <v>2000</v>
      </c>
      <c r="H91" s="29" t="s">
        <v>240</v>
      </c>
      <c r="I91" s="30">
        <f>(17+16+20)/3</f>
        <v>17.666666666666668</v>
      </c>
      <c r="J91" s="30">
        <f>(3*(I91-5)*3.14)</f>
        <v>119.32000000000001</v>
      </c>
      <c r="K91" s="31">
        <v>41</v>
      </c>
      <c r="L91" s="32">
        <v>43082.53460648148</v>
      </c>
      <c r="M91" s="31" t="s">
        <v>56</v>
      </c>
      <c r="N91" s="31" t="s">
        <v>159</v>
      </c>
      <c r="O91" s="31">
        <v>1271</v>
      </c>
      <c r="P91" s="39">
        <v>162</v>
      </c>
      <c r="Q91" s="7">
        <v>101.89</v>
      </c>
      <c r="R91" s="7">
        <v>86.38</v>
      </c>
      <c r="S91" s="7">
        <v>86.38</v>
      </c>
      <c r="T91" s="33">
        <f t="shared" si="5"/>
        <v>137.33987633722643</v>
      </c>
      <c r="U91" s="33">
        <f t="shared" si="4"/>
        <v>1.1510214242141001</v>
      </c>
      <c r="V91" s="7"/>
      <c r="W91" s="38"/>
      <c r="X91" s="7"/>
      <c r="Y91" s="7"/>
      <c r="Z91" s="38"/>
      <c r="AA91" s="38"/>
      <c r="AB91" s="7"/>
      <c r="AC91" s="7"/>
      <c r="AE91" s="37">
        <v>1</v>
      </c>
      <c r="AG91" s="37">
        <v>1</v>
      </c>
      <c r="AH91" s="37">
        <v>6.81</v>
      </c>
      <c r="AI91" s="37"/>
      <c r="AJ91" s="7"/>
      <c r="AK91" s="7"/>
      <c r="AL91" s="7"/>
      <c r="AM91" s="37"/>
    </row>
    <row r="92" spans="1:39" x14ac:dyDescent="0.2">
      <c r="A92" s="7">
        <v>91</v>
      </c>
      <c r="B92" s="7" t="s">
        <v>230</v>
      </c>
      <c r="C92" s="7" t="s">
        <v>11</v>
      </c>
      <c r="D92" s="7" t="s">
        <v>9</v>
      </c>
      <c r="E92" s="7" t="s">
        <v>4</v>
      </c>
      <c r="F92" s="7" t="s">
        <v>248</v>
      </c>
      <c r="G92">
        <v>2000</v>
      </c>
      <c r="H92" s="29" t="s">
        <v>239</v>
      </c>
      <c r="I92" s="30">
        <v>5</v>
      </c>
      <c r="J92" s="30">
        <f>(6*5*2.83)+(3*5*3.14)</f>
        <v>132</v>
      </c>
      <c r="K92" s="31">
        <v>42</v>
      </c>
      <c r="L92" s="32">
        <v>43082.546701388892</v>
      </c>
      <c r="M92" s="31" t="s">
        <v>57</v>
      </c>
      <c r="N92" s="31" t="s">
        <v>159</v>
      </c>
      <c r="O92" s="31">
        <v>1271</v>
      </c>
      <c r="P92" s="39">
        <v>165</v>
      </c>
      <c r="Q92" s="7">
        <v>49.93</v>
      </c>
      <c r="R92" s="7">
        <v>44.93</v>
      </c>
      <c r="S92" s="7">
        <v>44.93</v>
      </c>
      <c r="T92" s="33">
        <f t="shared" si="5"/>
        <v>148.47686761466053</v>
      </c>
      <c r="U92" s="33">
        <f t="shared" si="4"/>
        <v>1.1248247546565191</v>
      </c>
      <c r="V92" s="7"/>
      <c r="W92" s="38"/>
      <c r="X92" s="7"/>
      <c r="Y92" s="7"/>
      <c r="Z92" s="38"/>
      <c r="AA92" s="38"/>
      <c r="AB92" s="7"/>
      <c r="AC92" s="7"/>
      <c r="AE92" s="37">
        <v>1</v>
      </c>
      <c r="AF92" s="56"/>
      <c r="AG92" s="37">
        <v>1</v>
      </c>
      <c r="AH92" s="37">
        <v>6.7</v>
      </c>
      <c r="AI92" s="7"/>
      <c r="AJ92" s="7"/>
      <c r="AK92" s="7"/>
      <c r="AL92" s="7"/>
      <c r="AM92" s="7"/>
    </row>
    <row r="93" spans="1:39" x14ac:dyDescent="0.2">
      <c r="A93" s="7">
        <v>92</v>
      </c>
      <c r="B93" s="7" t="s">
        <v>230</v>
      </c>
      <c r="C93" s="7" t="s">
        <v>11</v>
      </c>
      <c r="D93" s="7" t="s">
        <v>9</v>
      </c>
      <c r="E93" s="7" t="s">
        <v>4</v>
      </c>
      <c r="F93" s="7" t="s">
        <v>248</v>
      </c>
      <c r="G93">
        <v>2000</v>
      </c>
      <c r="H93" s="29" t="s">
        <v>240</v>
      </c>
      <c r="I93" s="30">
        <f>(18+16+15)/3</f>
        <v>16.333333333333332</v>
      </c>
      <c r="J93" s="30">
        <f>(3*(I93-5)*3.14)</f>
        <v>106.76</v>
      </c>
      <c r="K93" s="31">
        <v>42</v>
      </c>
      <c r="L93" s="32">
        <v>43082.546701388892</v>
      </c>
      <c r="M93" s="31" t="s">
        <v>57</v>
      </c>
      <c r="N93" s="31" t="s">
        <v>159</v>
      </c>
      <c r="O93" s="31">
        <v>1271</v>
      </c>
      <c r="P93" s="39">
        <v>144</v>
      </c>
      <c r="Q93" s="7">
        <v>48.26</v>
      </c>
      <c r="R93" s="7">
        <v>41.14</v>
      </c>
      <c r="S93" s="7">
        <v>41.14</v>
      </c>
      <c r="T93" s="33">
        <f t="shared" si="5"/>
        <v>122.75507666804808</v>
      </c>
      <c r="U93" s="33">
        <f t="shared" si="4"/>
        <v>1.1498227488577002</v>
      </c>
      <c r="V93" s="7"/>
      <c r="W93" s="38"/>
      <c r="X93" s="7"/>
      <c r="Y93" s="7"/>
      <c r="Z93" s="38"/>
      <c r="AA93" s="38"/>
      <c r="AB93" s="7"/>
      <c r="AC93" s="7"/>
      <c r="AE93" s="37">
        <v>1</v>
      </c>
      <c r="AG93" s="37">
        <v>1</v>
      </c>
      <c r="AH93" s="37">
        <v>7.06</v>
      </c>
      <c r="AI93" s="7"/>
      <c r="AJ93" s="7"/>
      <c r="AK93" s="7"/>
      <c r="AL93" s="7"/>
      <c r="AM93" s="7"/>
    </row>
    <row r="94" spans="1:39" x14ac:dyDescent="0.2">
      <c r="A94" s="7">
        <v>93</v>
      </c>
      <c r="B94" s="7" t="s">
        <v>230</v>
      </c>
      <c r="C94" s="7" t="s">
        <v>11</v>
      </c>
      <c r="D94" s="7" t="s">
        <v>9</v>
      </c>
      <c r="E94" s="7" t="s">
        <v>5</v>
      </c>
      <c r="F94" s="7" t="s">
        <v>248</v>
      </c>
      <c r="G94">
        <v>2000</v>
      </c>
      <c r="H94" s="29" t="s">
        <v>239</v>
      </c>
      <c r="I94" s="30">
        <v>5</v>
      </c>
      <c r="J94" s="30">
        <f>(6*5*2.83)+(3*5*3.14)</f>
        <v>132</v>
      </c>
      <c r="K94" s="31">
        <v>43</v>
      </c>
      <c r="L94" s="32">
        <v>43082.552314814813</v>
      </c>
      <c r="M94" s="31" t="s">
        <v>58</v>
      </c>
      <c r="N94" s="31" t="s">
        <v>160</v>
      </c>
      <c r="O94" s="31">
        <v>1270</v>
      </c>
      <c r="P94" s="39">
        <v>170</v>
      </c>
      <c r="Q94" s="7">
        <v>48.83</v>
      </c>
      <c r="R94" s="7">
        <v>42.94</v>
      </c>
      <c r="S94" s="7">
        <v>42.94</v>
      </c>
      <c r="T94" s="33">
        <f t="shared" si="5"/>
        <v>149.49416342412451</v>
      </c>
      <c r="U94" s="33">
        <f t="shared" si="4"/>
        <v>1.1325315410918524</v>
      </c>
      <c r="V94" s="7"/>
      <c r="W94" s="38"/>
      <c r="X94" s="7"/>
      <c r="Y94" s="7"/>
      <c r="Z94" s="38"/>
      <c r="AA94" s="38"/>
      <c r="AB94" s="7"/>
      <c r="AC94" s="7"/>
      <c r="AE94" s="37">
        <v>1</v>
      </c>
      <c r="AF94" s="56"/>
      <c r="AG94" s="37">
        <v>1</v>
      </c>
      <c r="AH94" s="37">
        <v>6.6</v>
      </c>
      <c r="AI94" s="7"/>
      <c r="AJ94" s="7"/>
      <c r="AK94" s="7"/>
      <c r="AL94" s="7"/>
      <c r="AM94" s="7"/>
    </row>
    <row r="95" spans="1:39" x14ac:dyDescent="0.2">
      <c r="A95" s="7">
        <v>94</v>
      </c>
      <c r="B95" s="7" t="s">
        <v>230</v>
      </c>
      <c r="C95" s="7" t="s">
        <v>11</v>
      </c>
      <c r="D95" s="7" t="s">
        <v>9</v>
      </c>
      <c r="E95" s="7" t="s">
        <v>5</v>
      </c>
      <c r="F95" s="7" t="s">
        <v>248</v>
      </c>
      <c r="G95">
        <v>2000</v>
      </c>
      <c r="H95" s="29" t="s">
        <v>240</v>
      </c>
      <c r="I95" s="30">
        <f>(18.5+16.5+18)/3</f>
        <v>17.666666666666668</v>
      </c>
      <c r="J95" s="30">
        <f>(3*(I95-5)*3.14)</f>
        <v>119.32000000000001</v>
      </c>
      <c r="K95" s="31">
        <v>43</v>
      </c>
      <c r="L95" s="32">
        <v>43082.552314814813</v>
      </c>
      <c r="M95" s="31" t="s">
        <v>58</v>
      </c>
      <c r="N95" s="31" t="s">
        <v>160</v>
      </c>
      <c r="O95" s="31">
        <v>1270</v>
      </c>
      <c r="P95" s="39">
        <v>160</v>
      </c>
      <c r="Q95" s="7">
        <v>48.84</v>
      </c>
      <c r="R95" s="7">
        <v>41.39</v>
      </c>
      <c r="S95" s="7">
        <v>41.39</v>
      </c>
      <c r="T95" s="33">
        <f t="shared" si="5"/>
        <v>135.5937755937756</v>
      </c>
      <c r="U95" s="33">
        <f t="shared" si="4"/>
        <v>1.1363876600215856</v>
      </c>
      <c r="V95" s="7"/>
      <c r="W95" s="38"/>
      <c r="X95" s="7"/>
      <c r="Y95" s="7"/>
      <c r="Z95" s="38"/>
      <c r="AA95" s="38"/>
      <c r="AB95" s="7"/>
      <c r="AC95" s="7"/>
      <c r="AE95" s="37">
        <v>1</v>
      </c>
      <c r="AG95" s="37">
        <v>1</v>
      </c>
      <c r="AH95" s="37">
        <v>6.81</v>
      </c>
      <c r="AI95" s="7"/>
      <c r="AJ95" s="7"/>
      <c r="AK95" s="7"/>
      <c r="AL95" s="7"/>
      <c r="AM95" s="7"/>
    </row>
    <row r="96" spans="1:39" x14ac:dyDescent="0.2">
      <c r="A96" s="7">
        <v>95</v>
      </c>
      <c r="B96" s="7" t="s">
        <v>230</v>
      </c>
      <c r="C96" s="7" t="s">
        <v>11</v>
      </c>
      <c r="D96" s="7" t="s">
        <v>9</v>
      </c>
      <c r="E96" s="7" t="s">
        <v>6</v>
      </c>
      <c r="F96" s="7" t="s">
        <v>248</v>
      </c>
      <c r="G96">
        <v>2000</v>
      </c>
      <c r="H96" s="29" t="s">
        <v>239</v>
      </c>
      <c r="I96" s="30">
        <v>5</v>
      </c>
      <c r="J96" s="30">
        <f>(6*5*2.83)+(3*5*3.14)</f>
        <v>132</v>
      </c>
      <c r="K96" s="31">
        <v>44</v>
      </c>
      <c r="L96" s="32">
        <v>43082.562025462961</v>
      </c>
      <c r="M96" s="31" t="s">
        <v>59</v>
      </c>
      <c r="N96" s="31" t="s">
        <v>161</v>
      </c>
      <c r="O96" s="31">
        <v>1269</v>
      </c>
      <c r="P96" s="39">
        <v>158</v>
      </c>
      <c r="Q96" s="7">
        <v>49.29</v>
      </c>
      <c r="R96" s="7">
        <v>44.79</v>
      </c>
      <c r="S96" s="7">
        <v>44.79</v>
      </c>
      <c r="T96" s="33">
        <f t="shared" si="5"/>
        <v>143.57516737674985</v>
      </c>
      <c r="U96" s="33">
        <f t="shared" si="4"/>
        <v>1.0876906619450746</v>
      </c>
      <c r="V96" s="7"/>
      <c r="W96" s="38"/>
      <c r="X96" s="7"/>
      <c r="Y96" s="7"/>
      <c r="Z96" s="38"/>
      <c r="AA96" s="38"/>
      <c r="AB96" s="7"/>
      <c r="AC96" s="7"/>
      <c r="AE96" s="37">
        <v>1</v>
      </c>
      <c r="AF96" s="56"/>
      <c r="AG96" s="37">
        <v>1</v>
      </c>
      <c r="AH96" s="37">
        <v>6.77</v>
      </c>
      <c r="AI96" s="7"/>
      <c r="AJ96" s="7"/>
      <c r="AK96" s="7"/>
      <c r="AL96" s="7"/>
      <c r="AM96" s="7"/>
    </row>
    <row r="97" spans="1:39" x14ac:dyDescent="0.2">
      <c r="A97" s="7">
        <v>96</v>
      </c>
      <c r="B97" s="7" t="s">
        <v>230</v>
      </c>
      <c r="C97" s="7" t="s">
        <v>11</v>
      </c>
      <c r="D97" s="7" t="s">
        <v>9</v>
      </c>
      <c r="E97" s="7" t="s">
        <v>6</v>
      </c>
      <c r="F97" s="7" t="s">
        <v>248</v>
      </c>
      <c r="G97">
        <v>2000</v>
      </c>
      <c r="H97" s="29" t="s">
        <v>240</v>
      </c>
      <c r="I97" s="30">
        <f>(15+18.5+20)/3</f>
        <v>17.833333333333332</v>
      </c>
      <c r="J97" s="30">
        <f>(3*(I97-5)*3.14)</f>
        <v>120.89</v>
      </c>
      <c r="K97" s="31">
        <v>44</v>
      </c>
      <c r="L97" s="32">
        <v>43082.562025462961</v>
      </c>
      <c r="M97" s="31" t="s">
        <v>59</v>
      </c>
      <c r="N97" s="31" t="s">
        <v>161</v>
      </c>
      <c r="O97" s="31">
        <v>1269</v>
      </c>
      <c r="P97" s="39">
        <v>164</v>
      </c>
      <c r="Q97" s="7">
        <v>52.01</v>
      </c>
      <c r="R97" s="7">
        <v>43.37</v>
      </c>
      <c r="S97" s="7">
        <v>43.37</v>
      </c>
      <c r="T97" s="33">
        <f t="shared" si="5"/>
        <v>136.75600845991156</v>
      </c>
      <c r="U97" s="33">
        <f t="shared" si="4"/>
        <v>1.1312433489942224</v>
      </c>
      <c r="V97" s="7"/>
      <c r="W97" s="38"/>
      <c r="X97" s="7"/>
      <c r="Y97" s="7"/>
      <c r="Z97" s="38"/>
      <c r="AA97" s="38"/>
      <c r="AB97" s="7"/>
      <c r="AC97" s="7"/>
      <c r="AE97" s="37">
        <v>1</v>
      </c>
      <c r="AG97" s="37">
        <v>1</v>
      </c>
      <c r="AH97" s="37">
        <v>6.82</v>
      </c>
      <c r="AI97" s="7"/>
      <c r="AJ97" s="7"/>
      <c r="AK97" s="7"/>
      <c r="AL97" s="7"/>
      <c r="AM97" s="7"/>
    </row>
    <row r="98" spans="1:39" x14ac:dyDescent="0.2">
      <c r="A98" s="7">
        <v>97</v>
      </c>
      <c r="B98" s="7" t="s">
        <v>231</v>
      </c>
      <c r="C98" s="7" t="s">
        <v>12</v>
      </c>
      <c r="D98" s="7" t="s">
        <v>2</v>
      </c>
      <c r="E98" s="7" t="s">
        <v>3</v>
      </c>
      <c r="F98" s="7" t="s">
        <v>249</v>
      </c>
      <c r="G98">
        <v>2014</v>
      </c>
      <c r="H98" s="29" t="s">
        <v>239</v>
      </c>
      <c r="I98" s="30">
        <v>5</v>
      </c>
      <c r="J98" s="30">
        <f>(6*5*2.83)+(3*5*3.14)</f>
        <v>132</v>
      </c>
      <c r="K98" s="31">
        <v>50</v>
      </c>
      <c r="L98" s="32">
        <v>43083.391331018516</v>
      </c>
      <c r="M98" s="31" t="s">
        <v>63</v>
      </c>
      <c r="N98" s="31" t="s">
        <v>166</v>
      </c>
      <c r="O98" s="31">
        <v>1200</v>
      </c>
      <c r="P98" s="39">
        <v>198</v>
      </c>
      <c r="Q98" s="7">
        <v>98.12</v>
      </c>
      <c r="R98" s="7">
        <v>93.53</v>
      </c>
      <c r="S98" s="7">
        <v>93.53</v>
      </c>
      <c r="T98" s="33">
        <f t="shared" si="5"/>
        <v>188.73766816143498</v>
      </c>
      <c r="U98" s="33">
        <f t="shared" si="4"/>
        <v>1.4298308194048104</v>
      </c>
      <c r="V98" s="34">
        <v>98.47</v>
      </c>
      <c r="W98" s="35">
        <f t="shared" ref="W98:W161" si="7">+T98*(V98/100)/J98</f>
        <v>1.4079544078679169</v>
      </c>
      <c r="X98" s="34">
        <v>5</v>
      </c>
      <c r="Y98" s="34">
        <v>5.68</v>
      </c>
      <c r="Z98" s="35">
        <f>1-(X98/Y98)</f>
        <v>0.11971830985915488</v>
      </c>
      <c r="AA98" s="35">
        <f>+X98/Y98</f>
        <v>0.88028169014084512</v>
      </c>
      <c r="AB98" s="19">
        <v>16</v>
      </c>
      <c r="AC98" s="19">
        <v>18</v>
      </c>
      <c r="AD98" s="19">
        <v>65</v>
      </c>
      <c r="AE98" s="37">
        <v>1</v>
      </c>
      <c r="AF98" s="53">
        <f>+AE98*AA98</f>
        <v>0.88028169014084512</v>
      </c>
      <c r="AG98" s="37">
        <v>1</v>
      </c>
      <c r="AH98" s="37">
        <v>6.42</v>
      </c>
      <c r="AI98" s="7">
        <v>30.24</v>
      </c>
      <c r="AJ98" s="19">
        <v>1</v>
      </c>
      <c r="AK98" s="19">
        <v>2.1</v>
      </c>
      <c r="AL98" s="19">
        <v>0.54</v>
      </c>
      <c r="AM98" s="19">
        <v>80</v>
      </c>
    </row>
    <row r="99" spans="1:39" x14ac:dyDescent="0.2">
      <c r="A99" s="7">
        <v>98</v>
      </c>
      <c r="B99" s="7" t="s">
        <v>231</v>
      </c>
      <c r="C99" s="7" t="s">
        <v>12</v>
      </c>
      <c r="D99" s="7" t="s">
        <v>2</v>
      </c>
      <c r="E99" s="7" t="s">
        <v>3</v>
      </c>
      <c r="F99" s="7" t="s">
        <v>249</v>
      </c>
      <c r="G99">
        <v>2014</v>
      </c>
      <c r="H99" s="29" t="s">
        <v>240</v>
      </c>
      <c r="I99" s="30">
        <f>(17.5+12.5+20)/3</f>
        <v>16.666666666666668</v>
      </c>
      <c r="J99" s="30">
        <f>(3*(I99-5)*3.14)</f>
        <v>109.9</v>
      </c>
      <c r="K99" s="31">
        <v>50</v>
      </c>
      <c r="L99" s="32">
        <v>43083.391331018516</v>
      </c>
      <c r="M99" s="31" t="s">
        <v>63</v>
      </c>
      <c r="N99" s="31" t="s">
        <v>166</v>
      </c>
      <c r="O99" s="31">
        <v>1200</v>
      </c>
      <c r="P99" s="39">
        <v>153</v>
      </c>
      <c r="Q99" s="7">
        <v>95.98</v>
      </c>
      <c r="R99" s="7">
        <v>93.23</v>
      </c>
      <c r="S99" s="7">
        <v>93.23</v>
      </c>
      <c r="T99" s="33">
        <f t="shared" si="5"/>
        <v>148.61627422379664</v>
      </c>
      <c r="U99" s="33">
        <f t="shared" si="4"/>
        <v>1.3522863896614798</v>
      </c>
      <c r="V99" s="34">
        <v>98.48</v>
      </c>
      <c r="W99" s="35">
        <f t="shared" si="7"/>
        <v>1.3317316365386254</v>
      </c>
      <c r="X99" s="34">
        <v>4.04</v>
      </c>
      <c r="Y99" s="34">
        <v>4.7039999999999997</v>
      </c>
      <c r="Z99" s="35">
        <f>1-(X99/Y99)</f>
        <v>0.141156462585034</v>
      </c>
      <c r="AA99" s="35">
        <f>+X99/Y99</f>
        <v>0.858843537414966</v>
      </c>
      <c r="AB99" s="19">
        <v>21</v>
      </c>
      <c r="AC99" s="19">
        <v>15</v>
      </c>
      <c r="AD99" s="19">
        <v>64</v>
      </c>
      <c r="AE99" s="37">
        <v>1</v>
      </c>
      <c r="AF99" s="53">
        <f>+AE99*AA99</f>
        <v>0.858843537414966</v>
      </c>
      <c r="AG99" s="37">
        <v>1</v>
      </c>
      <c r="AH99" s="37">
        <v>5.99</v>
      </c>
      <c r="AI99" s="7">
        <v>27.51</v>
      </c>
      <c r="AJ99" s="19">
        <v>1.2</v>
      </c>
      <c r="AK99" s="19">
        <v>2.5</v>
      </c>
      <c r="AL99" s="19">
        <v>0.64</v>
      </c>
      <c r="AM99" s="19">
        <v>69</v>
      </c>
    </row>
    <row r="100" spans="1:39" x14ac:dyDescent="0.2">
      <c r="A100" s="7">
        <v>99</v>
      </c>
      <c r="B100" s="7" t="s">
        <v>231</v>
      </c>
      <c r="C100" s="7" t="s">
        <v>12</v>
      </c>
      <c r="D100" s="7" t="s">
        <v>2</v>
      </c>
      <c r="E100" s="7" t="s">
        <v>4</v>
      </c>
      <c r="F100" s="7" t="s">
        <v>249</v>
      </c>
      <c r="G100">
        <v>2014</v>
      </c>
      <c r="H100" s="29" t="s">
        <v>241</v>
      </c>
      <c r="I100" s="30">
        <v>3</v>
      </c>
      <c r="J100" s="42">
        <f>3*I100*2.83</f>
        <v>25.47</v>
      </c>
      <c r="K100" s="31">
        <v>51</v>
      </c>
      <c r="L100" s="32">
        <v>43083.410613425927</v>
      </c>
      <c r="M100" s="31" t="s">
        <v>64</v>
      </c>
      <c r="N100" s="31" t="s">
        <v>167</v>
      </c>
      <c r="O100" s="31">
        <v>1198</v>
      </c>
      <c r="P100" s="7">
        <v>24.77</v>
      </c>
      <c r="Q100" s="7">
        <v>24.77</v>
      </c>
      <c r="R100" s="7">
        <v>24.28</v>
      </c>
      <c r="S100" s="7">
        <v>22.6</v>
      </c>
      <c r="T100" s="33">
        <f t="shared" si="5"/>
        <v>22.6</v>
      </c>
      <c r="U100" s="33">
        <f t="shared" si="4"/>
        <v>0.88731841382018073</v>
      </c>
      <c r="V100" s="7"/>
      <c r="W100" s="35"/>
      <c r="X100" s="7"/>
      <c r="Y100" s="7"/>
      <c r="Z100" s="38"/>
      <c r="AA100" s="38"/>
      <c r="AB100" s="7"/>
      <c r="AC100" s="7"/>
      <c r="AE100" s="37">
        <v>1</v>
      </c>
      <c r="AG100" s="37">
        <v>1</v>
      </c>
      <c r="AH100" s="37">
        <v>6.47</v>
      </c>
      <c r="AI100" s="7"/>
      <c r="AJ100" s="7"/>
      <c r="AK100" s="7"/>
      <c r="AL100" s="7"/>
      <c r="AM100" s="7"/>
    </row>
    <row r="101" spans="1:39" x14ac:dyDescent="0.2">
      <c r="A101" s="7">
        <v>100</v>
      </c>
      <c r="B101" s="7" t="s">
        <v>231</v>
      </c>
      <c r="C101" s="7" t="s">
        <v>12</v>
      </c>
      <c r="D101" s="7" t="s">
        <v>2</v>
      </c>
      <c r="E101" s="7" t="s">
        <v>4</v>
      </c>
      <c r="F101" s="7" t="s">
        <v>249</v>
      </c>
      <c r="G101">
        <v>2014</v>
      </c>
      <c r="H101" s="29" t="s">
        <v>239</v>
      </c>
      <c r="I101" s="30">
        <v>5</v>
      </c>
      <c r="J101" s="30">
        <f>(6*5*2.83)+(3*5*3.14)</f>
        <v>132</v>
      </c>
      <c r="K101" s="31">
        <v>51</v>
      </c>
      <c r="L101" s="32">
        <v>43083.410613425927</v>
      </c>
      <c r="M101" s="31" t="s">
        <v>64</v>
      </c>
      <c r="N101" s="31" t="s">
        <v>167</v>
      </c>
      <c r="O101" s="31">
        <v>1198</v>
      </c>
      <c r="P101" s="39">
        <v>211</v>
      </c>
      <c r="Q101" s="7">
        <v>47.53</v>
      </c>
      <c r="R101" s="7">
        <v>46.13</v>
      </c>
      <c r="S101" s="7">
        <v>43</v>
      </c>
      <c r="T101" s="33">
        <f t="shared" si="5"/>
        <v>190.8899642331159</v>
      </c>
      <c r="U101" s="33">
        <f t="shared" si="4"/>
        <v>1.4461360926751206</v>
      </c>
      <c r="V101" s="7"/>
      <c r="W101" s="35"/>
      <c r="X101" s="7"/>
      <c r="Y101" s="7"/>
      <c r="Z101" s="38"/>
      <c r="AA101" s="38"/>
      <c r="AB101" s="7"/>
      <c r="AC101" s="7"/>
      <c r="AE101" s="37">
        <v>1</v>
      </c>
      <c r="AF101" s="56"/>
      <c r="AG101" s="37">
        <v>1</v>
      </c>
      <c r="AH101" s="37">
        <v>6.44</v>
      </c>
      <c r="AI101" s="7"/>
      <c r="AJ101" s="7"/>
      <c r="AK101" s="7"/>
      <c r="AL101" s="7"/>
      <c r="AM101" s="7"/>
    </row>
    <row r="102" spans="1:39" x14ac:dyDescent="0.2">
      <c r="A102" s="7">
        <v>101</v>
      </c>
      <c r="B102" s="7" t="s">
        <v>231</v>
      </c>
      <c r="C102" s="7" t="s">
        <v>12</v>
      </c>
      <c r="D102" s="7" t="s">
        <v>2</v>
      </c>
      <c r="E102" s="7" t="s">
        <v>4</v>
      </c>
      <c r="F102" s="7" t="s">
        <v>249</v>
      </c>
      <c r="G102">
        <v>2014</v>
      </c>
      <c r="H102" s="29" t="s">
        <v>240</v>
      </c>
      <c r="I102" s="30">
        <f>(17+16+18)/3</f>
        <v>17</v>
      </c>
      <c r="J102" s="30">
        <f>(3*(I102-5)*3.14)</f>
        <v>113.04</v>
      </c>
      <c r="K102" s="31">
        <v>51</v>
      </c>
      <c r="L102" s="32">
        <v>43083.410613425927</v>
      </c>
      <c r="M102" s="31" t="s">
        <v>64</v>
      </c>
      <c r="N102" s="31" t="s">
        <v>167</v>
      </c>
      <c r="O102" s="31">
        <v>1198</v>
      </c>
      <c r="P102" s="39">
        <v>173</v>
      </c>
      <c r="Q102" s="7">
        <v>51.28</v>
      </c>
      <c r="R102" s="7">
        <v>49.68</v>
      </c>
      <c r="S102" s="7">
        <v>44.4</v>
      </c>
      <c r="T102" s="33">
        <f t="shared" si="5"/>
        <v>149.78939157566302</v>
      </c>
      <c r="U102" s="33">
        <f t="shared" si="4"/>
        <v>1.3251007747316261</v>
      </c>
      <c r="V102" s="7"/>
      <c r="W102" s="35"/>
      <c r="X102" s="7"/>
      <c r="Y102" s="7"/>
      <c r="Z102" s="38"/>
      <c r="AA102" s="38"/>
      <c r="AB102" s="7"/>
      <c r="AC102" s="7"/>
      <c r="AE102" s="37">
        <v>1</v>
      </c>
      <c r="AG102" s="37">
        <v>1</v>
      </c>
      <c r="AH102" s="37">
        <v>5.73</v>
      </c>
      <c r="AI102" s="7"/>
      <c r="AJ102" s="7"/>
      <c r="AK102" s="7"/>
      <c r="AL102" s="7"/>
      <c r="AM102" s="7"/>
    </row>
    <row r="103" spans="1:39" x14ac:dyDescent="0.2">
      <c r="A103" s="7">
        <v>102</v>
      </c>
      <c r="B103" s="7" t="s">
        <v>231</v>
      </c>
      <c r="C103" s="7" t="s">
        <v>12</v>
      </c>
      <c r="D103" s="7" t="s">
        <v>2</v>
      </c>
      <c r="E103" s="7" t="s">
        <v>5</v>
      </c>
      <c r="F103" s="7" t="s">
        <v>249</v>
      </c>
      <c r="G103">
        <v>2014</v>
      </c>
      <c r="H103" s="29" t="s">
        <v>241</v>
      </c>
      <c r="I103" s="30">
        <f>(3+3+2.5)/3</f>
        <v>2.8333333333333335</v>
      </c>
      <c r="J103" s="42">
        <f>3*I103*2.83</f>
        <v>24.055</v>
      </c>
      <c r="K103" s="31">
        <v>52</v>
      </c>
      <c r="L103" s="32">
        <v>43083.411458333336</v>
      </c>
      <c r="M103" s="31" t="s">
        <v>65</v>
      </c>
      <c r="N103" s="31" t="s">
        <v>168</v>
      </c>
      <c r="O103" s="31">
        <v>1199</v>
      </c>
      <c r="P103" s="7">
        <v>45.19</v>
      </c>
      <c r="Q103" s="7">
        <v>45.19</v>
      </c>
      <c r="R103" s="7">
        <v>43.44</v>
      </c>
      <c r="S103" s="7">
        <v>39.9</v>
      </c>
      <c r="T103" s="33">
        <f t="shared" si="5"/>
        <v>39.9</v>
      </c>
      <c r="U103" s="33">
        <f t="shared" si="4"/>
        <v>1.6586988152151318</v>
      </c>
      <c r="V103" s="7"/>
      <c r="W103" s="35"/>
      <c r="X103" s="7"/>
      <c r="Y103" s="7"/>
      <c r="Z103" s="38"/>
      <c r="AA103" s="38"/>
      <c r="AB103" s="7"/>
      <c r="AC103" s="7"/>
      <c r="AE103" s="37">
        <v>1</v>
      </c>
      <c r="AG103" s="37">
        <v>1</v>
      </c>
      <c r="AH103" s="37">
        <v>6.28</v>
      </c>
      <c r="AI103" s="7"/>
      <c r="AJ103" s="7"/>
      <c r="AK103" s="7"/>
      <c r="AL103" s="7"/>
      <c r="AM103" s="7"/>
    </row>
    <row r="104" spans="1:39" x14ac:dyDescent="0.2">
      <c r="A104" s="7">
        <v>103</v>
      </c>
      <c r="B104" s="7" t="s">
        <v>231</v>
      </c>
      <c r="C104" s="7" t="s">
        <v>12</v>
      </c>
      <c r="D104" s="7" t="s">
        <v>2</v>
      </c>
      <c r="E104" s="7" t="s">
        <v>5</v>
      </c>
      <c r="F104" s="7" t="s">
        <v>249</v>
      </c>
      <c r="G104">
        <v>2014</v>
      </c>
      <c r="H104" s="29" t="s">
        <v>239</v>
      </c>
      <c r="I104" s="30">
        <v>5</v>
      </c>
      <c r="J104" s="30">
        <f>(6*5*2.83)+(3*5*3.14)</f>
        <v>132</v>
      </c>
      <c r="K104" s="31">
        <v>52</v>
      </c>
      <c r="L104" s="32">
        <v>43083.411458333336</v>
      </c>
      <c r="M104" s="31" t="s">
        <v>65</v>
      </c>
      <c r="N104" s="31" t="s">
        <v>168</v>
      </c>
      <c r="O104" s="31">
        <v>1199</v>
      </c>
      <c r="P104" s="31">
        <v>222</v>
      </c>
      <c r="Q104" s="7">
        <v>51.52</v>
      </c>
      <c r="R104" s="7">
        <v>48.78</v>
      </c>
      <c r="S104" s="7">
        <v>44.6</v>
      </c>
      <c r="T104" s="33">
        <f t="shared" si="5"/>
        <v>192.18167701863354</v>
      </c>
      <c r="U104" s="33">
        <f t="shared" si="4"/>
        <v>1.4559217955957087</v>
      </c>
      <c r="V104" s="7"/>
      <c r="W104" s="35"/>
      <c r="X104" s="7"/>
      <c r="Y104" s="7"/>
      <c r="Z104" s="38"/>
      <c r="AA104" s="38"/>
      <c r="AB104" s="7"/>
      <c r="AC104" s="7"/>
      <c r="AE104" s="37">
        <v>1</v>
      </c>
      <c r="AF104" s="56"/>
      <c r="AG104" s="37">
        <v>1</v>
      </c>
      <c r="AH104" s="37">
        <v>6.26</v>
      </c>
      <c r="AI104" s="7"/>
      <c r="AJ104" s="7"/>
      <c r="AK104" s="7"/>
      <c r="AL104" s="7"/>
      <c r="AM104" s="7"/>
    </row>
    <row r="105" spans="1:39" x14ac:dyDescent="0.2">
      <c r="A105" s="7">
        <v>104</v>
      </c>
      <c r="B105" s="7" t="s">
        <v>231</v>
      </c>
      <c r="C105" s="7" t="s">
        <v>12</v>
      </c>
      <c r="D105" s="7" t="s">
        <v>2</v>
      </c>
      <c r="E105" s="7" t="s">
        <v>5</v>
      </c>
      <c r="F105" s="7" t="s">
        <v>249</v>
      </c>
      <c r="G105">
        <v>2014</v>
      </c>
      <c r="H105" s="29" t="s">
        <v>240</v>
      </c>
      <c r="I105" s="42">
        <f>(16+16+18.5)/3</f>
        <v>16.833333333333332</v>
      </c>
      <c r="J105" s="30">
        <f>(3*(I105-5)*3.14)</f>
        <v>111.47</v>
      </c>
      <c r="K105" s="31">
        <v>52</v>
      </c>
      <c r="L105" s="32">
        <v>43083.411458333336</v>
      </c>
      <c r="M105" s="31" t="s">
        <v>65</v>
      </c>
      <c r="N105" s="31" t="s">
        <v>168</v>
      </c>
      <c r="O105" s="31">
        <v>1199</v>
      </c>
      <c r="P105" s="31">
        <v>178</v>
      </c>
      <c r="Q105" s="7">
        <v>51.26</v>
      </c>
      <c r="R105" s="7">
        <v>50.27</v>
      </c>
      <c r="S105" s="7">
        <v>41.7</v>
      </c>
      <c r="T105" s="33">
        <f t="shared" si="5"/>
        <v>144.80296527506832</v>
      </c>
      <c r="U105" s="33">
        <f t="shared" si="4"/>
        <v>1.2990308179336891</v>
      </c>
      <c r="V105" s="7"/>
      <c r="W105" s="35"/>
      <c r="X105" s="7"/>
      <c r="Y105" s="7"/>
      <c r="Z105" s="38"/>
      <c r="AA105" s="38"/>
      <c r="AB105" s="7"/>
      <c r="AC105" s="7"/>
      <c r="AE105" s="37">
        <v>1</v>
      </c>
      <c r="AG105" s="37">
        <v>1</v>
      </c>
      <c r="AH105" s="37">
        <v>5.68</v>
      </c>
      <c r="AI105" s="7"/>
      <c r="AJ105" s="7"/>
      <c r="AK105" s="7"/>
      <c r="AL105" s="7"/>
      <c r="AM105" s="7"/>
    </row>
    <row r="106" spans="1:39" x14ac:dyDescent="0.2">
      <c r="A106" s="7">
        <v>105</v>
      </c>
      <c r="B106" s="7" t="s">
        <v>231</v>
      </c>
      <c r="C106" s="7" t="s">
        <v>12</v>
      </c>
      <c r="D106" s="7" t="s">
        <v>2</v>
      </c>
      <c r="E106" s="7" t="s">
        <v>6</v>
      </c>
      <c r="F106" s="7" t="s">
        <v>249</v>
      </c>
      <c r="G106">
        <v>2014</v>
      </c>
      <c r="H106" s="29" t="s">
        <v>241</v>
      </c>
      <c r="I106" s="30">
        <f>(3+2.5+2.5)/3</f>
        <v>2.6666666666666665</v>
      </c>
      <c r="J106" s="42">
        <f>3*I106*2.83</f>
        <v>22.64</v>
      </c>
      <c r="K106" s="31">
        <v>53</v>
      </c>
      <c r="L106" s="32">
        <v>43083.412546296298</v>
      </c>
      <c r="M106" s="31" t="s">
        <v>66</v>
      </c>
      <c r="N106" s="31" t="s">
        <v>169</v>
      </c>
      <c r="O106" s="31">
        <v>1199</v>
      </c>
      <c r="P106" s="7">
        <v>38.89</v>
      </c>
      <c r="Q106" s="7">
        <v>38.89</v>
      </c>
      <c r="R106" s="7">
        <v>37.9</v>
      </c>
      <c r="S106" s="7">
        <v>35.1</v>
      </c>
      <c r="T106" s="33">
        <f t="shared" si="5"/>
        <v>35.1</v>
      </c>
      <c r="U106" s="33">
        <f t="shared" si="4"/>
        <v>1.5503533568904593</v>
      </c>
      <c r="V106" s="7"/>
      <c r="W106" s="35"/>
      <c r="X106" s="7"/>
      <c r="Y106" s="7"/>
      <c r="Z106" s="38"/>
      <c r="AA106" s="38"/>
      <c r="AB106" s="7"/>
      <c r="AC106" s="7"/>
      <c r="AE106" s="37">
        <v>1</v>
      </c>
      <c r="AG106" s="37">
        <v>1</v>
      </c>
      <c r="AH106" s="37">
        <v>6.4</v>
      </c>
      <c r="AI106" s="7"/>
      <c r="AJ106" s="7"/>
      <c r="AK106" s="7"/>
      <c r="AL106" s="7"/>
      <c r="AM106" s="7"/>
    </row>
    <row r="107" spans="1:39" x14ac:dyDescent="0.2">
      <c r="A107" s="7">
        <v>106</v>
      </c>
      <c r="B107" s="7" t="s">
        <v>231</v>
      </c>
      <c r="C107" s="7" t="s">
        <v>12</v>
      </c>
      <c r="D107" s="7" t="s">
        <v>2</v>
      </c>
      <c r="E107" s="7" t="s">
        <v>6</v>
      </c>
      <c r="F107" s="7" t="s">
        <v>249</v>
      </c>
      <c r="G107">
        <v>2014</v>
      </c>
      <c r="H107" s="29" t="s">
        <v>239</v>
      </c>
      <c r="I107" s="30">
        <v>5</v>
      </c>
      <c r="J107" s="30">
        <f>(6*5*2.83)+(3*5*3.14)</f>
        <v>132</v>
      </c>
      <c r="K107" s="31">
        <v>53</v>
      </c>
      <c r="L107" s="32">
        <v>43083.412546296298</v>
      </c>
      <c r="M107" s="31" t="s">
        <v>66</v>
      </c>
      <c r="N107" s="31" t="s">
        <v>169</v>
      </c>
      <c r="O107" s="31">
        <v>1199</v>
      </c>
      <c r="P107" s="31">
        <v>205</v>
      </c>
      <c r="Q107" s="7">
        <v>52.49</v>
      </c>
      <c r="R107" s="7">
        <v>51.27</v>
      </c>
      <c r="S107" s="7">
        <v>46.3</v>
      </c>
      <c r="T107" s="33">
        <f t="shared" si="5"/>
        <v>180.82491903219659</v>
      </c>
      <c r="U107" s="33">
        <f t="shared" si="4"/>
        <v>1.3698857502439135</v>
      </c>
      <c r="V107" s="7"/>
      <c r="W107" s="35"/>
      <c r="X107" s="7"/>
      <c r="Y107" s="7"/>
      <c r="Z107" s="38"/>
      <c r="AA107" s="38"/>
      <c r="AB107" s="7"/>
      <c r="AC107" s="7"/>
      <c r="AE107" s="37">
        <v>1</v>
      </c>
      <c r="AG107" s="37">
        <v>1</v>
      </c>
      <c r="AH107" s="37">
        <v>6.43</v>
      </c>
      <c r="AI107" s="7"/>
      <c r="AJ107" s="7"/>
      <c r="AK107" s="7"/>
      <c r="AL107" s="7"/>
      <c r="AM107" s="7"/>
    </row>
    <row r="108" spans="1:39" x14ac:dyDescent="0.2">
      <c r="A108" s="7">
        <v>107</v>
      </c>
      <c r="B108" s="7" t="s">
        <v>231</v>
      </c>
      <c r="C108" s="7" t="s">
        <v>12</v>
      </c>
      <c r="D108" s="7" t="s">
        <v>2</v>
      </c>
      <c r="E108" s="7" t="s">
        <v>6</v>
      </c>
      <c r="F108" s="7" t="s">
        <v>249</v>
      </c>
      <c r="G108">
        <v>2014</v>
      </c>
      <c r="H108" s="29" t="s">
        <v>240</v>
      </c>
      <c r="I108" s="30">
        <f>(16.5+20+14)/3</f>
        <v>16.833333333333332</v>
      </c>
      <c r="J108" s="30">
        <f>(3*(I108-5)*3.14)</f>
        <v>111.47</v>
      </c>
      <c r="K108" s="31">
        <v>53</v>
      </c>
      <c r="L108" s="32">
        <v>43083.412546296298</v>
      </c>
      <c r="M108" s="31" t="s">
        <v>66</v>
      </c>
      <c r="N108" s="31" t="s">
        <v>169</v>
      </c>
      <c r="O108" s="31">
        <v>1199</v>
      </c>
      <c r="P108" s="31">
        <v>184</v>
      </c>
      <c r="Q108" s="7">
        <v>50.95</v>
      </c>
      <c r="R108" s="7">
        <v>49.22</v>
      </c>
      <c r="S108" s="7">
        <v>41.3</v>
      </c>
      <c r="T108" s="33">
        <f t="shared" si="5"/>
        <v>149.15014720314031</v>
      </c>
      <c r="U108" s="33">
        <f t="shared" si="4"/>
        <v>1.3380294895769294</v>
      </c>
      <c r="V108" s="7"/>
      <c r="W108" s="35"/>
      <c r="X108" s="7"/>
      <c r="Y108" s="7"/>
      <c r="Z108" s="38"/>
      <c r="AA108" s="38"/>
      <c r="AB108" s="7"/>
      <c r="AC108" s="7"/>
      <c r="AE108" s="37">
        <v>1</v>
      </c>
      <c r="AG108" s="37">
        <v>1</v>
      </c>
      <c r="AH108" s="37">
        <v>5.89</v>
      </c>
      <c r="AI108" s="7"/>
      <c r="AJ108" s="7"/>
      <c r="AK108" s="7"/>
      <c r="AL108" s="7"/>
      <c r="AM108" s="7"/>
    </row>
    <row r="109" spans="1:39" x14ac:dyDescent="0.2">
      <c r="A109" s="7">
        <v>108</v>
      </c>
      <c r="B109" s="7" t="s">
        <v>231</v>
      </c>
      <c r="C109" s="7" t="s">
        <v>12</v>
      </c>
      <c r="D109" s="7" t="s">
        <v>7</v>
      </c>
      <c r="E109" s="7" t="s">
        <v>3</v>
      </c>
      <c r="F109" s="7" t="s">
        <v>249</v>
      </c>
      <c r="G109">
        <v>2016</v>
      </c>
      <c r="H109" s="29" t="s">
        <v>241</v>
      </c>
      <c r="I109" s="30">
        <f>(3+4+3)/3</f>
        <v>3.3333333333333335</v>
      </c>
      <c r="J109" s="42">
        <f>3*I109*2.83</f>
        <v>28.3</v>
      </c>
      <c r="K109" s="31">
        <v>54</v>
      </c>
      <c r="L109" s="32">
        <v>43083.448750000003</v>
      </c>
      <c r="M109" s="31" t="s">
        <v>67</v>
      </c>
      <c r="N109" s="31" t="s">
        <v>170</v>
      </c>
      <c r="O109" s="31">
        <v>1202</v>
      </c>
      <c r="P109" s="7">
        <v>46.93</v>
      </c>
      <c r="Q109" s="7">
        <v>46.93</v>
      </c>
      <c r="R109" s="7">
        <v>45.05</v>
      </c>
      <c r="S109" s="7">
        <v>45.05</v>
      </c>
      <c r="T109" s="33">
        <f t="shared" si="5"/>
        <v>45.05</v>
      </c>
      <c r="U109" s="33">
        <f t="shared" si="4"/>
        <v>1.5918727915194344</v>
      </c>
      <c r="V109" s="7"/>
      <c r="W109" s="35"/>
      <c r="X109" s="7"/>
      <c r="Y109" s="7"/>
      <c r="Z109" s="38"/>
      <c r="AA109" s="38"/>
      <c r="AB109" s="7"/>
      <c r="AC109" s="7"/>
      <c r="AE109" s="37">
        <v>1</v>
      </c>
      <c r="AG109" s="37">
        <v>1</v>
      </c>
      <c r="AH109" s="37">
        <v>6.36</v>
      </c>
      <c r="AI109" s="7"/>
      <c r="AJ109" s="7"/>
      <c r="AK109" s="7"/>
      <c r="AL109" s="7"/>
      <c r="AM109" s="7"/>
    </row>
    <row r="110" spans="1:39" x14ac:dyDescent="0.2">
      <c r="A110" s="7">
        <v>109</v>
      </c>
      <c r="B110" s="7" t="s">
        <v>231</v>
      </c>
      <c r="C110" s="7" t="s">
        <v>12</v>
      </c>
      <c r="D110" s="7" t="s">
        <v>7</v>
      </c>
      <c r="E110" s="7" t="s">
        <v>3</v>
      </c>
      <c r="F110" s="7" t="s">
        <v>249</v>
      </c>
      <c r="G110">
        <v>2016</v>
      </c>
      <c r="H110" s="29" t="s">
        <v>239</v>
      </c>
      <c r="I110" s="30">
        <v>5</v>
      </c>
      <c r="J110" s="30">
        <f>(6*5*2.83)+(3*5*3.14)</f>
        <v>132</v>
      </c>
      <c r="K110" s="31">
        <v>54</v>
      </c>
      <c r="L110" s="32">
        <v>43083.448750000003</v>
      </c>
      <c r="M110" s="31" t="s">
        <v>67</v>
      </c>
      <c r="N110" s="31" t="s">
        <v>170</v>
      </c>
      <c r="O110" s="31">
        <v>1202</v>
      </c>
      <c r="P110" s="31">
        <v>210.5</v>
      </c>
      <c r="Q110" s="7">
        <v>97.5</v>
      </c>
      <c r="R110" s="7">
        <v>92.3</v>
      </c>
      <c r="S110" s="7">
        <v>92.3</v>
      </c>
      <c r="T110" s="33">
        <f t="shared" si="5"/>
        <v>199.27333333333334</v>
      </c>
      <c r="U110" s="33">
        <f t="shared" si="4"/>
        <v>1.5096464646464647</v>
      </c>
      <c r="V110" s="7"/>
      <c r="W110" s="35"/>
      <c r="X110" s="7"/>
      <c r="Y110" s="7"/>
      <c r="Z110" s="38"/>
      <c r="AA110" s="38"/>
      <c r="AB110" s="7"/>
      <c r="AC110" s="7"/>
      <c r="AE110" s="37">
        <v>1</v>
      </c>
      <c r="AG110" s="37">
        <v>1</v>
      </c>
      <c r="AH110" s="37">
        <v>6.28</v>
      </c>
      <c r="AI110" s="37"/>
      <c r="AJ110" s="7"/>
      <c r="AK110" s="7"/>
      <c r="AL110" s="7"/>
      <c r="AM110" s="7"/>
    </row>
    <row r="111" spans="1:39" x14ac:dyDescent="0.2">
      <c r="A111" s="7">
        <v>110</v>
      </c>
      <c r="B111" s="7" t="s">
        <v>231</v>
      </c>
      <c r="C111" s="7" t="s">
        <v>12</v>
      </c>
      <c r="D111" s="7" t="s">
        <v>7</v>
      </c>
      <c r="E111" s="7" t="s">
        <v>3</v>
      </c>
      <c r="F111" s="7" t="s">
        <v>249</v>
      </c>
      <c r="G111">
        <v>2016</v>
      </c>
      <c r="H111" s="29" t="s">
        <v>240</v>
      </c>
      <c r="I111" s="30">
        <f>(18+18+15)/3</f>
        <v>17</v>
      </c>
      <c r="J111" s="30">
        <f>(3*(I111-5)*3.14)</f>
        <v>113.04</v>
      </c>
      <c r="K111" s="31">
        <v>54</v>
      </c>
      <c r="L111" s="32">
        <v>43083.448750000003</v>
      </c>
      <c r="M111" s="31" t="s">
        <v>67</v>
      </c>
      <c r="N111" s="31" t="s">
        <v>170</v>
      </c>
      <c r="O111" s="31">
        <v>1202</v>
      </c>
      <c r="P111" s="31">
        <v>182</v>
      </c>
      <c r="Q111" s="7">
        <v>102.94</v>
      </c>
      <c r="R111" s="7">
        <v>99.77</v>
      </c>
      <c r="S111" s="7">
        <v>94.1</v>
      </c>
      <c r="T111" s="33">
        <f t="shared" si="5"/>
        <v>166.37070137944431</v>
      </c>
      <c r="U111" s="33">
        <f t="shared" si="4"/>
        <v>1.471786105621411</v>
      </c>
      <c r="V111" s="7"/>
      <c r="W111" s="35"/>
      <c r="X111" s="7"/>
      <c r="Y111" s="7"/>
      <c r="Z111" s="38"/>
      <c r="AA111" s="38"/>
      <c r="AB111" s="7"/>
      <c r="AC111" s="7"/>
      <c r="AE111" s="37">
        <v>1</v>
      </c>
      <c r="AG111" s="37">
        <v>1</v>
      </c>
      <c r="AH111" s="37">
        <v>5.75</v>
      </c>
      <c r="AI111" s="37"/>
      <c r="AJ111" s="7"/>
      <c r="AK111" s="7"/>
      <c r="AL111" s="7"/>
      <c r="AM111" s="7"/>
    </row>
    <row r="112" spans="1:39" x14ac:dyDescent="0.2">
      <c r="A112" s="7">
        <v>111</v>
      </c>
      <c r="B112" s="7" t="s">
        <v>231</v>
      </c>
      <c r="C112" s="7" t="s">
        <v>12</v>
      </c>
      <c r="D112" s="7" t="s">
        <v>7</v>
      </c>
      <c r="E112" s="7" t="s">
        <v>4</v>
      </c>
      <c r="F112" s="7" t="s">
        <v>249</v>
      </c>
      <c r="G112">
        <v>2016</v>
      </c>
      <c r="H112" s="29" t="s">
        <v>241</v>
      </c>
      <c r="I112" s="30">
        <f>(3+3+3.5)/3</f>
        <v>3.1666666666666665</v>
      </c>
      <c r="J112" s="42">
        <f>3*I112*2.83</f>
        <v>26.885000000000002</v>
      </c>
      <c r="K112" s="31">
        <v>55</v>
      </c>
      <c r="L112" s="32">
        <v>43083.461736111109</v>
      </c>
      <c r="M112" s="31" t="s">
        <v>68</v>
      </c>
      <c r="N112" s="31" t="s">
        <v>171</v>
      </c>
      <c r="O112" s="31">
        <v>1201</v>
      </c>
      <c r="P112" s="7">
        <v>47.59</v>
      </c>
      <c r="Q112" s="7">
        <v>47.59</v>
      </c>
      <c r="R112" s="7">
        <v>46.31</v>
      </c>
      <c r="S112" s="7">
        <v>46.31</v>
      </c>
      <c r="T112" s="33">
        <f t="shared" si="5"/>
        <v>46.31</v>
      </c>
      <c r="U112" s="33">
        <f t="shared" si="4"/>
        <v>1.7225218523340153</v>
      </c>
      <c r="V112" s="7"/>
      <c r="W112" s="35"/>
      <c r="X112" s="7"/>
      <c r="Y112" s="7"/>
      <c r="Z112" s="38"/>
      <c r="AA112" s="38"/>
      <c r="AB112" s="7"/>
      <c r="AC112" s="7"/>
      <c r="AE112" s="37">
        <v>1</v>
      </c>
      <c r="AG112" s="37">
        <v>1</v>
      </c>
      <c r="AH112" s="37">
        <v>6.47</v>
      </c>
      <c r="AI112" s="7"/>
      <c r="AJ112" s="7"/>
      <c r="AK112" s="7"/>
      <c r="AL112" s="7"/>
      <c r="AM112" s="7"/>
    </row>
    <row r="113" spans="1:39" x14ac:dyDescent="0.2">
      <c r="A113" s="7">
        <v>112</v>
      </c>
      <c r="B113" s="7" t="s">
        <v>231</v>
      </c>
      <c r="C113" s="7" t="s">
        <v>12</v>
      </c>
      <c r="D113" s="7" t="s">
        <v>7</v>
      </c>
      <c r="E113" s="7" t="s">
        <v>4</v>
      </c>
      <c r="F113" s="7" t="s">
        <v>249</v>
      </c>
      <c r="G113">
        <v>2016</v>
      </c>
      <c r="H113" s="29" t="s">
        <v>239</v>
      </c>
      <c r="I113" s="30">
        <v>5</v>
      </c>
      <c r="J113" s="30">
        <f>(6*5*2.83)+(3*5*3.14)</f>
        <v>132</v>
      </c>
      <c r="K113" s="31">
        <v>55</v>
      </c>
      <c r="L113" s="32">
        <v>43083.461736111109</v>
      </c>
      <c r="M113" s="31" t="s">
        <v>68</v>
      </c>
      <c r="N113" s="31" t="s">
        <v>171</v>
      </c>
      <c r="O113" s="31">
        <v>1201</v>
      </c>
      <c r="P113" s="31">
        <v>218.5</v>
      </c>
      <c r="Q113" s="7">
        <v>54.27</v>
      </c>
      <c r="R113" s="7">
        <v>51.14</v>
      </c>
      <c r="S113" s="7">
        <v>51.14</v>
      </c>
      <c r="T113" s="33">
        <f t="shared" si="5"/>
        <v>205.89810208218168</v>
      </c>
      <c r="U113" s="33">
        <f t="shared" si="4"/>
        <v>1.5598341066831944</v>
      </c>
      <c r="V113" s="7"/>
      <c r="W113" s="35"/>
      <c r="X113" s="7"/>
      <c r="Y113" s="7"/>
      <c r="Z113" s="38"/>
      <c r="AA113" s="38"/>
      <c r="AB113" s="7"/>
      <c r="AC113" s="7"/>
      <c r="AE113" s="37">
        <v>1</v>
      </c>
      <c r="AG113" s="37">
        <v>1</v>
      </c>
      <c r="AH113" s="37">
        <v>6.21</v>
      </c>
      <c r="AI113" s="7"/>
      <c r="AJ113" s="7"/>
      <c r="AK113" s="7"/>
      <c r="AL113" s="7"/>
      <c r="AM113" s="7"/>
    </row>
    <row r="114" spans="1:39" x14ac:dyDescent="0.2">
      <c r="A114" s="7">
        <v>113</v>
      </c>
      <c r="B114" s="7" t="s">
        <v>231</v>
      </c>
      <c r="C114" s="7" t="s">
        <v>12</v>
      </c>
      <c r="D114" s="7" t="s">
        <v>7</v>
      </c>
      <c r="E114" s="7" t="s">
        <v>4</v>
      </c>
      <c r="F114" s="7" t="s">
        <v>249</v>
      </c>
      <c r="G114">
        <v>2016</v>
      </c>
      <c r="H114" s="29" t="s">
        <v>240</v>
      </c>
      <c r="I114" s="30">
        <f>(16+18+15.5)/3</f>
        <v>16.5</v>
      </c>
      <c r="J114" s="30">
        <f>(3*(I114-5)*3.14)</f>
        <v>108.33</v>
      </c>
      <c r="K114" s="31">
        <v>55</v>
      </c>
      <c r="L114" s="32">
        <v>43083.461736111109</v>
      </c>
      <c r="M114" s="31" t="s">
        <v>68</v>
      </c>
      <c r="N114" s="31" t="s">
        <v>171</v>
      </c>
      <c r="O114" s="31">
        <v>1201</v>
      </c>
      <c r="P114" s="31">
        <v>163</v>
      </c>
      <c r="Q114" s="7">
        <v>49.81</v>
      </c>
      <c r="R114" s="7">
        <v>47.95</v>
      </c>
      <c r="S114" s="7">
        <v>44.9</v>
      </c>
      <c r="T114" s="33">
        <f t="shared" si="5"/>
        <v>146.9323429030315</v>
      </c>
      <c r="U114" s="33">
        <f t="shared" si="4"/>
        <v>1.3563402834213192</v>
      </c>
      <c r="V114" s="7"/>
      <c r="W114" s="35"/>
      <c r="X114" s="7"/>
      <c r="Y114" s="7"/>
      <c r="Z114" s="38"/>
      <c r="AA114" s="38"/>
      <c r="AB114" s="7"/>
      <c r="AC114" s="7"/>
      <c r="AE114" s="37">
        <v>1</v>
      </c>
      <c r="AG114" s="37">
        <v>1</v>
      </c>
      <c r="AH114" s="37">
        <v>6.01</v>
      </c>
      <c r="AI114" s="7"/>
      <c r="AJ114" s="7"/>
      <c r="AK114" s="7"/>
      <c r="AL114" s="7"/>
      <c r="AM114" s="7"/>
    </row>
    <row r="115" spans="1:39" x14ac:dyDescent="0.2">
      <c r="A115" s="7">
        <v>114</v>
      </c>
      <c r="B115" s="7" t="s">
        <v>231</v>
      </c>
      <c r="C115" s="7" t="s">
        <v>12</v>
      </c>
      <c r="D115" s="7" t="s">
        <v>7</v>
      </c>
      <c r="E115" s="7" t="s">
        <v>5</v>
      </c>
      <c r="F115" s="7" t="s">
        <v>249</v>
      </c>
      <c r="G115">
        <v>2016</v>
      </c>
      <c r="H115" s="29" t="s">
        <v>241</v>
      </c>
      <c r="I115" s="30">
        <f>(3.5+3.5+2.7)/3</f>
        <v>3.2333333333333329</v>
      </c>
      <c r="J115" s="42">
        <f>3*I115*2.83</f>
        <v>27.450999999999997</v>
      </c>
      <c r="K115" s="31">
        <v>56</v>
      </c>
      <c r="L115" s="32">
        <v>43083.462002314816</v>
      </c>
      <c r="M115" s="31" t="s">
        <v>69</v>
      </c>
      <c r="N115" s="31" t="s">
        <v>171</v>
      </c>
      <c r="O115" s="31">
        <v>1201</v>
      </c>
      <c r="P115" s="7">
        <v>48.36</v>
      </c>
      <c r="Q115" s="7">
        <v>48.36</v>
      </c>
      <c r="R115" s="7">
        <v>45.27</v>
      </c>
      <c r="S115" s="7">
        <v>41.9</v>
      </c>
      <c r="T115" s="33">
        <f t="shared" si="5"/>
        <v>41.9</v>
      </c>
      <c r="U115" s="33">
        <f t="shared" si="4"/>
        <v>1.5263560526028197</v>
      </c>
      <c r="V115" s="7"/>
      <c r="W115" s="35"/>
      <c r="X115" s="7"/>
      <c r="Y115" s="7"/>
      <c r="Z115" s="38"/>
      <c r="AA115" s="38"/>
      <c r="AB115" s="7"/>
      <c r="AC115" s="7"/>
      <c r="AE115" s="37">
        <v>1</v>
      </c>
      <c r="AG115" s="37">
        <v>1</v>
      </c>
      <c r="AH115" s="37">
        <v>6.41</v>
      </c>
      <c r="AI115" s="7"/>
      <c r="AJ115" s="7"/>
      <c r="AK115" s="7"/>
      <c r="AL115" s="7"/>
      <c r="AM115" s="7"/>
    </row>
    <row r="116" spans="1:39" x14ac:dyDescent="0.2">
      <c r="A116" s="7">
        <v>115</v>
      </c>
      <c r="B116" s="7" t="s">
        <v>231</v>
      </c>
      <c r="C116" s="7" t="s">
        <v>12</v>
      </c>
      <c r="D116" s="7" t="s">
        <v>7</v>
      </c>
      <c r="E116" s="7" t="s">
        <v>5</v>
      </c>
      <c r="F116" s="7" t="s">
        <v>249</v>
      </c>
      <c r="G116">
        <v>2016</v>
      </c>
      <c r="H116" s="29" t="s">
        <v>239</v>
      </c>
      <c r="I116" s="30">
        <v>5</v>
      </c>
      <c r="J116" s="30">
        <f>(6*5*2.83)+(3*5*3.14)</f>
        <v>132</v>
      </c>
      <c r="K116" s="31">
        <v>56</v>
      </c>
      <c r="L116" s="32">
        <v>43083.462002314816</v>
      </c>
      <c r="M116" s="31" t="s">
        <v>69</v>
      </c>
      <c r="N116" s="31" t="s">
        <v>171</v>
      </c>
      <c r="O116" s="31">
        <v>1201</v>
      </c>
      <c r="P116" s="31">
        <v>186.5</v>
      </c>
      <c r="Q116" s="7">
        <v>55.4</v>
      </c>
      <c r="R116" s="7">
        <v>53.5</v>
      </c>
      <c r="S116" s="7">
        <v>47.8</v>
      </c>
      <c r="T116" s="33">
        <f t="shared" si="5"/>
        <v>160.91516245487364</v>
      </c>
      <c r="U116" s="33">
        <f t="shared" si="4"/>
        <v>1.2190542610217701</v>
      </c>
      <c r="V116" s="7"/>
      <c r="W116" s="35"/>
      <c r="X116" s="7"/>
      <c r="Y116" s="7"/>
      <c r="Z116" s="38"/>
      <c r="AA116" s="38"/>
      <c r="AB116" s="7"/>
      <c r="AC116" s="7"/>
      <c r="AE116" s="37">
        <v>1</v>
      </c>
      <c r="AG116" s="37">
        <v>1</v>
      </c>
      <c r="AH116" s="37">
        <v>6.4</v>
      </c>
      <c r="AI116" s="7"/>
      <c r="AJ116" s="7"/>
      <c r="AK116" s="7"/>
      <c r="AL116" s="7"/>
      <c r="AM116" s="7"/>
    </row>
    <row r="117" spans="1:39" x14ac:dyDescent="0.2">
      <c r="A117" s="7">
        <v>116</v>
      </c>
      <c r="B117" s="7" t="s">
        <v>231</v>
      </c>
      <c r="C117" s="7" t="s">
        <v>12</v>
      </c>
      <c r="D117" s="7" t="s">
        <v>7</v>
      </c>
      <c r="E117" s="7" t="s">
        <v>5</v>
      </c>
      <c r="F117" s="7" t="s">
        <v>249</v>
      </c>
      <c r="G117">
        <v>2016</v>
      </c>
      <c r="H117" s="29" t="s">
        <v>240</v>
      </c>
      <c r="I117" s="30">
        <f>(14.5+20+15.5)/3</f>
        <v>16.666666666666668</v>
      </c>
      <c r="J117" s="30">
        <f>(3*(I117-5)*3.14)</f>
        <v>109.9</v>
      </c>
      <c r="K117" s="31">
        <v>56</v>
      </c>
      <c r="L117" s="32">
        <v>43083.462002314816</v>
      </c>
      <c r="M117" s="31" t="s">
        <v>69</v>
      </c>
      <c r="N117" s="31" t="s">
        <v>171</v>
      </c>
      <c r="O117" s="31">
        <v>1201</v>
      </c>
      <c r="P117" s="31">
        <v>183</v>
      </c>
      <c r="Q117" s="7">
        <v>48.24</v>
      </c>
      <c r="R117" s="7">
        <v>46.58</v>
      </c>
      <c r="S117" s="7">
        <v>41.4</v>
      </c>
      <c r="T117" s="33">
        <f t="shared" si="5"/>
        <v>157.05223880597015</v>
      </c>
      <c r="U117" s="33">
        <f t="shared" si="4"/>
        <v>1.429046758926025</v>
      </c>
      <c r="V117" s="7"/>
      <c r="W117" s="35"/>
      <c r="X117" s="7"/>
      <c r="Y117" s="7"/>
      <c r="Z117" s="38"/>
      <c r="AA117" s="38"/>
      <c r="AB117" s="7"/>
      <c r="AC117" s="7"/>
      <c r="AE117" s="37">
        <v>1</v>
      </c>
      <c r="AG117" s="37">
        <v>1</v>
      </c>
      <c r="AH117" s="37">
        <v>5.79</v>
      </c>
      <c r="AI117" s="7"/>
      <c r="AJ117" s="7"/>
      <c r="AK117" s="7"/>
      <c r="AL117" s="7"/>
      <c r="AM117" s="7"/>
    </row>
    <row r="118" spans="1:39" x14ac:dyDescent="0.2">
      <c r="A118" s="7">
        <v>117</v>
      </c>
      <c r="B118" s="7" t="s">
        <v>231</v>
      </c>
      <c r="C118" s="7" t="s">
        <v>12</v>
      </c>
      <c r="D118" s="7" t="s">
        <v>7</v>
      </c>
      <c r="E118" s="7" t="s">
        <v>6</v>
      </c>
      <c r="F118" s="7" t="s">
        <v>249</v>
      </c>
      <c r="G118">
        <v>2016</v>
      </c>
      <c r="H118" s="29" t="s">
        <v>241</v>
      </c>
      <c r="I118" s="30">
        <f>(3+3+3.5)/3</f>
        <v>3.1666666666666665</v>
      </c>
      <c r="J118" s="42">
        <f>3*I118*2.83</f>
        <v>26.885000000000002</v>
      </c>
      <c r="K118" s="31">
        <v>57</v>
      </c>
      <c r="L118" s="32">
        <v>43083.47047453704</v>
      </c>
      <c r="M118" s="31" t="s">
        <v>67</v>
      </c>
      <c r="N118" s="31" t="s">
        <v>172</v>
      </c>
      <c r="O118" s="31">
        <v>1201</v>
      </c>
      <c r="P118" s="7">
        <v>47.04</v>
      </c>
      <c r="Q118" s="7">
        <v>47.04</v>
      </c>
      <c r="R118" s="7">
        <v>44.54</v>
      </c>
      <c r="S118" s="7">
        <v>42.7</v>
      </c>
      <c r="T118" s="33">
        <f t="shared" si="5"/>
        <v>42.7</v>
      </c>
      <c r="U118" s="33">
        <f t="shared" si="4"/>
        <v>1.588246233959457</v>
      </c>
      <c r="V118" s="7"/>
      <c r="W118" s="35"/>
      <c r="X118" s="7"/>
      <c r="Y118" s="7"/>
      <c r="Z118" s="38"/>
      <c r="AA118" s="38"/>
      <c r="AB118" s="7"/>
      <c r="AC118" s="7"/>
      <c r="AE118" s="37">
        <v>1</v>
      </c>
      <c r="AG118" s="37">
        <v>1</v>
      </c>
      <c r="AH118" s="37">
        <v>6.29</v>
      </c>
      <c r="AI118" s="7"/>
      <c r="AJ118" s="7"/>
      <c r="AK118" s="7"/>
      <c r="AL118" s="7"/>
      <c r="AM118" s="7"/>
    </row>
    <row r="119" spans="1:39" x14ac:dyDescent="0.2">
      <c r="A119" s="7">
        <v>118</v>
      </c>
      <c r="B119" s="7" t="s">
        <v>231</v>
      </c>
      <c r="C119" s="7" t="s">
        <v>12</v>
      </c>
      <c r="D119" s="7" t="s">
        <v>7</v>
      </c>
      <c r="E119" s="7" t="s">
        <v>6</v>
      </c>
      <c r="F119" s="7" t="s">
        <v>249</v>
      </c>
      <c r="G119">
        <v>2016</v>
      </c>
      <c r="H119" s="29" t="s">
        <v>239</v>
      </c>
      <c r="I119" s="30">
        <v>5</v>
      </c>
      <c r="J119" s="30">
        <f>(6*5*2.83)+(3*5*3.14)</f>
        <v>132</v>
      </c>
      <c r="K119" s="31">
        <v>57</v>
      </c>
      <c r="L119" s="32">
        <v>43083.47047453704</v>
      </c>
      <c r="M119" s="31" t="s">
        <v>67</v>
      </c>
      <c r="N119" s="31" t="s">
        <v>172</v>
      </c>
      <c r="O119" s="31">
        <v>1201</v>
      </c>
      <c r="P119" s="31">
        <v>227.5</v>
      </c>
      <c r="Q119" s="7">
        <v>52.8</v>
      </c>
      <c r="R119" s="7">
        <v>50.04</v>
      </c>
      <c r="S119" s="7">
        <v>47.6</v>
      </c>
      <c r="T119" s="33">
        <f t="shared" si="5"/>
        <v>205.094696969697</v>
      </c>
      <c r="U119" s="33">
        <f t="shared" si="4"/>
        <v>1.5537477043158863</v>
      </c>
      <c r="V119" s="7"/>
      <c r="W119" s="35"/>
      <c r="X119" s="7"/>
      <c r="Y119" s="7"/>
      <c r="Z119" s="38"/>
      <c r="AA119" s="38"/>
      <c r="AB119" s="7"/>
      <c r="AC119" s="7"/>
      <c r="AE119" s="37">
        <v>1</v>
      </c>
      <c r="AG119" s="37">
        <v>1</v>
      </c>
      <c r="AH119" s="37">
        <v>6.19</v>
      </c>
      <c r="AI119" s="7"/>
      <c r="AJ119" s="7"/>
      <c r="AK119" s="7"/>
      <c r="AL119" s="7"/>
      <c r="AM119" s="7"/>
    </row>
    <row r="120" spans="1:39" x14ac:dyDescent="0.2">
      <c r="A120" s="7">
        <v>119</v>
      </c>
      <c r="B120" s="7" t="s">
        <v>231</v>
      </c>
      <c r="C120" s="7" t="s">
        <v>12</v>
      </c>
      <c r="D120" s="7" t="s">
        <v>7</v>
      </c>
      <c r="E120" s="7" t="s">
        <v>6</v>
      </c>
      <c r="F120" s="7" t="s">
        <v>249</v>
      </c>
      <c r="G120">
        <v>2016</v>
      </c>
      <c r="H120" s="29" t="s">
        <v>240</v>
      </c>
      <c r="I120" s="30">
        <f>(18.5+20+18)/3</f>
        <v>18.833333333333332</v>
      </c>
      <c r="J120" s="30">
        <f>(3*(I120-5)*3.14)</f>
        <v>130.31</v>
      </c>
      <c r="K120" s="31">
        <v>57</v>
      </c>
      <c r="L120" s="32">
        <v>43083.47047453704</v>
      </c>
      <c r="M120" s="31" t="s">
        <v>67</v>
      </c>
      <c r="N120" s="31" t="s">
        <v>172</v>
      </c>
      <c r="O120" s="31">
        <v>1201</v>
      </c>
      <c r="P120" s="31">
        <v>198</v>
      </c>
      <c r="Q120" s="7">
        <v>50.01</v>
      </c>
      <c r="R120" s="7">
        <v>48.83</v>
      </c>
      <c r="S120" s="7">
        <v>46.2</v>
      </c>
      <c r="T120" s="33">
        <f t="shared" si="5"/>
        <v>182.91541691661669</v>
      </c>
      <c r="U120" s="33">
        <f t="shared" si="4"/>
        <v>1.4036943973341776</v>
      </c>
      <c r="V120" s="7"/>
      <c r="W120" s="35"/>
      <c r="X120" s="7"/>
      <c r="Y120" s="7"/>
      <c r="Z120" s="38"/>
      <c r="AA120" s="38"/>
      <c r="AB120" s="7"/>
      <c r="AC120" s="7"/>
      <c r="AE120" s="37">
        <v>1</v>
      </c>
      <c r="AG120" s="37">
        <v>1</v>
      </c>
      <c r="AH120" s="37">
        <v>6.81</v>
      </c>
      <c r="AI120" s="7"/>
      <c r="AJ120" s="7"/>
      <c r="AK120" s="7"/>
      <c r="AL120" s="7"/>
      <c r="AM120" s="7"/>
    </row>
    <row r="121" spans="1:39" x14ac:dyDescent="0.2">
      <c r="A121" s="7">
        <v>120</v>
      </c>
      <c r="B121" s="7" t="s">
        <v>231</v>
      </c>
      <c r="C121" s="7" t="s">
        <v>12</v>
      </c>
      <c r="D121" s="7" t="s">
        <v>8</v>
      </c>
      <c r="E121" s="7" t="s">
        <v>3</v>
      </c>
      <c r="F121" s="7" t="s">
        <v>249</v>
      </c>
      <c r="G121">
        <v>2014</v>
      </c>
      <c r="H121" s="29" t="s">
        <v>241</v>
      </c>
      <c r="I121" s="30">
        <f>(1.5+2+1.5)/3</f>
        <v>1.6666666666666667</v>
      </c>
      <c r="J121" s="42">
        <f>3*I121*2.83</f>
        <v>14.15</v>
      </c>
      <c r="K121" s="31">
        <v>58</v>
      </c>
      <c r="L121" s="32">
        <v>43083.505949074075</v>
      </c>
      <c r="M121" s="31" t="s">
        <v>70</v>
      </c>
      <c r="N121" s="31" t="s">
        <v>173</v>
      </c>
      <c r="O121" s="31">
        <v>1206</v>
      </c>
      <c r="P121" s="7">
        <v>23.37</v>
      </c>
      <c r="Q121" s="7">
        <v>23.37</v>
      </c>
      <c r="R121" s="7">
        <v>22.71</v>
      </c>
      <c r="S121" s="7">
        <v>22.71</v>
      </c>
      <c r="T121" s="33">
        <f t="shared" si="5"/>
        <v>22.71</v>
      </c>
      <c r="U121" s="33">
        <f t="shared" si="4"/>
        <v>1.6049469964664311</v>
      </c>
      <c r="V121" s="7"/>
      <c r="W121" s="35"/>
      <c r="X121" s="7"/>
      <c r="Y121" s="7"/>
      <c r="Z121" s="38"/>
      <c r="AA121" s="38"/>
      <c r="AB121" s="7"/>
      <c r="AC121" s="7"/>
      <c r="AE121" s="37">
        <v>1</v>
      </c>
      <c r="AG121" s="37">
        <v>1</v>
      </c>
      <c r="AH121" s="37">
        <v>6.87</v>
      </c>
      <c r="AI121" s="7"/>
      <c r="AJ121" s="7"/>
      <c r="AK121" s="7"/>
      <c r="AL121" s="7"/>
      <c r="AM121" s="7"/>
    </row>
    <row r="122" spans="1:39" x14ac:dyDescent="0.2">
      <c r="A122" s="7">
        <v>121</v>
      </c>
      <c r="B122" s="7" t="s">
        <v>231</v>
      </c>
      <c r="C122" s="7" t="s">
        <v>12</v>
      </c>
      <c r="D122" s="7" t="s">
        <v>8</v>
      </c>
      <c r="E122" s="7" t="s">
        <v>3</v>
      </c>
      <c r="F122" s="7" t="s">
        <v>249</v>
      </c>
      <c r="G122">
        <v>2014</v>
      </c>
      <c r="H122" s="29" t="s">
        <v>239</v>
      </c>
      <c r="I122" s="30">
        <v>5</v>
      </c>
      <c r="J122" s="30">
        <f>(6*5*2.83)+(3*5*3.14)</f>
        <v>132</v>
      </c>
      <c r="K122" s="31">
        <v>58</v>
      </c>
      <c r="L122" s="32">
        <v>43083.505949074075</v>
      </c>
      <c r="M122" s="31" t="s">
        <v>70</v>
      </c>
      <c r="N122" s="31" t="s">
        <v>173</v>
      </c>
      <c r="O122" s="31">
        <v>1206</v>
      </c>
      <c r="P122" s="31">
        <v>202</v>
      </c>
      <c r="Q122" s="7">
        <v>96.18</v>
      </c>
      <c r="R122" s="7">
        <v>92.46</v>
      </c>
      <c r="S122" s="7">
        <v>92.46</v>
      </c>
      <c r="T122" s="33">
        <f t="shared" si="5"/>
        <v>194.18714909544602</v>
      </c>
      <c r="U122" s="33">
        <f t="shared" si="4"/>
        <v>1.4711147658745911</v>
      </c>
      <c r="V122" s="34">
        <v>98.33</v>
      </c>
      <c r="W122" s="35">
        <f t="shared" si="7"/>
        <v>1.4465471492844852</v>
      </c>
      <c r="X122" s="34">
        <v>5.43</v>
      </c>
      <c r="Y122" s="34">
        <v>6.5570000000000004</v>
      </c>
      <c r="Z122" s="35">
        <f>1-(X122/Y122)</f>
        <v>0.17187738294951971</v>
      </c>
      <c r="AA122" s="35">
        <f>+X122/Y122</f>
        <v>0.82812261705048029</v>
      </c>
      <c r="AB122" s="19">
        <v>20</v>
      </c>
      <c r="AC122" s="19">
        <v>20</v>
      </c>
      <c r="AD122" s="19">
        <v>60</v>
      </c>
      <c r="AE122" s="37">
        <v>1</v>
      </c>
      <c r="AF122" s="53">
        <f>+AE122*AA122</f>
        <v>0.82812261705048029</v>
      </c>
      <c r="AG122" s="37">
        <v>1</v>
      </c>
      <c r="AH122" s="37">
        <v>6.43</v>
      </c>
      <c r="AI122" s="7">
        <v>21.55</v>
      </c>
      <c r="AJ122" s="19">
        <v>0.99</v>
      </c>
      <c r="AK122" s="19">
        <v>2.6</v>
      </c>
      <c r="AL122" s="19">
        <v>0.54</v>
      </c>
      <c r="AM122" s="19">
        <v>66</v>
      </c>
    </row>
    <row r="123" spans="1:39" x14ac:dyDescent="0.2">
      <c r="A123" s="7">
        <v>122</v>
      </c>
      <c r="B123" s="7" t="s">
        <v>231</v>
      </c>
      <c r="C123" s="7" t="s">
        <v>12</v>
      </c>
      <c r="D123" s="7" t="s">
        <v>8</v>
      </c>
      <c r="E123" s="7" t="s">
        <v>3</v>
      </c>
      <c r="F123" s="7" t="s">
        <v>249</v>
      </c>
      <c r="G123">
        <v>2014</v>
      </c>
      <c r="H123" s="29" t="s">
        <v>240</v>
      </c>
      <c r="I123" s="30">
        <f>(14.5+13+13.5)/3</f>
        <v>13.666666666666666</v>
      </c>
      <c r="J123" s="30">
        <f>(3*(I123-5)*3.14)</f>
        <v>81.64</v>
      </c>
      <c r="K123" s="31">
        <v>58</v>
      </c>
      <c r="L123" s="32">
        <v>43083.505949074075</v>
      </c>
      <c r="M123" s="31" t="s">
        <v>70</v>
      </c>
      <c r="N123" s="31" t="s">
        <v>173</v>
      </c>
      <c r="O123" s="31">
        <v>1206</v>
      </c>
      <c r="P123" s="31">
        <v>123.5</v>
      </c>
      <c r="Q123" s="7">
        <v>104.89</v>
      </c>
      <c r="R123" s="7">
        <v>100.4</v>
      </c>
      <c r="S123" s="7">
        <v>100.4</v>
      </c>
      <c r="T123" s="33">
        <f t="shared" si="5"/>
        <v>118.21336638383069</v>
      </c>
      <c r="U123" s="33">
        <f t="shared" si="4"/>
        <v>1.4479834196941535</v>
      </c>
      <c r="V123" s="34">
        <v>98.57</v>
      </c>
      <c r="W123" s="35">
        <f t="shared" si="7"/>
        <v>1.4272772567925269</v>
      </c>
      <c r="X123" s="34">
        <v>4.91</v>
      </c>
      <c r="Y123" s="34">
        <v>6.06</v>
      </c>
      <c r="Z123" s="35">
        <f>1-(X123/Y123)</f>
        <v>0.18976897689768968</v>
      </c>
      <c r="AA123" s="35">
        <f>+X123/Y123</f>
        <v>0.81023102310231032</v>
      </c>
      <c r="AB123" s="19">
        <v>22</v>
      </c>
      <c r="AC123" s="19">
        <v>18</v>
      </c>
      <c r="AD123" s="19">
        <v>59</v>
      </c>
      <c r="AE123" s="37">
        <v>1</v>
      </c>
      <c r="AF123" s="53">
        <f>+AE123*AA123</f>
        <v>0.81023102310231032</v>
      </c>
      <c r="AG123" s="37">
        <v>1</v>
      </c>
      <c r="AH123" s="37">
        <v>5.92</v>
      </c>
      <c r="AI123" s="7">
        <v>24.64</v>
      </c>
      <c r="AJ123" s="19">
        <v>1.1000000000000001</v>
      </c>
      <c r="AK123" s="19">
        <v>3</v>
      </c>
      <c r="AL123" s="19">
        <v>0.63</v>
      </c>
      <c r="AM123" s="19">
        <v>60</v>
      </c>
    </row>
    <row r="124" spans="1:39" x14ac:dyDescent="0.2">
      <c r="A124" s="7">
        <v>123</v>
      </c>
      <c r="B124" s="7" t="s">
        <v>231</v>
      </c>
      <c r="C124" s="7" t="s">
        <v>12</v>
      </c>
      <c r="D124" s="7" t="s">
        <v>8</v>
      </c>
      <c r="E124" s="7" t="s">
        <v>4</v>
      </c>
      <c r="F124" s="7" t="s">
        <v>249</v>
      </c>
      <c r="G124">
        <v>2014</v>
      </c>
      <c r="H124" s="29" t="s">
        <v>241</v>
      </c>
      <c r="I124" s="30">
        <f>(2.5+3+3)/3</f>
        <v>2.8333333333333335</v>
      </c>
      <c r="J124" s="42">
        <f>3*I124*2.83</f>
        <v>24.055</v>
      </c>
      <c r="K124" s="31">
        <v>59</v>
      </c>
      <c r="L124" s="32">
        <v>43083.515717592592</v>
      </c>
      <c r="M124" s="31" t="s">
        <v>71</v>
      </c>
      <c r="N124" s="31" t="s">
        <v>174</v>
      </c>
      <c r="O124" s="31">
        <v>1203</v>
      </c>
      <c r="P124" s="7">
        <v>40.74</v>
      </c>
      <c r="Q124" s="7">
        <v>40.74</v>
      </c>
      <c r="R124" s="7">
        <v>39.33</v>
      </c>
      <c r="S124" s="7">
        <v>39.33</v>
      </c>
      <c r="T124" s="33">
        <f t="shared" si="5"/>
        <v>39.33</v>
      </c>
      <c r="U124" s="33">
        <f t="shared" si="4"/>
        <v>1.6350031178549158</v>
      </c>
      <c r="V124" s="7"/>
      <c r="W124" s="35"/>
      <c r="X124" s="7"/>
      <c r="Y124" s="7"/>
      <c r="Z124" s="38"/>
      <c r="AA124" s="38"/>
      <c r="AB124" s="7"/>
      <c r="AC124" s="7"/>
      <c r="AE124" s="37">
        <v>1</v>
      </c>
      <c r="AG124" s="37">
        <v>1</v>
      </c>
      <c r="AH124" s="37">
        <v>6.43</v>
      </c>
      <c r="AI124" s="7"/>
      <c r="AJ124" s="7"/>
      <c r="AK124" s="7"/>
      <c r="AL124" s="7"/>
      <c r="AM124" s="7"/>
    </row>
    <row r="125" spans="1:39" x14ac:dyDescent="0.2">
      <c r="A125" s="7">
        <v>124</v>
      </c>
      <c r="B125" s="7" t="s">
        <v>231</v>
      </c>
      <c r="C125" s="7" t="s">
        <v>12</v>
      </c>
      <c r="D125" s="7" t="s">
        <v>8</v>
      </c>
      <c r="E125" s="7" t="s">
        <v>4</v>
      </c>
      <c r="F125" s="7" t="s">
        <v>249</v>
      </c>
      <c r="G125">
        <v>2014</v>
      </c>
      <c r="H125" s="29" t="s">
        <v>239</v>
      </c>
      <c r="I125" s="30">
        <v>5</v>
      </c>
      <c r="J125" s="30">
        <f>(6*5*2.83)+(3*5*3.14)</f>
        <v>132</v>
      </c>
      <c r="K125" s="31">
        <v>59</v>
      </c>
      <c r="L125" s="32">
        <v>43083.515717592592</v>
      </c>
      <c r="M125" s="31" t="s">
        <v>71</v>
      </c>
      <c r="N125" s="31" t="s">
        <v>174</v>
      </c>
      <c r="O125" s="31">
        <v>1203</v>
      </c>
      <c r="P125" s="31">
        <v>207</v>
      </c>
      <c r="Q125" s="7">
        <v>54.3</v>
      </c>
      <c r="R125" s="7">
        <v>51.82</v>
      </c>
      <c r="S125" s="7">
        <v>51.82</v>
      </c>
      <c r="T125" s="33">
        <f t="shared" si="5"/>
        <v>197.54585635359118</v>
      </c>
      <c r="U125" s="33">
        <f t="shared" si="4"/>
        <v>1.4965595178302362</v>
      </c>
      <c r="V125" s="7"/>
      <c r="W125" s="35"/>
      <c r="X125" s="7"/>
      <c r="Y125" s="7"/>
      <c r="Z125" s="38"/>
      <c r="AA125" s="38"/>
      <c r="AB125" s="7"/>
      <c r="AC125" s="7"/>
      <c r="AE125" s="37">
        <v>1</v>
      </c>
      <c r="AG125" s="37">
        <v>1</v>
      </c>
      <c r="AH125" s="37">
        <v>6.31</v>
      </c>
      <c r="AI125" s="7"/>
      <c r="AJ125" s="7"/>
      <c r="AK125" s="7"/>
      <c r="AL125" s="7"/>
      <c r="AM125" s="7"/>
    </row>
    <row r="126" spans="1:39" x14ac:dyDescent="0.2">
      <c r="A126" s="7">
        <v>125</v>
      </c>
      <c r="B126" s="7" t="s">
        <v>231</v>
      </c>
      <c r="C126" s="7" t="s">
        <v>12</v>
      </c>
      <c r="D126" s="7" t="s">
        <v>8</v>
      </c>
      <c r="E126" s="7" t="s">
        <v>4</v>
      </c>
      <c r="F126" s="7" t="s">
        <v>249</v>
      </c>
      <c r="G126">
        <v>2014</v>
      </c>
      <c r="H126" s="29" t="s">
        <v>240</v>
      </c>
      <c r="I126" s="30">
        <f>(15+18.5+19)/3</f>
        <v>17.5</v>
      </c>
      <c r="J126" s="30">
        <f>(3*(I126-5)*3.14)</f>
        <v>117.75</v>
      </c>
      <c r="K126" s="31">
        <v>59</v>
      </c>
      <c r="L126" s="32">
        <v>43083.515717592592</v>
      </c>
      <c r="M126" s="31" t="s">
        <v>71</v>
      </c>
      <c r="N126" s="31" t="s">
        <v>174</v>
      </c>
      <c r="O126" s="31">
        <v>1203</v>
      </c>
      <c r="P126" s="31">
        <v>173</v>
      </c>
      <c r="Q126" s="7">
        <v>46.19</v>
      </c>
      <c r="R126" s="7">
        <v>44.23</v>
      </c>
      <c r="S126" s="7">
        <v>44.23</v>
      </c>
      <c r="T126" s="33">
        <f t="shared" si="5"/>
        <v>165.65901710326909</v>
      </c>
      <c r="U126" s="33">
        <f t="shared" si="4"/>
        <v>1.4068706335734105</v>
      </c>
      <c r="V126" s="7"/>
      <c r="W126" s="35"/>
      <c r="X126" s="7"/>
      <c r="Y126" s="7"/>
      <c r="Z126" s="38"/>
      <c r="AA126" s="38"/>
      <c r="AB126" s="7"/>
      <c r="AC126" s="7"/>
      <c r="AE126" s="37">
        <v>1</v>
      </c>
      <c r="AG126" s="37">
        <v>1</v>
      </c>
      <c r="AH126" s="37">
        <v>5.86</v>
      </c>
      <c r="AI126" s="7"/>
      <c r="AJ126" s="7"/>
      <c r="AK126" s="7"/>
      <c r="AL126" s="7"/>
      <c r="AM126" s="7"/>
    </row>
    <row r="127" spans="1:39" x14ac:dyDescent="0.2">
      <c r="A127" s="7">
        <v>126</v>
      </c>
      <c r="B127" s="7" t="s">
        <v>231</v>
      </c>
      <c r="C127" s="7" t="s">
        <v>12</v>
      </c>
      <c r="D127" s="7" t="s">
        <v>8</v>
      </c>
      <c r="E127" s="7" t="s">
        <v>5</v>
      </c>
      <c r="F127" s="7" t="s">
        <v>249</v>
      </c>
      <c r="G127">
        <v>2014</v>
      </c>
      <c r="H127" s="29" t="s">
        <v>241</v>
      </c>
      <c r="I127" s="30">
        <f>(2.7+2+1.5)/3</f>
        <v>2.0666666666666669</v>
      </c>
      <c r="J127" s="42">
        <f>3*I127*2.83</f>
        <v>17.546000000000003</v>
      </c>
      <c r="K127" s="31">
        <v>60</v>
      </c>
      <c r="L127" s="32">
        <v>43083.521863425929</v>
      </c>
      <c r="M127" s="31" t="s">
        <v>72</v>
      </c>
      <c r="N127" s="31" t="s">
        <v>175</v>
      </c>
      <c r="O127" s="31">
        <v>1203</v>
      </c>
      <c r="P127" s="7">
        <v>31.89</v>
      </c>
      <c r="Q127" s="7">
        <v>31.89</v>
      </c>
      <c r="R127" s="7">
        <v>30.94</v>
      </c>
      <c r="S127" s="7">
        <v>30.94</v>
      </c>
      <c r="T127" s="33">
        <f t="shared" si="5"/>
        <v>30.94</v>
      </c>
      <c r="U127" s="33">
        <f t="shared" si="4"/>
        <v>1.7633648694859225</v>
      </c>
      <c r="V127" s="7"/>
      <c r="W127" s="35"/>
      <c r="X127" s="7"/>
      <c r="Y127" s="7"/>
      <c r="Z127" s="38"/>
      <c r="AA127" s="38"/>
      <c r="AB127" s="7"/>
      <c r="AC127" s="7"/>
      <c r="AE127" s="37">
        <v>1</v>
      </c>
      <c r="AG127" s="37">
        <v>1</v>
      </c>
      <c r="AH127" s="37">
        <v>6.63</v>
      </c>
      <c r="AI127" s="7"/>
      <c r="AJ127" s="7"/>
      <c r="AK127" s="7"/>
      <c r="AL127" s="7"/>
      <c r="AM127" s="7"/>
    </row>
    <row r="128" spans="1:39" x14ac:dyDescent="0.2">
      <c r="A128" s="7">
        <v>127</v>
      </c>
      <c r="B128" s="7" t="s">
        <v>231</v>
      </c>
      <c r="C128" s="7" t="s">
        <v>12</v>
      </c>
      <c r="D128" s="7" t="s">
        <v>8</v>
      </c>
      <c r="E128" s="7" t="s">
        <v>5</v>
      </c>
      <c r="F128" s="7" t="s">
        <v>249</v>
      </c>
      <c r="G128">
        <v>2014</v>
      </c>
      <c r="H128" s="29" t="s">
        <v>239</v>
      </c>
      <c r="I128" s="30">
        <v>5</v>
      </c>
      <c r="J128" s="30">
        <f>(6*5*2.83)+(3*5*3.14)</f>
        <v>132</v>
      </c>
      <c r="K128" s="31">
        <v>60</v>
      </c>
      <c r="L128" s="32">
        <v>43083.521863425929</v>
      </c>
      <c r="M128" s="31" t="s">
        <v>72</v>
      </c>
      <c r="N128" s="31" t="s">
        <v>175</v>
      </c>
      <c r="O128" s="31">
        <v>1203</v>
      </c>
      <c r="P128" s="31">
        <v>209</v>
      </c>
      <c r="Q128" s="7">
        <v>52.13</v>
      </c>
      <c r="R128" s="7">
        <v>50.46</v>
      </c>
      <c r="S128" s="7">
        <v>50.46</v>
      </c>
      <c r="T128" s="33">
        <f t="shared" si="5"/>
        <v>202.30462305774026</v>
      </c>
      <c r="U128" s="33">
        <f t="shared" si="4"/>
        <v>1.5326107807404565</v>
      </c>
      <c r="V128" s="7"/>
      <c r="W128" s="35"/>
      <c r="X128" s="7"/>
      <c r="Y128" s="7"/>
      <c r="Z128" s="38"/>
      <c r="AA128" s="38"/>
      <c r="AB128" s="7"/>
      <c r="AC128" s="7"/>
      <c r="AE128" s="37">
        <v>1</v>
      </c>
      <c r="AG128" s="37">
        <v>1</v>
      </c>
      <c r="AH128" s="37">
        <v>6.55</v>
      </c>
      <c r="AI128" s="7"/>
      <c r="AJ128" s="7"/>
      <c r="AK128" s="7"/>
      <c r="AL128" s="7"/>
      <c r="AM128" s="7"/>
    </row>
    <row r="129" spans="1:39" x14ac:dyDescent="0.2">
      <c r="A129" s="7">
        <v>128</v>
      </c>
      <c r="B129" s="7" t="s">
        <v>231</v>
      </c>
      <c r="C129" s="7" t="s">
        <v>12</v>
      </c>
      <c r="D129" s="7" t="s">
        <v>8</v>
      </c>
      <c r="E129" s="7" t="s">
        <v>5</v>
      </c>
      <c r="F129" s="7" t="s">
        <v>249</v>
      </c>
      <c r="G129">
        <v>2014</v>
      </c>
      <c r="H129" s="29" t="s">
        <v>240</v>
      </c>
      <c r="I129" s="30">
        <f>(17+14.5+18.5)/3</f>
        <v>16.666666666666668</v>
      </c>
      <c r="J129" s="30">
        <f>(3*(I129-5)*3.14)</f>
        <v>109.9</v>
      </c>
      <c r="K129" s="31">
        <v>60</v>
      </c>
      <c r="L129" s="32">
        <v>43083.521863425929</v>
      </c>
      <c r="M129" s="31" t="s">
        <v>72</v>
      </c>
      <c r="N129" s="31" t="s">
        <v>175</v>
      </c>
      <c r="O129" s="31">
        <v>1203</v>
      </c>
      <c r="P129" s="31">
        <v>179</v>
      </c>
      <c r="Q129" s="7">
        <v>53.17</v>
      </c>
      <c r="R129" s="7">
        <v>51.16</v>
      </c>
      <c r="S129" s="7">
        <v>49.2</v>
      </c>
      <c r="T129" s="33">
        <f t="shared" si="5"/>
        <v>165.63475644160241</v>
      </c>
      <c r="U129" s="33">
        <f t="shared" si="4"/>
        <v>1.5071406409608954</v>
      </c>
      <c r="V129" s="7"/>
      <c r="W129" s="35"/>
      <c r="X129" s="7"/>
      <c r="Y129" s="7"/>
      <c r="Z129" s="38"/>
      <c r="AA129" s="38"/>
      <c r="AB129" s="7"/>
      <c r="AC129" s="7"/>
      <c r="AE129" s="37">
        <v>1</v>
      </c>
      <c r="AG129" s="37">
        <v>1</v>
      </c>
      <c r="AH129" s="37">
        <v>6.06</v>
      </c>
      <c r="AI129" s="7"/>
      <c r="AJ129" s="7"/>
      <c r="AK129" s="7"/>
      <c r="AL129" s="7"/>
      <c r="AM129" s="7"/>
    </row>
    <row r="130" spans="1:39" s="4" customFormat="1" x14ac:dyDescent="0.2">
      <c r="A130" s="7">
        <v>129</v>
      </c>
      <c r="B130" s="8" t="s">
        <v>231</v>
      </c>
      <c r="C130" s="8" t="s">
        <v>12</v>
      </c>
      <c r="D130" s="8" t="s">
        <v>8</v>
      </c>
      <c r="E130" s="8" t="s">
        <v>6</v>
      </c>
      <c r="F130" s="7" t="s">
        <v>249</v>
      </c>
      <c r="G130">
        <v>2014</v>
      </c>
      <c r="H130" s="43" t="s">
        <v>241</v>
      </c>
      <c r="I130" s="44">
        <v>2</v>
      </c>
      <c r="J130" s="42">
        <f>2*I130*2.83</f>
        <v>11.32</v>
      </c>
      <c r="K130" s="9">
        <v>61</v>
      </c>
      <c r="L130" s="45">
        <v>43083.527395833335</v>
      </c>
      <c r="M130" s="9" t="s">
        <v>73</v>
      </c>
      <c r="N130" s="9" t="s">
        <v>176</v>
      </c>
      <c r="O130" s="9">
        <v>1205</v>
      </c>
      <c r="P130" s="8">
        <v>16.5</v>
      </c>
      <c r="Q130" s="8">
        <v>16.5</v>
      </c>
      <c r="R130" s="8">
        <v>15.71</v>
      </c>
      <c r="S130" s="8">
        <v>15.71</v>
      </c>
      <c r="T130" s="33">
        <f t="shared" si="5"/>
        <v>15.71</v>
      </c>
      <c r="U130" s="33">
        <f t="shared" si="4"/>
        <v>1.387809187279152</v>
      </c>
      <c r="V130" s="8"/>
      <c r="W130" s="35"/>
      <c r="X130" s="8"/>
      <c r="Y130" s="8"/>
      <c r="Z130" s="46"/>
      <c r="AA130" s="46"/>
      <c r="AB130" s="8"/>
      <c r="AC130" s="8"/>
      <c r="AD130" s="8"/>
      <c r="AE130" s="37">
        <v>1</v>
      </c>
      <c r="AF130" s="57"/>
      <c r="AG130" s="37">
        <v>1</v>
      </c>
      <c r="AH130" s="37">
        <v>6.9</v>
      </c>
      <c r="AI130" s="8"/>
      <c r="AJ130" s="8"/>
      <c r="AK130" s="8"/>
      <c r="AL130" s="8"/>
      <c r="AM130" s="8"/>
    </row>
    <row r="131" spans="1:39" x14ac:dyDescent="0.2">
      <c r="A131" s="7">
        <v>130</v>
      </c>
      <c r="B131" s="7" t="s">
        <v>231</v>
      </c>
      <c r="C131" s="7" t="s">
        <v>12</v>
      </c>
      <c r="D131" s="7" t="s">
        <v>8</v>
      </c>
      <c r="E131" s="7" t="s">
        <v>6</v>
      </c>
      <c r="F131" s="7" t="s">
        <v>249</v>
      </c>
      <c r="G131">
        <v>2014</v>
      </c>
      <c r="H131" s="29" t="s">
        <v>239</v>
      </c>
      <c r="I131" s="30">
        <v>5</v>
      </c>
      <c r="J131" s="30">
        <f>(6*5*2.83)+(3*5*3.14)</f>
        <v>132</v>
      </c>
      <c r="K131" s="31">
        <v>61</v>
      </c>
      <c r="L131" s="32">
        <v>43083.527395833335</v>
      </c>
      <c r="M131" s="31" t="s">
        <v>73</v>
      </c>
      <c r="N131" s="31" t="s">
        <v>176</v>
      </c>
      <c r="O131" s="31">
        <v>1205</v>
      </c>
      <c r="P131" s="31">
        <v>208</v>
      </c>
      <c r="Q131" s="7">
        <v>48.38</v>
      </c>
      <c r="R131" s="7">
        <v>46.62</v>
      </c>
      <c r="S131" s="7">
        <v>44.9</v>
      </c>
      <c r="T131" s="33">
        <f t="shared" si="5"/>
        <v>193.03844563869364</v>
      </c>
      <c r="U131" s="33">
        <f t="shared" ref="U131:U194" si="8">+T131/J131</f>
        <v>1.4624124669598004</v>
      </c>
      <c r="V131" s="7"/>
      <c r="W131" s="35"/>
      <c r="X131" s="7"/>
      <c r="Y131" s="7"/>
      <c r="Z131" s="38"/>
      <c r="AA131" s="38"/>
      <c r="AB131" s="7"/>
      <c r="AC131" s="7"/>
      <c r="AE131" s="37">
        <v>1</v>
      </c>
      <c r="AG131" s="37">
        <v>1</v>
      </c>
      <c r="AH131" s="37">
        <v>6.49</v>
      </c>
      <c r="AI131" s="7"/>
      <c r="AJ131" s="7"/>
      <c r="AK131" s="7"/>
      <c r="AL131" s="7"/>
      <c r="AM131" s="7"/>
    </row>
    <row r="132" spans="1:39" x14ac:dyDescent="0.2">
      <c r="A132" s="7">
        <v>131</v>
      </c>
      <c r="B132" s="7" t="s">
        <v>231</v>
      </c>
      <c r="C132" s="7" t="s">
        <v>12</v>
      </c>
      <c r="D132" s="7" t="s">
        <v>8</v>
      </c>
      <c r="E132" s="7" t="s">
        <v>6</v>
      </c>
      <c r="F132" s="7" t="s">
        <v>249</v>
      </c>
      <c r="G132">
        <v>2014</v>
      </c>
      <c r="H132" s="29" t="s">
        <v>240</v>
      </c>
      <c r="I132" s="30">
        <f>(18.5+18+18)/3</f>
        <v>18.166666666666668</v>
      </c>
      <c r="J132" s="30">
        <f>(3*(I132-5)*3.14)</f>
        <v>124.03</v>
      </c>
      <c r="K132" s="31">
        <v>61</v>
      </c>
      <c r="L132" s="32">
        <v>43083.527395833335</v>
      </c>
      <c r="M132" s="31" t="s">
        <v>73</v>
      </c>
      <c r="N132" s="31" t="s">
        <v>176</v>
      </c>
      <c r="O132" s="31">
        <v>1205</v>
      </c>
      <c r="P132" s="31">
        <v>183</v>
      </c>
      <c r="Q132" s="7">
        <v>54.42</v>
      </c>
      <c r="R132" s="7">
        <v>52.07</v>
      </c>
      <c r="S132" s="7">
        <v>49.2</v>
      </c>
      <c r="T132" s="33">
        <f t="shared" si="5"/>
        <v>165.44652701212792</v>
      </c>
      <c r="U132" s="33">
        <f t="shared" si="8"/>
        <v>1.3339234621634113</v>
      </c>
      <c r="V132" s="7"/>
      <c r="W132" s="35"/>
      <c r="X132" s="7"/>
      <c r="Y132" s="7"/>
      <c r="Z132" s="38"/>
      <c r="AA132" s="38"/>
      <c r="AB132" s="7"/>
      <c r="AC132" s="7"/>
      <c r="AE132" s="37">
        <v>1</v>
      </c>
      <c r="AG132" s="37">
        <v>1</v>
      </c>
      <c r="AH132" s="37">
        <v>6.14</v>
      </c>
      <c r="AI132" s="7"/>
      <c r="AJ132" s="7"/>
      <c r="AK132" s="7"/>
      <c r="AL132" s="7"/>
      <c r="AM132" s="7"/>
    </row>
    <row r="133" spans="1:39" s="4" customFormat="1" x14ac:dyDescent="0.2">
      <c r="A133" s="7">
        <v>132</v>
      </c>
      <c r="B133" s="8" t="s">
        <v>231</v>
      </c>
      <c r="C133" s="8" t="s">
        <v>12</v>
      </c>
      <c r="D133" s="8" t="s">
        <v>9</v>
      </c>
      <c r="E133" s="8" t="s">
        <v>3</v>
      </c>
      <c r="F133" s="7" t="s">
        <v>249</v>
      </c>
      <c r="G133">
        <v>2014</v>
      </c>
      <c r="H133" s="43" t="s">
        <v>241</v>
      </c>
      <c r="I133" s="44">
        <v>1.5</v>
      </c>
      <c r="J133" s="42">
        <f>1*I133*2.83</f>
        <v>4.2450000000000001</v>
      </c>
      <c r="K133" s="9">
        <v>62</v>
      </c>
      <c r="L133" s="45">
        <v>43083.55976851852</v>
      </c>
      <c r="M133" s="9" t="s">
        <v>74</v>
      </c>
      <c r="N133" s="9" t="s">
        <v>177</v>
      </c>
      <c r="O133" s="9">
        <v>1204</v>
      </c>
      <c r="P133" s="8">
        <v>6.9</v>
      </c>
      <c r="Q133" s="8">
        <v>6.9</v>
      </c>
      <c r="R133" s="8">
        <v>6.54</v>
      </c>
      <c r="S133" s="8">
        <v>6.54</v>
      </c>
      <c r="T133" s="33">
        <f t="shared" ref="T133:T196" si="9">+(S133/Q133)*P133</f>
        <v>6.54</v>
      </c>
      <c r="U133" s="33">
        <f t="shared" si="8"/>
        <v>1.5406360424028269</v>
      </c>
      <c r="V133" s="8"/>
      <c r="W133" s="35"/>
      <c r="X133" s="8"/>
      <c r="Y133" s="8"/>
      <c r="Z133" s="46"/>
      <c r="AA133" s="46"/>
      <c r="AB133" s="8"/>
      <c r="AC133" s="8"/>
      <c r="AD133" s="8"/>
      <c r="AE133" s="37">
        <v>1</v>
      </c>
      <c r="AF133" s="57"/>
      <c r="AG133" s="37">
        <v>1</v>
      </c>
      <c r="AH133" s="47">
        <v>6.4</v>
      </c>
      <c r="AI133" s="8"/>
      <c r="AJ133" s="8"/>
      <c r="AK133" s="8"/>
      <c r="AL133" s="8"/>
      <c r="AM133" s="8"/>
    </row>
    <row r="134" spans="1:39" x14ac:dyDescent="0.2">
      <c r="A134" s="7">
        <v>133</v>
      </c>
      <c r="B134" s="7" t="s">
        <v>231</v>
      </c>
      <c r="C134" s="7" t="s">
        <v>12</v>
      </c>
      <c r="D134" s="7" t="s">
        <v>9</v>
      </c>
      <c r="E134" s="7" t="s">
        <v>3</v>
      </c>
      <c r="F134" s="7" t="s">
        <v>249</v>
      </c>
      <c r="G134">
        <v>2014</v>
      </c>
      <c r="H134" s="29" t="s">
        <v>239</v>
      </c>
      <c r="I134" s="30">
        <v>5</v>
      </c>
      <c r="J134" s="30">
        <f>(6*5*2.83)+(3*5*3.14)</f>
        <v>132</v>
      </c>
      <c r="K134" s="31">
        <v>62</v>
      </c>
      <c r="L134" s="32">
        <v>43083.55976851852</v>
      </c>
      <c r="M134" s="31" t="s">
        <v>74</v>
      </c>
      <c r="N134" s="31" t="s">
        <v>177</v>
      </c>
      <c r="O134" s="31">
        <v>1204</v>
      </c>
      <c r="P134" s="31">
        <v>192</v>
      </c>
      <c r="Q134" s="7">
        <v>101.89</v>
      </c>
      <c r="R134" s="7">
        <v>97.27</v>
      </c>
      <c r="S134" s="7">
        <v>94.5</v>
      </c>
      <c r="T134" s="33">
        <f t="shared" si="9"/>
        <v>178.07439395426439</v>
      </c>
      <c r="U134" s="33">
        <f t="shared" si="8"/>
        <v>1.3490484390474575</v>
      </c>
      <c r="V134" s="7"/>
      <c r="W134" s="35"/>
      <c r="X134" s="7"/>
      <c r="Y134" s="7"/>
      <c r="Z134" s="38"/>
      <c r="AA134" s="38"/>
      <c r="AB134" s="7"/>
      <c r="AC134" s="7"/>
      <c r="AE134" s="37">
        <v>1</v>
      </c>
      <c r="AG134" s="37">
        <v>1</v>
      </c>
      <c r="AH134" s="37">
        <v>6.31</v>
      </c>
      <c r="AI134" s="37"/>
      <c r="AJ134" s="7"/>
      <c r="AK134" s="7"/>
      <c r="AL134" s="7"/>
      <c r="AM134" s="7"/>
    </row>
    <row r="135" spans="1:39" x14ac:dyDescent="0.2">
      <c r="A135" s="7">
        <v>134</v>
      </c>
      <c r="B135" s="7" t="s">
        <v>231</v>
      </c>
      <c r="C135" s="7" t="s">
        <v>12</v>
      </c>
      <c r="D135" s="7" t="s">
        <v>9</v>
      </c>
      <c r="E135" s="7" t="s">
        <v>3</v>
      </c>
      <c r="F135" s="7" t="s">
        <v>249</v>
      </c>
      <c r="G135">
        <v>2014</v>
      </c>
      <c r="H135" s="29" t="s">
        <v>240</v>
      </c>
      <c r="I135" s="30">
        <f>(17.5+16+18)/3</f>
        <v>17.166666666666668</v>
      </c>
      <c r="J135" s="30">
        <f>(3*(I135-5)*3.14)</f>
        <v>114.61</v>
      </c>
      <c r="K135" s="31">
        <v>62</v>
      </c>
      <c r="L135" s="32">
        <v>43083.55976851852</v>
      </c>
      <c r="M135" s="31" t="s">
        <v>74</v>
      </c>
      <c r="N135" s="31" t="s">
        <v>177</v>
      </c>
      <c r="O135" s="31">
        <v>1204</v>
      </c>
      <c r="P135" s="31">
        <v>183</v>
      </c>
      <c r="Q135" s="7">
        <v>100.46</v>
      </c>
      <c r="R135" s="7">
        <v>93.4</v>
      </c>
      <c r="S135" s="7">
        <v>89.8</v>
      </c>
      <c r="T135" s="33">
        <f t="shared" si="9"/>
        <v>163.58152498506868</v>
      </c>
      <c r="U135" s="33">
        <f t="shared" si="8"/>
        <v>1.427288412748178</v>
      </c>
      <c r="V135" s="7"/>
      <c r="W135" s="35"/>
      <c r="X135" s="7"/>
      <c r="Y135" s="7"/>
      <c r="Z135" s="38"/>
      <c r="AA135" s="38"/>
      <c r="AB135" s="7"/>
      <c r="AC135" s="7"/>
      <c r="AE135" s="37">
        <v>1</v>
      </c>
      <c r="AG135" s="37">
        <v>1</v>
      </c>
      <c r="AH135" s="37">
        <v>6.13</v>
      </c>
      <c r="AI135" s="37"/>
      <c r="AJ135" s="7"/>
      <c r="AK135" s="7"/>
      <c r="AL135" s="7"/>
      <c r="AM135" s="7"/>
    </row>
    <row r="136" spans="1:39" x14ac:dyDescent="0.2">
      <c r="A136" s="7">
        <v>135</v>
      </c>
      <c r="B136" s="7" t="s">
        <v>231</v>
      </c>
      <c r="C136" s="7" t="s">
        <v>12</v>
      </c>
      <c r="D136" s="7" t="s">
        <v>9</v>
      </c>
      <c r="E136" s="7" t="s">
        <v>4</v>
      </c>
      <c r="F136" s="7" t="s">
        <v>249</v>
      </c>
      <c r="G136">
        <v>2014</v>
      </c>
      <c r="H136" s="29" t="s">
        <v>239</v>
      </c>
      <c r="I136" s="30">
        <v>5</v>
      </c>
      <c r="J136" s="30">
        <f>(6*5*2.83)+(3*5*3.14)</f>
        <v>132</v>
      </c>
      <c r="K136" s="31">
        <v>63</v>
      </c>
      <c r="L136" s="32">
        <v>43083.565115740741</v>
      </c>
      <c r="M136" s="31" t="s">
        <v>75</v>
      </c>
      <c r="N136" s="31" t="s">
        <v>178</v>
      </c>
      <c r="O136" s="31">
        <v>1203</v>
      </c>
      <c r="P136" s="31">
        <v>198.5</v>
      </c>
      <c r="Q136" s="7">
        <v>48.51</v>
      </c>
      <c r="R136" s="7">
        <v>46.91</v>
      </c>
      <c r="S136" s="7">
        <v>46.91</v>
      </c>
      <c r="T136" s="33">
        <f t="shared" si="9"/>
        <v>191.95289631003916</v>
      </c>
      <c r="U136" s="33">
        <f t="shared" si="8"/>
        <v>1.4541886084093876</v>
      </c>
      <c r="V136" s="7"/>
      <c r="W136" s="35"/>
      <c r="X136" s="7"/>
      <c r="Y136" s="7"/>
      <c r="Z136" s="38"/>
      <c r="AA136" s="38"/>
      <c r="AB136" s="7"/>
      <c r="AC136" s="7"/>
      <c r="AE136" s="37">
        <v>1</v>
      </c>
      <c r="AG136" s="37">
        <v>1</v>
      </c>
      <c r="AH136" s="37">
        <v>6.41</v>
      </c>
      <c r="AI136" s="7"/>
      <c r="AJ136" s="7"/>
      <c r="AK136" s="7"/>
      <c r="AL136" s="7"/>
      <c r="AM136" s="7"/>
    </row>
    <row r="137" spans="1:39" x14ac:dyDescent="0.2">
      <c r="A137" s="7">
        <v>136</v>
      </c>
      <c r="B137" s="7" t="s">
        <v>231</v>
      </c>
      <c r="C137" s="7" t="s">
        <v>12</v>
      </c>
      <c r="D137" s="7" t="s">
        <v>9</v>
      </c>
      <c r="E137" s="7" t="s">
        <v>4</v>
      </c>
      <c r="F137" s="7" t="s">
        <v>249</v>
      </c>
      <c r="G137">
        <v>2014</v>
      </c>
      <c r="H137" s="29" t="s">
        <v>240</v>
      </c>
      <c r="I137" s="30">
        <f>(17.5+17+18)/3</f>
        <v>17.5</v>
      </c>
      <c r="J137" s="30">
        <f>(3*(I137-5)*3.14)</f>
        <v>117.75</v>
      </c>
      <c r="K137" s="31">
        <v>63</v>
      </c>
      <c r="L137" s="32">
        <v>43083.565115740741</v>
      </c>
      <c r="M137" s="31" t="s">
        <v>75</v>
      </c>
      <c r="N137" s="31" t="s">
        <v>178</v>
      </c>
      <c r="O137" s="31">
        <v>1203</v>
      </c>
      <c r="P137" s="31">
        <v>194</v>
      </c>
      <c r="Q137" s="7">
        <v>54.64</v>
      </c>
      <c r="R137" s="7">
        <v>51.59</v>
      </c>
      <c r="S137" s="7">
        <v>49.6</v>
      </c>
      <c r="T137" s="33">
        <f t="shared" si="9"/>
        <v>176.10541727672035</v>
      </c>
      <c r="U137" s="33">
        <f t="shared" si="8"/>
        <v>1.4955874078702365</v>
      </c>
      <c r="V137" s="7"/>
      <c r="W137" s="35"/>
      <c r="X137" s="7"/>
      <c r="Y137" s="7"/>
      <c r="Z137" s="38"/>
      <c r="AA137" s="38"/>
      <c r="AB137" s="7"/>
      <c r="AC137" s="7"/>
      <c r="AE137" s="37">
        <v>1</v>
      </c>
      <c r="AG137" s="37">
        <v>1</v>
      </c>
      <c r="AH137" s="37">
        <v>6.42</v>
      </c>
      <c r="AI137" s="7"/>
      <c r="AJ137" s="7"/>
      <c r="AK137" s="7"/>
      <c r="AL137" s="7"/>
      <c r="AM137" s="7"/>
    </row>
    <row r="138" spans="1:39" x14ac:dyDescent="0.2">
      <c r="A138" s="7">
        <v>137</v>
      </c>
      <c r="B138" s="7" t="s">
        <v>231</v>
      </c>
      <c r="C138" s="7" t="s">
        <v>12</v>
      </c>
      <c r="D138" s="7" t="s">
        <v>9</v>
      </c>
      <c r="E138" s="7" t="s">
        <v>5</v>
      </c>
      <c r="F138" s="7" t="s">
        <v>249</v>
      </c>
      <c r="G138">
        <v>2014</v>
      </c>
      <c r="H138" s="29" t="s">
        <v>239</v>
      </c>
      <c r="I138" s="30">
        <v>5</v>
      </c>
      <c r="J138" s="30">
        <f>(6*5*2.83)+(3*5*3.14)</f>
        <v>132</v>
      </c>
      <c r="K138" s="31">
        <v>64</v>
      </c>
      <c r="L138" s="32">
        <v>43083.573819444442</v>
      </c>
      <c r="M138" s="31" t="s">
        <v>76</v>
      </c>
      <c r="N138" s="31" t="s">
        <v>179</v>
      </c>
      <c r="O138" s="31">
        <v>1203</v>
      </c>
      <c r="P138" s="31">
        <v>193.5</v>
      </c>
      <c r="Q138" s="7">
        <v>51.97</v>
      </c>
      <c r="R138" s="7">
        <v>49.46</v>
      </c>
      <c r="S138" s="7">
        <v>49.46</v>
      </c>
      <c r="T138" s="33">
        <f t="shared" si="9"/>
        <v>184.15451221858766</v>
      </c>
      <c r="U138" s="33">
        <f t="shared" si="8"/>
        <v>1.3951099410499064</v>
      </c>
      <c r="V138" s="7"/>
      <c r="W138" s="35"/>
      <c r="X138" s="7"/>
      <c r="Y138" s="7"/>
      <c r="Z138" s="38"/>
      <c r="AA138" s="38"/>
      <c r="AB138" s="7"/>
      <c r="AC138" s="7"/>
      <c r="AE138" s="37">
        <v>1</v>
      </c>
      <c r="AG138" s="37">
        <v>1</v>
      </c>
      <c r="AH138" s="37">
        <v>6.35</v>
      </c>
      <c r="AI138" s="7"/>
      <c r="AJ138" s="7"/>
      <c r="AK138" s="7"/>
      <c r="AL138" s="7"/>
      <c r="AM138" s="7"/>
    </row>
    <row r="139" spans="1:39" x14ac:dyDescent="0.2">
      <c r="A139" s="7">
        <v>138</v>
      </c>
      <c r="B139" s="7" t="s">
        <v>231</v>
      </c>
      <c r="C139" s="7" t="s">
        <v>12</v>
      </c>
      <c r="D139" s="7" t="s">
        <v>9</v>
      </c>
      <c r="E139" s="7" t="s">
        <v>5</v>
      </c>
      <c r="F139" s="7" t="s">
        <v>249</v>
      </c>
      <c r="G139">
        <v>2014</v>
      </c>
      <c r="H139" s="29" t="s">
        <v>240</v>
      </c>
      <c r="I139" s="30">
        <f>(17.5+17+17.5)/3</f>
        <v>17.333333333333332</v>
      </c>
      <c r="J139" s="30">
        <f>(3*(I139-5)*3.14)</f>
        <v>116.18</v>
      </c>
      <c r="K139" s="31">
        <v>64</v>
      </c>
      <c r="L139" s="32">
        <v>43083.573819444442</v>
      </c>
      <c r="M139" s="31" t="s">
        <v>76</v>
      </c>
      <c r="N139" s="31" t="s">
        <v>179</v>
      </c>
      <c r="O139" s="31">
        <v>1203</v>
      </c>
      <c r="P139" s="31">
        <v>170.5</v>
      </c>
      <c r="Q139" s="7">
        <v>55.14</v>
      </c>
      <c r="R139" s="7">
        <v>53.25</v>
      </c>
      <c r="S139" s="7">
        <v>53.25</v>
      </c>
      <c r="T139" s="33">
        <f t="shared" si="9"/>
        <v>164.65587595212187</v>
      </c>
      <c r="U139" s="33">
        <f t="shared" si="8"/>
        <v>1.4172480285085374</v>
      </c>
      <c r="V139" s="7"/>
      <c r="W139" s="35"/>
      <c r="X139" s="7"/>
      <c r="Y139" s="7"/>
      <c r="Z139" s="38"/>
      <c r="AA139" s="38"/>
      <c r="AB139" s="7"/>
      <c r="AC139" s="7"/>
      <c r="AE139" s="37">
        <v>1</v>
      </c>
      <c r="AG139" s="37">
        <v>1</v>
      </c>
      <c r="AH139" s="37">
        <v>5.94</v>
      </c>
      <c r="AI139" s="7"/>
      <c r="AJ139" s="7"/>
      <c r="AK139" s="7"/>
      <c r="AL139" s="7"/>
      <c r="AM139" s="7"/>
    </row>
    <row r="140" spans="1:39" x14ac:dyDescent="0.2">
      <c r="A140" s="7">
        <v>139</v>
      </c>
      <c r="B140" s="7" t="s">
        <v>231</v>
      </c>
      <c r="C140" s="7" t="s">
        <v>12</v>
      </c>
      <c r="D140" s="7" t="s">
        <v>9</v>
      </c>
      <c r="E140" s="7" t="s">
        <v>6</v>
      </c>
      <c r="F140" s="7" t="s">
        <v>249</v>
      </c>
      <c r="G140">
        <v>2014</v>
      </c>
      <c r="H140" s="29" t="s">
        <v>239</v>
      </c>
      <c r="I140" s="30">
        <v>5</v>
      </c>
      <c r="J140" s="30">
        <f>(6*5*2.83)+(3*5*3.14)</f>
        <v>132</v>
      </c>
      <c r="K140" s="31">
        <v>65</v>
      </c>
      <c r="L140" s="32">
        <v>43083.580092592594</v>
      </c>
      <c r="M140" s="31" t="s">
        <v>77</v>
      </c>
      <c r="N140" s="31" t="s">
        <v>180</v>
      </c>
      <c r="O140" s="31">
        <v>1202</v>
      </c>
      <c r="P140" s="31">
        <v>191</v>
      </c>
      <c r="Q140" s="7">
        <v>49.2</v>
      </c>
      <c r="R140" s="7">
        <v>46.28</v>
      </c>
      <c r="S140" s="7">
        <v>46.28</v>
      </c>
      <c r="T140" s="33">
        <f t="shared" si="9"/>
        <v>179.66422764227642</v>
      </c>
      <c r="U140" s="33">
        <f t="shared" si="8"/>
        <v>1.3610926336536091</v>
      </c>
      <c r="V140" s="7"/>
      <c r="W140" s="35"/>
      <c r="X140" s="7"/>
      <c r="Y140" s="7"/>
      <c r="Z140" s="38"/>
      <c r="AA140" s="38"/>
      <c r="AB140" s="7"/>
      <c r="AC140" s="7"/>
      <c r="AE140" s="37">
        <v>1</v>
      </c>
      <c r="AG140" s="37">
        <v>1</v>
      </c>
      <c r="AH140" s="37">
        <v>6.49</v>
      </c>
      <c r="AI140" s="7"/>
      <c r="AJ140" s="7"/>
      <c r="AK140" s="7"/>
      <c r="AL140" s="7"/>
      <c r="AM140" s="7"/>
    </row>
    <row r="141" spans="1:39" x14ac:dyDescent="0.2">
      <c r="A141" s="7">
        <v>140</v>
      </c>
      <c r="B141" s="7" t="s">
        <v>231</v>
      </c>
      <c r="C141" s="7" t="s">
        <v>12</v>
      </c>
      <c r="D141" s="7" t="s">
        <v>9</v>
      </c>
      <c r="E141" s="7" t="s">
        <v>6</v>
      </c>
      <c r="F141" s="7" t="s">
        <v>249</v>
      </c>
      <c r="G141">
        <v>2014</v>
      </c>
      <c r="H141" s="29" t="s">
        <v>240</v>
      </c>
      <c r="I141" s="30">
        <f>(17+17+18)/3</f>
        <v>17.333333333333332</v>
      </c>
      <c r="J141" s="30">
        <f>(3*(I141-5)*3.14)</f>
        <v>116.18</v>
      </c>
      <c r="K141" s="31">
        <v>65</v>
      </c>
      <c r="L141" s="32">
        <v>43083.580092592594</v>
      </c>
      <c r="M141" s="31" t="s">
        <v>77</v>
      </c>
      <c r="N141" s="31" t="s">
        <v>180</v>
      </c>
      <c r="O141" s="31">
        <v>1202</v>
      </c>
      <c r="P141" s="31">
        <v>207</v>
      </c>
      <c r="Q141" s="7">
        <v>52.03</v>
      </c>
      <c r="R141" s="7">
        <v>49.41</v>
      </c>
      <c r="S141" s="7">
        <v>49.41</v>
      </c>
      <c r="T141" s="33">
        <f t="shared" si="9"/>
        <v>196.57639823178934</v>
      </c>
      <c r="U141" s="33">
        <f t="shared" si="8"/>
        <v>1.6919986076070694</v>
      </c>
      <c r="V141" s="7"/>
      <c r="W141" s="35"/>
      <c r="X141" s="7"/>
      <c r="Y141" s="7"/>
      <c r="Z141" s="38"/>
      <c r="AA141" s="38"/>
      <c r="AB141" s="7"/>
      <c r="AC141" s="7"/>
      <c r="AE141" s="37">
        <v>1</v>
      </c>
      <c r="AG141" s="37">
        <v>1</v>
      </c>
      <c r="AH141" s="37">
        <v>6.31</v>
      </c>
      <c r="AI141" s="7"/>
      <c r="AJ141" s="7"/>
      <c r="AK141" s="7"/>
      <c r="AL141" s="7"/>
      <c r="AM141" s="7"/>
    </row>
    <row r="142" spans="1:39" x14ac:dyDescent="0.2">
      <c r="A142" s="7">
        <v>141</v>
      </c>
      <c r="B142" s="7" t="s">
        <v>232</v>
      </c>
      <c r="C142" s="7" t="s">
        <v>13</v>
      </c>
      <c r="D142" s="7" t="s">
        <v>2</v>
      </c>
      <c r="E142" s="7" t="s">
        <v>3</v>
      </c>
      <c r="F142" s="7" t="s">
        <v>249</v>
      </c>
      <c r="G142">
        <v>2016</v>
      </c>
      <c r="H142" s="29" t="s">
        <v>239</v>
      </c>
      <c r="I142" s="30">
        <v>5</v>
      </c>
      <c r="J142" s="30">
        <f>(6*5*2.83)+(3*5*3.14)</f>
        <v>132</v>
      </c>
      <c r="K142" s="31">
        <v>66</v>
      </c>
      <c r="L142" s="32">
        <v>43084.636458333334</v>
      </c>
      <c r="M142" s="31" t="s">
        <v>78</v>
      </c>
      <c r="N142" s="31" t="s">
        <v>181</v>
      </c>
      <c r="O142" s="31">
        <v>1566</v>
      </c>
      <c r="P142" s="31">
        <v>205</v>
      </c>
      <c r="Q142" s="7">
        <v>99.74</v>
      </c>
      <c r="R142" s="7">
        <v>96.83</v>
      </c>
      <c r="S142" s="7">
        <v>89.7</v>
      </c>
      <c r="T142" s="33">
        <f t="shared" si="9"/>
        <v>184.3643473029878</v>
      </c>
      <c r="U142" s="33">
        <f t="shared" si="8"/>
        <v>1.3966996007802106</v>
      </c>
      <c r="V142" s="34">
        <v>98.9</v>
      </c>
      <c r="W142" s="35">
        <f t="shared" si="7"/>
        <v>1.3813359051716283</v>
      </c>
      <c r="X142" s="34">
        <v>4.12</v>
      </c>
      <c r="Y142" s="34">
        <v>5.1050000000000004</v>
      </c>
      <c r="Z142" s="35">
        <f>1-(X142/Y142)</f>
        <v>0.19294809010773761</v>
      </c>
      <c r="AA142" s="35">
        <f>+X142/Y142</f>
        <v>0.80705190989226239</v>
      </c>
      <c r="AB142" s="19">
        <v>10</v>
      </c>
      <c r="AC142" s="19">
        <v>21</v>
      </c>
      <c r="AD142" s="19">
        <v>69</v>
      </c>
      <c r="AE142" s="37">
        <v>1</v>
      </c>
      <c r="AF142" s="53">
        <f>+AE142*AA142</f>
        <v>0.80705190989226239</v>
      </c>
      <c r="AG142" s="37">
        <v>1</v>
      </c>
      <c r="AH142" s="37">
        <v>6.85</v>
      </c>
      <c r="AI142" s="7">
        <v>18.670000000000002</v>
      </c>
      <c r="AJ142" s="19">
        <v>0.86</v>
      </c>
      <c r="AK142" s="19">
        <v>3.5</v>
      </c>
      <c r="AL142" s="19">
        <v>0.54</v>
      </c>
      <c r="AM142" s="19">
        <v>36</v>
      </c>
    </row>
    <row r="143" spans="1:39" x14ac:dyDescent="0.2">
      <c r="A143" s="7">
        <v>142</v>
      </c>
      <c r="B143" s="7" t="s">
        <v>232</v>
      </c>
      <c r="C143" s="7" t="s">
        <v>13</v>
      </c>
      <c r="D143" s="7" t="s">
        <v>2</v>
      </c>
      <c r="E143" s="7" t="s">
        <v>3</v>
      </c>
      <c r="F143" s="7" t="s">
        <v>249</v>
      </c>
      <c r="G143">
        <v>2016</v>
      </c>
      <c r="H143" s="29" t="s">
        <v>240</v>
      </c>
      <c r="I143" s="30">
        <f>(17+20+18)/3</f>
        <v>18.333333333333332</v>
      </c>
      <c r="J143" s="30">
        <f>(3*(I143-5)*3.14)</f>
        <v>125.60000000000001</v>
      </c>
      <c r="K143" s="31">
        <v>66</v>
      </c>
      <c r="L143" s="32">
        <v>43084.636458333334</v>
      </c>
      <c r="M143" s="31" t="s">
        <v>78</v>
      </c>
      <c r="N143" s="31" t="s">
        <v>181</v>
      </c>
      <c r="O143" s="31">
        <v>1566</v>
      </c>
      <c r="P143" s="31">
        <v>214</v>
      </c>
      <c r="Q143" s="7">
        <v>97.88</v>
      </c>
      <c r="R143" s="7">
        <v>91.44</v>
      </c>
      <c r="S143" s="7">
        <v>81.400000000000006</v>
      </c>
      <c r="T143" s="33">
        <f t="shared" si="9"/>
        <v>177.96894156109525</v>
      </c>
      <c r="U143" s="33">
        <f t="shared" si="8"/>
        <v>1.416950171664771</v>
      </c>
      <c r="V143" s="34">
        <v>98.11</v>
      </c>
      <c r="W143" s="35">
        <f t="shared" si="7"/>
        <v>1.3901698134203069</v>
      </c>
      <c r="X143" s="34">
        <v>4.1399999999999997</v>
      </c>
      <c r="Y143" s="34">
        <v>5.3529999999999998</v>
      </c>
      <c r="Z143" s="35">
        <f>1-(X143/Y143)</f>
        <v>0.22660190547356629</v>
      </c>
      <c r="AA143" s="35">
        <f>+X143/Y143</f>
        <v>0.77339809452643371</v>
      </c>
      <c r="AB143" s="19">
        <v>21</v>
      </c>
      <c r="AC143" s="19">
        <v>16</v>
      </c>
      <c r="AD143" s="19">
        <v>62</v>
      </c>
      <c r="AE143" s="37">
        <v>1</v>
      </c>
      <c r="AF143" s="53">
        <f>+AE143*AA143</f>
        <v>0.77339809452643371</v>
      </c>
      <c r="AG143" s="37">
        <v>1</v>
      </c>
      <c r="AH143" s="37">
        <v>7.29</v>
      </c>
      <c r="AI143" s="7">
        <v>19.36</v>
      </c>
      <c r="AJ143" s="19">
        <v>0.99</v>
      </c>
      <c r="AK143" s="19">
        <v>3.5</v>
      </c>
      <c r="AL143" s="19">
        <v>0.25</v>
      </c>
      <c r="AM143" s="19">
        <v>0</v>
      </c>
    </row>
    <row r="144" spans="1:39" x14ac:dyDescent="0.2">
      <c r="A144" s="7">
        <v>143</v>
      </c>
      <c r="B144" s="7" t="s">
        <v>232</v>
      </c>
      <c r="C144" s="7" t="s">
        <v>13</v>
      </c>
      <c r="D144" s="7" t="s">
        <v>2</v>
      </c>
      <c r="E144" s="7" t="s">
        <v>4</v>
      </c>
      <c r="F144" s="7" t="s">
        <v>249</v>
      </c>
      <c r="G144">
        <v>2016</v>
      </c>
      <c r="H144" s="29" t="s">
        <v>239</v>
      </c>
      <c r="I144" s="30">
        <v>5</v>
      </c>
      <c r="J144" s="30">
        <f>(6*5*2.83)+(3*5*3.14)</f>
        <v>132</v>
      </c>
      <c r="K144" s="31">
        <v>67</v>
      </c>
      <c r="L144" s="32">
        <v>43084.646909722222</v>
      </c>
      <c r="M144" s="31" t="s">
        <v>79</v>
      </c>
      <c r="N144" s="31" t="s">
        <v>182</v>
      </c>
      <c r="O144" s="31">
        <v>1544</v>
      </c>
      <c r="P144" s="31">
        <v>298.5</v>
      </c>
      <c r="Q144" s="7">
        <v>49.42</v>
      </c>
      <c r="R144" s="7">
        <v>48.34</v>
      </c>
      <c r="S144" s="7">
        <v>42.7</v>
      </c>
      <c r="T144" s="33">
        <f t="shared" si="9"/>
        <v>257.91076487252127</v>
      </c>
      <c r="U144" s="33">
        <f t="shared" si="8"/>
        <v>1.9538694308524338</v>
      </c>
      <c r="V144" s="7"/>
      <c r="W144" s="35"/>
      <c r="X144" s="7"/>
      <c r="Y144" s="7"/>
      <c r="Z144" s="38"/>
      <c r="AA144" s="38"/>
      <c r="AB144" s="7"/>
      <c r="AC144" s="7"/>
      <c r="AE144" s="37">
        <v>1</v>
      </c>
      <c r="AG144" s="37">
        <v>1</v>
      </c>
      <c r="AH144" s="37">
        <v>7.12</v>
      </c>
      <c r="AI144" s="7"/>
      <c r="AJ144" s="7"/>
      <c r="AK144" s="7"/>
      <c r="AL144" s="7"/>
      <c r="AM144" s="7"/>
    </row>
    <row r="145" spans="1:39" x14ac:dyDescent="0.2">
      <c r="A145" s="7">
        <v>144</v>
      </c>
      <c r="B145" s="7" t="s">
        <v>232</v>
      </c>
      <c r="C145" s="7" t="s">
        <v>13</v>
      </c>
      <c r="D145" s="7" t="s">
        <v>2</v>
      </c>
      <c r="E145" s="7" t="s">
        <v>4</v>
      </c>
      <c r="F145" s="7" t="s">
        <v>249</v>
      </c>
      <c r="G145">
        <v>2016</v>
      </c>
      <c r="H145" s="29" t="s">
        <v>240</v>
      </c>
      <c r="I145" s="30">
        <f>(16.5+18+15.5)/3</f>
        <v>16.666666666666668</v>
      </c>
      <c r="J145" s="30">
        <f>(3*(I145-5)*3.14)</f>
        <v>109.9</v>
      </c>
      <c r="K145" s="31">
        <v>67</v>
      </c>
      <c r="L145" s="32">
        <v>43084.646909722222</v>
      </c>
      <c r="M145" s="31" t="s">
        <v>79</v>
      </c>
      <c r="N145" s="31" t="s">
        <v>182</v>
      </c>
      <c r="O145" s="31">
        <v>1544</v>
      </c>
      <c r="P145" s="31">
        <v>187</v>
      </c>
      <c r="Q145" s="7">
        <v>45.53</v>
      </c>
      <c r="R145" s="7">
        <v>41.63</v>
      </c>
      <c r="S145" s="7">
        <v>38.200000000000003</v>
      </c>
      <c r="T145" s="33">
        <f t="shared" si="9"/>
        <v>156.89435537008566</v>
      </c>
      <c r="U145" s="33">
        <f t="shared" si="8"/>
        <v>1.4276101489543735</v>
      </c>
      <c r="V145" s="7"/>
      <c r="W145" s="35"/>
      <c r="X145" s="7"/>
      <c r="Y145" s="7"/>
      <c r="Z145" s="38"/>
      <c r="AA145" s="38"/>
      <c r="AB145" s="7"/>
      <c r="AC145" s="7"/>
      <c r="AE145" s="37">
        <v>1</v>
      </c>
      <c r="AG145" s="37">
        <v>1</v>
      </c>
      <c r="AH145" s="37">
        <v>7.62</v>
      </c>
      <c r="AI145" s="7"/>
      <c r="AJ145" s="7"/>
      <c r="AK145" s="7"/>
      <c r="AL145" s="7"/>
      <c r="AM145" s="7"/>
    </row>
    <row r="146" spans="1:39" x14ac:dyDescent="0.2">
      <c r="A146" s="7">
        <v>145</v>
      </c>
      <c r="B146" s="7" t="s">
        <v>232</v>
      </c>
      <c r="C146" s="7" t="s">
        <v>13</v>
      </c>
      <c r="D146" s="7" t="s">
        <v>2</v>
      </c>
      <c r="E146" s="7" t="s">
        <v>5</v>
      </c>
      <c r="F146" s="7" t="s">
        <v>249</v>
      </c>
      <c r="G146">
        <v>2016</v>
      </c>
      <c r="H146" s="29" t="s">
        <v>239</v>
      </c>
      <c r="I146" s="30">
        <v>5</v>
      </c>
      <c r="J146" s="30">
        <f>(6*5*2.83)+(3*5*3.14)</f>
        <v>132</v>
      </c>
      <c r="K146" s="31">
        <v>68</v>
      </c>
      <c r="L146" s="32">
        <v>43084.653726851851</v>
      </c>
      <c r="M146" s="31" t="s">
        <v>80</v>
      </c>
      <c r="N146" s="31" t="s">
        <v>183</v>
      </c>
      <c r="O146" s="31">
        <v>1542</v>
      </c>
      <c r="P146" s="31">
        <v>205</v>
      </c>
      <c r="Q146" s="7">
        <v>49.72</v>
      </c>
      <c r="R146" s="7">
        <v>48.58</v>
      </c>
      <c r="S146" s="7">
        <v>43.8</v>
      </c>
      <c r="T146" s="33">
        <f t="shared" si="9"/>
        <v>180.59131134352373</v>
      </c>
      <c r="U146" s="33">
        <f t="shared" si="8"/>
        <v>1.368115995026695</v>
      </c>
      <c r="V146" s="7"/>
      <c r="W146" s="35"/>
      <c r="X146" s="7"/>
      <c r="Y146" s="7"/>
      <c r="Z146" s="38"/>
      <c r="AA146" s="38"/>
      <c r="AB146" s="7"/>
      <c r="AC146" s="7"/>
      <c r="AE146" s="37">
        <v>1</v>
      </c>
      <c r="AG146" s="37">
        <v>1</v>
      </c>
      <c r="AH146" s="37">
        <v>7.01</v>
      </c>
      <c r="AI146" s="7"/>
      <c r="AJ146" s="7"/>
      <c r="AK146" s="7"/>
      <c r="AL146" s="7"/>
      <c r="AM146" s="7"/>
    </row>
    <row r="147" spans="1:39" x14ac:dyDescent="0.2">
      <c r="A147" s="7">
        <v>146</v>
      </c>
      <c r="B147" s="7" t="s">
        <v>232</v>
      </c>
      <c r="C147" s="7" t="s">
        <v>13</v>
      </c>
      <c r="D147" s="7" t="s">
        <v>2</v>
      </c>
      <c r="E147" s="7" t="s">
        <v>5</v>
      </c>
      <c r="F147" s="7" t="s">
        <v>249</v>
      </c>
      <c r="G147">
        <v>2016</v>
      </c>
      <c r="H147" s="29" t="s">
        <v>240</v>
      </c>
      <c r="I147" s="30">
        <f>(12+14+16)/3</f>
        <v>14</v>
      </c>
      <c r="J147" s="30">
        <f>(3*(I147-5)*3.14)</f>
        <v>84.78</v>
      </c>
      <c r="K147" s="31">
        <v>68</v>
      </c>
      <c r="L147" s="32">
        <v>43084.653726851851</v>
      </c>
      <c r="M147" s="31" t="s">
        <v>80</v>
      </c>
      <c r="N147" s="31" t="s">
        <v>183</v>
      </c>
      <c r="O147" s="31">
        <v>1542</v>
      </c>
      <c r="P147" s="31">
        <v>146</v>
      </c>
      <c r="Q147" s="7">
        <v>46.04</v>
      </c>
      <c r="R147" s="7">
        <v>43.58</v>
      </c>
      <c r="S147" s="7">
        <v>37.200000000000003</v>
      </c>
      <c r="T147" s="33">
        <f t="shared" si="9"/>
        <v>117.96698523023458</v>
      </c>
      <c r="U147" s="33">
        <f t="shared" si="8"/>
        <v>1.391448280611401</v>
      </c>
      <c r="V147" s="7"/>
      <c r="W147" s="35"/>
      <c r="X147" s="7"/>
      <c r="Y147" s="7"/>
      <c r="Z147" s="38"/>
      <c r="AA147" s="38"/>
      <c r="AB147" s="7"/>
      <c r="AC147" s="7"/>
      <c r="AE147" s="37">
        <v>1</v>
      </c>
      <c r="AG147" s="37">
        <v>1</v>
      </c>
      <c r="AH147" s="37">
        <v>7.65</v>
      </c>
      <c r="AI147" s="7"/>
      <c r="AJ147" s="7"/>
      <c r="AK147" s="7"/>
      <c r="AL147" s="7"/>
      <c r="AM147" s="7"/>
    </row>
    <row r="148" spans="1:39" x14ac:dyDescent="0.2">
      <c r="A148" s="7">
        <v>147</v>
      </c>
      <c r="B148" s="7" t="s">
        <v>232</v>
      </c>
      <c r="C148" s="7" t="s">
        <v>13</v>
      </c>
      <c r="D148" s="7" t="s">
        <v>2</v>
      </c>
      <c r="E148" s="7" t="s">
        <v>6</v>
      </c>
      <c r="F148" s="7" t="s">
        <v>249</v>
      </c>
      <c r="G148">
        <v>2016</v>
      </c>
      <c r="H148" s="29" t="s">
        <v>239</v>
      </c>
      <c r="I148" s="30">
        <v>5</v>
      </c>
      <c r="J148" s="30">
        <f>(6*5*2.83)+(3*5*3.14)</f>
        <v>132</v>
      </c>
      <c r="K148" s="31">
        <v>69</v>
      </c>
      <c r="L148" s="32">
        <v>43084.663460648146</v>
      </c>
      <c r="M148" s="31" t="s">
        <v>79</v>
      </c>
      <c r="N148" s="31" t="s">
        <v>184</v>
      </c>
      <c r="O148" s="31">
        <v>1539</v>
      </c>
      <c r="P148" s="31">
        <v>201</v>
      </c>
      <c r="Q148" s="7">
        <v>51.29</v>
      </c>
      <c r="R148" s="7">
        <v>48.57</v>
      </c>
      <c r="S148" s="7">
        <v>43.8</v>
      </c>
      <c r="T148" s="33">
        <f t="shared" si="9"/>
        <v>171.64749463833104</v>
      </c>
      <c r="U148" s="33">
        <f t="shared" si="8"/>
        <v>1.3003598078661442</v>
      </c>
      <c r="V148" s="7"/>
      <c r="W148" s="35"/>
      <c r="X148" s="7"/>
      <c r="Y148" s="7"/>
      <c r="Z148" s="38"/>
      <c r="AA148" s="38"/>
      <c r="AB148" s="7"/>
      <c r="AC148" s="7"/>
      <c r="AE148" s="37">
        <v>1</v>
      </c>
      <c r="AG148" s="37">
        <v>1</v>
      </c>
      <c r="AH148" s="37">
        <v>7.17</v>
      </c>
      <c r="AI148" s="7"/>
      <c r="AJ148" s="7"/>
      <c r="AK148" s="7"/>
      <c r="AL148" s="7"/>
      <c r="AM148" s="7"/>
    </row>
    <row r="149" spans="1:39" x14ac:dyDescent="0.2">
      <c r="A149" s="7">
        <v>148</v>
      </c>
      <c r="B149" s="7" t="s">
        <v>232</v>
      </c>
      <c r="C149" s="7" t="s">
        <v>13</v>
      </c>
      <c r="D149" s="7" t="s">
        <v>2</v>
      </c>
      <c r="E149" s="7" t="s">
        <v>6</v>
      </c>
      <c r="F149" s="7" t="s">
        <v>249</v>
      </c>
      <c r="G149">
        <v>2016</v>
      </c>
      <c r="H149" s="29" t="s">
        <v>240</v>
      </c>
      <c r="I149" s="30">
        <f>(14+18+13)/3</f>
        <v>15</v>
      </c>
      <c r="J149" s="30">
        <f>(3*(I149-5)*3.14)</f>
        <v>94.2</v>
      </c>
      <c r="K149" s="31">
        <v>69</v>
      </c>
      <c r="L149" s="32">
        <v>43084.663460648146</v>
      </c>
      <c r="M149" s="31" t="s">
        <v>79</v>
      </c>
      <c r="N149" s="31" t="s">
        <v>184</v>
      </c>
      <c r="O149" s="31">
        <v>1539</v>
      </c>
      <c r="P149" s="31">
        <v>158</v>
      </c>
      <c r="Q149" s="7">
        <v>52.29</v>
      </c>
      <c r="R149" s="7">
        <v>46.95</v>
      </c>
      <c r="S149" s="7">
        <v>44.4</v>
      </c>
      <c r="T149" s="33">
        <f t="shared" si="9"/>
        <v>134.15949512335055</v>
      </c>
      <c r="U149" s="33">
        <f t="shared" si="8"/>
        <v>1.4241984620313222</v>
      </c>
      <c r="V149" s="7"/>
      <c r="W149" s="35"/>
      <c r="X149" s="7"/>
      <c r="Y149" s="7"/>
      <c r="Z149" s="38"/>
      <c r="AA149" s="38"/>
      <c r="AB149" s="7"/>
      <c r="AC149" s="7"/>
      <c r="AE149" s="37">
        <v>1</v>
      </c>
      <c r="AG149" s="37">
        <v>1</v>
      </c>
      <c r="AH149" s="37">
        <v>7.82</v>
      </c>
      <c r="AI149" s="7"/>
      <c r="AJ149" s="7"/>
      <c r="AK149" s="7"/>
      <c r="AL149" s="7"/>
      <c r="AM149" s="7"/>
    </row>
    <row r="150" spans="1:39" x14ac:dyDescent="0.2">
      <c r="A150" s="7">
        <v>149</v>
      </c>
      <c r="B150" s="7" t="s">
        <v>232</v>
      </c>
      <c r="C150" s="7" t="s">
        <v>13</v>
      </c>
      <c r="D150" s="7" t="s">
        <v>7</v>
      </c>
      <c r="E150" s="7" t="s">
        <v>3</v>
      </c>
      <c r="F150" s="7" t="s">
        <v>249</v>
      </c>
      <c r="G150">
        <v>2016</v>
      </c>
      <c r="H150" s="29" t="s">
        <v>241</v>
      </c>
      <c r="I150" s="30">
        <f>(3.5+2.5+2)/3</f>
        <v>2.6666666666666665</v>
      </c>
      <c r="J150" s="42">
        <f>3*I150*2.83</f>
        <v>22.64</v>
      </c>
      <c r="K150" s="31">
        <v>70</v>
      </c>
      <c r="L150" s="32">
        <v>43085.385196759256</v>
      </c>
      <c r="M150" s="31" t="s">
        <v>81</v>
      </c>
      <c r="N150" s="31" t="s">
        <v>185</v>
      </c>
      <c r="O150" s="31">
        <v>1519</v>
      </c>
      <c r="P150" s="7">
        <v>43.66</v>
      </c>
      <c r="Q150" s="7">
        <v>43.66</v>
      </c>
      <c r="R150" s="7">
        <v>38.17</v>
      </c>
      <c r="S150" s="7">
        <v>38.17</v>
      </c>
      <c r="T150" s="33">
        <f t="shared" si="9"/>
        <v>38.17</v>
      </c>
      <c r="U150" s="33">
        <f t="shared" si="8"/>
        <v>1.6859540636042403</v>
      </c>
      <c r="V150" s="7"/>
      <c r="W150" s="35"/>
      <c r="X150" s="7"/>
      <c r="Y150" s="7"/>
      <c r="Z150" s="38"/>
      <c r="AA150" s="38"/>
      <c r="AB150" s="7"/>
      <c r="AC150" s="7"/>
      <c r="AE150" s="37">
        <v>1</v>
      </c>
      <c r="AG150" s="37">
        <v>1</v>
      </c>
      <c r="AH150" s="37">
        <v>6.64</v>
      </c>
      <c r="AI150" s="7"/>
      <c r="AJ150" s="7"/>
      <c r="AK150" s="7"/>
      <c r="AL150" s="7"/>
      <c r="AM150" s="7"/>
    </row>
    <row r="151" spans="1:39" x14ac:dyDescent="0.2">
      <c r="A151" s="7">
        <v>150</v>
      </c>
      <c r="B151" s="7" t="s">
        <v>232</v>
      </c>
      <c r="C151" s="7" t="s">
        <v>13</v>
      </c>
      <c r="D151" s="7" t="s">
        <v>7</v>
      </c>
      <c r="E151" s="7" t="s">
        <v>3</v>
      </c>
      <c r="F151" s="7" t="s">
        <v>249</v>
      </c>
      <c r="G151">
        <v>2016</v>
      </c>
      <c r="H151" s="29" t="s">
        <v>239</v>
      </c>
      <c r="I151" s="30">
        <v>5</v>
      </c>
      <c r="J151" s="30">
        <f>(6*5*2.83)+(3*5*3.14)</f>
        <v>132</v>
      </c>
      <c r="K151" s="31">
        <v>70</v>
      </c>
      <c r="L151" s="32">
        <v>43085.385196759256</v>
      </c>
      <c r="M151" s="31" t="s">
        <v>81</v>
      </c>
      <c r="N151" s="31" t="s">
        <v>185</v>
      </c>
      <c r="O151" s="31">
        <v>1519</v>
      </c>
      <c r="P151" s="31">
        <v>194</v>
      </c>
      <c r="Q151" s="7">
        <v>104.69</v>
      </c>
      <c r="R151" s="7">
        <v>93.56</v>
      </c>
      <c r="S151" s="7">
        <v>87.9</v>
      </c>
      <c r="T151" s="33">
        <f t="shared" si="9"/>
        <v>162.88661763301175</v>
      </c>
      <c r="U151" s="33">
        <f t="shared" si="8"/>
        <v>1.2339895275228163</v>
      </c>
      <c r="V151" s="7"/>
      <c r="W151" s="35"/>
      <c r="X151" s="7"/>
      <c r="Y151" s="7"/>
      <c r="Z151" s="38"/>
      <c r="AA151" s="38"/>
      <c r="AB151" s="7"/>
      <c r="AC151" s="7"/>
      <c r="AE151" s="37">
        <v>1</v>
      </c>
      <c r="AG151" s="37">
        <v>1</v>
      </c>
      <c r="AH151" s="37">
        <v>6.66</v>
      </c>
      <c r="AI151" s="37"/>
      <c r="AJ151" s="7"/>
      <c r="AK151" s="7"/>
      <c r="AL151" s="7"/>
      <c r="AM151" s="7"/>
    </row>
    <row r="152" spans="1:39" x14ac:dyDescent="0.2">
      <c r="A152" s="7">
        <v>151</v>
      </c>
      <c r="B152" s="7" t="s">
        <v>232</v>
      </c>
      <c r="C152" s="7" t="s">
        <v>13</v>
      </c>
      <c r="D152" s="7" t="s">
        <v>7</v>
      </c>
      <c r="E152" s="7" t="s">
        <v>3</v>
      </c>
      <c r="F152" s="7" t="s">
        <v>249</v>
      </c>
      <c r="G152">
        <v>2016</v>
      </c>
      <c r="H152" s="29" t="s">
        <v>240</v>
      </c>
      <c r="I152" s="30">
        <f>(18.5+17+17)/3</f>
        <v>17.5</v>
      </c>
      <c r="J152" s="30">
        <f>(3*(I152-5)*3.14)</f>
        <v>117.75</v>
      </c>
      <c r="K152" s="31">
        <v>70</v>
      </c>
      <c r="L152" s="32">
        <v>43085.385196759256</v>
      </c>
      <c r="M152" s="31" t="s">
        <v>81</v>
      </c>
      <c r="N152" s="31" t="s">
        <v>185</v>
      </c>
      <c r="O152" s="31">
        <v>1519</v>
      </c>
      <c r="P152" s="31">
        <v>209</v>
      </c>
      <c r="Q152" s="7">
        <v>97.52</v>
      </c>
      <c r="R152" s="7">
        <v>88.03</v>
      </c>
      <c r="S152" s="7">
        <v>71.599999999999994</v>
      </c>
      <c r="T152" s="33">
        <f t="shared" si="9"/>
        <v>153.4495488105004</v>
      </c>
      <c r="U152" s="33">
        <f t="shared" si="8"/>
        <v>1.3031808816178378</v>
      </c>
      <c r="V152" s="7"/>
      <c r="W152" s="35"/>
      <c r="X152" s="7"/>
      <c r="Y152" s="7"/>
      <c r="Z152" s="38"/>
      <c r="AA152" s="38"/>
      <c r="AB152" s="7"/>
      <c r="AC152" s="7"/>
      <c r="AE152" s="37">
        <v>1</v>
      </c>
      <c r="AG152" s="37">
        <v>1</v>
      </c>
      <c r="AH152" s="37">
        <v>7.04</v>
      </c>
      <c r="AI152" s="37"/>
      <c r="AJ152" s="7"/>
      <c r="AK152" s="7"/>
      <c r="AL152" s="7"/>
      <c r="AM152" s="7"/>
    </row>
    <row r="153" spans="1:39" x14ac:dyDescent="0.2">
      <c r="A153" s="7">
        <v>152</v>
      </c>
      <c r="B153" s="7" t="s">
        <v>232</v>
      </c>
      <c r="C153" s="7" t="s">
        <v>13</v>
      </c>
      <c r="D153" s="7" t="s">
        <v>7</v>
      </c>
      <c r="E153" s="7" t="s">
        <v>4</v>
      </c>
      <c r="F153" s="7" t="s">
        <v>249</v>
      </c>
      <c r="G153">
        <v>2016</v>
      </c>
      <c r="H153" s="29" t="s">
        <v>239</v>
      </c>
      <c r="I153" s="30">
        <v>5</v>
      </c>
      <c r="J153" s="30">
        <f>(6*5*2.83)+(3*5*3.14)</f>
        <v>132</v>
      </c>
      <c r="K153" s="31">
        <v>71</v>
      </c>
      <c r="L153" s="32">
        <v>43085.399953703702</v>
      </c>
      <c r="M153" s="31" t="s">
        <v>82</v>
      </c>
      <c r="N153" s="31" t="s">
        <v>186</v>
      </c>
      <c r="O153" s="31">
        <v>1519</v>
      </c>
      <c r="P153" s="31">
        <v>188</v>
      </c>
      <c r="Q153" s="7">
        <v>49.15</v>
      </c>
      <c r="R153" s="7">
        <v>44.8</v>
      </c>
      <c r="S153" s="7">
        <v>41.1</v>
      </c>
      <c r="T153" s="33">
        <f t="shared" si="9"/>
        <v>157.20854526958291</v>
      </c>
      <c r="U153" s="33">
        <f t="shared" si="8"/>
        <v>1.1909738277998705</v>
      </c>
      <c r="V153" s="7"/>
      <c r="W153" s="35"/>
      <c r="X153" s="7"/>
      <c r="Y153" s="7"/>
      <c r="Z153" s="38"/>
      <c r="AA153" s="38"/>
      <c r="AB153" s="7"/>
      <c r="AC153" s="7"/>
      <c r="AE153" s="37">
        <v>1</v>
      </c>
      <c r="AG153" s="37">
        <v>1</v>
      </c>
      <c r="AH153" s="37">
        <v>6.78</v>
      </c>
      <c r="AI153" s="7"/>
      <c r="AJ153" s="7"/>
      <c r="AK153" s="7"/>
      <c r="AL153" s="7"/>
      <c r="AM153" s="7"/>
    </row>
    <row r="154" spans="1:39" x14ac:dyDescent="0.2">
      <c r="A154" s="7">
        <v>153</v>
      </c>
      <c r="B154" s="7" t="s">
        <v>232</v>
      </c>
      <c r="C154" s="7" t="s">
        <v>13</v>
      </c>
      <c r="D154" s="7" t="s">
        <v>7</v>
      </c>
      <c r="E154" s="7" t="s">
        <v>4</v>
      </c>
      <c r="F154" s="7" t="s">
        <v>249</v>
      </c>
      <c r="G154">
        <v>2016</v>
      </c>
      <c r="H154" s="29" t="s">
        <v>240</v>
      </c>
      <c r="I154" s="30">
        <f>(17.5+17+18)/3</f>
        <v>17.5</v>
      </c>
      <c r="J154" s="30">
        <f>(3*(I154-5)*3.14)</f>
        <v>117.75</v>
      </c>
      <c r="K154" s="31">
        <v>71</v>
      </c>
      <c r="L154" s="32">
        <v>43085.399953703702</v>
      </c>
      <c r="M154" s="31" t="s">
        <v>82</v>
      </c>
      <c r="N154" s="31" t="s">
        <v>186</v>
      </c>
      <c r="O154" s="31">
        <v>1519</v>
      </c>
      <c r="P154" s="31">
        <v>187</v>
      </c>
      <c r="Q154" s="7">
        <v>53.37</v>
      </c>
      <c r="R154" s="7">
        <v>48.33</v>
      </c>
      <c r="S154" s="7">
        <v>44.8</v>
      </c>
      <c r="T154" s="33">
        <f t="shared" si="9"/>
        <v>156.97208169383549</v>
      </c>
      <c r="U154" s="33">
        <f t="shared" si="8"/>
        <v>1.3330962351918088</v>
      </c>
      <c r="V154" s="7"/>
      <c r="W154" s="35"/>
      <c r="X154" s="7"/>
      <c r="Y154" s="7"/>
      <c r="Z154" s="38"/>
      <c r="AA154" s="38"/>
      <c r="AB154" s="7"/>
      <c r="AC154" s="7"/>
      <c r="AE154" s="37">
        <v>1</v>
      </c>
      <c r="AG154" s="37">
        <v>1</v>
      </c>
      <c r="AH154" s="37">
        <v>6.82</v>
      </c>
      <c r="AI154" s="7"/>
      <c r="AJ154" s="7"/>
      <c r="AK154" s="7"/>
      <c r="AL154" s="7"/>
      <c r="AM154" s="7"/>
    </row>
    <row r="155" spans="1:39" s="4" customFormat="1" x14ac:dyDescent="0.2">
      <c r="A155" s="7">
        <v>154</v>
      </c>
      <c r="B155" s="8" t="s">
        <v>232</v>
      </c>
      <c r="C155" s="8" t="s">
        <v>13</v>
      </c>
      <c r="D155" s="8" t="s">
        <v>7</v>
      </c>
      <c r="E155" s="8" t="s">
        <v>5</v>
      </c>
      <c r="F155" s="7" t="s">
        <v>249</v>
      </c>
      <c r="G155">
        <v>2016</v>
      </c>
      <c r="H155" s="43" t="s">
        <v>239</v>
      </c>
      <c r="I155" s="44">
        <v>5</v>
      </c>
      <c r="J155" s="30">
        <f>(6*5*2.83)+(3*5*3.14)</f>
        <v>132</v>
      </c>
      <c r="K155" s="9">
        <v>72</v>
      </c>
      <c r="L155" s="45">
        <v>43085.416597222225</v>
      </c>
      <c r="M155" s="9" t="s">
        <v>83</v>
      </c>
      <c r="N155" s="9" t="s">
        <v>186</v>
      </c>
      <c r="O155" s="9">
        <v>1519</v>
      </c>
      <c r="P155" s="9">
        <v>298</v>
      </c>
      <c r="Q155" s="8">
        <v>46.42</v>
      </c>
      <c r="R155" s="8">
        <v>41.86</v>
      </c>
      <c r="S155" s="8">
        <v>38.6</v>
      </c>
      <c r="T155" s="33">
        <f t="shared" si="9"/>
        <v>247.79836277466609</v>
      </c>
      <c r="U155" s="33">
        <f t="shared" si="8"/>
        <v>1.8772603240505006</v>
      </c>
      <c r="V155" s="8"/>
      <c r="W155" s="35"/>
      <c r="X155" s="8"/>
      <c r="Y155" s="8"/>
      <c r="Z155" s="48"/>
      <c r="AA155" s="48"/>
      <c r="AB155" s="8"/>
      <c r="AC155" s="8"/>
      <c r="AD155" s="8"/>
      <c r="AE155" s="37">
        <v>1</v>
      </c>
      <c r="AF155" s="55"/>
      <c r="AG155" s="37">
        <v>1</v>
      </c>
      <c r="AH155" s="37">
        <v>6.7</v>
      </c>
      <c r="AI155" s="8"/>
      <c r="AJ155" s="8"/>
      <c r="AK155" s="8"/>
      <c r="AL155" s="8"/>
      <c r="AM155" s="8"/>
    </row>
    <row r="156" spans="1:39" s="4" customFormat="1" x14ac:dyDescent="0.2">
      <c r="A156" s="7">
        <v>155</v>
      </c>
      <c r="B156" s="8" t="s">
        <v>232</v>
      </c>
      <c r="C156" s="8" t="s">
        <v>13</v>
      </c>
      <c r="D156" s="8" t="s">
        <v>7</v>
      </c>
      <c r="E156" s="8" t="s">
        <v>5</v>
      </c>
      <c r="F156" s="7" t="s">
        <v>249</v>
      </c>
      <c r="G156">
        <v>2016</v>
      </c>
      <c r="H156" s="43" t="s">
        <v>240</v>
      </c>
      <c r="I156" s="44">
        <f>(20+20+16.5)/3</f>
        <v>18.833333333333332</v>
      </c>
      <c r="J156" s="30">
        <f>(3*(I156-5)*3.14)</f>
        <v>130.31</v>
      </c>
      <c r="K156" s="9">
        <v>72</v>
      </c>
      <c r="L156" s="45">
        <v>43085.416597222225</v>
      </c>
      <c r="M156" s="9" t="s">
        <v>83</v>
      </c>
      <c r="N156" s="9" t="s">
        <v>186</v>
      </c>
      <c r="O156" s="9">
        <v>1519</v>
      </c>
      <c r="P156" s="9">
        <v>313</v>
      </c>
      <c r="Q156" s="8">
        <v>57.56</v>
      </c>
      <c r="R156" s="8">
        <v>52.82</v>
      </c>
      <c r="S156" s="8">
        <v>45.4</v>
      </c>
      <c r="T156" s="33">
        <f t="shared" si="9"/>
        <v>246.87630298818624</v>
      </c>
      <c r="U156" s="33">
        <f t="shared" si="8"/>
        <v>1.894530757333944</v>
      </c>
      <c r="V156" s="8"/>
      <c r="W156" s="35"/>
      <c r="X156" s="8"/>
      <c r="Y156" s="8"/>
      <c r="Z156" s="48"/>
      <c r="AA156" s="48"/>
      <c r="AB156" s="8"/>
      <c r="AC156" s="8"/>
      <c r="AD156" s="8"/>
      <c r="AE156" s="37">
        <v>1</v>
      </c>
      <c r="AF156" s="55"/>
      <c r="AG156" s="37">
        <v>1</v>
      </c>
      <c r="AH156" s="37">
        <v>7.15</v>
      </c>
      <c r="AI156" s="8"/>
      <c r="AJ156" s="8"/>
      <c r="AK156" s="8"/>
      <c r="AL156" s="8"/>
      <c r="AM156" s="8"/>
    </row>
    <row r="157" spans="1:39" x14ac:dyDescent="0.2">
      <c r="A157" s="7">
        <v>156</v>
      </c>
      <c r="B157" s="7" t="s">
        <v>232</v>
      </c>
      <c r="C157" s="7" t="s">
        <v>13</v>
      </c>
      <c r="D157" s="7" t="s">
        <v>7</v>
      </c>
      <c r="E157" s="7" t="s">
        <v>6</v>
      </c>
      <c r="F157" s="7" t="s">
        <v>249</v>
      </c>
      <c r="G157">
        <v>2016</v>
      </c>
      <c r="H157" s="29" t="s">
        <v>239</v>
      </c>
      <c r="I157" s="30">
        <v>5</v>
      </c>
      <c r="J157" s="30">
        <f>(6*5*2.83)+(3*5*3.14)</f>
        <v>132</v>
      </c>
      <c r="K157" s="31">
        <v>73</v>
      </c>
      <c r="L157" s="32">
        <v>43085.433263888888</v>
      </c>
      <c r="M157" s="31" t="s">
        <v>84</v>
      </c>
      <c r="N157" s="31" t="s">
        <v>187</v>
      </c>
      <c r="O157" s="31">
        <v>1521</v>
      </c>
      <c r="P157" s="31">
        <v>228</v>
      </c>
      <c r="Q157" s="7">
        <v>45.43</v>
      </c>
      <c r="R157" s="7">
        <v>42.46</v>
      </c>
      <c r="S157" s="7">
        <v>37.9</v>
      </c>
      <c r="T157" s="33">
        <f t="shared" si="9"/>
        <v>190.20911292097733</v>
      </c>
      <c r="U157" s="33">
        <f t="shared" si="8"/>
        <v>1.4409781281892222</v>
      </c>
      <c r="V157" s="7"/>
      <c r="W157" s="35"/>
      <c r="X157" s="7"/>
      <c r="Y157" s="7"/>
      <c r="Z157" s="38"/>
      <c r="AA157" s="38"/>
      <c r="AB157" s="7"/>
      <c r="AC157" s="7"/>
      <c r="AE157" s="37">
        <v>1</v>
      </c>
      <c r="AG157" s="37">
        <v>1</v>
      </c>
      <c r="AH157" s="37">
        <v>6.79</v>
      </c>
      <c r="AI157" s="7"/>
      <c r="AJ157" s="7"/>
      <c r="AK157" s="7"/>
      <c r="AL157" s="7"/>
      <c r="AM157" s="7"/>
    </row>
    <row r="158" spans="1:39" x14ac:dyDescent="0.2">
      <c r="A158" s="7">
        <v>157</v>
      </c>
      <c r="B158" s="7" t="s">
        <v>232</v>
      </c>
      <c r="C158" s="7" t="s">
        <v>13</v>
      </c>
      <c r="D158" s="7" t="s">
        <v>7</v>
      </c>
      <c r="E158" s="7" t="s">
        <v>6</v>
      </c>
      <c r="F158" s="7" t="s">
        <v>249</v>
      </c>
      <c r="G158">
        <v>2016</v>
      </c>
      <c r="H158" s="29" t="s">
        <v>240</v>
      </c>
      <c r="I158" s="30">
        <f>(17.5+17+18)/3</f>
        <v>17.5</v>
      </c>
      <c r="J158" s="30">
        <f>(3*(I158-5)*3.14)</f>
        <v>117.75</v>
      </c>
      <c r="K158" s="31">
        <v>73</v>
      </c>
      <c r="L158" s="32">
        <v>43085.433263888888</v>
      </c>
      <c r="M158" s="31" t="s">
        <v>84</v>
      </c>
      <c r="N158" s="31" t="s">
        <v>187</v>
      </c>
      <c r="O158" s="31">
        <v>1521</v>
      </c>
      <c r="P158" s="31">
        <v>175</v>
      </c>
      <c r="Q158" s="7">
        <v>53.2</v>
      </c>
      <c r="R158" s="7">
        <v>48.67</v>
      </c>
      <c r="S158" s="7">
        <v>48.67</v>
      </c>
      <c r="T158" s="33">
        <f t="shared" si="9"/>
        <v>160.0986842105263</v>
      </c>
      <c r="U158" s="33">
        <f t="shared" si="8"/>
        <v>1.3596491228070173</v>
      </c>
      <c r="V158" s="7"/>
      <c r="W158" s="35"/>
      <c r="X158" s="7"/>
      <c r="Y158" s="7"/>
      <c r="Z158" s="38"/>
      <c r="AA158" s="38"/>
      <c r="AB158" s="7"/>
      <c r="AC158" s="7"/>
      <c r="AE158" s="37">
        <v>1</v>
      </c>
      <c r="AG158" s="37">
        <v>1</v>
      </c>
      <c r="AH158" s="37">
        <v>7.54</v>
      </c>
      <c r="AI158" s="7"/>
      <c r="AJ158" s="7"/>
      <c r="AK158" s="7"/>
      <c r="AL158" s="7"/>
      <c r="AM158" s="7"/>
    </row>
    <row r="159" spans="1:39" x14ac:dyDescent="0.2">
      <c r="A159" s="7">
        <v>158</v>
      </c>
      <c r="B159" s="7" t="s">
        <v>232</v>
      </c>
      <c r="C159" s="7" t="s">
        <v>13</v>
      </c>
      <c r="D159" s="7" t="s">
        <v>8</v>
      </c>
      <c r="E159" s="7" t="s">
        <v>3</v>
      </c>
      <c r="F159" s="7" t="s">
        <v>249</v>
      </c>
      <c r="G159">
        <v>2016</v>
      </c>
      <c r="H159" s="29" t="s">
        <v>239</v>
      </c>
      <c r="I159" s="30">
        <v>5</v>
      </c>
      <c r="J159" s="30">
        <f>(6*5*2.83)+(3*5*3.14)</f>
        <v>132</v>
      </c>
      <c r="K159" s="31">
        <v>74</v>
      </c>
      <c r="L159" s="32">
        <v>43085.447187500002</v>
      </c>
      <c r="M159" s="31" t="s">
        <v>85</v>
      </c>
      <c r="N159" s="31" t="s">
        <v>188</v>
      </c>
      <c r="O159" s="31">
        <v>1518</v>
      </c>
      <c r="P159" s="31">
        <v>214</v>
      </c>
      <c r="Q159" s="7">
        <v>103.44</v>
      </c>
      <c r="R159" s="7">
        <v>97</v>
      </c>
      <c r="S159" s="7">
        <v>88.2</v>
      </c>
      <c r="T159" s="33">
        <f t="shared" si="9"/>
        <v>182.47099767981442</v>
      </c>
      <c r="U159" s="33">
        <f t="shared" si="8"/>
        <v>1.382356043028897</v>
      </c>
      <c r="V159" s="34">
        <v>98.86</v>
      </c>
      <c r="W159" s="35">
        <f t="shared" si="7"/>
        <v>1.3665971841383677</v>
      </c>
      <c r="X159" s="34">
        <v>3.98</v>
      </c>
      <c r="Y159" s="34">
        <v>4.8250000000000002</v>
      </c>
      <c r="Z159" s="35">
        <f>1-(X159/Y159)</f>
        <v>0.1751295336787565</v>
      </c>
      <c r="AA159" s="35">
        <f>+X159/Y159</f>
        <v>0.8248704663212435</v>
      </c>
      <c r="AB159" s="19">
        <v>12</v>
      </c>
      <c r="AC159" s="19">
        <v>21</v>
      </c>
      <c r="AD159" s="19">
        <v>67</v>
      </c>
      <c r="AE159" s="37">
        <v>1</v>
      </c>
      <c r="AF159" s="53">
        <f>+AE159*AA159</f>
        <v>0.8248704663212435</v>
      </c>
      <c r="AG159" s="37">
        <v>1</v>
      </c>
      <c r="AH159" s="37">
        <v>6.77</v>
      </c>
      <c r="AI159" s="7">
        <v>18.71</v>
      </c>
      <c r="AJ159" s="19">
        <v>0.69</v>
      </c>
      <c r="AK159" s="19">
        <v>2.5</v>
      </c>
      <c r="AL159" s="19">
        <v>0.46</v>
      </c>
      <c r="AM159" s="19">
        <v>49</v>
      </c>
    </row>
    <row r="160" spans="1:39" x14ac:dyDescent="0.2">
      <c r="A160" s="7">
        <v>159</v>
      </c>
      <c r="B160" s="7" t="s">
        <v>232</v>
      </c>
      <c r="C160" s="7" t="s">
        <v>13</v>
      </c>
      <c r="D160" s="7" t="s">
        <v>8</v>
      </c>
      <c r="E160" s="7" t="s">
        <v>3</v>
      </c>
      <c r="F160" s="7" t="s">
        <v>249</v>
      </c>
      <c r="G160">
        <v>2016</v>
      </c>
      <c r="H160" s="29" t="s">
        <v>240</v>
      </c>
      <c r="I160" s="30">
        <f>(15.5+20+16.5)/3</f>
        <v>17.333333333333332</v>
      </c>
      <c r="J160" s="30">
        <f>(3*(I160-5)*3.14)</f>
        <v>116.18</v>
      </c>
      <c r="K160" s="31">
        <v>74</v>
      </c>
      <c r="L160" s="32">
        <v>43085.447187500002</v>
      </c>
      <c r="M160" s="31" t="s">
        <v>85</v>
      </c>
      <c r="N160" s="31" t="s">
        <v>188</v>
      </c>
      <c r="O160" s="31">
        <v>1518</v>
      </c>
      <c r="P160" s="31">
        <v>200</v>
      </c>
      <c r="Q160" s="7">
        <v>104.74</v>
      </c>
      <c r="R160" s="7">
        <v>97.34</v>
      </c>
      <c r="S160" s="7">
        <v>83.1</v>
      </c>
      <c r="T160" s="33">
        <f t="shared" si="9"/>
        <v>158.67863280504105</v>
      </c>
      <c r="U160" s="33">
        <f t="shared" si="8"/>
        <v>1.3657999036412554</v>
      </c>
      <c r="V160" s="34">
        <v>98.05</v>
      </c>
      <c r="W160" s="35">
        <f t="shared" si="7"/>
        <v>1.3391668055202506</v>
      </c>
      <c r="X160" s="34">
        <v>4.16</v>
      </c>
      <c r="Y160" s="34">
        <v>5.3819999999999997</v>
      </c>
      <c r="Z160" s="35">
        <f>1-(X160/Y160)</f>
        <v>0.22705314009661826</v>
      </c>
      <c r="AA160" s="35">
        <f>+X160/Y160</f>
        <v>0.77294685990338174</v>
      </c>
      <c r="AB160" s="19">
        <v>24</v>
      </c>
      <c r="AC160" s="19">
        <v>17</v>
      </c>
      <c r="AD160" s="19">
        <v>60</v>
      </c>
      <c r="AE160" s="37">
        <v>1</v>
      </c>
      <c r="AF160" s="53">
        <f>+AE160*AA160</f>
        <v>0.77294685990338174</v>
      </c>
      <c r="AG160" s="37">
        <v>1</v>
      </c>
      <c r="AH160" s="37">
        <v>7.63</v>
      </c>
      <c r="AI160" s="7">
        <v>21.95</v>
      </c>
      <c r="AJ160" s="19">
        <v>1.1000000000000001</v>
      </c>
      <c r="AK160" s="19">
        <v>2.7</v>
      </c>
      <c r="AL160" s="19">
        <v>0.3</v>
      </c>
      <c r="AM160" s="19">
        <v>9.5</v>
      </c>
    </row>
    <row r="161" spans="1:39" x14ac:dyDescent="0.2">
      <c r="A161" s="7">
        <v>160</v>
      </c>
      <c r="B161" s="7" t="s">
        <v>232</v>
      </c>
      <c r="C161" s="7" t="s">
        <v>13</v>
      </c>
      <c r="D161" s="7" t="s">
        <v>8</v>
      </c>
      <c r="E161" s="7" t="s">
        <v>4</v>
      </c>
      <c r="F161" s="7" t="s">
        <v>249</v>
      </c>
      <c r="G161">
        <v>2016</v>
      </c>
      <c r="H161" s="29" t="s">
        <v>239</v>
      </c>
      <c r="I161" s="30">
        <v>5</v>
      </c>
      <c r="J161" s="30">
        <f>(6*5*2.83)+(3*5*3.14)</f>
        <v>132</v>
      </c>
      <c r="K161" s="31">
        <v>75</v>
      </c>
      <c r="L161" s="32">
        <v>43085.458101851851</v>
      </c>
      <c r="M161" s="31" t="s">
        <v>86</v>
      </c>
      <c r="N161" s="31" t="s">
        <v>189</v>
      </c>
      <c r="O161" s="31">
        <v>1521</v>
      </c>
      <c r="P161" s="31">
        <v>169</v>
      </c>
      <c r="Q161" s="7">
        <v>46.44</v>
      </c>
      <c r="R161" s="7">
        <v>40.270000000000003</v>
      </c>
      <c r="S161" s="7">
        <v>40.270000000000003</v>
      </c>
      <c r="T161" s="33">
        <f t="shared" si="9"/>
        <v>146.54672695951768</v>
      </c>
      <c r="U161" s="33">
        <f t="shared" si="8"/>
        <v>1.110202476966043</v>
      </c>
      <c r="V161" s="7"/>
      <c r="W161" s="35"/>
      <c r="X161" s="7"/>
      <c r="Y161" s="7"/>
      <c r="Z161" s="38"/>
      <c r="AA161" s="38"/>
      <c r="AB161" s="7"/>
      <c r="AC161" s="7"/>
      <c r="AE161" s="37">
        <v>1</v>
      </c>
      <c r="AG161" s="37">
        <v>1</v>
      </c>
      <c r="AH161" s="37">
        <v>6.56</v>
      </c>
      <c r="AI161" s="7"/>
      <c r="AJ161" s="7"/>
      <c r="AK161" s="7"/>
      <c r="AL161" s="7"/>
      <c r="AM161" s="7"/>
    </row>
    <row r="162" spans="1:39" x14ac:dyDescent="0.2">
      <c r="A162" s="7">
        <v>161</v>
      </c>
      <c r="B162" s="7" t="s">
        <v>232</v>
      </c>
      <c r="C162" s="7" t="s">
        <v>13</v>
      </c>
      <c r="D162" s="7" t="s">
        <v>8</v>
      </c>
      <c r="E162" s="7" t="s">
        <v>4</v>
      </c>
      <c r="F162" s="7" t="s">
        <v>249</v>
      </c>
      <c r="G162">
        <v>2016</v>
      </c>
      <c r="H162" s="29" t="s">
        <v>240</v>
      </c>
      <c r="I162" s="30">
        <f>(17.5+18+16)/3</f>
        <v>17.166666666666668</v>
      </c>
      <c r="J162" s="30">
        <f>(3*(I162-5)*3.14)</f>
        <v>114.61</v>
      </c>
      <c r="K162" s="31">
        <v>75</v>
      </c>
      <c r="L162" s="32">
        <v>43085.458101851851</v>
      </c>
      <c r="M162" s="31" t="s">
        <v>86</v>
      </c>
      <c r="N162" s="31" t="s">
        <v>189</v>
      </c>
      <c r="O162" s="31">
        <v>1521</v>
      </c>
      <c r="P162" s="31">
        <v>196</v>
      </c>
      <c r="Q162" s="7">
        <v>57.11</v>
      </c>
      <c r="R162" s="7">
        <v>51.17</v>
      </c>
      <c r="S162" s="7">
        <v>47.3</v>
      </c>
      <c r="T162" s="33">
        <f t="shared" si="9"/>
        <v>162.33234109613025</v>
      </c>
      <c r="U162" s="33">
        <f t="shared" si="8"/>
        <v>1.4163889808579553</v>
      </c>
      <c r="V162" s="7"/>
      <c r="W162" s="35"/>
      <c r="X162" s="7"/>
      <c r="Y162" s="7"/>
      <c r="Z162" s="38"/>
      <c r="AA162" s="38"/>
      <c r="AB162" s="7"/>
      <c r="AC162" s="7"/>
      <c r="AE162" s="37">
        <v>1</v>
      </c>
      <c r="AG162" s="37">
        <v>1</v>
      </c>
      <c r="AH162" s="37">
        <v>7.23</v>
      </c>
      <c r="AI162" s="7"/>
      <c r="AJ162" s="7"/>
      <c r="AK162" s="7"/>
      <c r="AL162" s="7"/>
      <c r="AM162" s="7"/>
    </row>
    <row r="163" spans="1:39" x14ac:dyDescent="0.2">
      <c r="A163" s="7">
        <v>162</v>
      </c>
      <c r="B163" s="7" t="s">
        <v>232</v>
      </c>
      <c r="C163" s="7" t="s">
        <v>13</v>
      </c>
      <c r="D163" s="7" t="s">
        <v>8</v>
      </c>
      <c r="E163" s="7" t="s">
        <v>5</v>
      </c>
      <c r="F163" s="7" t="s">
        <v>249</v>
      </c>
      <c r="G163">
        <v>2016</v>
      </c>
      <c r="H163" s="29" t="s">
        <v>239</v>
      </c>
      <c r="I163" s="30">
        <v>5</v>
      </c>
      <c r="J163" s="30">
        <f>(6*5*2.83)+(3*5*3.14)</f>
        <v>132</v>
      </c>
      <c r="K163" s="31">
        <v>76</v>
      </c>
      <c r="L163" s="32">
        <v>43085.472048611111</v>
      </c>
      <c r="M163" s="31" t="s">
        <v>87</v>
      </c>
      <c r="N163" s="31" t="s">
        <v>190</v>
      </c>
      <c r="O163" s="31">
        <v>1521</v>
      </c>
      <c r="P163" s="31">
        <v>162</v>
      </c>
      <c r="Q163" s="7">
        <v>46.46</v>
      </c>
      <c r="R163" s="7">
        <v>41.85</v>
      </c>
      <c r="S163" s="7">
        <v>37.799999999999997</v>
      </c>
      <c r="T163" s="33">
        <f t="shared" si="9"/>
        <v>131.80370210934137</v>
      </c>
      <c r="U163" s="33">
        <f t="shared" si="8"/>
        <v>0.99851289476773764</v>
      </c>
      <c r="V163" s="7"/>
      <c r="W163" s="35"/>
      <c r="X163" s="7"/>
      <c r="Y163" s="7"/>
      <c r="Z163" s="38"/>
      <c r="AA163" s="38"/>
      <c r="AB163" s="7"/>
      <c r="AC163" s="7"/>
      <c r="AE163" s="37">
        <v>1</v>
      </c>
      <c r="AG163" s="37">
        <v>1</v>
      </c>
      <c r="AH163" s="37">
        <v>6.79</v>
      </c>
      <c r="AI163" s="7"/>
      <c r="AJ163" s="7"/>
      <c r="AK163" s="7"/>
      <c r="AL163" s="7"/>
      <c r="AM163" s="7"/>
    </row>
    <row r="164" spans="1:39" x14ac:dyDescent="0.2">
      <c r="A164" s="7">
        <v>163</v>
      </c>
      <c r="B164" s="7" t="s">
        <v>232</v>
      </c>
      <c r="C164" s="7" t="s">
        <v>13</v>
      </c>
      <c r="D164" s="7" t="s">
        <v>8</v>
      </c>
      <c r="E164" s="7" t="s">
        <v>5</v>
      </c>
      <c r="F164" s="7" t="s">
        <v>249</v>
      </c>
      <c r="G164">
        <v>2016</v>
      </c>
      <c r="H164" s="29" t="s">
        <v>240</v>
      </c>
      <c r="I164" s="30">
        <f>(18.5+19+15)/3</f>
        <v>17.5</v>
      </c>
      <c r="J164" s="30">
        <f>(3*(I164-5)*3.14)</f>
        <v>117.75</v>
      </c>
      <c r="K164" s="31">
        <v>76</v>
      </c>
      <c r="L164" s="32">
        <v>43085.472048611111</v>
      </c>
      <c r="M164" s="31" t="s">
        <v>87</v>
      </c>
      <c r="N164" s="31" t="s">
        <v>190</v>
      </c>
      <c r="O164" s="31">
        <v>1521</v>
      </c>
      <c r="P164" s="31">
        <v>194</v>
      </c>
      <c r="Q164" s="7">
        <v>43.27</v>
      </c>
      <c r="R164" s="7">
        <v>38.74</v>
      </c>
      <c r="S164" s="7">
        <v>34.4</v>
      </c>
      <c r="T164" s="33">
        <f t="shared" si="9"/>
        <v>154.23156921654726</v>
      </c>
      <c r="U164" s="33">
        <f t="shared" si="8"/>
        <v>1.3098222438772591</v>
      </c>
      <c r="V164" s="7"/>
      <c r="W164" s="35"/>
      <c r="X164" s="7"/>
      <c r="Y164" s="7"/>
      <c r="Z164" s="38"/>
      <c r="AA164" s="38"/>
      <c r="AB164" s="7"/>
      <c r="AC164" s="7"/>
      <c r="AE164" s="37">
        <v>1</v>
      </c>
      <c r="AG164" s="37">
        <v>1</v>
      </c>
      <c r="AH164" s="37">
        <v>7.47</v>
      </c>
      <c r="AI164" s="7"/>
      <c r="AJ164" s="7"/>
      <c r="AK164" s="7"/>
      <c r="AL164" s="7"/>
      <c r="AM164" s="7"/>
    </row>
    <row r="165" spans="1:39" x14ac:dyDescent="0.2">
      <c r="A165" s="7">
        <v>164</v>
      </c>
      <c r="B165" s="7" t="s">
        <v>232</v>
      </c>
      <c r="C165" s="7" t="s">
        <v>13</v>
      </c>
      <c r="D165" s="7" t="s">
        <v>8</v>
      </c>
      <c r="E165" s="7" t="s">
        <v>6</v>
      </c>
      <c r="F165" s="7" t="s">
        <v>249</v>
      </c>
      <c r="G165">
        <v>2016</v>
      </c>
      <c r="H165" s="29" t="s">
        <v>239</v>
      </c>
      <c r="I165" s="30">
        <v>5</v>
      </c>
      <c r="J165" s="30">
        <f>(6*5*2.83)+(3*5*3.14)</f>
        <v>132</v>
      </c>
      <c r="K165" s="31">
        <v>77</v>
      </c>
      <c r="L165" s="32">
        <v>43085.476180555554</v>
      </c>
      <c r="M165" s="31" t="s">
        <v>88</v>
      </c>
      <c r="N165" s="31" t="s">
        <v>191</v>
      </c>
      <c r="O165" s="31">
        <v>1519</v>
      </c>
      <c r="P165" s="31">
        <v>190</v>
      </c>
      <c r="Q165" s="7">
        <v>48.63</v>
      </c>
      <c r="R165" s="7">
        <v>43.79</v>
      </c>
      <c r="S165" s="7">
        <v>39.9</v>
      </c>
      <c r="T165" s="33">
        <f t="shared" si="9"/>
        <v>155.89142504626773</v>
      </c>
      <c r="U165" s="33">
        <f t="shared" si="8"/>
        <v>1.180995644289907</v>
      </c>
      <c r="V165" s="7"/>
      <c r="W165" s="35"/>
      <c r="X165" s="7"/>
      <c r="Y165" s="7"/>
      <c r="Z165" s="38"/>
      <c r="AA165" s="38"/>
      <c r="AB165" s="7"/>
      <c r="AC165" s="7"/>
      <c r="AE165" s="37">
        <v>1</v>
      </c>
      <c r="AG165" s="37">
        <v>1</v>
      </c>
      <c r="AH165" s="37">
        <v>6.72</v>
      </c>
      <c r="AI165" s="7"/>
      <c r="AJ165" s="7"/>
      <c r="AK165" s="7"/>
      <c r="AL165" s="7"/>
      <c r="AM165" s="7"/>
    </row>
    <row r="166" spans="1:39" x14ac:dyDescent="0.2">
      <c r="A166" s="7">
        <v>165</v>
      </c>
      <c r="B166" s="7" t="s">
        <v>232</v>
      </c>
      <c r="C166" s="7" t="s">
        <v>13</v>
      </c>
      <c r="D166" s="7" t="s">
        <v>8</v>
      </c>
      <c r="E166" s="7" t="s">
        <v>6</v>
      </c>
      <c r="F166" s="7" t="s">
        <v>249</v>
      </c>
      <c r="G166">
        <v>2016</v>
      </c>
      <c r="H166" s="29" t="s">
        <v>240</v>
      </c>
      <c r="I166" s="30">
        <f>(16.5+20+16.5)/3</f>
        <v>17.666666666666668</v>
      </c>
      <c r="J166" s="30">
        <f>(3*(I166-5)*3.14)</f>
        <v>119.32000000000001</v>
      </c>
      <c r="K166" s="31">
        <v>77</v>
      </c>
      <c r="L166" s="32">
        <v>43085.476180555554</v>
      </c>
      <c r="M166" s="31" t="s">
        <v>88</v>
      </c>
      <c r="N166" s="31" t="s">
        <v>191</v>
      </c>
      <c r="O166" s="31">
        <v>1519</v>
      </c>
      <c r="P166" s="31">
        <v>203</v>
      </c>
      <c r="Q166" s="7">
        <v>47.82</v>
      </c>
      <c r="R166" s="7">
        <v>41.67</v>
      </c>
      <c r="S166" s="7">
        <v>37.5</v>
      </c>
      <c r="T166" s="33">
        <f t="shared" si="9"/>
        <v>159.19071518193226</v>
      </c>
      <c r="U166" s="33">
        <f t="shared" si="8"/>
        <v>1.3341494735327879</v>
      </c>
      <c r="V166" s="7"/>
      <c r="W166" s="35"/>
      <c r="X166" s="7"/>
      <c r="Y166" s="7"/>
      <c r="Z166" s="38"/>
      <c r="AA166" s="38"/>
      <c r="AB166" s="7"/>
      <c r="AC166" s="7"/>
      <c r="AE166" s="37">
        <v>1</v>
      </c>
      <c r="AG166" s="37">
        <v>1</v>
      </c>
      <c r="AH166" s="37">
        <v>7.55</v>
      </c>
      <c r="AI166" s="7"/>
      <c r="AJ166" s="7"/>
      <c r="AK166" s="7"/>
      <c r="AL166" s="7"/>
      <c r="AM166" s="7"/>
    </row>
    <row r="167" spans="1:39" x14ac:dyDescent="0.2">
      <c r="A167" s="7">
        <v>166</v>
      </c>
      <c r="B167" s="7" t="s">
        <v>232</v>
      </c>
      <c r="C167" s="7" t="s">
        <v>13</v>
      </c>
      <c r="D167" s="7" t="s">
        <v>9</v>
      </c>
      <c r="E167" s="7" t="s">
        <v>3</v>
      </c>
      <c r="F167" s="7" t="s">
        <v>249</v>
      </c>
      <c r="G167">
        <v>2016</v>
      </c>
      <c r="H167" s="29" t="s">
        <v>241</v>
      </c>
      <c r="I167" s="30">
        <f>(1.5+1.5+2)/3</f>
        <v>1.6666666666666667</v>
      </c>
      <c r="J167" s="42">
        <f>3*I167*2.83</f>
        <v>14.15</v>
      </c>
      <c r="K167" s="31">
        <v>78</v>
      </c>
      <c r="L167" s="32">
        <v>43085.498020833336</v>
      </c>
      <c r="M167" s="31" t="s">
        <v>89</v>
      </c>
      <c r="N167" s="31" t="s">
        <v>192</v>
      </c>
      <c r="O167" s="31">
        <v>1517</v>
      </c>
      <c r="P167" s="7">
        <v>30.42</v>
      </c>
      <c r="Q167" s="7">
        <v>30.42</v>
      </c>
      <c r="R167" s="7">
        <v>29.65</v>
      </c>
      <c r="S167" s="7">
        <v>28.1</v>
      </c>
      <c r="T167" s="33">
        <f t="shared" si="9"/>
        <v>28.1</v>
      </c>
      <c r="U167" s="33">
        <f t="shared" si="8"/>
        <v>1.9858657243816256</v>
      </c>
      <c r="V167" s="7"/>
      <c r="W167" s="35"/>
      <c r="X167" s="7"/>
      <c r="Y167" s="7"/>
      <c r="Z167" s="38"/>
      <c r="AA167" s="38"/>
      <c r="AB167" s="7"/>
      <c r="AC167" s="7"/>
      <c r="AE167" s="37">
        <v>1</v>
      </c>
      <c r="AG167" s="37">
        <v>1</v>
      </c>
      <c r="AH167" s="37">
        <v>6.92</v>
      </c>
      <c r="AI167" s="7"/>
      <c r="AJ167" s="7"/>
      <c r="AK167" s="7"/>
      <c r="AL167" s="7"/>
      <c r="AM167" s="7"/>
    </row>
    <row r="168" spans="1:39" x14ac:dyDescent="0.2">
      <c r="A168" s="7">
        <v>167</v>
      </c>
      <c r="B168" s="7" t="s">
        <v>232</v>
      </c>
      <c r="C168" s="7" t="s">
        <v>13</v>
      </c>
      <c r="D168" s="7" t="s">
        <v>9</v>
      </c>
      <c r="E168" s="7" t="s">
        <v>3</v>
      </c>
      <c r="F168" s="7" t="s">
        <v>249</v>
      </c>
      <c r="G168">
        <v>2016</v>
      </c>
      <c r="H168" s="29" t="s">
        <v>239</v>
      </c>
      <c r="I168" s="30">
        <v>5</v>
      </c>
      <c r="J168" s="30">
        <f>(6*5*2.83)+(3*5*3.14)</f>
        <v>132</v>
      </c>
      <c r="K168" s="31">
        <v>78</v>
      </c>
      <c r="L168" s="32">
        <v>43085.498020833336</v>
      </c>
      <c r="M168" s="31" t="s">
        <v>89</v>
      </c>
      <c r="N168" s="31" t="s">
        <v>192</v>
      </c>
      <c r="O168" s="31">
        <v>1517</v>
      </c>
      <c r="P168" s="31">
        <v>216</v>
      </c>
      <c r="Q168" s="7">
        <v>98.27</v>
      </c>
      <c r="R168" s="7">
        <v>91.6</v>
      </c>
      <c r="S168" s="7">
        <v>86.7</v>
      </c>
      <c r="T168" s="33">
        <f t="shared" si="9"/>
        <v>190.56884094840746</v>
      </c>
      <c r="U168" s="33">
        <f t="shared" si="8"/>
        <v>1.4437033405182382</v>
      </c>
      <c r="V168" s="7"/>
      <c r="W168" s="35"/>
      <c r="X168" s="7"/>
      <c r="Y168" s="7"/>
      <c r="Z168" s="38"/>
      <c r="AA168" s="38"/>
      <c r="AB168" s="7"/>
      <c r="AC168" s="7"/>
      <c r="AE168" s="37">
        <v>1</v>
      </c>
      <c r="AG168" s="37">
        <v>1</v>
      </c>
      <c r="AH168" s="37">
        <v>6.59</v>
      </c>
      <c r="AI168" s="37"/>
      <c r="AJ168" s="7"/>
      <c r="AK168" s="7"/>
      <c r="AL168" s="7"/>
      <c r="AM168" s="7"/>
    </row>
    <row r="169" spans="1:39" x14ac:dyDescent="0.2">
      <c r="A169" s="7">
        <v>168</v>
      </c>
      <c r="B169" s="7" t="s">
        <v>232</v>
      </c>
      <c r="C169" s="7" t="s">
        <v>13</v>
      </c>
      <c r="D169" s="7" t="s">
        <v>9</v>
      </c>
      <c r="E169" s="7" t="s">
        <v>3</v>
      </c>
      <c r="F169" s="7" t="s">
        <v>249</v>
      </c>
      <c r="G169">
        <v>2016</v>
      </c>
      <c r="H169" s="29" t="s">
        <v>240</v>
      </c>
      <c r="I169" s="30">
        <f>(17.5+18+16.5)/3</f>
        <v>17.333333333333332</v>
      </c>
      <c r="J169" s="30">
        <f>(3*(I169-5)*3.14)</f>
        <v>116.18</v>
      </c>
      <c r="K169" s="31">
        <v>78</v>
      </c>
      <c r="L169" s="32">
        <v>43085.498020833336</v>
      </c>
      <c r="M169" s="31" t="s">
        <v>89</v>
      </c>
      <c r="N169" s="31" t="s">
        <v>192</v>
      </c>
      <c r="O169" s="31">
        <v>1517</v>
      </c>
      <c r="P169" s="31">
        <v>185</v>
      </c>
      <c r="Q169" s="7">
        <v>96.35</v>
      </c>
      <c r="R169" s="7">
        <v>90.23</v>
      </c>
      <c r="S169" s="7">
        <v>78.599999999999994</v>
      </c>
      <c r="T169" s="33">
        <f t="shared" si="9"/>
        <v>150.91852620653864</v>
      </c>
      <c r="U169" s="33">
        <f t="shared" si="8"/>
        <v>1.2990060785551614</v>
      </c>
      <c r="V169" s="7"/>
      <c r="W169" s="35"/>
      <c r="X169" s="7"/>
      <c r="Y169" s="7"/>
      <c r="Z169" s="38"/>
      <c r="AA169" s="38"/>
      <c r="AB169" s="7"/>
      <c r="AC169" s="7"/>
      <c r="AE169" s="37">
        <v>1</v>
      </c>
      <c r="AG169" s="37">
        <v>1</v>
      </c>
      <c r="AH169" s="37">
        <v>7.22</v>
      </c>
      <c r="AI169" s="37"/>
      <c r="AJ169" s="37"/>
      <c r="AK169" s="37"/>
      <c r="AL169" s="37"/>
      <c r="AM169" s="37"/>
    </row>
    <row r="170" spans="1:39" s="4" customFormat="1" x14ac:dyDescent="0.2">
      <c r="A170" s="7">
        <v>169</v>
      </c>
      <c r="B170" s="8" t="s">
        <v>232</v>
      </c>
      <c r="C170" s="8" t="s">
        <v>13</v>
      </c>
      <c r="D170" s="8" t="s">
        <v>9</v>
      </c>
      <c r="E170" s="8" t="s">
        <v>4</v>
      </c>
      <c r="F170" s="7" t="s">
        <v>249</v>
      </c>
      <c r="G170">
        <v>2016</v>
      </c>
      <c r="H170" s="43" t="s">
        <v>241</v>
      </c>
      <c r="I170" s="44">
        <f>(2+1)/2</f>
        <v>1.5</v>
      </c>
      <c r="J170" s="42">
        <f>2*I170*2.83</f>
        <v>8.49</v>
      </c>
      <c r="K170" s="9">
        <v>79</v>
      </c>
      <c r="L170" s="45">
        <v>43085.51840277778</v>
      </c>
      <c r="M170" s="9" t="s">
        <v>90</v>
      </c>
      <c r="N170" s="9" t="s">
        <v>193</v>
      </c>
      <c r="O170" s="9">
        <v>1518</v>
      </c>
      <c r="P170" s="8">
        <v>19.27</v>
      </c>
      <c r="Q170" s="8">
        <v>19.27</v>
      </c>
      <c r="R170" s="8">
        <v>17.7</v>
      </c>
      <c r="S170" s="8">
        <v>16.5</v>
      </c>
      <c r="T170" s="33">
        <f t="shared" si="9"/>
        <v>16.5</v>
      </c>
      <c r="U170" s="33">
        <f t="shared" si="8"/>
        <v>1.9434628975265018</v>
      </c>
      <c r="V170" s="8"/>
      <c r="W170" s="35"/>
      <c r="X170" s="8"/>
      <c r="Y170" s="8"/>
      <c r="Z170" s="46"/>
      <c r="AA170" s="46"/>
      <c r="AB170" s="8"/>
      <c r="AC170" s="8"/>
      <c r="AD170" s="8"/>
      <c r="AE170" s="37">
        <v>1</v>
      </c>
      <c r="AF170" s="57"/>
      <c r="AG170" s="37">
        <v>1</v>
      </c>
      <c r="AH170" s="37">
        <v>6.38</v>
      </c>
      <c r="AI170" s="8"/>
      <c r="AJ170" s="8"/>
      <c r="AK170" s="8"/>
      <c r="AL170" s="8"/>
      <c r="AM170" s="8"/>
    </row>
    <row r="171" spans="1:39" x14ac:dyDescent="0.2">
      <c r="A171" s="7">
        <v>170</v>
      </c>
      <c r="B171" s="7" t="s">
        <v>232</v>
      </c>
      <c r="C171" s="7" t="s">
        <v>13</v>
      </c>
      <c r="D171" s="7" t="s">
        <v>9</v>
      </c>
      <c r="E171" s="7" t="s">
        <v>4</v>
      </c>
      <c r="F171" s="7" t="s">
        <v>249</v>
      </c>
      <c r="G171">
        <v>2016</v>
      </c>
      <c r="H171" s="29" t="s">
        <v>239</v>
      </c>
      <c r="I171" s="30">
        <v>5</v>
      </c>
      <c r="J171" s="30">
        <f>(6*5*2.83)+(3*5*3.14)</f>
        <v>132</v>
      </c>
      <c r="K171" s="31">
        <v>79</v>
      </c>
      <c r="L171" s="32">
        <v>43085.51840277778</v>
      </c>
      <c r="M171" s="31" t="s">
        <v>90</v>
      </c>
      <c r="N171" s="31" t="s">
        <v>193</v>
      </c>
      <c r="O171" s="31">
        <v>1518</v>
      </c>
      <c r="P171" s="31">
        <v>203.5</v>
      </c>
      <c r="Q171" s="7">
        <v>47.09</v>
      </c>
      <c r="R171" s="7">
        <v>42.65</v>
      </c>
      <c r="S171" s="7">
        <v>42.65</v>
      </c>
      <c r="T171" s="33">
        <f t="shared" si="9"/>
        <v>184.31248672754296</v>
      </c>
      <c r="U171" s="33">
        <f t="shared" si="8"/>
        <v>1.3963067176329012</v>
      </c>
      <c r="V171" s="7"/>
      <c r="W171" s="35"/>
      <c r="X171" s="7"/>
      <c r="Y171" s="7"/>
      <c r="Z171" s="38"/>
      <c r="AA171" s="38"/>
      <c r="AB171" s="7"/>
      <c r="AC171" s="7"/>
      <c r="AE171" s="37">
        <v>1</v>
      </c>
      <c r="AG171" s="37">
        <v>1</v>
      </c>
      <c r="AH171" s="37">
        <v>6.53</v>
      </c>
      <c r="AI171" s="7"/>
      <c r="AJ171" s="7"/>
      <c r="AK171" s="7"/>
      <c r="AL171" s="7"/>
      <c r="AM171" s="7"/>
    </row>
    <row r="172" spans="1:39" x14ac:dyDescent="0.2">
      <c r="A172" s="7">
        <v>171</v>
      </c>
      <c r="B172" s="7" t="s">
        <v>232</v>
      </c>
      <c r="C172" s="7" t="s">
        <v>13</v>
      </c>
      <c r="D172" s="7" t="s">
        <v>9</v>
      </c>
      <c r="E172" s="7" t="s">
        <v>4</v>
      </c>
      <c r="F172" s="7" t="s">
        <v>249</v>
      </c>
      <c r="G172">
        <v>2016</v>
      </c>
      <c r="H172" s="29" t="s">
        <v>240</v>
      </c>
      <c r="I172" s="30">
        <f>(16.5+15.5+15.5)/3</f>
        <v>15.833333333333334</v>
      </c>
      <c r="J172" s="30">
        <f>(3*(I172-5)*3.14)</f>
        <v>102.05</v>
      </c>
      <c r="K172" s="31">
        <v>79</v>
      </c>
      <c r="L172" s="32">
        <v>43085.51840277778</v>
      </c>
      <c r="M172" s="31" t="s">
        <v>90</v>
      </c>
      <c r="N172" s="31" t="s">
        <v>193</v>
      </c>
      <c r="O172" s="31">
        <v>1518</v>
      </c>
      <c r="P172" s="31">
        <v>182</v>
      </c>
      <c r="Q172" s="7">
        <v>55.15</v>
      </c>
      <c r="R172" s="7">
        <v>49.91</v>
      </c>
      <c r="S172" s="7">
        <v>49.91</v>
      </c>
      <c r="T172" s="33">
        <f t="shared" si="9"/>
        <v>164.70752493200362</v>
      </c>
      <c r="U172" s="33">
        <f t="shared" si="8"/>
        <v>1.6139884853699522</v>
      </c>
      <c r="V172" s="7"/>
      <c r="W172" s="35"/>
      <c r="X172" s="7"/>
      <c r="Y172" s="7"/>
      <c r="Z172" s="38"/>
      <c r="AA172" s="38"/>
      <c r="AB172" s="7"/>
      <c r="AC172" s="7"/>
      <c r="AE172" s="37">
        <v>1</v>
      </c>
      <c r="AG172" s="37">
        <v>1</v>
      </c>
      <c r="AH172" s="37">
        <v>7.14</v>
      </c>
      <c r="AI172" s="7"/>
      <c r="AJ172" s="7"/>
      <c r="AK172" s="7"/>
      <c r="AL172" s="7"/>
      <c r="AM172" s="7"/>
    </row>
    <row r="173" spans="1:39" x14ac:dyDescent="0.2">
      <c r="A173" s="7">
        <v>172</v>
      </c>
      <c r="B173" s="7" t="s">
        <v>232</v>
      </c>
      <c r="C173" s="7" t="s">
        <v>13</v>
      </c>
      <c r="D173" s="7" t="s">
        <v>9</v>
      </c>
      <c r="E173" s="7" t="s">
        <v>5</v>
      </c>
      <c r="F173" s="7" t="s">
        <v>249</v>
      </c>
      <c r="G173">
        <v>2016</v>
      </c>
      <c r="H173" s="29" t="s">
        <v>239</v>
      </c>
      <c r="I173" s="30">
        <v>5</v>
      </c>
      <c r="J173" s="30">
        <f>(6*5*2.83)+(3*5*3.14)</f>
        <v>132</v>
      </c>
      <c r="K173" s="31">
        <v>80</v>
      </c>
      <c r="L173" s="32">
        <v>43085.518680555557</v>
      </c>
      <c r="M173" s="31" t="s">
        <v>91</v>
      </c>
      <c r="N173" s="31" t="s">
        <v>194</v>
      </c>
      <c r="O173" s="31">
        <v>1517</v>
      </c>
      <c r="P173" s="31">
        <v>219</v>
      </c>
      <c r="Q173" s="7">
        <v>53.48</v>
      </c>
      <c r="R173" s="7">
        <v>43.71</v>
      </c>
      <c r="S173" s="7">
        <v>43.71</v>
      </c>
      <c r="T173" s="33">
        <f t="shared" si="9"/>
        <v>178.99195961106957</v>
      </c>
      <c r="U173" s="33">
        <f t="shared" si="8"/>
        <v>1.3559996940232544</v>
      </c>
      <c r="V173" s="7"/>
      <c r="W173" s="35"/>
      <c r="X173" s="7"/>
      <c r="Y173" s="7"/>
      <c r="Z173" s="38"/>
      <c r="AA173" s="38"/>
      <c r="AB173" s="7"/>
      <c r="AC173" s="7"/>
      <c r="AE173" s="37">
        <v>1</v>
      </c>
      <c r="AG173" s="37">
        <v>1</v>
      </c>
      <c r="AH173" s="37">
        <v>6.34</v>
      </c>
      <c r="AI173" s="7"/>
      <c r="AJ173" s="7"/>
      <c r="AK173" s="7"/>
      <c r="AL173" s="7"/>
      <c r="AM173" s="7"/>
    </row>
    <row r="174" spans="1:39" x14ac:dyDescent="0.2">
      <c r="A174" s="7">
        <v>173</v>
      </c>
      <c r="B174" s="7" t="s">
        <v>232</v>
      </c>
      <c r="C174" s="7" t="s">
        <v>13</v>
      </c>
      <c r="D174" s="7" t="s">
        <v>9</v>
      </c>
      <c r="E174" s="7" t="s">
        <v>5</v>
      </c>
      <c r="F174" s="7" t="s">
        <v>249</v>
      </c>
      <c r="G174">
        <v>2016</v>
      </c>
      <c r="H174" s="29" t="s">
        <v>240</v>
      </c>
      <c r="I174" s="30">
        <f>(18.5+16.5+16.5)/3</f>
        <v>17.166666666666668</v>
      </c>
      <c r="J174" s="30">
        <f>(3*(I174-5)*3.14)</f>
        <v>114.61</v>
      </c>
      <c r="K174" s="31">
        <v>80</v>
      </c>
      <c r="L174" s="32">
        <v>43085.518680555557</v>
      </c>
      <c r="M174" s="31" t="s">
        <v>91</v>
      </c>
      <c r="N174" s="31" t="s">
        <v>194</v>
      </c>
      <c r="O174" s="31">
        <v>1517</v>
      </c>
      <c r="P174" s="31">
        <v>182</v>
      </c>
      <c r="Q174" s="7">
        <v>53.71</v>
      </c>
      <c r="R174" s="7">
        <v>49.97</v>
      </c>
      <c r="S174" s="7">
        <v>49.97</v>
      </c>
      <c r="T174" s="33">
        <f t="shared" si="9"/>
        <v>169.3267547942655</v>
      </c>
      <c r="U174" s="33">
        <f t="shared" si="8"/>
        <v>1.4774169338998822</v>
      </c>
      <c r="V174" s="7"/>
      <c r="W174" s="35"/>
      <c r="X174" s="7"/>
      <c r="Y174" s="7"/>
      <c r="Z174" s="38"/>
      <c r="AA174" s="38"/>
      <c r="AB174" s="7"/>
      <c r="AC174" s="7"/>
      <c r="AE174" s="37">
        <v>1</v>
      </c>
      <c r="AG174" s="37">
        <v>1</v>
      </c>
      <c r="AH174" s="37">
        <v>7.53</v>
      </c>
      <c r="AI174" s="7"/>
      <c r="AJ174" s="7"/>
      <c r="AK174" s="7"/>
      <c r="AL174" s="7"/>
      <c r="AM174" s="7"/>
    </row>
    <row r="175" spans="1:39" x14ac:dyDescent="0.2">
      <c r="A175" s="7">
        <v>174</v>
      </c>
      <c r="B175" s="7" t="s">
        <v>232</v>
      </c>
      <c r="C175" s="7" t="s">
        <v>13</v>
      </c>
      <c r="D175" s="7" t="s">
        <v>9</v>
      </c>
      <c r="E175" s="7" t="s">
        <v>6</v>
      </c>
      <c r="F175" s="7" t="s">
        <v>249</v>
      </c>
      <c r="G175">
        <v>2016</v>
      </c>
      <c r="H175" s="29" t="s">
        <v>241</v>
      </c>
      <c r="I175" s="30">
        <f>(3.5+3+1)/3</f>
        <v>2.5</v>
      </c>
      <c r="J175" s="42">
        <f>3*I175*2.83</f>
        <v>21.225000000000001</v>
      </c>
      <c r="K175" s="31">
        <v>81</v>
      </c>
      <c r="L175" s="32">
        <v>43085.525729166664</v>
      </c>
      <c r="M175" s="31" t="s">
        <v>92</v>
      </c>
      <c r="N175" s="31" t="s">
        <v>195</v>
      </c>
      <c r="O175" s="31">
        <v>1518</v>
      </c>
      <c r="P175" s="7">
        <v>28.99</v>
      </c>
      <c r="Q175" s="7">
        <v>28.99</v>
      </c>
      <c r="R175" s="7">
        <v>27.4</v>
      </c>
      <c r="S175" s="7">
        <v>27.4</v>
      </c>
      <c r="T175" s="33">
        <f t="shared" si="9"/>
        <v>27.4</v>
      </c>
      <c r="U175" s="33">
        <f t="shared" si="8"/>
        <v>1.2909305064782095</v>
      </c>
      <c r="V175" s="7"/>
      <c r="W175" s="35"/>
      <c r="X175" s="7"/>
      <c r="Y175" s="7"/>
      <c r="Z175" s="38"/>
      <c r="AA175" s="38"/>
      <c r="AB175" s="7"/>
      <c r="AC175" s="7"/>
      <c r="AE175" s="37">
        <v>1</v>
      </c>
      <c r="AG175" s="37">
        <v>1</v>
      </c>
      <c r="AH175" s="37">
        <v>6.74</v>
      </c>
      <c r="AI175" s="7"/>
      <c r="AJ175" s="7"/>
      <c r="AK175" s="7"/>
      <c r="AL175" s="7"/>
      <c r="AM175" s="7"/>
    </row>
    <row r="176" spans="1:39" x14ac:dyDescent="0.2">
      <c r="A176" s="7">
        <v>175</v>
      </c>
      <c r="B176" s="7" t="s">
        <v>232</v>
      </c>
      <c r="C176" s="7" t="s">
        <v>13</v>
      </c>
      <c r="D176" s="7" t="s">
        <v>9</v>
      </c>
      <c r="E176" s="7" t="s">
        <v>6</v>
      </c>
      <c r="F176" s="7" t="s">
        <v>249</v>
      </c>
      <c r="G176">
        <v>2016</v>
      </c>
      <c r="H176" s="29" t="s">
        <v>239</v>
      </c>
      <c r="I176" s="30">
        <v>5</v>
      </c>
      <c r="J176" s="30">
        <f>(6*5*2.83)+(3*5*3.14)</f>
        <v>132</v>
      </c>
      <c r="K176" s="31">
        <v>81</v>
      </c>
      <c r="L176" s="32">
        <v>43085.525729166664</v>
      </c>
      <c r="M176" s="31" t="s">
        <v>92</v>
      </c>
      <c r="N176" s="31" t="s">
        <v>195</v>
      </c>
      <c r="O176" s="31">
        <v>1518</v>
      </c>
      <c r="P176" s="31">
        <v>226.5</v>
      </c>
      <c r="Q176" s="7">
        <v>59.48</v>
      </c>
      <c r="R176" s="7">
        <v>54.17</v>
      </c>
      <c r="S176" s="7">
        <v>50.4</v>
      </c>
      <c r="T176" s="33">
        <f t="shared" si="9"/>
        <v>191.92333557498318</v>
      </c>
      <c r="U176" s="33">
        <f t="shared" si="8"/>
        <v>1.4539646634468424</v>
      </c>
      <c r="V176" s="7"/>
      <c r="W176" s="35"/>
      <c r="X176" s="7"/>
      <c r="Y176" s="7"/>
      <c r="Z176" s="38"/>
      <c r="AA176" s="38"/>
      <c r="AB176" s="7"/>
      <c r="AC176" s="7"/>
      <c r="AE176" s="37">
        <v>1</v>
      </c>
      <c r="AG176" s="37">
        <v>1</v>
      </c>
      <c r="AH176" s="37">
        <v>6.72</v>
      </c>
      <c r="AI176" s="7"/>
      <c r="AJ176" s="7"/>
      <c r="AK176" s="7"/>
      <c r="AL176" s="7"/>
      <c r="AM176" s="7"/>
    </row>
    <row r="177" spans="1:39" x14ac:dyDescent="0.2">
      <c r="A177" s="7">
        <v>176</v>
      </c>
      <c r="B177" s="7" t="s">
        <v>232</v>
      </c>
      <c r="C177" s="7" t="s">
        <v>13</v>
      </c>
      <c r="D177" s="7" t="s">
        <v>9</v>
      </c>
      <c r="E177" s="7" t="s">
        <v>6</v>
      </c>
      <c r="F177" s="7" t="s">
        <v>249</v>
      </c>
      <c r="G177">
        <v>2016</v>
      </c>
      <c r="H177" s="29" t="s">
        <v>240</v>
      </c>
      <c r="I177" s="30">
        <f>(16.5+18+17.5)/3</f>
        <v>17.333333333333332</v>
      </c>
      <c r="J177" s="30">
        <f>(3*(I177-5)*3.14)</f>
        <v>116.18</v>
      </c>
      <c r="K177" s="31">
        <v>81</v>
      </c>
      <c r="L177" s="32">
        <v>43085.525729166664</v>
      </c>
      <c r="M177" s="31" t="s">
        <v>92</v>
      </c>
      <c r="N177" s="31" t="s">
        <v>195</v>
      </c>
      <c r="O177" s="31">
        <v>1518</v>
      </c>
      <c r="P177" s="31">
        <v>167.5</v>
      </c>
      <c r="Q177" s="7">
        <v>51.58</v>
      </c>
      <c r="R177" s="7">
        <v>45.92</v>
      </c>
      <c r="S177" s="7">
        <v>44.5</v>
      </c>
      <c r="T177" s="33">
        <f t="shared" si="9"/>
        <v>144.50853043815431</v>
      </c>
      <c r="U177" s="33">
        <f t="shared" si="8"/>
        <v>1.2438331075757816</v>
      </c>
      <c r="V177" s="7"/>
      <c r="W177" s="35"/>
      <c r="X177" s="7"/>
      <c r="Y177" s="7"/>
      <c r="Z177" s="38"/>
      <c r="AA177" s="38"/>
      <c r="AB177" s="7"/>
      <c r="AC177" s="7"/>
      <c r="AE177" s="37">
        <v>1</v>
      </c>
      <c r="AG177" s="37">
        <v>1</v>
      </c>
      <c r="AH177" s="37">
        <v>7.03</v>
      </c>
      <c r="AI177" s="7"/>
      <c r="AJ177" s="7"/>
      <c r="AK177" s="7"/>
      <c r="AL177" s="7"/>
      <c r="AM177" s="7"/>
    </row>
    <row r="178" spans="1:39" x14ac:dyDescent="0.2">
      <c r="A178" s="7">
        <v>177</v>
      </c>
      <c r="B178" s="7" t="s">
        <v>233</v>
      </c>
      <c r="C178" s="7" t="s">
        <v>14</v>
      </c>
      <c r="D178" s="7" t="s">
        <v>2</v>
      </c>
      <c r="E178" s="7" t="s">
        <v>3</v>
      </c>
      <c r="F178" s="7" t="s">
        <v>248</v>
      </c>
      <c r="G178">
        <v>2013</v>
      </c>
      <c r="H178" s="29" t="s">
        <v>239</v>
      </c>
      <c r="I178" s="30">
        <v>5</v>
      </c>
      <c r="J178" s="30">
        <f>(6*5*2.83)+(3*5*3.14)</f>
        <v>132</v>
      </c>
      <c r="K178" s="31">
        <v>82</v>
      </c>
      <c r="L178" s="32">
        <v>43086.358541666668</v>
      </c>
      <c r="M178" s="31" t="s">
        <v>93</v>
      </c>
      <c r="N178" s="31" t="s">
        <v>196</v>
      </c>
      <c r="O178" s="31">
        <v>1376</v>
      </c>
      <c r="P178" s="31">
        <v>170</v>
      </c>
      <c r="Q178" s="7">
        <v>108.08</v>
      </c>
      <c r="R178" s="7">
        <v>92.51</v>
      </c>
      <c r="S178" s="7">
        <v>92.51</v>
      </c>
      <c r="T178" s="33">
        <f t="shared" si="9"/>
        <v>145.509807549963</v>
      </c>
      <c r="U178" s="33">
        <f t="shared" si="8"/>
        <v>1.102347026893659</v>
      </c>
      <c r="V178" s="34">
        <v>98.06</v>
      </c>
      <c r="W178" s="35">
        <f t="shared" ref="W162:W225" si="10">+T178*(V178/100)/J178</f>
        <v>1.0809614945719221</v>
      </c>
      <c r="X178" s="34">
        <v>8.56</v>
      </c>
      <c r="Y178" s="34">
        <v>9.7119999999999997</v>
      </c>
      <c r="Z178" s="35">
        <f>1-(X178/Y178)</f>
        <v>0.11861614497528827</v>
      </c>
      <c r="AA178" s="35">
        <f>+X178/Y178</f>
        <v>0.88138385502471173</v>
      </c>
      <c r="AB178" s="19">
        <v>23</v>
      </c>
      <c r="AC178" s="19">
        <v>46</v>
      </c>
      <c r="AD178" s="19">
        <v>32</v>
      </c>
      <c r="AE178" s="37">
        <v>1</v>
      </c>
      <c r="AF178" s="53">
        <f>+AE178*AA178</f>
        <v>0.88138385502471173</v>
      </c>
      <c r="AG178" s="37">
        <v>1</v>
      </c>
      <c r="AH178" s="37">
        <v>6.22</v>
      </c>
      <c r="AI178" s="7">
        <v>25.41</v>
      </c>
      <c r="AJ178" s="19">
        <v>0.9</v>
      </c>
      <c r="AK178" s="19">
        <v>4.9000000000000004</v>
      </c>
      <c r="AL178" s="19">
        <v>0.74</v>
      </c>
      <c r="AM178" s="19">
        <v>82</v>
      </c>
    </row>
    <row r="179" spans="1:39" x14ac:dyDescent="0.2">
      <c r="A179" s="7">
        <v>178</v>
      </c>
      <c r="B179" s="7" t="s">
        <v>233</v>
      </c>
      <c r="C179" s="7" t="s">
        <v>14</v>
      </c>
      <c r="D179" s="7" t="s">
        <v>2</v>
      </c>
      <c r="E179" s="7" t="s">
        <v>3</v>
      </c>
      <c r="F179" s="7" t="s">
        <v>248</v>
      </c>
      <c r="G179">
        <v>2013</v>
      </c>
      <c r="H179" s="29" t="s">
        <v>240</v>
      </c>
      <c r="I179" s="30">
        <f>(17.5+17+20)/3</f>
        <v>18.166666666666668</v>
      </c>
      <c r="J179" s="30">
        <f>(3*(I179-5)*3.14)</f>
        <v>124.03</v>
      </c>
      <c r="K179" s="31">
        <v>82</v>
      </c>
      <c r="L179" s="32">
        <v>43086.358541666668</v>
      </c>
      <c r="M179" s="31" t="s">
        <v>93</v>
      </c>
      <c r="N179" s="31" t="s">
        <v>196</v>
      </c>
      <c r="O179" s="31">
        <v>1376</v>
      </c>
      <c r="P179" s="31">
        <v>199</v>
      </c>
      <c r="Q179" s="7">
        <v>100.67</v>
      </c>
      <c r="R179" s="7">
        <v>89.01</v>
      </c>
      <c r="S179" s="7">
        <v>89.01</v>
      </c>
      <c r="T179" s="33">
        <f t="shared" si="9"/>
        <v>175.95102811165194</v>
      </c>
      <c r="U179" s="33">
        <f t="shared" si="8"/>
        <v>1.4186166904108033</v>
      </c>
      <c r="V179" s="34">
        <v>98.17</v>
      </c>
      <c r="W179" s="35">
        <f t="shared" si="10"/>
        <v>1.3926560049762857</v>
      </c>
      <c r="X179" s="34">
        <v>6.45</v>
      </c>
      <c r="Y179" s="34">
        <v>7.6840000000000002</v>
      </c>
      <c r="Z179" s="35">
        <f>1-(X179/Y179)</f>
        <v>0.16059344091618943</v>
      </c>
      <c r="AA179" s="35">
        <f>+X179/Y179</f>
        <v>0.83940655908381057</v>
      </c>
      <c r="AB179" s="19">
        <v>26</v>
      </c>
      <c r="AC179" s="19">
        <v>39</v>
      </c>
      <c r="AD179" s="19">
        <v>35</v>
      </c>
      <c r="AE179" s="37">
        <v>1</v>
      </c>
      <c r="AF179" s="53">
        <f>+AE179*AA179</f>
        <v>0.83940655908381057</v>
      </c>
      <c r="AG179" s="37">
        <v>1</v>
      </c>
      <c r="AH179" s="37">
        <v>5.98</v>
      </c>
      <c r="AI179" s="7">
        <v>21.77</v>
      </c>
      <c r="AJ179" s="19">
        <v>0.99</v>
      </c>
      <c r="AK179" s="19">
        <v>6.2</v>
      </c>
      <c r="AL179" s="19">
        <v>0.76</v>
      </c>
      <c r="AM179" s="19">
        <v>72</v>
      </c>
    </row>
    <row r="180" spans="1:39" x14ac:dyDescent="0.2">
      <c r="A180" s="7">
        <v>179</v>
      </c>
      <c r="B180" s="7" t="s">
        <v>233</v>
      </c>
      <c r="C180" s="7" t="s">
        <v>14</v>
      </c>
      <c r="D180" s="7" t="s">
        <v>2</v>
      </c>
      <c r="E180" s="7" t="s">
        <v>4</v>
      </c>
      <c r="F180" s="7" t="s">
        <v>248</v>
      </c>
      <c r="G180">
        <v>2013</v>
      </c>
      <c r="H180" s="29" t="s">
        <v>239</v>
      </c>
      <c r="I180" s="30">
        <v>5</v>
      </c>
      <c r="J180" s="30">
        <f>(6*5*2.83)+(3*5*3.14)</f>
        <v>132</v>
      </c>
      <c r="K180" s="31">
        <v>83</v>
      </c>
      <c r="L180" s="32">
        <v>43086.367731481485</v>
      </c>
      <c r="M180" s="31" t="s">
        <v>94</v>
      </c>
      <c r="N180" s="31" t="s">
        <v>197</v>
      </c>
      <c r="O180" s="31">
        <v>1376</v>
      </c>
      <c r="P180" s="31">
        <v>179</v>
      </c>
      <c r="Q180" s="7">
        <v>52.16</v>
      </c>
      <c r="R180" s="7">
        <v>45.62</v>
      </c>
      <c r="S180" s="7">
        <v>45.62</v>
      </c>
      <c r="T180" s="33">
        <f t="shared" si="9"/>
        <v>156.55636503067484</v>
      </c>
      <c r="U180" s="33">
        <f t="shared" si="8"/>
        <v>1.1860330684142033</v>
      </c>
      <c r="V180" s="7"/>
      <c r="W180" s="35"/>
      <c r="X180" s="7"/>
      <c r="Y180" s="7"/>
      <c r="Z180" s="38"/>
      <c r="AA180" s="38"/>
      <c r="AB180" s="7"/>
      <c r="AC180" s="7"/>
      <c r="AE180" s="37">
        <v>1</v>
      </c>
      <c r="AG180" s="37">
        <v>1</v>
      </c>
      <c r="AH180" s="37">
        <v>6.21</v>
      </c>
      <c r="AI180" s="7"/>
      <c r="AJ180" s="7"/>
      <c r="AK180" s="7"/>
      <c r="AL180" s="7"/>
      <c r="AM180" s="7"/>
    </row>
    <row r="181" spans="1:39" x14ac:dyDescent="0.2">
      <c r="A181" s="7">
        <v>180</v>
      </c>
      <c r="B181" s="7" t="s">
        <v>233</v>
      </c>
      <c r="C181" s="7" t="s">
        <v>14</v>
      </c>
      <c r="D181" s="7" t="s">
        <v>2</v>
      </c>
      <c r="E181" s="7" t="s">
        <v>4</v>
      </c>
      <c r="F181" s="7" t="s">
        <v>248</v>
      </c>
      <c r="G181">
        <v>2013</v>
      </c>
      <c r="H181" s="29" t="s">
        <v>240</v>
      </c>
      <c r="I181" s="30">
        <f>(18.5+17+16)/3</f>
        <v>17.166666666666668</v>
      </c>
      <c r="J181" s="30">
        <f>(3*(I181-5)*3.14)</f>
        <v>114.61</v>
      </c>
      <c r="K181" s="31">
        <v>83</v>
      </c>
      <c r="L181" s="32">
        <v>43086.367731481485</v>
      </c>
      <c r="M181" s="31" t="s">
        <v>94</v>
      </c>
      <c r="N181" s="31" t="s">
        <v>197</v>
      </c>
      <c r="O181" s="31">
        <v>1376</v>
      </c>
      <c r="P181" s="31">
        <v>187</v>
      </c>
      <c r="Q181" s="7">
        <v>53.28</v>
      </c>
      <c r="R181" s="7">
        <v>48.28</v>
      </c>
      <c r="S181" s="7">
        <v>48.28</v>
      </c>
      <c r="T181" s="33">
        <f t="shared" si="9"/>
        <v>169.4512012012012</v>
      </c>
      <c r="U181" s="33">
        <f t="shared" si="8"/>
        <v>1.4785027589320408</v>
      </c>
      <c r="V181" s="7"/>
      <c r="W181" s="35"/>
      <c r="X181" s="7"/>
      <c r="Y181" s="7"/>
      <c r="Z181" s="38"/>
      <c r="AA181" s="38"/>
      <c r="AB181" s="7"/>
      <c r="AC181" s="7"/>
      <c r="AE181" s="37">
        <v>1</v>
      </c>
      <c r="AG181" s="37">
        <v>1</v>
      </c>
      <c r="AH181" s="37">
        <v>6.09</v>
      </c>
      <c r="AI181" s="7"/>
      <c r="AJ181" s="7"/>
      <c r="AK181" s="7"/>
      <c r="AL181" s="7"/>
      <c r="AM181" s="7"/>
    </row>
    <row r="182" spans="1:39" x14ac:dyDescent="0.2">
      <c r="A182" s="7">
        <v>181</v>
      </c>
      <c r="B182" s="7" t="s">
        <v>233</v>
      </c>
      <c r="C182" s="7" t="s">
        <v>14</v>
      </c>
      <c r="D182" s="7" t="s">
        <v>2</v>
      </c>
      <c r="E182" s="7" t="s">
        <v>5</v>
      </c>
      <c r="F182" s="7" t="s">
        <v>248</v>
      </c>
      <c r="G182">
        <v>2013</v>
      </c>
      <c r="H182" s="29" t="s">
        <v>239</v>
      </c>
      <c r="I182" s="30">
        <v>5</v>
      </c>
      <c r="J182" s="30">
        <f>(6*5*2.83)+(3*5*3.14)</f>
        <v>132</v>
      </c>
      <c r="K182" s="31">
        <v>84</v>
      </c>
      <c r="L182" s="32">
        <v>43086.374363425923</v>
      </c>
      <c r="M182" s="31" t="s">
        <v>95</v>
      </c>
      <c r="N182" s="31" t="s">
        <v>198</v>
      </c>
      <c r="O182" s="31">
        <v>1376</v>
      </c>
      <c r="P182" s="31">
        <v>188.5</v>
      </c>
      <c r="Q182" s="7">
        <v>56.43</v>
      </c>
      <c r="R182" s="7">
        <v>46.71</v>
      </c>
      <c r="S182" s="7">
        <v>46.71</v>
      </c>
      <c r="T182" s="33">
        <f t="shared" si="9"/>
        <v>156.03110047846889</v>
      </c>
      <c r="U182" s="33">
        <f t="shared" si="8"/>
        <v>1.1820537915035523</v>
      </c>
      <c r="V182" s="7"/>
      <c r="W182" s="35"/>
      <c r="X182" s="7"/>
      <c r="Y182" s="7"/>
      <c r="Z182" s="38"/>
      <c r="AA182" s="38"/>
      <c r="AB182" s="7"/>
      <c r="AC182" s="7"/>
      <c r="AE182" s="37">
        <v>1</v>
      </c>
      <c r="AG182" s="37">
        <v>1</v>
      </c>
      <c r="AH182" s="37">
        <v>6.14</v>
      </c>
      <c r="AI182" s="7"/>
      <c r="AJ182" s="7"/>
      <c r="AK182" s="7"/>
      <c r="AL182" s="7"/>
      <c r="AM182" s="7"/>
    </row>
    <row r="183" spans="1:39" x14ac:dyDescent="0.2">
      <c r="A183" s="7">
        <v>182</v>
      </c>
      <c r="B183" s="7" t="s">
        <v>233</v>
      </c>
      <c r="C183" s="7" t="s">
        <v>14</v>
      </c>
      <c r="D183" s="7" t="s">
        <v>2</v>
      </c>
      <c r="E183" s="7" t="s">
        <v>5</v>
      </c>
      <c r="F183" s="7" t="s">
        <v>248</v>
      </c>
      <c r="G183">
        <v>2013</v>
      </c>
      <c r="H183" s="29" t="s">
        <v>240</v>
      </c>
      <c r="I183" s="30">
        <f>(20+19+20)/3</f>
        <v>19.666666666666668</v>
      </c>
      <c r="J183" s="30">
        <f>(3*(I183-5)*3.14)</f>
        <v>138.16</v>
      </c>
      <c r="K183" s="31">
        <v>84</v>
      </c>
      <c r="L183" s="32">
        <v>43086.374363425923</v>
      </c>
      <c r="M183" s="31" t="s">
        <v>95</v>
      </c>
      <c r="N183" s="31" t="s">
        <v>198</v>
      </c>
      <c r="O183" s="31">
        <v>1376</v>
      </c>
      <c r="P183" s="31">
        <v>225</v>
      </c>
      <c r="Q183" s="7">
        <v>45.98</v>
      </c>
      <c r="R183" s="7">
        <v>39.119999999999997</v>
      </c>
      <c r="S183" s="7">
        <v>39.119999999999997</v>
      </c>
      <c r="T183" s="33">
        <f t="shared" si="9"/>
        <v>191.43105698129622</v>
      </c>
      <c r="U183" s="33">
        <f t="shared" si="8"/>
        <v>1.3855751084343966</v>
      </c>
      <c r="V183" s="7"/>
      <c r="W183" s="35"/>
      <c r="X183" s="7"/>
      <c r="Y183" s="7"/>
      <c r="Z183" s="38"/>
      <c r="AA183" s="38"/>
      <c r="AB183" s="7"/>
      <c r="AC183" s="7"/>
      <c r="AE183" s="37">
        <v>1</v>
      </c>
      <c r="AG183" s="37">
        <v>1</v>
      </c>
      <c r="AH183" s="37">
        <v>6.03</v>
      </c>
      <c r="AI183" s="7"/>
      <c r="AJ183" s="7"/>
      <c r="AK183" s="7"/>
      <c r="AL183" s="7"/>
      <c r="AM183" s="7"/>
    </row>
    <row r="184" spans="1:39" x14ac:dyDescent="0.2">
      <c r="A184" s="7">
        <v>183</v>
      </c>
      <c r="B184" s="7" t="s">
        <v>233</v>
      </c>
      <c r="C184" s="7" t="s">
        <v>14</v>
      </c>
      <c r="D184" s="7" t="s">
        <v>2</v>
      </c>
      <c r="E184" s="7" t="s">
        <v>6</v>
      </c>
      <c r="F184" s="7" t="s">
        <v>248</v>
      </c>
      <c r="G184">
        <v>2013</v>
      </c>
      <c r="H184" s="29" t="s">
        <v>239</v>
      </c>
      <c r="I184" s="30">
        <v>5</v>
      </c>
      <c r="J184" s="30">
        <f>(6*5*2.83)+(3*5*3.14)</f>
        <v>132</v>
      </c>
      <c r="K184" s="31">
        <v>85</v>
      </c>
      <c r="L184" s="32">
        <v>43086.384027777778</v>
      </c>
      <c r="M184" s="31" t="s">
        <v>94</v>
      </c>
      <c r="N184" s="31" t="s">
        <v>199</v>
      </c>
      <c r="O184" s="31">
        <v>1377</v>
      </c>
      <c r="P184" s="31">
        <v>167</v>
      </c>
      <c r="Q184" s="7">
        <v>52.6</v>
      </c>
      <c r="R184" s="7">
        <v>45.15</v>
      </c>
      <c r="S184" s="7">
        <v>45.15</v>
      </c>
      <c r="T184" s="33">
        <f t="shared" si="9"/>
        <v>143.34695817490493</v>
      </c>
      <c r="U184" s="33">
        <f t="shared" si="8"/>
        <v>1.0859618043553403</v>
      </c>
      <c r="V184" s="7"/>
      <c r="W184" s="35"/>
      <c r="X184" s="7"/>
      <c r="Y184" s="7"/>
      <c r="Z184" s="38"/>
      <c r="AA184" s="38"/>
      <c r="AB184" s="7"/>
      <c r="AC184" s="7"/>
      <c r="AE184" s="37">
        <v>1</v>
      </c>
      <c r="AG184" s="37">
        <v>1</v>
      </c>
      <c r="AH184" s="37">
        <v>6.17</v>
      </c>
      <c r="AI184" s="7"/>
      <c r="AJ184" s="7"/>
      <c r="AK184" s="7"/>
      <c r="AL184" s="7"/>
      <c r="AM184" s="7"/>
    </row>
    <row r="185" spans="1:39" x14ac:dyDescent="0.2">
      <c r="A185" s="7">
        <v>184</v>
      </c>
      <c r="B185" s="7" t="s">
        <v>233</v>
      </c>
      <c r="C185" s="7" t="s">
        <v>14</v>
      </c>
      <c r="D185" s="7" t="s">
        <v>2</v>
      </c>
      <c r="E185" s="7" t="s">
        <v>6</v>
      </c>
      <c r="F185" s="7" t="s">
        <v>248</v>
      </c>
      <c r="G185">
        <v>2013</v>
      </c>
      <c r="H185" s="29" t="s">
        <v>240</v>
      </c>
      <c r="I185" s="30">
        <f>(17.5+18+18.5)/3</f>
        <v>18</v>
      </c>
      <c r="J185" s="30">
        <f>(3*(I185-5)*3.14)</f>
        <v>122.46000000000001</v>
      </c>
      <c r="K185" s="31">
        <v>85</v>
      </c>
      <c r="L185" s="32">
        <v>43086.384027777778</v>
      </c>
      <c r="M185" s="31" t="s">
        <v>94</v>
      </c>
      <c r="N185" s="31" t="s">
        <v>199</v>
      </c>
      <c r="O185" s="31">
        <v>1377</v>
      </c>
      <c r="P185" s="31">
        <v>204.5</v>
      </c>
      <c r="Q185" s="7">
        <v>57.74</v>
      </c>
      <c r="R185" s="7">
        <v>50.28</v>
      </c>
      <c r="S185" s="7">
        <v>50.28</v>
      </c>
      <c r="T185" s="33">
        <f t="shared" si="9"/>
        <v>178.07862833391064</v>
      </c>
      <c r="U185" s="33">
        <f t="shared" si="8"/>
        <v>1.4541779220472859</v>
      </c>
      <c r="V185" s="7"/>
      <c r="W185" s="35"/>
      <c r="X185" s="7"/>
      <c r="Y185" s="7"/>
      <c r="Z185" s="38"/>
      <c r="AA185" s="38"/>
      <c r="AB185" s="7"/>
      <c r="AC185" s="7"/>
      <c r="AE185" s="37">
        <v>1</v>
      </c>
      <c r="AG185" s="37">
        <v>1</v>
      </c>
      <c r="AH185" s="37">
        <v>5.95</v>
      </c>
      <c r="AI185" s="7"/>
      <c r="AJ185" s="7"/>
      <c r="AK185" s="7"/>
      <c r="AL185" s="7"/>
      <c r="AM185" s="7"/>
    </row>
    <row r="186" spans="1:39" x14ac:dyDescent="0.2">
      <c r="A186" s="7">
        <v>185</v>
      </c>
      <c r="B186" s="7" t="s">
        <v>233</v>
      </c>
      <c r="C186" s="7" t="s">
        <v>14</v>
      </c>
      <c r="D186" s="7" t="s">
        <v>7</v>
      </c>
      <c r="E186" s="7" t="s">
        <v>3</v>
      </c>
      <c r="F186" s="7" t="s">
        <v>248</v>
      </c>
      <c r="G186">
        <v>2010</v>
      </c>
      <c r="H186" s="29" t="s">
        <v>239</v>
      </c>
      <c r="I186" s="30">
        <v>5</v>
      </c>
      <c r="J186" s="30">
        <f>(6*5*2.83)+(3*5*3.14)</f>
        <v>132</v>
      </c>
      <c r="K186" s="31">
        <v>86</v>
      </c>
      <c r="L186" s="32">
        <v>43086.407962962963</v>
      </c>
      <c r="M186" s="31" t="s">
        <v>96</v>
      </c>
      <c r="N186" s="31" t="s">
        <v>200</v>
      </c>
      <c r="O186" s="31">
        <v>1370</v>
      </c>
      <c r="P186" s="31">
        <v>156</v>
      </c>
      <c r="Q186" s="7">
        <v>101.39</v>
      </c>
      <c r="R186" s="7">
        <v>87.77</v>
      </c>
      <c r="S186" s="7">
        <v>87.77</v>
      </c>
      <c r="T186" s="33">
        <f t="shared" si="9"/>
        <v>135.0440871880856</v>
      </c>
      <c r="U186" s="33">
        <f t="shared" si="8"/>
        <v>1.0230612665764061</v>
      </c>
      <c r="V186" s="7"/>
      <c r="W186" s="35"/>
      <c r="X186" s="7"/>
      <c r="Y186" s="7"/>
      <c r="Z186" s="38"/>
      <c r="AA186" s="38"/>
      <c r="AB186" s="7"/>
      <c r="AC186" s="7"/>
      <c r="AE186" s="37">
        <v>1</v>
      </c>
      <c r="AG186" s="37">
        <v>1</v>
      </c>
      <c r="AH186" s="37">
        <v>6.66</v>
      </c>
      <c r="AI186" s="37"/>
      <c r="AJ186" s="37"/>
      <c r="AK186" s="37"/>
      <c r="AL186" s="37"/>
      <c r="AM186" s="37"/>
    </row>
    <row r="187" spans="1:39" x14ac:dyDescent="0.2">
      <c r="A187" s="7">
        <v>186</v>
      </c>
      <c r="B187" s="7" t="s">
        <v>233</v>
      </c>
      <c r="C187" s="7" t="s">
        <v>14</v>
      </c>
      <c r="D187" s="7" t="s">
        <v>7</v>
      </c>
      <c r="E187" s="7" t="s">
        <v>3</v>
      </c>
      <c r="F187" s="7" t="s">
        <v>248</v>
      </c>
      <c r="G187">
        <v>2010</v>
      </c>
      <c r="H187" s="29" t="s">
        <v>240</v>
      </c>
      <c r="I187" s="30">
        <f>(17.5+18.5+18)/3</f>
        <v>18</v>
      </c>
      <c r="J187" s="30">
        <f>(3*(I187-5)*3.14)</f>
        <v>122.46000000000001</v>
      </c>
      <c r="K187" s="31">
        <v>86</v>
      </c>
      <c r="L187" s="32">
        <v>43086.407962962963</v>
      </c>
      <c r="M187" s="31" t="s">
        <v>96</v>
      </c>
      <c r="N187" s="31" t="s">
        <v>200</v>
      </c>
      <c r="O187" s="31">
        <v>1370</v>
      </c>
      <c r="P187" s="31">
        <v>183</v>
      </c>
      <c r="Q187" s="7">
        <v>98.86</v>
      </c>
      <c r="R187" s="7">
        <v>84.28</v>
      </c>
      <c r="S187" s="7">
        <v>72.3</v>
      </c>
      <c r="T187" s="33">
        <f t="shared" si="9"/>
        <v>133.8347157596601</v>
      </c>
      <c r="U187" s="33">
        <f t="shared" si="8"/>
        <v>1.0928851523735104</v>
      </c>
      <c r="V187" s="7"/>
      <c r="W187" s="35"/>
      <c r="X187" s="7"/>
      <c r="Y187" s="7"/>
      <c r="Z187" s="38"/>
      <c r="AA187" s="38"/>
      <c r="AB187" s="7"/>
      <c r="AC187" s="7"/>
      <c r="AE187" s="37">
        <v>1</v>
      </c>
      <c r="AG187" s="37">
        <v>1</v>
      </c>
      <c r="AH187" s="37">
        <v>6.44</v>
      </c>
      <c r="AI187" s="37"/>
      <c r="AJ187" s="37"/>
      <c r="AK187" s="37"/>
      <c r="AL187" s="37"/>
      <c r="AM187" s="37"/>
    </row>
    <row r="188" spans="1:39" x14ac:dyDescent="0.2">
      <c r="A188" s="7">
        <v>187</v>
      </c>
      <c r="B188" s="7" t="s">
        <v>233</v>
      </c>
      <c r="C188" s="7" t="s">
        <v>14</v>
      </c>
      <c r="D188" s="7" t="s">
        <v>7</v>
      </c>
      <c r="E188" s="7" t="s">
        <v>4</v>
      </c>
      <c r="F188" s="7" t="s">
        <v>248</v>
      </c>
      <c r="G188">
        <v>2010</v>
      </c>
      <c r="H188" s="29" t="s">
        <v>239</v>
      </c>
      <c r="I188" s="30">
        <v>5</v>
      </c>
      <c r="J188" s="30">
        <f>(6*5*2.83)+(3*5*3.14)</f>
        <v>132</v>
      </c>
      <c r="K188" s="31">
        <v>87</v>
      </c>
      <c r="L188" s="32">
        <v>43086.417662037034</v>
      </c>
      <c r="M188" s="31" t="s">
        <v>97</v>
      </c>
      <c r="N188" s="31" t="s">
        <v>201</v>
      </c>
      <c r="O188" s="31">
        <v>1371</v>
      </c>
      <c r="P188" s="31">
        <v>167.5</v>
      </c>
      <c r="Q188" s="7">
        <v>47.15</v>
      </c>
      <c r="R188" s="7">
        <v>40.9</v>
      </c>
      <c r="S188" s="7">
        <v>38.9</v>
      </c>
      <c r="T188" s="33">
        <f t="shared" si="9"/>
        <v>138.19194061505831</v>
      </c>
      <c r="U188" s="33">
        <f t="shared" si="8"/>
        <v>1.0469086410231689</v>
      </c>
      <c r="V188" s="7"/>
      <c r="W188" s="35"/>
      <c r="X188" s="7"/>
      <c r="Y188" s="7"/>
      <c r="Z188" s="38"/>
      <c r="AA188" s="38"/>
      <c r="AB188" s="7"/>
      <c r="AC188" s="7"/>
      <c r="AE188" s="37">
        <v>1</v>
      </c>
      <c r="AG188" s="37">
        <v>1</v>
      </c>
      <c r="AH188" s="37">
        <v>6.42</v>
      </c>
      <c r="AI188" s="7"/>
      <c r="AJ188" s="7"/>
      <c r="AK188" s="7"/>
      <c r="AL188" s="7"/>
      <c r="AM188" s="7"/>
    </row>
    <row r="189" spans="1:39" x14ac:dyDescent="0.2">
      <c r="A189" s="7">
        <v>188</v>
      </c>
      <c r="B189" s="7" t="s">
        <v>233</v>
      </c>
      <c r="C189" s="7" t="s">
        <v>14</v>
      </c>
      <c r="D189" s="7" t="s">
        <v>7</v>
      </c>
      <c r="E189" s="7" t="s">
        <v>4</v>
      </c>
      <c r="F189" s="7" t="s">
        <v>248</v>
      </c>
      <c r="G189">
        <v>2010</v>
      </c>
      <c r="H189" s="29" t="s">
        <v>240</v>
      </c>
      <c r="I189" s="30">
        <f>(16.5+20+18)/3</f>
        <v>18.166666666666668</v>
      </c>
      <c r="J189" s="30">
        <f>(3*(I189-5)*3.14)</f>
        <v>124.03</v>
      </c>
      <c r="K189" s="31">
        <v>87</v>
      </c>
      <c r="L189" s="32">
        <v>43086.417662037034</v>
      </c>
      <c r="M189" s="31" t="s">
        <v>97</v>
      </c>
      <c r="N189" s="31" t="s">
        <v>201</v>
      </c>
      <c r="O189" s="31">
        <v>1371</v>
      </c>
      <c r="P189" s="31">
        <v>183</v>
      </c>
      <c r="Q189" s="7">
        <v>47.09</v>
      </c>
      <c r="R189" s="7">
        <v>40.81</v>
      </c>
      <c r="S189" s="7">
        <v>40.81</v>
      </c>
      <c r="T189" s="33">
        <f t="shared" si="9"/>
        <v>158.59481843278829</v>
      </c>
      <c r="U189" s="33">
        <f t="shared" si="8"/>
        <v>1.2786811128983979</v>
      </c>
      <c r="V189" s="7"/>
      <c r="W189" s="35"/>
      <c r="X189" s="7"/>
      <c r="Y189" s="7"/>
      <c r="Z189" s="38"/>
      <c r="AA189" s="38"/>
      <c r="AB189" s="7"/>
      <c r="AC189" s="7"/>
      <c r="AE189" s="37">
        <v>1</v>
      </c>
      <c r="AG189" s="37">
        <v>1</v>
      </c>
      <c r="AH189" s="37">
        <v>6.43</v>
      </c>
      <c r="AI189" s="7"/>
      <c r="AJ189" s="7"/>
      <c r="AK189" s="7"/>
      <c r="AL189" s="7"/>
      <c r="AM189" s="7"/>
    </row>
    <row r="190" spans="1:39" x14ac:dyDescent="0.2">
      <c r="A190" s="7">
        <v>189</v>
      </c>
      <c r="B190" s="7" t="s">
        <v>233</v>
      </c>
      <c r="C190" s="7" t="s">
        <v>14</v>
      </c>
      <c r="D190" s="7" t="s">
        <v>7</v>
      </c>
      <c r="E190" s="7" t="s">
        <v>5</v>
      </c>
      <c r="F190" s="7" t="s">
        <v>248</v>
      </c>
      <c r="G190">
        <v>2010</v>
      </c>
      <c r="H190" s="29" t="s">
        <v>239</v>
      </c>
      <c r="I190" s="30">
        <v>5</v>
      </c>
      <c r="J190" s="30">
        <f>(6*5*2.83)+(3*5*3.14)</f>
        <v>132</v>
      </c>
      <c r="K190" s="31">
        <v>88</v>
      </c>
      <c r="L190" s="32">
        <v>43086.423634259256</v>
      </c>
      <c r="M190" s="31" t="s">
        <v>98</v>
      </c>
      <c r="N190" s="31" t="s">
        <v>202</v>
      </c>
      <c r="O190" s="31">
        <v>1371</v>
      </c>
      <c r="P190" s="31">
        <v>133</v>
      </c>
      <c r="Q190" s="7">
        <v>57.36</v>
      </c>
      <c r="R190" s="7">
        <v>48.8</v>
      </c>
      <c r="S190" s="7">
        <v>48.8</v>
      </c>
      <c r="T190" s="33">
        <f t="shared" si="9"/>
        <v>113.15202231520223</v>
      </c>
      <c r="U190" s="33">
        <f t="shared" si="8"/>
        <v>0.85721229026668355</v>
      </c>
      <c r="V190" s="7"/>
      <c r="W190" s="35"/>
      <c r="X190" s="7"/>
      <c r="Y190" s="7"/>
      <c r="Z190" s="38"/>
      <c r="AA190" s="38"/>
      <c r="AB190" s="7"/>
      <c r="AC190" s="7"/>
      <c r="AE190" s="37">
        <v>1</v>
      </c>
      <c r="AG190" s="37">
        <v>1</v>
      </c>
      <c r="AH190" s="37">
        <v>6.47</v>
      </c>
      <c r="AI190" s="7"/>
      <c r="AJ190" s="7"/>
      <c r="AK190" s="7"/>
      <c r="AL190" s="7"/>
      <c r="AM190" s="7"/>
    </row>
    <row r="191" spans="1:39" x14ac:dyDescent="0.2">
      <c r="A191" s="7">
        <v>190</v>
      </c>
      <c r="B191" s="7" t="s">
        <v>233</v>
      </c>
      <c r="C191" s="7" t="s">
        <v>14</v>
      </c>
      <c r="D191" s="7" t="s">
        <v>7</v>
      </c>
      <c r="E191" s="7" t="s">
        <v>5</v>
      </c>
      <c r="F191" s="7" t="s">
        <v>248</v>
      </c>
      <c r="G191">
        <v>2010</v>
      </c>
      <c r="H191" s="29" t="s">
        <v>240</v>
      </c>
      <c r="I191" s="30">
        <f>(17.5+18+15.5)/3</f>
        <v>17</v>
      </c>
      <c r="J191" s="30">
        <f>(3*(I191-5)*3.14)</f>
        <v>113.04</v>
      </c>
      <c r="K191" s="31">
        <v>88</v>
      </c>
      <c r="L191" s="32">
        <v>43086.423634259256</v>
      </c>
      <c r="M191" s="31" t="s">
        <v>98</v>
      </c>
      <c r="N191" s="31" t="s">
        <v>202</v>
      </c>
      <c r="O191" s="31">
        <v>1371</v>
      </c>
      <c r="P191" s="31">
        <v>182</v>
      </c>
      <c r="Q191" s="7">
        <v>43.73</v>
      </c>
      <c r="R191" s="7">
        <v>36.56</v>
      </c>
      <c r="S191" s="7">
        <v>36.56</v>
      </c>
      <c r="T191" s="33">
        <f t="shared" si="9"/>
        <v>152.15915847244457</v>
      </c>
      <c r="U191" s="33">
        <f t="shared" si="8"/>
        <v>1.346064742325235</v>
      </c>
      <c r="V191" s="7"/>
      <c r="W191" s="35"/>
      <c r="X191" s="7"/>
      <c r="Y191" s="7"/>
      <c r="Z191" s="38"/>
      <c r="AA191" s="38"/>
      <c r="AB191" s="7"/>
      <c r="AC191" s="7"/>
      <c r="AE191" s="37">
        <v>1</v>
      </c>
      <c r="AG191" s="37">
        <v>1</v>
      </c>
      <c r="AH191" s="37">
        <v>6.37</v>
      </c>
      <c r="AI191" s="7"/>
      <c r="AJ191" s="7"/>
      <c r="AK191" s="7"/>
      <c r="AL191" s="7"/>
      <c r="AM191" s="7"/>
    </row>
    <row r="192" spans="1:39" x14ac:dyDescent="0.2">
      <c r="A192" s="7">
        <v>191</v>
      </c>
      <c r="B192" s="7" t="s">
        <v>233</v>
      </c>
      <c r="C192" s="7" t="s">
        <v>14</v>
      </c>
      <c r="D192" s="7" t="s">
        <v>7</v>
      </c>
      <c r="E192" s="7" t="s">
        <v>6</v>
      </c>
      <c r="F192" s="7" t="s">
        <v>248</v>
      </c>
      <c r="G192">
        <v>2010</v>
      </c>
      <c r="H192" s="29" t="s">
        <v>239</v>
      </c>
      <c r="I192" s="30">
        <v>5</v>
      </c>
      <c r="J192" s="30">
        <f>(6*5*2.83)+(3*5*3.14)</f>
        <v>132</v>
      </c>
      <c r="K192" s="31">
        <v>89</v>
      </c>
      <c r="L192" s="32">
        <v>43086.430243055554</v>
      </c>
      <c r="M192" s="31" t="s">
        <v>99</v>
      </c>
      <c r="N192" s="31" t="s">
        <v>202</v>
      </c>
      <c r="O192" s="31">
        <v>1373</v>
      </c>
      <c r="P192" s="31">
        <v>161</v>
      </c>
      <c r="Q192" s="7">
        <v>56.05</v>
      </c>
      <c r="R192" s="7">
        <v>50.27</v>
      </c>
      <c r="S192" s="7">
        <v>47.4</v>
      </c>
      <c r="T192" s="33">
        <f t="shared" si="9"/>
        <v>136.15343443354149</v>
      </c>
      <c r="U192" s="33">
        <f t="shared" si="8"/>
        <v>1.0314654123753144</v>
      </c>
      <c r="V192" s="7"/>
      <c r="W192" s="35"/>
      <c r="X192" s="7"/>
      <c r="Y192" s="7"/>
      <c r="Z192" s="38"/>
      <c r="AA192" s="38"/>
      <c r="AB192" s="7"/>
      <c r="AC192" s="7"/>
      <c r="AE192" s="37">
        <v>1</v>
      </c>
      <c r="AG192" s="37">
        <v>1</v>
      </c>
      <c r="AH192" s="37">
        <v>6.42</v>
      </c>
      <c r="AI192" s="7"/>
      <c r="AJ192" s="7"/>
      <c r="AK192" s="7"/>
      <c r="AL192" s="7"/>
      <c r="AM192" s="7"/>
    </row>
    <row r="193" spans="1:39" x14ac:dyDescent="0.2">
      <c r="A193" s="7">
        <v>192</v>
      </c>
      <c r="B193" s="7" t="s">
        <v>233</v>
      </c>
      <c r="C193" s="7" t="s">
        <v>14</v>
      </c>
      <c r="D193" s="7" t="s">
        <v>7</v>
      </c>
      <c r="E193" s="7" t="s">
        <v>6</v>
      </c>
      <c r="F193" s="7" t="s">
        <v>248</v>
      </c>
      <c r="G193">
        <v>2010</v>
      </c>
      <c r="H193" s="29" t="s">
        <v>240</v>
      </c>
      <c r="I193" s="30">
        <v>17</v>
      </c>
      <c r="J193" s="30">
        <f>(3*(I193-5)*3.14)</f>
        <v>113.04</v>
      </c>
      <c r="K193" s="31">
        <v>89</v>
      </c>
      <c r="L193" s="32">
        <v>43086.430243055554</v>
      </c>
      <c r="M193" s="31" t="s">
        <v>99</v>
      </c>
      <c r="N193" s="31" t="s">
        <v>202</v>
      </c>
      <c r="O193" s="31">
        <v>1373</v>
      </c>
      <c r="P193" s="31">
        <v>168.5</v>
      </c>
      <c r="Q193" s="7">
        <v>49.76</v>
      </c>
      <c r="R193" s="7">
        <v>44.88</v>
      </c>
      <c r="S193" s="7">
        <v>44.88</v>
      </c>
      <c r="T193" s="33">
        <f t="shared" si="9"/>
        <v>151.9750803858521</v>
      </c>
      <c r="U193" s="33">
        <f t="shared" si="8"/>
        <v>1.344436309145896</v>
      </c>
      <c r="V193" s="7"/>
      <c r="W193" s="35"/>
      <c r="X193" s="7"/>
      <c r="Y193" s="7"/>
      <c r="Z193" s="38"/>
      <c r="AA193" s="38"/>
      <c r="AB193" s="7"/>
      <c r="AC193" s="7"/>
      <c r="AE193" s="37">
        <v>1</v>
      </c>
      <c r="AG193" s="37">
        <v>1</v>
      </c>
      <c r="AH193" s="37">
        <v>6.48</v>
      </c>
      <c r="AI193" s="7"/>
      <c r="AJ193" s="7"/>
      <c r="AK193" s="7"/>
      <c r="AL193" s="7"/>
      <c r="AM193" s="7"/>
    </row>
    <row r="194" spans="1:39" x14ac:dyDescent="0.2">
      <c r="A194" s="7">
        <v>193</v>
      </c>
      <c r="B194" s="7" t="s">
        <v>233</v>
      </c>
      <c r="C194" s="7" t="s">
        <v>14</v>
      </c>
      <c r="D194" s="7" t="s">
        <v>8</v>
      </c>
      <c r="E194" s="7" t="s">
        <v>3</v>
      </c>
      <c r="F194" s="7" t="s">
        <v>248</v>
      </c>
      <c r="G194">
        <v>2007</v>
      </c>
      <c r="H194" s="29" t="s">
        <v>239</v>
      </c>
      <c r="I194" s="30">
        <v>5</v>
      </c>
      <c r="J194" s="30">
        <f>(6*5*2.83)+(3*5*3.14)</f>
        <v>132</v>
      </c>
      <c r="K194" s="31">
        <v>90</v>
      </c>
      <c r="L194" s="32">
        <v>43086.457499999997</v>
      </c>
      <c r="M194" s="31" t="s">
        <v>100</v>
      </c>
      <c r="N194" s="31" t="s">
        <v>203</v>
      </c>
      <c r="O194" s="31">
        <v>1372</v>
      </c>
      <c r="P194" s="31">
        <v>184.5</v>
      </c>
      <c r="Q194" s="7">
        <v>107.42</v>
      </c>
      <c r="R194" s="7">
        <v>95.5</v>
      </c>
      <c r="S194" s="7">
        <v>95.5</v>
      </c>
      <c r="T194" s="33">
        <f t="shared" si="9"/>
        <v>164.02671755725189</v>
      </c>
      <c r="U194" s="33">
        <f t="shared" si="8"/>
        <v>1.2426266481609991</v>
      </c>
      <c r="V194" s="34">
        <v>98.31</v>
      </c>
      <c r="W194" s="35">
        <f t="shared" si="10"/>
        <v>1.2216262578070782</v>
      </c>
      <c r="X194" s="34">
        <v>7.14</v>
      </c>
      <c r="Y194" s="34">
        <v>7.9859999999999998</v>
      </c>
      <c r="Z194" s="35">
        <f>1-(X194/Y194)</f>
        <v>0.10593538692712245</v>
      </c>
      <c r="AA194" s="35">
        <f>+X194/Y194</f>
        <v>0.89406461307287755</v>
      </c>
      <c r="AB194" s="19">
        <v>21</v>
      </c>
      <c r="AC194" s="19">
        <v>36</v>
      </c>
      <c r="AD194" s="19">
        <v>44</v>
      </c>
      <c r="AE194" s="37">
        <v>1</v>
      </c>
      <c r="AF194" s="53">
        <f>+AE194*AA194</f>
        <v>0.89406461307287755</v>
      </c>
      <c r="AG194" s="37">
        <v>1</v>
      </c>
      <c r="AH194" s="37">
        <v>6.54</v>
      </c>
      <c r="AI194" s="7">
        <v>25.28</v>
      </c>
      <c r="AJ194" s="19">
        <v>0.92</v>
      </c>
      <c r="AK194" s="19">
        <v>3.5</v>
      </c>
      <c r="AL194" s="19">
        <v>0.52</v>
      </c>
      <c r="AM194" s="19">
        <v>56</v>
      </c>
    </row>
    <row r="195" spans="1:39" x14ac:dyDescent="0.2">
      <c r="A195" s="7">
        <v>194</v>
      </c>
      <c r="B195" s="7" t="s">
        <v>233</v>
      </c>
      <c r="C195" s="7" t="s">
        <v>14</v>
      </c>
      <c r="D195" s="7" t="s">
        <v>8</v>
      </c>
      <c r="E195" s="7" t="s">
        <v>3</v>
      </c>
      <c r="F195" s="7" t="s">
        <v>248</v>
      </c>
      <c r="G195">
        <v>2007</v>
      </c>
      <c r="H195" s="29" t="s">
        <v>240</v>
      </c>
      <c r="I195" s="30">
        <v>20</v>
      </c>
      <c r="J195" s="30">
        <f>(3*(I195-5)*3.14)</f>
        <v>141.30000000000001</v>
      </c>
      <c r="K195" s="31">
        <v>90</v>
      </c>
      <c r="L195" s="32">
        <v>43086.457499999997</v>
      </c>
      <c r="M195" s="31" t="s">
        <v>100</v>
      </c>
      <c r="N195" s="31" t="s">
        <v>203</v>
      </c>
      <c r="O195" s="31">
        <v>1372</v>
      </c>
      <c r="P195" s="31">
        <v>229.5</v>
      </c>
      <c r="Q195" s="7">
        <v>112.61</v>
      </c>
      <c r="R195" s="7">
        <v>99.17</v>
      </c>
      <c r="S195" s="7">
        <v>99.17</v>
      </c>
      <c r="T195" s="33">
        <f t="shared" si="9"/>
        <v>202.10918213302548</v>
      </c>
      <c r="U195" s="33">
        <f t="shared" ref="U195:U241" si="11">+T195/J195</f>
        <v>1.430355146022827</v>
      </c>
      <c r="V195" s="34">
        <v>98.7</v>
      </c>
      <c r="W195" s="35">
        <f t="shared" si="10"/>
        <v>1.4117605291245303</v>
      </c>
      <c r="X195" s="34">
        <v>5.72</v>
      </c>
      <c r="Y195" s="34">
        <v>6.6260000000000003</v>
      </c>
      <c r="Z195" s="35">
        <f>1-(X195/Y195)</f>
        <v>0.13673407787503777</v>
      </c>
      <c r="AA195" s="35">
        <f>+X195/Y195</f>
        <v>0.86326592212496223</v>
      </c>
      <c r="AB195" s="19">
        <v>22</v>
      </c>
      <c r="AC195" s="19">
        <v>37</v>
      </c>
      <c r="AD195" s="19">
        <v>41</v>
      </c>
      <c r="AE195" s="37">
        <v>1</v>
      </c>
      <c r="AF195" s="53">
        <f>+AE195*AA195</f>
        <v>0.86326592212496223</v>
      </c>
      <c r="AG195" s="37">
        <v>1</v>
      </c>
      <c r="AH195" s="37">
        <v>6.41</v>
      </c>
      <c r="AI195" s="7">
        <v>23.53</v>
      </c>
      <c r="AJ195" s="19">
        <v>1.1000000000000001</v>
      </c>
      <c r="AK195" s="19">
        <v>4.3</v>
      </c>
      <c r="AL195" s="19">
        <v>0.49</v>
      </c>
      <c r="AM195" s="19">
        <v>37</v>
      </c>
    </row>
    <row r="196" spans="1:39" x14ac:dyDescent="0.2">
      <c r="A196" s="7">
        <v>195</v>
      </c>
      <c r="B196" s="7" t="s">
        <v>233</v>
      </c>
      <c r="C196" s="7" t="s">
        <v>14</v>
      </c>
      <c r="D196" s="7" t="s">
        <v>8</v>
      </c>
      <c r="E196" s="7" t="s">
        <v>4</v>
      </c>
      <c r="F196" s="7" t="s">
        <v>248</v>
      </c>
      <c r="G196">
        <v>2007</v>
      </c>
      <c r="H196" s="29" t="s">
        <v>239</v>
      </c>
      <c r="I196" s="30">
        <v>5</v>
      </c>
      <c r="J196" s="30">
        <f>(6*5*2.83)+(3*5*3.14)</f>
        <v>132</v>
      </c>
      <c r="K196" s="31">
        <v>91</v>
      </c>
      <c r="L196" s="32">
        <v>43086.465462962966</v>
      </c>
      <c r="M196" s="31" t="s">
        <v>101</v>
      </c>
      <c r="N196" s="31" t="s">
        <v>204</v>
      </c>
      <c r="O196" s="31">
        <v>1370</v>
      </c>
      <c r="P196" s="31">
        <v>188</v>
      </c>
      <c r="Q196" s="7">
        <v>55.43</v>
      </c>
      <c r="R196" s="7">
        <v>48.72</v>
      </c>
      <c r="S196" s="7">
        <v>48.72</v>
      </c>
      <c r="T196" s="33">
        <f t="shared" si="9"/>
        <v>165.24192675446508</v>
      </c>
      <c r="U196" s="33">
        <f t="shared" si="11"/>
        <v>1.2518327784429173</v>
      </c>
      <c r="V196" s="7"/>
      <c r="W196" s="35"/>
      <c r="X196" s="7"/>
      <c r="Y196" s="7"/>
      <c r="Z196" s="38"/>
      <c r="AA196" s="38"/>
      <c r="AB196" s="7"/>
      <c r="AC196" s="7"/>
      <c r="AE196" s="37">
        <v>1</v>
      </c>
      <c r="AG196" s="37">
        <v>1</v>
      </c>
      <c r="AH196" s="37">
        <v>6.34</v>
      </c>
      <c r="AI196" s="7"/>
      <c r="AJ196" s="7"/>
      <c r="AK196" s="7"/>
      <c r="AL196" s="7"/>
      <c r="AM196" s="7"/>
    </row>
    <row r="197" spans="1:39" x14ac:dyDescent="0.2">
      <c r="A197" s="7">
        <v>196</v>
      </c>
      <c r="B197" s="7" t="s">
        <v>233</v>
      </c>
      <c r="C197" s="7" t="s">
        <v>14</v>
      </c>
      <c r="D197" s="7" t="s">
        <v>8</v>
      </c>
      <c r="E197" s="7" t="s">
        <v>4</v>
      </c>
      <c r="F197" s="7" t="s">
        <v>248</v>
      </c>
      <c r="G197">
        <v>2007</v>
      </c>
      <c r="H197" s="29" t="s">
        <v>240</v>
      </c>
      <c r="I197" s="30">
        <v>20</v>
      </c>
      <c r="J197" s="30">
        <f>(3*(I197-5)*3.14)</f>
        <v>141.30000000000001</v>
      </c>
      <c r="K197" s="31">
        <v>91</v>
      </c>
      <c r="L197" s="32">
        <v>43086.465462962966</v>
      </c>
      <c r="M197" s="31" t="s">
        <v>101</v>
      </c>
      <c r="N197" s="31" t="s">
        <v>204</v>
      </c>
      <c r="O197" s="31">
        <v>1370</v>
      </c>
      <c r="P197" s="31">
        <v>241.5</v>
      </c>
      <c r="Q197" s="7">
        <v>53.03</v>
      </c>
      <c r="R197" s="7">
        <v>45.94</v>
      </c>
      <c r="S197" s="7">
        <v>45.94</v>
      </c>
      <c r="T197" s="33">
        <f t="shared" ref="T197:T241" si="12">+(S197/Q197)*P197</f>
        <v>209.21195549688855</v>
      </c>
      <c r="U197" s="33">
        <f t="shared" si="11"/>
        <v>1.4806224734387017</v>
      </c>
      <c r="V197" s="7"/>
      <c r="W197" s="35"/>
      <c r="X197" s="7"/>
      <c r="Y197" s="7"/>
      <c r="Z197" s="38"/>
      <c r="AA197" s="38"/>
      <c r="AB197" s="7"/>
      <c r="AC197" s="7"/>
      <c r="AE197" s="37">
        <v>1</v>
      </c>
      <c r="AG197" s="37">
        <v>1</v>
      </c>
      <c r="AH197" s="37">
        <v>6.23</v>
      </c>
      <c r="AI197" s="7"/>
      <c r="AJ197" s="7"/>
      <c r="AK197" s="7"/>
      <c r="AL197" s="7"/>
      <c r="AM197" s="7"/>
    </row>
    <row r="198" spans="1:39" x14ac:dyDescent="0.2">
      <c r="A198" s="7">
        <v>197</v>
      </c>
      <c r="B198" s="7" t="s">
        <v>233</v>
      </c>
      <c r="C198" s="7" t="s">
        <v>14</v>
      </c>
      <c r="D198" s="7" t="s">
        <v>8</v>
      </c>
      <c r="E198" s="7" t="s">
        <v>5</v>
      </c>
      <c r="F198" s="7" t="s">
        <v>248</v>
      </c>
      <c r="G198">
        <v>2007</v>
      </c>
      <c r="H198" s="29" t="s">
        <v>239</v>
      </c>
      <c r="I198" s="30">
        <v>5</v>
      </c>
      <c r="J198" s="30">
        <f>(6*5*2.83)+(3*5*3.14)</f>
        <v>132</v>
      </c>
      <c r="K198" s="31">
        <v>92</v>
      </c>
      <c r="L198" s="32">
        <v>43086.474976851852</v>
      </c>
      <c r="M198" s="31" t="s">
        <v>102</v>
      </c>
      <c r="N198" s="31" t="s">
        <v>205</v>
      </c>
      <c r="O198" s="31">
        <v>1370</v>
      </c>
      <c r="P198" s="31">
        <v>230</v>
      </c>
      <c r="Q198" s="7">
        <v>53.74</v>
      </c>
      <c r="R198" s="7">
        <v>44.89</v>
      </c>
      <c r="S198" s="7">
        <v>44.89</v>
      </c>
      <c r="T198" s="33">
        <f t="shared" si="12"/>
        <v>192.12318570896912</v>
      </c>
      <c r="U198" s="33">
        <f t="shared" si="11"/>
        <v>1.4554786796134025</v>
      </c>
      <c r="V198" s="7"/>
      <c r="W198" s="35"/>
      <c r="X198" s="7"/>
      <c r="Y198" s="7"/>
      <c r="Z198" s="38"/>
      <c r="AA198" s="38"/>
      <c r="AB198" s="7"/>
      <c r="AC198" s="7"/>
      <c r="AE198" s="37">
        <v>1</v>
      </c>
      <c r="AG198" s="37">
        <v>1</v>
      </c>
      <c r="AH198" s="37">
        <v>6.33</v>
      </c>
      <c r="AI198" s="7"/>
      <c r="AJ198" s="7"/>
      <c r="AK198" s="7"/>
      <c r="AL198" s="7"/>
      <c r="AM198" s="7"/>
    </row>
    <row r="199" spans="1:39" x14ac:dyDescent="0.2">
      <c r="A199" s="7">
        <v>198</v>
      </c>
      <c r="B199" s="7" t="s">
        <v>233</v>
      </c>
      <c r="C199" s="7" t="s">
        <v>14</v>
      </c>
      <c r="D199" s="7" t="s">
        <v>8</v>
      </c>
      <c r="E199" s="7" t="s">
        <v>5</v>
      </c>
      <c r="F199" s="7" t="s">
        <v>248</v>
      </c>
      <c r="G199">
        <v>2007</v>
      </c>
      <c r="H199" s="29" t="s">
        <v>240</v>
      </c>
      <c r="I199" s="30">
        <v>20</v>
      </c>
      <c r="J199" s="30">
        <f>(3*(I199-5)*3.14)</f>
        <v>141.30000000000001</v>
      </c>
      <c r="K199" s="31">
        <v>92</v>
      </c>
      <c r="L199" s="32">
        <v>43086.474976851852</v>
      </c>
      <c r="M199" s="31" t="s">
        <v>102</v>
      </c>
      <c r="N199" s="31" t="s">
        <v>205</v>
      </c>
      <c r="O199" s="31">
        <v>1370</v>
      </c>
      <c r="P199" s="31">
        <v>242</v>
      </c>
      <c r="Q199" s="7">
        <v>51.43</v>
      </c>
      <c r="R199" s="7">
        <v>43.99</v>
      </c>
      <c r="S199" s="7">
        <v>43.99</v>
      </c>
      <c r="T199" s="33">
        <f t="shared" si="12"/>
        <v>206.99163912113553</v>
      </c>
      <c r="U199" s="33">
        <f t="shared" si="11"/>
        <v>1.4649089817490129</v>
      </c>
      <c r="V199" s="7"/>
      <c r="W199" s="35"/>
      <c r="X199" s="7"/>
      <c r="Y199" s="7"/>
      <c r="Z199" s="38"/>
      <c r="AA199" s="38"/>
      <c r="AB199" s="7"/>
      <c r="AC199" s="7"/>
      <c r="AE199" s="37">
        <v>1</v>
      </c>
      <c r="AG199" s="37">
        <v>1</v>
      </c>
      <c r="AH199" s="37">
        <v>6.04</v>
      </c>
      <c r="AI199" s="7"/>
      <c r="AJ199" s="7"/>
      <c r="AK199" s="7"/>
      <c r="AL199" s="7"/>
      <c r="AM199" s="7"/>
    </row>
    <row r="200" spans="1:39" x14ac:dyDescent="0.2">
      <c r="A200" s="7">
        <v>199</v>
      </c>
      <c r="B200" s="7" t="s">
        <v>233</v>
      </c>
      <c r="C200" s="7" t="s">
        <v>14</v>
      </c>
      <c r="D200" s="7" t="s">
        <v>8</v>
      </c>
      <c r="E200" s="7" t="s">
        <v>6</v>
      </c>
      <c r="F200" s="7" t="s">
        <v>248</v>
      </c>
      <c r="G200">
        <v>2007</v>
      </c>
      <c r="H200" s="29" t="s">
        <v>239</v>
      </c>
      <c r="I200" s="30">
        <v>5</v>
      </c>
      <c r="J200" s="30">
        <f>(6*5*2.83)+(3*5*3.14)</f>
        <v>132</v>
      </c>
      <c r="K200" s="31">
        <v>93</v>
      </c>
      <c r="L200" s="32">
        <v>43086.483819444446</v>
      </c>
      <c r="M200" s="31" t="s">
        <v>103</v>
      </c>
      <c r="N200" s="31" t="s">
        <v>204</v>
      </c>
      <c r="O200" s="31">
        <v>1370</v>
      </c>
      <c r="P200" s="31">
        <v>175.4</v>
      </c>
      <c r="Q200" s="7">
        <v>50.19</v>
      </c>
      <c r="R200" s="7">
        <v>43.53</v>
      </c>
      <c r="S200" s="7">
        <v>43.53</v>
      </c>
      <c r="T200" s="33">
        <f t="shared" si="12"/>
        <v>152.1251643753736</v>
      </c>
      <c r="U200" s="33">
        <f t="shared" si="11"/>
        <v>1.1524633664801029</v>
      </c>
      <c r="V200" s="7"/>
      <c r="W200" s="35"/>
      <c r="X200" s="7"/>
      <c r="Y200" s="7"/>
      <c r="Z200" s="38"/>
      <c r="AA200" s="38"/>
      <c r="AB200" s="7"/>
      <c r="AC200" s="7"/>
      <c r="AE200" s="37">
        <v>1</v>
      </c>
      <c r="AG200" s="37">
        <v>1</v>
      </c>
      <c r="AH200" s="37">
        <v>6.5</v>
      </c>
      <c r="AI200" s="7"/>
      <c r="AJ200" s="7"/>
      <c r="AK200" s="7"/>
      <c r="AL200" s="7"/>
      <c r="AM200" s="7"/>
    </row>
    <row r="201" spans="1:39" x14ac:dyDescent="0.2">
      <c r="A201" s="7">
        <v>200</v>
      </c>
      <c r="B201" s="7" t="s">
        <v>233</v>
      </c>
      <c r="C201" s="7" t="s">
        <v>14</v>
      </c>
      <c r="D201" s="7" t="s">
        <v>8</v>
      </c>
      <c r="E201" s="7" t="s">
        <v>6</v>
      </c>
      <c r="F201" s="7" t="s">
        <v>248</v>
      </c>
      <c r="G201">
        <v>2007</v>
      </c>
      <c r="H201" s="29" t="s">
        <v>240</v>
      </c>
      <c r="I201" s="30">
        <f>(18+20+20)/3</f>
        <v>19.333333333333332</v>
      </c>
      <c r="J201" s="30">
        <f>(3*(I201-5)*3.14)</f>
        <v>135.02000000000001</v>
      </c>
      <c r="K201" s="31">
        <v>93</v>
      </c>
      <c r="L201" s="32">
        <v>43086.483819444446</v>
      </c>
      <c r="M201" s="31" t="s">
        <v>103</v>
      </c>
      <c r="N201" s="31" t="s">
        <v>204</v>
      </c>
      <c r="O201" s="31">
        <v>1370</v>
      </c>
      <c r="P201" s="31">
        <v>209.5</v>
      </c>
      <c r="Q201" s="7">
        <v>52.19</v>
      </c>
      <c r="R201" s="7">
        <v>44.98</v>
      </c>
      <c r="S201" s="7">
        <v>44.98</v>
      </c>
      <c r="T201" s="33">
        <f t="shared" si="12"/>
        <v>180.55776968767964</v>
      </c>
      <c r="U201" s="33">
        <f t="shared" si="11"/>
        <v>1.3372668470425095</v>
      </c>
      <c r="V201" s="7"/>
      <c r="W201" s="35"/>
      <c r="X201" s="7"/>
      <c r="Y201" s="7"/>
      <c r="Z201" s="38"/>
      <c r="AA201" s="38"/>
      <c r="AB201" s="7"/>
      <c r="AC201" s="7"/>
      <c r="AE201" s="37">
        <v>1</v>
      </c>
      <c r="AG201" s="37">
        <v>1</v>
      </c>
      <c r="AH201" s="37">
        <v>6.25</v>
      </c>
      <c r="AI201" s="7"/>
      <c r="AJ201" s="7"/>
      <c r="AK201" s="7"/>
      <c r="AL201" s="7"/>
      <c r="AM201" s="7"/>
    </row>
    <row r="202" spans="1:39" x14ac:dyDescent="0.2">
      <c r="A202" s="7">
        <v>201</v>
      </c>
      <c r="B202" s="7" t="s">
        <v>233</v>
      </c>
      <c r="C202" s="7" t="s">
        <v>14</v>
      </c>
      <c r="D202" s="7" t="s">
        <v>9</v>
      </c>
      <c r="E202" s="7" t="s">
        <v>3</v>
      </c>
      <c r="F202" s="7" t="s">
        <v>248</v>
      </c>
      <c r="G202">
        <v>2013</v>
      </c>
      <c r="H202" s="29" t="s">
        <v>239</v>
      </c>
      <c r="I202" s="30">
        <v>5</v>
      </c>
      <c r="J202" s="30">
        <f>(6*5*2.83)+(3*5*3.14)</f>
        <v>132</v>
      </c>
      <c r="K202" s="31">
        <v>94</v>
      </c>
      <c r="L202" s="32">
        <v>43086.501863425925</v>
      </c>
      <c r="M202" s="31" t="s">
        <v>104</v>
      </c>
      <c r="N202" s="31" t="s">
        <v>206</v>
      </c>
      <c r="O202" s="31">
        <v>1368</v>
      </c>
      <c r="P202" s="31">
        <v>172.5</v>
      </c>
      <c r="Q202" s="7">
        <v>104.68</v>
      </c>
      <c r="R202" s="7">
        <v>90.41</v>
      </c>
      <c r="S202" s="7">
        <v>87.5</v>
      </c>
      <c r="T202" s="33">
        <f t="shared" si="12"/>
        <v>144.18943446694686</v>
      </c>
      <c r="U202" s="33">
        <f t="shared" si="11"/>
        <v>1.0923442005071733</v>
      </c>
      <c r="V202" s="7"/>
      <c r="W202" s="35"/>
      <c r="X202" s="7"/>
      <c r="Y202" s="7"/>
      <c r="Z202" s="38"/>
      <c r="AA202" s="38"/>
      <c r="AB202" s="7"/>
      <c r="AC202" s="7"/>
      <c r="AE202" s="37">
        <v>1</v>
      </c>
      <c r="AG202" s="37">
        <v>1</v>
      </c>
      <c r="AH202" s="37">
        <v>7.01</v>
      </c>
      <c r="AI202" s="37"/>
      <c r="AJ202" s="37"/>
      <c r="AK202" s="37"/>
      <c r="AL202" s="37"/>
      <c r="AM202" s="37"/>
    </row>
    <row r="203" spans="1:39" x14ac:dyDescent="0.2">
      <c r="A203" s="7">
        <v>202</v>
      </c>
      <c r="B203" s="7" t="s">
        <v>233</v>
      </c>
      <c r="C203" s="7" t="s">
        <v>14</v>
      </c>
      <c r="D203" s="7" t="s">
        <v>9</v>
      </c>
      <c r="E203" s="7" t="s">
        <v>3</v>
      </c>
      <c r="F203" s="7" t="s">
        <v>248</v>
      </c>
      <c r="G203">
        <v>2013</v>
      </c>
      <c r="H203" s="29" t="s">
        <v>240</v>
      </c>
      <c r="I203" s="30">
        <f>(18+18+20)/3</f>
        <v>18.666666666666668</v>
      </c>
      <c r="J203" s="30">
        <f>(3*(I203-5)*3.14)</f>
        <v>128.74</v>
      </c>
      <c r="K203" s="31">
        <v>94</v>
      </c>
      <c r="L203" s="32">
        <v>43086.501863425925</v>
      </c>
      <c r="M203" s="31" t="s">
        <v>104</v>
      </c>
      <c r="N203" s="31" t="s">
        <v>206</v>
      </c>
      <c r="O203" s="31">
        <v>1368</v>
      </c>
      <c r="P203" s="31">
        <v>92</v>
      </c>
      <c r="Q203" s="7">
        <v>94.67</v>
      </c>
      <c r="R203" s="7">
        <v>82.49</v>
      </c>
      <c r="S203" s="7">
        <v>78</v>
      </c>
      <c r="T203" s="33">
        <f t="shared" si="12"/>
        <v>75.800147882116832</v>
      </c>
      <c r="U203" s="33">
        <f t="shared" si="11"/>
        <v>0.58878474353050203</v>
      </c>
      <c r="V203" s="7"/>
      <c r="W203" s="35"/>
      <c r="X203" s="7"/>
      <c r="Y203" s="7"/>
      <c r="Z203" s="38"/>
      <c r="AA203" s="38"/>
      <c r="AB203" s="7"/>
      <c r="AC203" s="7"/>
      <c r="AE203" s="37">
        <v>1</v>
      </c>
      <c r="AG203" s="37">
        <v>1</v>
      </c>
      <c r="AH203" s="37">
        <v>7.06</v>
      </c>
      <c r="AI203" s="37"/>
      <c r="AJ203" s="37"/>
      <c r="AK203" s="37"/>
      <c r="AL203" s="37"/>
      <c r="AM203" s="37"/>
    </row>
    <row r="204" spans="1:39" x14ac:dyDescent="0.2">
      <c r="A204" s="7">
        <v>203</v>
      </c>
      <c r="B204" s="7" t="s">
        <v>233</v>
      </c>
      <c r="C204" s="7" t="s">
        <v>14</v>
      </c>
      <c r="D204" s="7" t="s">
        <v>9</v>
      </c>
      <c r="E204" s="7" t="s">
        <v>4</v>
      </c>
      <c r="F204" s="7" t="s">
        <v>248</v>
      </c>
      <c r="G204">
        <v>2013</v>
      </c>
      <c r="H204" s="29" t="s">
        <v>239</v>
      </c>
      <c r="I204" s="30">
        <v>5</v>
      </c>
      <c r="J204" s="30">
        <f>(6*5*2.83)+(3*5*3.14)</f>
        <v>132</v>
      </c>
      <c r="K204" s="31">
        <v>95</v>
      </c>
      <c r="L204" s="32">
        <v>43086.511064814818</v>
      </c>
      <c r="M204" s="31" t="s">
        <v>105</v>
      </c>
      <c r="N204" s="31" t="s">
        <v>207</v>
      </c>
      <c r="O204" s="31">
        <v>1367</v>
      </c>
      <c r="P204" s="31">
        <v>157</v>
      </c>
      <c r="Q204" s="7">
        <v>51.96</v>
      </c>
      <c r="R204" s="7">
        <v>45.61</v>
      </c>
      <c r="S204" s="7">
        <v>45.61</v>
      </c>
      <c r="T204" s="33">
        <f t="shared" si="12"/>
        <v>137.81312548113934</v>
      </c>
      <c r="U204" s="33">
        <f t="shared" si="11"/>
        <v>1.0440388294025706</v>
      </c>
      <c r="V204" s="7"/>
      <c r="W204" s="35"/>
      <c r="X204" s="7"/>
      <c r="Y204" s="7"/>
      <c r="Z204" s="38"/>
      <c r="AA204" s="38"/>
      <c r="AB204" s="7"/>
      <c r="AC204" s="7"/>
      <c r="AE204" s="37">
        <v>1</v>
      </c>
      <c r="AG204" s="37">
        <v>1</v>
      </c>
      <c r="AH204" s="37">
        <v>7.02</v>
      </c>
      <c r="AI204" s="7"/>
      <c r="AJ204" s="7"/>
      <c r="AK204" s="7"/>
      <c r="AL204" s="7"/>
      <c r="AM204" s="7"/>
    </row>
    <row r="205" spans="1:39" x14ac:dyDescent="0.2">
      <c r="A205" s="7">
        <v>204</v>
      </c>
      <c r="B205" s="7" t="s">
        <v>233</v>
      </c>
      <c r="C205" s="7" t="s">
        <v>14</v>
      </c>
      <c r="D205" s="7" t="s">
        <v>9</v>
      </c>
      <c r="E205" s="7" t="s">
        <v>4</v>
      </c>
      <c r="F205" s="7" t="s">
        <v>248</v>
      </c>
      <c r="G205">
        <v>2013</v>
      </c>
      <c r="H205" s="29" t="s">
        <v>240</v>
      </c>
      <c r="I205" s="30">
        <f>(17.5+17+20)/3</f>
        <v>18.166666666666668</v>
      </c>
      <c r="J205" s="30">
        <f>(3*(I205-5)*3.14)</f>
        <v>124.03</v>
      </c>
      <c r="K205" s="31">
        <v>95</v>
      </c>
      <c r="L205" s="32">
        <v>43086.511064814818</v>
      </c>
      <c r="M205" s="31" t="s">
        <v>105</v>
      </c>
      <c r="N205" s="31" t="s">
        <v>207</v>
      </c>
      <c r="O205" s="31">
        <v>1367</v>
      </c>
      <c r="P205" s="31">
        <v>171</v>
      </c>
      <c r="Q205" s="7">
        <v>53.09</v>
      </c>
      <c r="R205" s="7">
        <v>45.78</v>
      </c>
      <c r="S205" s="7">
        <v>42.6</v>
      </c>
      <c r="T205" s="33">
        <f t="shared" si="12"/>
        <v>137.21228103220943</v>
      </c>
      <c r="U205" s="33">
        <f t="shared" si="11"/>
        <v>1.106283004371599</v>
      </c>
      <c r="V205" s="7"/>
      <c r="W205" s="35"/>
      <c r="X205" s="7"/>
      <c r="Y205" s="7"/>
      <c r="Z205" s="38"/>
      <c r="AA205" s="38"/>
      <c r="AB205" s="7"/>
      <c r="AC205" s="7"/>
      <c r="AE205" s="37">
        <v>1</v>
      </c>
      <c r="AG205" s="37">
        <v>1</v>
      </c>
      <c r="AH205" s="37">
        <v>6.79</v>
      </c>
      <c r="AI205" s="7"/>
      <c r="AJ205" s="7"/>
      <c r="AK205" s="7"/>
      <c r="AL205" s="7"/>
      <c r="AM205" s="7"/>
    </row>
    <row r="206" spans="1:39" x14ac:dyDescent="0.2">
      <c r="A206" s="7">
        <v>205</v>
      </c>
      <c r="B206" s="7" t="s">
        <v>233</v>
      </c>
      <c r="C206" s="7" t="s">
        <v>14</v>
      </c>
      <c r="D206" s="7" t="s">
        <v>9</v>
      </c>
      <c r="E206" s="7" t="s">
        <v>5</v>
      </c>
      <c r="F206" s="7" t="s">
        <v>248</v>
      </c>
      <c r="G206">
        <v>2013</v>
      </c>
      <c r="H206" s="29" t="s">
        <v>239</v>
      </c>
      <c r="I206" s="30">
        <v>5</v>
      </c>
      <c r="J206" s="30">
        <f>(6*5*2.83)+(3*5*3.14)</f>
        <v>132</v>
      </c>
      <c r="K206" s="31">
        <v>96</v>
      </c>
      <c r="L206" s="32">
        <v>43086.522835648146</v>
      </c>
      <c r="M206" s="31" t="s">
        <v>106</v>
      </c>
      <c r="N206" s="31" t="s">
        <v>208</v>
      </c>
      <c r="O206" s="31">
        <v>1368</v>
      </c>
      <c r="P206" s="31">
        <v>157</v>
      </c>
      <c r="Q206" s="7">
        <v>49.75</v>
      </c>
      <c r="R206" s="7">
        <v>40.729999999999997</v>
      </c>
      <c r="S206" s="7">
        <v>34</v>
      </c>
      <c r="T206" s="33">
        <f t="shared" si="12"/>
        <v>107.2964824120603</v>
      </c>
      <c r="U206" s="33">
        <f t="shared" si="11"/>
        <v>0.81285213948530533</v>
      </c>
      <c r="V206" s="7"/>
      <c r="W206" s="35"/>
      <c r="X206" s="7"/>
      <c r="Y206" s="7"/>
      <c r="Z206" s="38"/>
      <c r="AA206" s="38"/>
      <c r="AB206" s="7"/>
      <c r="AC206" s="7"/>
      <c r="AE206" s="37">
        <v>1</v>
      </c>
      <c r="AG206" s="37">
        <v>1</v>
      </c>
      <c r="AH206" s="37">
        <v>7.09</v>
      </c>
      <c r="AI206" s="7"/>
      <c r="AJ206" s="7"/>
      <c r="AK206" s="7"/>
      <c r="AL206" s="7"/>
      <c r="AM206" s="7"/>
    </row>
    <row r="207" spans="1:39" x14ac:dyDescent="0.2">
      <c r="A207" s="7">
        <v>206</v>
      </c>
      <c r="B207" s="7" t="s">
        <v>233</v>
      </c>
      <c r="C207" s="7" t="s">
        <v>14</v>
      </c>
      <c r="D207" s="7" t="s">
        <v>9</v>
      </c>
      <c r="E207" s="7" t="s">
        <v>5</v>
      </c>
      <c r="F207" s="7" t="s">
        <v>248</v>
      </c>
      <c r="G207">
        <v>2013</v>
      </c>
      <c r="H207" s="29" t="s">
        <v>240</v>
      </c>
      <c r="I207" s="30">
        <f>(18+20+20)/3</f>
        <v>19.333333333333332</v>
      </c>
      <c r="J207" s="30">
        <f>(3*(I207-5)*3.14)</f>
        <v>135.02000000000001</v>
      </c>
      <c r="K207" s="31">
        <v>96</v>
      </c>
      <c r="L207" s="32">
        <v>43086.522835648146</v>
      </c>
      <c r="M207" s="31" t="s">
        <v>106</v>
      </c>
      <c r="N207" s="31" t="s">
        <v>208</v>
      </c>
      <c r="O207" s="31">
        <v>1368</v>
      </c>
      <c r="P207" s="31">
        <v>193.5</v>
      </c>
      <c r="Q207" s="7">
        <v>47.48</v>
      </c>
      <c r="R207" s="7">
        <v>39.81</v>
      </c>
      <c r="S207" s="7">
        <v>32.4</v>
      </c>
      <c r="T207" s="33">
        <f t="shared" si="12"/>
        <v>132.0429654591407</v>
      </c>
      <c r="U207" s="33">
        <f t="shared" si="11"/>
        <v>0.97795115878492589</v>
      </c>
      <c r="V207" s="7"/>
      <c r="W207" s="35"/>
      <c r="X207" s="7"/>
      <c r="Y207" s="7"/>
      <c r="Z207" s="38"/>
      <c r="AA207" s="38"/>
      <c r="AB207" s="7"/>
      <c r="AC207" s="7"/>
      <c r="AE207" s="37">
        <v>1</v>
      </c>
      <c r="AG207" s="37">
        <v>1</v>
      </c>
      <c r="AH207" s="37">
        <v>7.02</v>
      </c>
      <c r="AI207" s="7"/>
      <c r="AJ207" s="7"/>
      <c r="AK207" s="7"/>
      <c r="AL207" s="7"/>
      <c r="AM207" s="7"/>
    </row>
    <row r="208" spans="1:39" x14ac:dyDescent="0.2">
      <c r="A208" s="7">
        <v>207</v>
      </c>
      <c r="B208" s="7" t="s">
        <v>233</v>
      </c>
      <c r="C208" s="7" t="s">
        <v>14</v>
      </c>
      <c r="D208" s="7" t="s">
        <v>9</v>
      </c>
      <c r="E208" s="7" t="s">
        <v>6</v>
      </c>
      <c r="F208" s="7" t="s">
        <v>248</v>
      </c>
      <c r="G208">
        <v>2013</v>
      </c>
      <c r="H208" s="29" t="s">
        <v>239</v>
      </c>
      <c r="I208" s="30">
        <v>5</v>
      </c>
      <c r="J208" s="30">
        <f>(6*5*2.83)+(3*5*3.14)</f>
        <v>132</v>
      </c>
      <c r="K208" s="31">
        <v>97</v>
      </c>
      <c r="L208" s="32">
        <v>43086.526747685188</v>
      </c>
      <c r="M208" s="31" t="s">
        <v>107</v>
      </c>
      <c r="N208" s="31" t="s">
        <v>209</v>
      </c>
      <c r="O208" s="31">
        <v>1368</v>
      </c>
      <c r="P208" s="31">
        <v>169.5</v>
      </c>
      <c r="Q208" s="7">
        <v>50.58</v>
      </c>
      <c r="R208" s="7">
        <v>44.62</v>
      </c>
      <c r="S208" s="7">
        <v>44.62</v>
      </c>
      <c r="T208" s="33">
        <f t="shared" si="12"/>
        <v>149.52728351126927</v>
      </c>
      <c r="U208" s="33">
        <f t="shared" si="11"/>
        <v>1.1327824508429492</v>
      </c>
      <c r="V208" s="7"/>
      <c r="W208" s="35"/>
      <c r="X208" s="7"/>
      <c r="Y208" s="7"/>
      <c r="Z208" s="38"/>
      <c r="AA208" s="38"/>
      <c r="AB208" s="7"/>
      <c r="AC208" s="7"/>
      <c r="AE208" s="37">
        <v>1</v>
      </c>
      <c r="AG208" s="37">
        <v>1</v>
      </c>
      <c r="AH208" s="37">
        <v>6.98</v>
      </c>
      <c r="AI208" s="7"/>
      <c r="AJ208" s="7"/>
      <c r="AK208" s="7"/>
      <c r="AL208" s="7"/>
      <c r="AM208" s="7"/>
    </row>
    <row r="209" spans="1:39" x14ac:dyDescent="0.2">
      <c r="A209" s="7">
        <v>208</v>
      </c>
      <c r="B209" s="7" t="s">
        <v>233</v>
      </c>
      <c r="C209" s="7" t="s">
        <v>14</v>
      </c>
      <c r="D209" s="7" t="s">
        <v>9</v>
      </c>
      <c r="E209" s="7" t="s">
        <v>6</v>
      </c>
      <c r="F209" s="7" t="s">
        <v>248</v>
      </c>
      <c r="G209">
        <v>2013</v>
      </c>
      <c r="H209" s="29" t="s">
        <v>240</v>
      </c>
      <c r="I209" s="30">
        <f>(17.5+20+20)/3</f>
        <v>19.166666666666668</v>
      </c>
      <c r="J209" s="30">
        <f>(3*(I209-5)*3.14)</f>
        <v>133.45000000000002</v>
      </c>
      <c r="K209" s="31">
        <v>97</v>
      </c>
      <c r="L209" s="32">
        <v>43086.526747685188</v>
      </c>
      <c r="M209" s="31" t="s">
        <v>107</v>
      </c>
      <c r="N209" s="31" t="s">
        <v>209</v>
      </c>
      <c r="O209" s="31">
        <v>1368</v>
      </c>
      <c r="P209" s="31">
        <v>191.3</v>
      </c>
      <c r="Q209" s="7">
        <v>54.04</v>
      </c>
      <c r="R209" s="7">
        <v>47.7</v>
      </c>
      <c r="S209" s="7">
        <v>47.7</v>
      </c>
      <c r="T209" s="33">
        <f t="shared" si="12"/>
        <v>168.85658771280535</v>
      </c>
      <c r="U209" s="33">
        <f t="shared" si="11"/>
        <v>1.2653172552476983</v>
      </c>
      <c r="V209" s="7"/>
      <c r="W209" s="35"/>
      <c r="X209" s="7"/>
      <c r="Y209" s="7"/>
      <c r="Z209" s="38"/>
      <c r="AA209" s="38"/>
      <c r="AB209" s="7"/>
      <c r="AC209" s="7"/>
      <c r="AE209" s="37">
        <v>1</v>
      </c>
      <c r="AG209" s="37">
        <v>1</v>
      </c>
      <c r="AH209" s="37">
        <v>6.8</v>
      </c>
      <c r="AI209" s="7"/>
      <c r="AJ209" s="7"/>
      <c r="AK209" s="7"/>
      <c r="AL209" s="7"/>
      <c r="AM209" s="7"/>
    </row>
    <row r="210" spans="1:39" x14ac:dyDescent="0.2">
      <c r="A210" s="7">
        <v>209</v>
      </c>
      <c r="B210" s="7" t="s">
        <v>234</v>
      </c>
      <c r="C210" s="7" t="s">
        <v>15</v>
      </c>
      <c r="D210" s="7" t="s">
        <v>2</v>
      </c>
      <c r="E210" s="7" t="s">
        <v>3</v>
      </c>
      <c r="F210" s="7" t="s">
        <v>249</v>
      </c>
      <c r="G210">
        <v>2015</v>
      </c>
      <c r="H210" s="29" t="s">
        <v>239</v>
      </c>
      <c r="I210" s="30">
        <v>5</v>
      </c>
      <c r="J210" s="30">
        <f>(6*5*2.83)+(3*5*3.14)</f>
        <v>132</v>
      </c>
      <c r="K210" s="31">
        <v>110</v>
      </c>
      <c r="L210" s="32">
        <v>43087.505810185183</v>
      </c>
      <c r="M210" s="31" t="s">
        <v>120</v>
      </c>
      <c r="N210" s="31" t="s">
        <v>221</v>
      </c>
      <c r="O210" s="31">
        <v>1397</v>
      </c>
      <c r="P210" s="31">
        <v>184</v>
      </c>
      <c r="Q210" s="7">
        <v>102.82</v>
      </c>
      <c r="R210" s="7">
        <v>87.19</v>
      </c>
      <c r="S210" s="7">
        <v>87.19</v>
      </c>
      <c r="T210" s="33">
        <f t="shared" si="12"/>
        <v>156.02956623225054</v>
      </c>
      <c r="U210" s="33">
        <f t="shared" si="11"/>
        <v>1.1820421684261404</v>
      </c>
      <c r="V210" s="34">
        <v>97.33</v>
      </c>
      <c r="W210" s="35">
        <f t="shared" si="10"/>
        <v>1.1504816425291624</v>
      </c>
      <c r="X210" s="34">
        <v>9.6999999999999993</v>
      </c>
      <c r="Y210" s="34">
        <v>10.917</v>
      </c>
      <c r="Z210" s="35">
        <f>1-(X210/Y210)</f>
        <v>0.11147751213703405</v>
      </c>
      <c r="AA210" s="35">
        <f>+X210/Y210</f>
        <v>0.88852248786296595</v>
      </c>
      <c r="AB210" s="19">
        <v>35</v>
      </c>
      <c r="AC210" s="19">
        <v>40</v>
      </c>
      <c r="AD210" s="19">
        <v>25</v>
      </c>
      <c r="AE210" s="37">
        <v>1</v>
      </c>
      <c r="AF210" s="53">
        <f>+AE210*AA210</f>
        <v>0.88852248786296595</v>
      </c>
      <c r="AG210" s="37">
        <v>1</v>
      </c>
      <c r="AH210" s="37">
        <v>6.4</v>
      </c>
      <c r="AI210" s="7">
        <v>36.54</v>
      </c>
      <c r="AJ210" s="19">
        <v>1.5</v>
      </c>
      <c r="AK210" s="19">
        <v>3.2</v>
      </c>
      <c r="AL210" s="19">
        <v>0.6</v>
      </c>
      <c r="AM210" s="19">
        <v>64</v>
      </c>
    </row>
    <row r="211" spans="1:39" x14ac:dyDescent="0.2">
      <c r="A211" s="7">
        <v>210</v>
      </c>
      <c r="B211" s="7" t="s">
        <v>234</v>
      </c>
      <c r="C211" s="7" t="s">
        <v>15</v>
      </c>
      <c r="D211" s="7" t="s">
        <v>2</v>
      </c>
      <c r="E211" s="7" t="s">
        <v>3</v>
      </c>
      <c r="F211" s="7" t="s">
        <v>249</v>
      </c>
      <c r="G211">
        <v>2015</v>
      </c>
      <c r="H211" s="29" t="s">
        <v>240</v>
      </c>
      <c r="I211" s="30">
        <f>(16+18+20)/3</f>
        <v>18</v>
      </c>
      <c r="J211" s="30">
        <f>(3*(I211-5)*3.14)</f>
        <v>122.46000000000001</v>
      </c>
      <c r="K211" s="31">
        <v>110</v>
      </c>
      <c r="L211" s="32">
        <v>43087.505810185183</v>
      </c>
      <c r="M211" s="31" t="s">
        <v>120</v>
      </c>
      <c r="N211" s="31" t="s">
        <v>221</v>
      </c>
      <c r="O211" s="31">
        <v>1397</v>
      </c>
      <c r="P211" s="31">
        <v>195</v>
      </c>
      <c r="Q211" s="7">
        <v>91.22</v>
      </c>
      <c r="R211" s="7">
        <v>77.44</v>
      </c>
      <c r="S211" s="7">
        <v>77.44</v>
      </c>
      <c r="T211" s="33">
        <f t="shared" si="12"/>
        <v>165.54264415698313</v>
      </c>
      <c r="U211" s="33">
        <f t="shared" si="11"/>
        <v>1.3518099310549005</v>
      </c>
      <c r="V211" s="34">
        <v>97.36</v>
      </c>
      <c r="W211" s="35">
        <f t="shared" si="10"/>
        <v>1.3161221488750512</v>
      </c>
      <c r="X211" s="34">
        <v>8.1999999999999993</v>
      </c>
      <c r="Y211" s="34">
        <v>9.532</v>
      </c>
      <c r="Z211" s="35">
        <f>1-(X211/Y211)</f>
        <v>0.13973982375157368</v>
      </c>
      <c r="AA211" s="35">
        <f>+X211/Y211</f>
        <v>0.86026017624842632</v>
      </c>
      <c r="AB211" s="19">
        <v>39</v>
      </c>
      <c r="AC211" s="19">
        <v>36</v>
      </c>
      <c r="AD211" s="19">
        <v>25</v>
      </c>
      <c r="AE211" s="37">
        <v>1</v>
      </c>
      <c r="AF211" s="53">
        <f>+AE211*AA211</f>
        <v>0.86026017624842632</v>
      </c>
      <c r="AG211" s="37">
        <v>1</v>
      </c>
      <c r="AH211" s="37">
        <v>6.2</v>
      </c>
      <c r="AI211" s="7">
        <v>32.090000000000003</v>
      </c>
      <c r="AJ211" s="19">
        <v>1.5</v>
      </c>
      <c r="AK211" s="19">
        <v>3.5</v>
      </c>
      <c r="AL211" s="19">
        <v>0.6</v>
      </c>
      <c r="AM211" s="19">
        <v>67</v>
      </c>
    </row>
    <row r="212" spans="1:39" x14ac:dyDescent="0.2">
      <c r="A212" s="7">
        <v>211</v>
      </c>
      <c r="B212" s="7" t="s">
        <v>234</v>
      </c>
      <c r="C212" s="7" t="s">
        <v>15</v>
      </c>
      <c r="D212" s="7" t="s">
        <v>2</v>
      </c>
      <c r="E212" s="7" t="s">
        <v>4</v>
      </c>
      <c r="F212" s="7" t="s">
        <v>249</v>
      </c>
      <c r="G212">
        <v>2015</v>
      </c>
      <c r="H212" s="29" t="s">
        <v>239</v>
      </c>
      <c r="I212" s="30">
        <v>5</v>
      </c>
      <c r="J212" s="30">
        <f>(6*5*2.83)+(3*5*3.14)</f>
        <v>132</v>
      </c>
      <c r="K212" s="31">
        <v>111</v>
      </c>
      <c r="L212" s="32">
        <v>43087.515023148146</v>
      </c>
      <c r="M212" s="31" t="s">
        <v>121</v>
      </c>
      <c r="N212" s="31" t="s">
        <v>222</v>
      </c>
      <c r="O212" s="31">
        <v>1393</v>
      </c>
      <c r="P212" s="31">
        <v>181</v>
      </c>
      <c r="Q212" s="7">
        <v>43.79</v>
      </c>
      <c r="R212" s="7">
        <v>37.36</v>
      </c>
      <c r="S212" s="7">
        <v>37.36</v>
      </c>
      <c r="T212" s="33">
        <f t="shared" si="12"/>
        <v>154.42247088376342</v>
      </c>
      <c r="U212" s="33">
        <f t="shared" si="11"/>
        <v>1.1698672036648745</v>
      </c>
      <c r="V212" s="7"/>
      <c r="W212" s="35"/>
      <c r="X212" s="7"/>
      <c r="Y212" s="7"/>
      <c r="Z212" s="38"/>
      <c r="AA212" s="38"/>
      <c r="AB212" s="7"/>
      <c r="AC212" s="7"/>
      <c r="AE212" s="37">
        <v>1</v>
      </c>
      <c r="AG212" s="37">
        <v>1</v>
      </c>
      <c r="AH212" s="37">
        <v>6.32</v>
      </c>
      <c r="AI212" s="7"/>
      <c r="AJ212" s="7"/>
      <c r="AK212" s="7"/>
      <c r="AL212" s="7"/>
      <c r="AM212" s="7"/>
    </row>
    <row r="213" spans="1:39" x14ac:dyDescent="0.2">
      <c r="A213" s="7">
        <v>212</v>
      </c>
      <c r="B213" s="7" t="s">
        <v>234</v>
      </c>
      <c r="C213" s="7" t="s">
        <v>15</v>
      </c>
      <c r="D213" s="7" t="s">
        <v>2</v>
      </c>
      <c r="E213" s="7" t="s">
        <v>4</v>
      </c>
      <c r="F213" s="7" t="s">
        <v>249</v>
      </c>
      <c r="G213">
        <v>2015</v>
      </c>
      <c r="H213" s="29" t="s">
        <v>240</v>
      </c>
      <c r="I213" s="30">
        <f>(16+16.5+19)/3</f>
        <v>17.166666666666668</v>
      </c>
      <c r="J213" s="30">
        <f>(3*(I213-5)*3.14)</f>
        <v>114.61</v>
      </c>
      <c r="K213" s="31">
        <v>111</v>
      </c>
      <c r="L213" s="32">
        <v>43087.515023148146</v>
      </c>
      <c r="M213" s="31" t="s">
        <v>121</v>
      </c>
      <c r="N213" s="31" t="s">
        <v>222</v>
      </c>
      <c r="O213" s="31">
        <v>1393</v>
      </c>
      <c r="P213" s="31">
        <v>178</v>
      </c>
      <c r="Q213" s="37">
        <v>57.68</v>
      </c>
      <c r="R213" s="37">
        <v>50.05</v>
      </c>
      <c r="S213" s="37">
        <v>50.05</v>
      </c>
      <c r="T213" s="33">
        <f t="shared" si="12"/>
        <v>154.45388349514562</v>
      </c>
      <c r="U213" s="33">
        <f t="shared" si="11"/>
        <v>1.3476475307141229</v>
      </c>
      <c r="V213" s="7"/>
      <c r="W213" s="35"/>
      <c r="X213" s="7"/>
      <c r="Y213" s="7"/>
      <c r="Z213" s="38"/>
      <c r="AA213" s="38"/>
      <c r="AB213" s="7"/>
      <c r="AC213" s="7"/>
      <c r="AE213" s="37">
        <v>1</v>
      </c>
      <c r="AG213" s="37">
        <v>1</v>
      </c>
      <c r="AH213" s="37">
        <v>6.01</v>
      </c>
      <c r="AI213" s="7"/>
      <c r="AJ213" s="7"/>
      <c r="AK213" s="7"/>
      <c r="AL213" s="7"/>
      <c r="AM213" s="7"/>
    </row>
    <row r="214" spans="1:39" x14ac:dyDescent="0.2">
      <c r="A214" s="7">
        <v>213</v>
      </c>
      <c r="B214" s="7" t="s">
        <v>234</v>
      </c>
      <c r="C214" s="7" t="s">
        <v>15</v>
      </c>
      <c r="D214" s="7" t="s">
        <v>2</v>
      </c>
      <c r="E214" s="7" t="s">
        <v>5</v>
      </c>
      <c r="F214" s="7" t="s">
        <v>249</v>
      </c>
      <c r="G214">
        <v>2015</v>
      </c>
      <c r="H214" s="29" t="s">
        <v>239</v>
      </c>
      <c r="I214" s="30">
        <v>5</v>
      </c>
      <c r="J214" s="30">
        <f>(6*5*2.83)+(3*5*3.14)</f>
        <v>132</v>
      </c>
      <c r="K214" s="31">
        <v>112</v>
      </c>
      <c r="L214" s="32">
        <v>43087.51599537037</v>
      </c>
      <c r="M214" s="31" t="s">
        <v>122</v>
      </c>
      <c r="N214" s="31" t="s">
        <v>223</v>
      </c>
      <c r="O214" s="31">
        <v>1393</v>
      </c>
      <c r="P214" s="31">
        <v>179</v>
      </c>
      <c r="Q214" s="37">
        <v>47.38</v>
      </c>
      <c r="R214" s="37">
        <v>41.34</v>
      </c>
      <c r="S214" s="37">
        <v>41.34</v>
      </c>
      <c r="T214" s="33">
        <f t="shared" si="12"/>
        <v>156.18108906711691</v>
      </c>
      <c r="U214" s="33">
        <f t="shared" si="11"/>
        <v>1.1831900686902797</v>
      </c>
      <c r="V214" s="7"/>
      <c r="W214" s="35"/>
      <c r="X214" s="7"/>
      <c r="Y214" s="7"/>
      <c r="Z214" s="38"/>
      <c r="AA214" s="38"/>
      <c r="AB214" s="7"/>
      <c r="AC214" s="7"/>
      <c r="AE214" s="37">
        <v>1</v>
      </c>
      <c r="AG214" s="37">
        <v>1</v>
      </c>
      <c r="AH214" s="37">
        <v>6.5</v>
      </c>
      <c r="AI214" s="7"/>
      <c r="AJ214" s="7"/>
      <c r="AK214" s="7"/>
      <c r="AL214" s="7"/>
      <c r="AM214" s="7"/>
    </row>
    <row r="215" spans="1:39" x14ac:dyDescent="0.2">
      <c r="A215" s="7">
        <v>214</v>
      </c>
      <c r="B215" s="7" t="s">
        <v>234</v>
      </c>
      <c r="C215" s="7" t="s">
        <v>15</v>
      </c>
      <c r="D215" s="7" t="s">
        <v>2</v>
      </c>
      <c r="E215" s="7" t="s">
        <v>5</v>
      </c>
      <c r="F215" s="7" t="s">
        <v>249</v>
      </c>
      <c r="G215">
        <v>2015</v>
      </c>
      <c r="H215" s="29" t="s">
        <v>240</v>
      </c>
      <c r="I215" s="30">
        <f>(15+20+15)/3</f>
        <v>16.666666666666668</v>
      </c>
      <c r="J215" s="30">
        <f>(3*(I215-5)*3.14)</f>
        <v>109.9</v>
      </c>
      <c r="K215" s="31">
        <v>112</v>
      </c>
      <c r="L215" s="32">
        <v>43087.51599537037</v>
      </c>
      <c r="M215" s="31" t="s">
        <v>122</v>
      </c>
      <c r="N215" s="31" t="s">
        <v>223</v>
      </c>
      <c r="O215" s="31">
        <v>1393</v>
      </c>
      <c r="P215" s="31">
        <v>162.30000000000001</v>
      </c>
      <c r="Q215" s="37">
        <v>54.01</v>
      </c>
      <c r="R215" s="37">
        <v>47.95</v>
      </c>
      <c r="S215" s="37">
        <v>47.95</v>
      </c>
      <c r="T215" s="33">
        <f t="shared" si="12"/>
        <v>144.08970561007223</v>
      </c>
      <c r="U215" s="33">
        <f t="shared" si="11"/>
        <v>1.3110983222026589</v>
      </c>
      <c r="V215" s="7"/>
      <c r="W215" s="35"/>
      <c r="X215" s="7"/>
      <c r="Y215" s="7"/>
      <c r="Z215" s="38"/>
      <c r="AA215" s="38"/>
      <c r="AB215" s="7"/>
      <c r="AC215" s="7"/>
      <c r="AE215" s="37">
        <v>1</v>
      </c>
      <c r="AG215" s="37">
        <v>1</v>
      </c>
      <c r="AH215" s="37">
        <v>6.2770000000000001</v>
      </c>
      <c r="AI215" s="7"/>
      <c r="AJ215" s="7"/>
      <c r="AK215" s="7"/>
      <c r="AL215" s="7"/>
      <c r="AM215" s="7"/>
    </row>
    <row r="216" spans="1:39" x14ac:dyDescent="0.2">
      <c r="A216" s="7">
        <v>215</v>
      </c>
      <c r="B216" s="7" t="s">
        <v>234</v>
      </c>
      <c r="C216" s="7" t="s">
        <v>15</v>
      </c>
      <c r="D216" s="7" t="s">
        <v>2</v>
      </c>
      <c r="E216" s="7" t="s">
        <v>6</v>
      </c>
      <c r="F216" s="7" t="s">
        <v>249</v>
      </c>
      <c r="G216">
        <v>2015</v>
      </c>
      <c r="H216" s="29" t="s">
        <v>239</v>
      </c>
      <c r="I216" s="30">
        <v>5</v>
      </c>
      <c r="J216" s="30">
        <f>(6*5*2.83)+(3*5*3.14)</f>
        <v>132</v>
      </c>
      <c r="K216" s="31">
        <v>113</v>
      </c>
      <c r="L216" s="32">
        <v>43087.530127314814</v>
      </c>
      <c r="M216" s="31" t="s">
        <v>123</v>
      </c>
      <c r="N216" s="31" t="s">
        <v>224</v>
      </c>
      <c r="O216" s="31">
        <v>1393</v>
      </c>
      <c r="P216" s="31">
        <v>162</v>
      </c>
      <c r="Q216" s="37">
        <v>55.73</v>
      </c>
      <c r="R216" s="37">
        <v>49.96</v>
      </c>
      <c r="S216" s="37">
        <v>49.96</v>
      </c>
      <c r="T216" s="33">
        <f t="shared" si="12"/>
        <v>145.22734613314194</v>
      </c>
      <c r="U216" s="33">
        <f t="shared" si="11"/>
        <v>1.1002071676753178</v>
      </c>
      <c r="V216" s="7"/>
      <c r="W216" s="35"/>
      <c r="X216" s="7"/>
      <c r="Y216" s="7"/>
      <c r="Z216" s="38"/>
      <c r="AA216" s="38"/>
      <c r="AB216" s="7"/>
      <c r="AC216" s="7"/>
      <c r="AE216" s="37">
        <v>1</v>
      </c>
      <c r="AG216" s="37">
        <v>1</v>
      </c>
      <c r="AH216" s="37">
        <v>7.05</v>
      </c>
      <c r="AI216" s="7"/>
      <c r="AJ216" s="7"/>
      <c r="AK216" s="7"/>
      <c r="AL216" s="7"/>
      <c r="AM216" s="7"/>
    </row>
    <row r="217" spans="1:39" s="4" customFormat="1" x14ac:dyDescent="0.2">
      <c r="A217" s="7">
        <v>216</v>
      </c>
      <c r="B217" s="8" t="s">
        <v>234</v>
      </c>
      <c r="C217" s="8" t="s">
        <v>15</v>
      </c>
      <c r="D217" s="8" t="s">
        <v>2</v>
      </c>
      <c r="E217" s="8" t="s">
        <v>6</v>
      </c>
      <c r="F217" s="7" t="s">
        <v>249</v>
      </c>
      <c r="G217">
        <v>2015</v>
      </c>
      <c r="H217" s="43" t="s">
        <v>240</v>
      </c>
      <c r="I217" s="44">
        <f>(17+18)/2</f>
        <v>17.5</v>
      </c>
      <c r="J217" s="30">
        <f>(3*(I217-5)*3.14)</f>
        <v>117.75</v>
      </c>
      <c r="K217" s="9">
        <v>113</v>
      </c>
      <c r="L217" s="45">
        <v>43087.530127314814</v>
      </c>
      <c r="M217" s="9" t="s">
        <v>123</v>
      </c>
      <c r="N217" s="9" t="s">
        <v>224</v>
      </c>
      <c r="O217" s="9">
        <v>1393</v>
      </c>
      <c r="P217" s="9">
        <v>174</v>
      </c>
      <c r="Q217" s="49">
        <v>50.07</v>
      </c>
      <c r="R217" s="8">
        <v>44.18</v>
      </c>
      <c r="S217" s="8">
        <v>44.18</v>
      </c>
      <c r="T217" s="33">
        <f t="shared" si="12"/>
        <v>153.53145596165368</v>
      </c>
      <c r="U217" s="33">
        <f t="shared" si="11"/>
        <v>1.3038764837507744</v>
      </c>
      <c r="V217" s="9"/>
      <c r="W217" s="35"/>
      <c r="X217" s="9"/>
      <c r="Y217" s="9"/>
      <c r="Z217" s="50"/>
      <c r="AA217" s="50"/>
      <c r="AB217" s="9"/>
      <c r="AC217" s="9"/>
      <c r="AD217" s="9"/>
      <c r="AE217" s="37">
        <v>1</v>
      </c>
      <c r="AF217" s="57"/>
      <c r="AG217" s="37">
        <v>1</v>
      </c>
      <c r="AH217" s="37">
        <v>6.5</v>
      </c>
      <c r="AI217" s="8"/>
      <c r="AJ217" s="8"/>
      <c r="AK217" s="8"/>
      <c r="AL217" s="8"/>
      <c r="AM217" s="8"/>
    </row>
    <row r="218" spans="1:39" x14ac:dyDescent="0.2">
      <c r="A218" s="7">
        <v>217</v>
      </c>
      <c r="B218" s="7" t="s">
        <v>234</v>
      </c>
      <c r="C218" s="7" t="s">
        <v>15</v>
      </c>
      <c r="D218" s="7" t="s">
        <v>7</v>
      </c>
      <c r="E218" s="7" t="s">
        <v>3</v>
      </c>
      <c r="F218" s="7" t="s">
        <v>249</v>
      </c>
      <c r="G218">
        <v>2013</v>
      </c>
      <c r="H218" s="29" t="s">
        <v>239</v>
      </c>
      <c r="I218" s="30">
        <v>5</v>
      </c>
      <c r="J218" s="30">
        <f>(6*5*2.83)+(3*5*3.14)</f>
        <v>132</v>
      </c>
      <c r="K218" s="31">
        <v>106</v>
      </c>
      <c r="L218" s="32">
        <v>43087.475347222222</v>
      </c>
      <c r="M218" s="31" t="s">
        <v>116</v>
      </c>
      <c r="N218" s="31" t="s">
        <v>218</v>
      </c>
      <c r="O218" s="31">
        <v>1388</v>
      </c>
      <c r="P218" s="31">
        <v>193</v>
      </c>
      <c r="Q218" s="37">
        <v>105.48</v>
      </c>
      <c r="R218" s="37">
        <v>87.3</v>
      </c>
      <c r="S218" s="37">
        <v>87.3</v>
      </c>
      <c r="T218" s="33">
        <f t="shared" si="12"/>
        <v>159.73549488054607</v>
      </c>
      <c r="U218" s="33">
        <f t="shared" si="11"/>
        <v>1.2101173854586824</v>
      </c>
      <c r="V218" s="7"/>
      <c r="W218" s="35"/>
      <c r="X218" s="7"/>
      <c r="Y218" s="7"/>
      <c r="Z218" s="38"/>
      <c r="AA218" s="38"/>
      <c r="AB218" s="7"/>
      <c r="AC218" s="7"/>
      <c r="AE218" s="37">
        <v>1</v>
      </c>
      <c r="AG218" s="37">
        <v>1</v>
      </c>
      <c r="AH218" s="37">
        <v>6.33</v>
      </c>
      <c r="AI218" s="37"/>
      <c r="AJ218" s="37"/>
      <c r="AK218" s="37"/>
      <c r="AL218" s="37"/>
      <c r="AM218" s="37"/>
    </row>
    <row r="219" spans="1:39" x14ac:dyDescent="0.2">
      <c r="A219" s="7">
        <v>218</v>
      </c>
      <c r="B219" s="7" t="s">
        <v>234</v>
      </c>
      <c r="C219" s="7" t="s">
        <v>15</v>
      </c>
      <c r="D219" s="7" t="s">
        <v>7</v>
      </c>
      <c r="E219" s="7" t="s">
        <v>3</v>
      </c>
      <c r="F219" s="7" t="s">
        <v>249</v>
      </c>
      <c r="G219">
        <v>2013</v>
      </c>
      <c r="H219" s="29" t="s">
        <v>240</v>
      </c>
      <c r="I219" s="30">
        <f>(18.5+18+18)/3</f>
        <v>18.166666666666668</v>
      </c>
      <c r="J219" s="30">
        <f>(3*(I219-5)*3.14)</f>
        <v>124.03</v>
      </c>
      <c r="K219" s="31">
        <v>106</v>
      </c>
      <c r="L219" s="32">
        <v>43087.475347222222</v>
      </c>
      <c r="M219" s="31" t="s">
        <v>116</v>
      </c>
      <c r="N219" s="31" t="s">
        <v>218</v>
      </c>
      <c r="O219" s="31">
        <v>1388</v>
      </c>
      <c r="P219" s="31">
        <v>209.5</v>
      </c>
      <c r="Q219" s="37">
        <v>102.45</v>
      </c>
      <c r="R219" s="37">
        <v>88.05</v>
      </c>
      <c r="S219" s="37">
        <v>88.05</v>
      </c>
      <c r="T219" s="33">
        <f t="shared" si="12"/>
        <v>180.05344070278184</v>
      </c>
      <c r="U219" s="33">
        <f t="shared" si="11"/>
        <v>1.4516926606690466</v>
      </c>
      <c r="V219" s="7"/>
      <c r="W219" s="35"/>
      <c r="X219" s="7"/>
      <c r="Y219" s="7"/>
      <c r="Z219" s="38"/>
      <c r="AA219" s="38"/>
      <c r="AB219" s="7"/>
      <c r="AC219" s="7"/>
      <c r="AE219" s="37">
        <v>1</v>
      </c>
      <c r="AG219" s="37">
        <v>1</v>
      </c>
      <c r="AH219" s="37">
        <v>6.03</v>
      </c>
      <c r="AI219" s="37"/>
      <c r="AJ219" s="37"/>
      <c r="AK219" s="37"/>
      <c r="AL219" s="37"/>
      <c r="AM219" s="37"/>
    </row>
    <row r="220" spans="1:39" x14ac:dyDescent="0.2">
      <c r="A220" s="7">
        <v>219</v>
      </c>
      <c r="B220" s="7" t="s">
        <v>234</v>
      </c>
      <c r="C220" s="7" t="s">
        <v>15</v>
      </c>
      <c r="D220" s="7" t="s">
        <v>7</v>
      </c>
      <c r="E220" s="7" t="s">
        <v>4</v>
      </c>
      <c r="F220" s="7" t="s">
        <v>249</v>
      </c>
      <c r="G220">
        <v>2013</v>
      </c>
      <c r="H220" s="29" t="s">
        <v>239</v>
      </c>
      <c r="I220" s="30">
        <v>5</v>
      </c>
      <c r="J220" s="30">
        <f>(6*5*2.83)+(3*5*3.14)</f>
        <v>132</v>
      </c>
      <c r="K220" s="31">
        <v>107</v>
      </c>
      <c r="L220" s="32">
        <v>43087.477685185186</v>
      </c>
      <c r="M220" s="31" t="s">
        <v>117</v>
      </c>
      <c r="N220" s="31" t="s">
        <v>219</v>
      </c>
      <c r="O220" s="31">
        <v>1388</v>
      </c>
      <c r="P220" s="31">
        <v>180.5</v>
      </c>
      <c r="Q220" s="37">
        <v>50.47</v>
      </c>
      <c r="R220" s="37">
        <v>43.3</v>
      </c>
      <c r="S220" s="37">
        <v>43.3</v>
      </c>
      <c r="T220" s="33">
        <f t="shared" si="12"/>
        <v>154.85734099465029</v>
      </c>
      <c r="U220" s="33">
        <f t="shared" si="11"/>
        <v>1.1731616742018962</v>
      </c>
      <c r="V220" s="7"/>
      <c r="W220" s="35"/>
      <c r="X220" s="7"/>
      <c r="Y220" s="7"/>
      <c r="Z220" s="38"/>
      <c r="AA220" s="38"/>
      <c r="AB220" s="7"/>
      <c r="AC220" s="7"/>
      <c r="AE220" s="37">
        <v>1</v>
      </c>
      <c r="AG220" s="37">
        <v>1</v>
      </c>
      <c r="AH220" s="37">
        <v>6.34</v>
      </c>
      <c r="AI220" s="7"/>
      <c r="AJ220" s="7"/>
      <c r="AK220" s="7"/>
      <c r="AL220" s="7"/>
      <c r="AM220" s="7"/>
    </row>
    <row r="221" spans="1:39" x14ac:dyDescent="0.2">
      <c r="A221" s="7">
        <v>220</v>
      </c>
      <c r="B221" s="7" t="s">
        <v>234</v>
      </c>
      <c r="C221" s="7" t="s">
        <v>15</v>
      </c>
      <c r="D221" s="7" t="s">
        <v>7</v>
      </c>
      <c r="E221" s="7" t="s">
        <v>4</v>
      </c>
      <c r="F221" s="7" t="s">
        <v>249</v>
      </c>
      <c r="G221">
        <v>2013</v>
      </c>
      <c r="H221" s="29" t="s">
        <v>240</v>
      </c>
      <c r="I221" s="30">
        <f>(17.5+18+20)/3</f>
        <v>18.5</v>
      </c>
      <c r="J221" s="30">
        <f>(3*(I221-5)*3.14)</f>
        <v>127.17</v>
      </c>
      <c r="K221" s="31">
        <v>107</v>
      </c>
      <c r="L221" s="32">
        <v>43087.477685185186</v>
      </c>
      <c r="M221" s="31" t="s">
        <v>117</v>
      </c>
      <c r="N221" s="31" t="s">
        <v>219</v>
      </c>
      <c r="O221" s="31">
        <v>1388</v>
      </c>
      <c r="P221" s="31">
        <v>210.5</v>
      </c>
      <c r="Q221" s="37">
        <v>58.41</v>
      </c>
      <c r="R221" s="37">
        <v>50.92</v>
      </c>
      <c r="S221" s="37">
        <v>50.92</v>
      </c>
      <c r="T221" s="33">
        <f t="shared" si="12"/>
        <v>183.50727615134397</v>
      </c>
      <c r="U221" s="33">
        <f t="shared" si="11"/>
        <v>1.4430075973212548</v>
      </c>
      <c r="V221" s="7"/>
      <c r="W221" s="35"/>
      <c r="X221" s="7"/>
      <c r="Y221" s="7"/>
      <c r="Z221" s="38"/>
      <c r="AA221" s="38"/>
      <c r="AB221" s="7"/>
      <c r="AC221" s="7"/>
      <c r="AE221" s="37">
        <v>1</v>
      </c>
      <c r="AG221" s="37">
        <v>1</v>
      </c>
      <c r="AH221" s="37">
        <v>6.03</v>
      </c>
      <c r="AI221" s="7"/>
      <c r="AJ221" s="7"/>
      <c r="AK221" s="7"/>
      <c r="AL221" s="7"/>
      <c r="AM221" s="7"/>
    </row>
    <row r="222" spans="1:39" x14ac:dyDescent="0.2">
      <c r="A222" s="7">
        <v>221</v>
      </c>
      <c r="B222" s="7" t="s">
        <v>234</v>
      </c>
      <c r="C222" s="7" t="s">
        <v>15</v>
      </c>
      <c r="D222" s="7" t="s">
        <v>7</v>
      </c>
      <c r="E222" s="7" t="s">
        <v>5</v>
      </c>
      <c r="F222" s="7" t="s">
        <v>249</v>
      </c>
      <c r="G222">
        <v>2013</v>
      </c>
      <c r="H222" s="29" t="s">
        <v>239</v>
      </c>
      <c r="I222" s="30">
        <v>5</v>
      </c>
      <c r="J222" s="30">
        <f>(6*5*2.83)+(3*5*3.14)</f>
        <v>132</v>
      </c>
      <c r="K222" s="31">
        <v>108</v>
      </c>
      <c r="L222" s="32">
        <v>43087.48101851852</v>
      </c>
      <c r="M222" s="31" t="s">
        <v>118</v>
      </c>
      <c r="N222" s="31" t="s">
        <v>220</v>
      </c>
      <c r="O222" s="31">
        <v>1388</v>
      </c>
      <c r="P222" s="31">
        <v>196.5</v>
      </c>
      <c r="Q222" s="37">
        <v>51.44</v>
      </c>
      <c r="R222" s="37">
        <v>42.44</v>
      </c>
      <c r="S222" s="37">
        <v>42.44</v>
      </c>
      <c r="T222" s="33">
        <f t="shared" si="12"/>
        <v>162.12013996889578</v>
      </c>
      <c r="U222" s="33">
        <f t="shared" si="11"/>
        <v>1.2281828785522408</v>
      </c>
      <c r="V222" s="7"/>
      <c r="W222" s="35"/>
      <c r="X222" s="7"/>
      <c r="Y222" s="7"/>
      <c r="Z222" s="38"/>
      <c r="AA222" s="38"/>
      <c r="AB222" s="7"/>
      <c r="AC222" s="7"/>
      <c r="AE222" s="37">
        <v>1</v>
      </c>
      <c r="AG222" s="37">
        <v>1</v>
      </c>
      <c r="AH222" s="37">
        <v>6.32</v>
      </c>
      <c r="AI222" s="7"/>
      <c r="AJ222" s="7"/>
      <c r="AK222" s="7"/>
      <c r="AL222" s="7"/>
      <c r="AM222" s="7"/>
    </row>
    <row r="223" spans="1:39" x14ac:dyDescent="0.2">
      <c r="A223" s="7">
        <v>222</v>
      </c>
      <c r="B223" s="7" t="s">
        <v>234</v>
      </c>
      <c r="C223" s="7" t="s">
        <v>15</v>
      </c>
      <c r="D223" s="7" t="s">
        <v>7</v>
      </c>
      <c r="E223" s="7" t="s">
        <v>5</v>
      </c>
      <c r="F223" s="7" t="s">
        <v>249</v>
      </c>
      <c r="G223">
        <v>2013</v>
      </c>
      <c r="H223" s="29" t="s">
        <v>240</v>
      </c>
      <c r="I223" s="30">
        <f>(19.5+20+20)/3</f>
        <v>19.833333333333332</v>
      </c>
      <c r="J223" s="30">
        <f>(3*(I223-5)*3.14)</f>
        <v>139.73000000000002</v>
      </c>
      <c r="K223" s="31">
        <v>108</v>
      </c>
      <c r="L223" s="32">
        <v>43087.48101851852</v>
      </c>
      <c r="M223" s="31" t="s">
        <v>118</v>
      </c>
      <c r="N223" s="31" t="s">
        <v>220</v>
      </c>
      <c r="O223" s="31">
        <v>1388</v>
      </c>
      <c r="P223" s="31">
        <v>216</v>
      </c>
      <c r="Q223" s="37">
        <v>57.47</v>
      </c>
      <c r="R223" s="37">
        <v>49.19</v>
      </c>
      <c r="S223" s="37">
        <v>49.19</v>
      </c>
      <c r="T223" s="33">
        <f t="shared" si="12"/>
        <v>184.87976335479379</v>
      </c>
      <c r="U223" s="33">
        <f t="shared" si="11"/>
        <v>1.3231214725169524</v>
      </c>
      <c r="V223" s="7"/>
      <c r="W223" s="35"/>
      <c r="X223" s="7"/>
      <c r="Y223" s="7"/>
      <c r="Z223" s="38"/>
      <c r="AA223" s="38"/>
      <c r="AB223" s="7"/>
      <c r="AC223" s="7"/>
      <c r="AE223" s="37">
        <v>1</v>
      </c>
      <c r="AG223" s="37">
        <v>1</v>
      </c>
      <c r="AH223" s="37">
        <v>6.19</v>
      </c>
      <c r="AI223" s="7"/>
      <c r="AJ223" s="7"/>
      <c r="AK223" s="7"/>
      <c r="AL223" s="7"/>
      <c r="AM223" s="7"/>
    </row>
    <row r="224" spans="1:39" x14ac:dyDescent="0.2">
      <c r="A224" s="7">
        <v>223</v>
      </c>
      <c r="B224" s="7" t="s">
        <v>234</v>
      </c>
      <c r="C224" s="7" t="s">
        <v>15</v>
      </c>
      <c r="D224" s="7" t="s">
        <v>7</v>
      </c>
      <c r="E224" s="7" t="s">
        <v>6</v>
      </c>
      <c r="F224" s="7" t="s">
        <v>249</v>
      </c>
      <c r="G224">
        <v>2013</v>
      </c>
      <c r="H224" s="29" t="s">
        <v>239</v>
      </c>
      <c r="I224" s="30">
        <v>5</v>
      </c>
      <c r="J224" s="30">
        <f>(6*5*2.83)+(3*5*3.14)</f>
        <v>132</v>
      </c>
      <c r="K224" s="31">
        <v>109</v>
      </c>
      <c r="L224" s="32">
        <v>43087.487511574072</v>
      </c>
      <c r="M224" s="31" t="s">
        <v>119</v>
      </c>
      <c r="N224" s="31" t="s">
        <v>220</v>
      </c>
      <c r="O224" s="31">
        <v>1389</v>
      </c>
      <c r="P224" s="31">
        <v>222</v>
      </c>
      <c r="Q224" s="37">
        <v>52.47</v>
      </c>
      <c r="R224" s="37">
        <v>43.91</v>
      </c>
      <c r="S224" s="37">
        <v>43.91</v>
      </c>
      <c r="T224" s="33">
        <f t="shared" si="12"/>
        <v>185.78273299028015</v>
      </c>
      <c r="U224" s="33">
        <f t="shared" si="11"/>
        <v>1.4074449468960617</v>
      </c>
      <c r="V224" s="7"/>
      <c r="W224" s="35"/>
      <c r="X224" s="7"/>
      <c r="Y224" s="7"/>
      <c r="Z224" s="38"/>
      <c r="AA224" s="38"/>
      <c r="AB224" s="7"/>
      <c r="AC224" s="7"/>
      <c r="AE224" s="37">
        <v>1</v>
      </c>
      <c r="AG224" s="37">
        <v>1</v>
      </c>
      <c r="AH224" s="37">
        <v>6.28</v>
      </c>
      <c r="AI224" s="7"/>
      <c r="AJ224" s="7"/>
      <c r="AK224" s="7"/>
      <c r="AL224" s="7"/>
      <c r="AM224" s="7"/>
    </row>
    <row r="225" spans="1:39" x14ac:dyDescent="0.2">
      <c r="A225" s="7">
        <v>224</v>
      </c>
      <c r="B225" s="7" t="s">
        <v>234</v>
      </c>
      <c r="C225" s="7" t="s">
        <v>15</v>
      </c>
      <c r="D225" s="7" t="s">
        <v>7</v>
      </c>
      <c r="E225" s="7" t="s">
        <v>6</v>
      </c>
      <c r="F225" s="7" t="s">
        <v>249</v>
      </c>
      <c r="G225">
        <v>2013</v>
      </c>
      <c r="H225" s="29" t="s">
        <v>240</v>
      </c>
      <c r="I225" s="30">
        <f>(18.5+19+19.5)/3</f>
        <v>19</v>
      </c>
      <c r="J225" s="30">
        <f>(3*(I225-5)*3.14)</f>
        <v>131.88</v>
      </c>
      <c r="K225" s="31">
        <v>109</v>
      </c>
      <c r="L225" s="32">
        <v>43087.487511574072</v>
      </c>
      <c r="M225" s="31" t="s">
        <v>119</v>
      </c>
      <c r="N225" s="31" t="s">
        <v>220</v>
      </c>
      <c r="O225" s="31">
        <v>1389</v>
      </c>
      <c r="P225" s="31">
        <v>176.5</v>
      </c>
      <c r="Q225" s="37">
        <v>52.58</v>
      </c>
      <c r="R225" s="37">
        <v>44.75</v>
      </c>
      <c r="S225" s="37">
        <v>44.75</v>
      </c>
      <c r="T225" s="33">
        <f t="shared" si="12"/>
        <v>150.21633701027008</v>
      </c>
      <c r="U225" s="33">
        <f t="shared" si="11"/>
        <v>1.1390380422374136</v>
      </c>
      <c r="V225" s="7"/>
      <c r="W225" s="35"/>
      <c r="X225" s="7"/>
      <c r="Y225" s="7"/>
      <c r="Z225" s="38"/>
      <c r="AA225" s="38"/>
      <c r="AB225" s="7"/>
      <c r="AC225" s="7"/>
      <c r="AE225" s="37">
        <v>1</v>
      </c>
      <c r="AG225" s="37">
        <v>1</v>
      </c>
      <c r="AH225" s="37">
        <v>6.17</v>
      </c>
      <c r="AI225" s="7"/>
      <c r="AJ225" s="7"/>
      <c r="AK225" s="7"/>
      <c r="AL225" s="7"/>
      <c r="AM225" s="7"/>
    </row>
    <row r="226" spans="1:39" x14ac:dyDescent="0.2">
      <c r="A226" s="7">
        <v>225</v>
      </c>
      <c r="B226" s="7" t="s">
        <v>234</v>
      </c>
      <c r="C226" s="7" t="s">
        <v>15</v>
      </c>
      <c r="D226" s="7" t="s">
        <v>8</v>
      </c>
      <c r="E226" s="7" t="s">
        <v>3</v>
      </c>
      <c r="F226" s="7" t="s">
        <v>249</v>
      </c>
      <c r="G226">
        <v>2013</v>
      </c>
      <c r="H226" s="29" t="s">
        <v>239</v>
      </c>
      <c r="I226" s="30">
        <v>5</v>
      </c>
      <c r="J226" s="30">
        <f>(6*5*2.83)+(3*5*3.14)</f>
        <v>132</v>
      </c>
      <c r="K226" s="31">
        <v>102</v>
      </c>
      <c r="L226" s="32">
        <v>43087.43309027778</v>
      </c>
      <c r="M226" s="31" t="s">
        <v>112</v>
      </c>
      <c r="N226" s="31" t="s">
        <v>214</v>
      </c>
      <c r="O226" s="31">
        <v>1379</v>
      </c>
      <c r="P226" s="31">
        <v>183</v>
      </c>
      <c r="Q226" s="37">
        <v>95.92</v>
      </c>
      <c r="R226" s="37">
        <v>80.67</v>
      </c>
      <c r="S226" s="37">
        <v>80.67</v>
      </c>
      <c r="T226" s="33">
        <f t="shared" si="12"/>
        <v>153.90544203502918</v>
      </c>
      <c r="U226" s="33">
        <f t="shared" si="11"/>
        <v>1.1659503184471909</v>
      </c>
      <c r="V226" s="34">
        <v>97.99</v>
      </c>
      <c r="W226" s="35">
        <f t="shared" ref="W226:W241" si="13">+T226*(V226/100)/J226</f>
        <v>1.1425147170464023</v>
      </c>
      <c r="X226" s="34">
        <v>8.6199999999999992</v>
      </c>
      <c r="Y226" s="34">
        <v>10.132999999999999</v>
      </c>
      <c r="Z226" s="35">
        <f>1-(X226/Y226)</f>
        <v>0.14931412217507156</v>
      </c>
      <c r="AA226" s="35">
        <f>+X226/Y226</f>
        <v>0.85068587782492844</v>
      </c>
      <c r="AB226" s="19">
        <v>25</v>
      </c>
      <c r="AC226" s="19">
        <v>44</v>
      </c>
      <c r="AD226" s="19">
        <v>31</v>
      </c>
      <c r="AE226" s="37">
        <v>1</v>
      </c>
      <c r="AF226" s="53">
        <f>+AE226*AA226</f>
        <v>0.85068587782492844</v>
      </c>
      <c r="AG226" s="37">
        <v>1</v>
      </c>
      <c r="AH226" s="37">
        <v>6.31</v>
      </c>
      <c r="AI226" s="7">
        <v>26.92</v>
      </c>
      <c r="AJ226" s="19">
        <v>1.1000000000000001</v>
      </c>
      <c r="AK226" s="19">
        <v>4.3</v>
      </c>
      <c r="AL226" s="19">
        <v>0.6</v>
      </c>
      <c r="AM226" s="19">
        <v>59</v>
      </c>
    </row>
    <row r="227" spans="1:39" x14ac:dyDescent="0.2">
      <c r="A227" s="7">
        <v>226</v>
      </c>
      <c r="B227" s="7" t="s">
        <v>234</v>
      </c>
      <c r="C227" s="7" t="s">
        <v>15</v>
      </c>
      <c r="D227" s="7" t="s">
        <v>8</v>
      </c>
      <c r="E227" s="7" t="s">
        <v>3</v>
      </c>
      <c r="F227" s="7" t="s">
        <v>249</v>
      </c>
      <c r="G227">
        <v>2013</v>
      </c>
      <c r="H227" s="29" t="s">
        <v>240</v>
      </c>
      <c r="I227" s="30">
        <v>18.5</v>
      </c>
      <c r="J227" s="30">
        <f>(3*(I227-5)*3.14)</f>
        <v>127.17</v>
      </c>
      <c r="K227" s="31">
        <v>102</v>
      </c>
      <c r="L227" s="32">
        <v>43087.43309027778</v>
      </c>
      <c r="M227" s="31" t="s">
        <v>112</v>
      </c>
      <c r="N227" s="31" t="s">
        <v>214</v>
      </c>
      <c r="O227" s="31">
        <v>1379</v>
      </c>
      <c r="P227" s="31">
        <v>202.5</v>
      </c>
      <c r="Q227" s="37">
        <v>100.91</v>
      </c>
      <c r="R227" s="37">
        <v>87.66</v>
      </c>
      <c r="S227" s="37">
        <v>84.8</v>
      </c>
      <c r="T227" s="33">
        <f t="shared" si="12"/>
        <v>170.17143989693787</v>
      </c>
      <c r="U227" s="33">
        <f t="shared" si="11"/>
        <v>1.3381413847364776</v>
      </c>
      <c r="V227" s="34">
        <v>98.06</v>
      </c>
      <c r="W227" s="35">
        <f t="shared" si="13"/>
        <v>1.3121814418725899</v>
      </c>
      <c r="X227" s="34">
        <v>6.5362</v>
      </c>
      <c r="Y227" s="34">
        <v>8.0239999999999991</v>
      </c>
      <c r="Z227" s="35">
        <f>1-(X227/Y227)</f>
        <v>0.18541874376869383</v>
      </c>
      <c r="AA227" s="35">
        <f>+X227/Y227</f>
        <v>0.81458125623130617</v>
      </c>
      <c r="AB227" s="19">
        <v>28</v>
      </c>
      <c r="AC227" s="19">
        <v>40</v>
      </c>
      <c r="AD227" s="19">
        <v>31</v>
      </c>
      <c r="AE227" s="37">
        <v>1</v>
      </c>
      <c r="AF227" s="53">
        <f>+AE227*AA227</f>
        <v>0.81458125623130617</v>
      </c>
      <c r="AG227" s="37">
        <v>1</v>
      </c>
      <c r="AH227" s="37">
        <v>6.09</v>
      </c>
      <c r="AI227" s="7">
        <v>18.11</v>
      </c>
      <c r="AJ227" s="19">
        <v>1.2</v>
      </c>
      <c r="AK227" s="19">
        <v>4.8</v>
      </c>
      <c r="AL227" s="19">
        <v>0.63</v>
      </c>
      <c r="AM227" s="19">
        <v>65</v>
      </c>
    </row>
    <row r="228" spans="1:39" x14ac:dyDescent="0.2">
      <c r="A228" s="7">
        <v>227</v>
      </c>
      <c r="B228" s="7" t="s">
        <v>234</v>
      </c>
      <c r="C228" s="7" t="s">
        <v>15</v>
      </c>
      <c r="D228" s="7" t="s">
        <v>8</v>
      </c>
      <c r="E228" s="7" t="s">
        <v>4</v>
      </c>
      <c r="F228" s="7" t="s">
        <v>249</v>
      </c>
      <c r="G228">
        <v>2013</v>
      </c>
      <c r="H228" s="29" t="s">
        <v>239</v>
      </c>
      <c r="I228" s="30">
        <v>5</v>
      </c>
      <c r="J228" s="30">
        <f>(6*5*2.83)+(3*5*3.14)</f>
        <v>132</v>
      </c>
      <c r="K228" s="31">
        <v>103</v>
      </c>
      <c r="L228" s="32">
        <v>43087.441608796296</v>
      </c>
      <c r="M228" s="31" t="s">
        <v>113</v>
      </c>
      <c r="N228" s="31" t="s">
        <v>215</v>
      </c>
      <c r="O228" s="31">
        <v>1379</v>
      </c>
      <c r="P228" s="31">
        <v>186</v>
      </c>
      <c r="Q228" s="37">
        <v>51.32</v>
      </c>
      <c r="R228" s="37">
        <v>45</v>
      </c>
      <c r="S228" s="37">
        <v>45</v>
      </c>
      <c r="T228" s="33">
        <f t="shared" si="12"/>
        <v>163.09431021044426</v>
      </c>
      <c r="U228" s="33">
        <f t="shared" si="11"/>
        <v>1.2355629561397292</v>
      </c>
      <c r="V228" s="7"/>
      <c r="W228" s="35"/>
      <c r="X228" s="7"/>
      <c r="Y228" s="7"/>
      <c r="Z228" s="38"/>
      <c r="AA228" s="38"/>
      <c r="AB228" s="7"/>
      <c r="AC228" s="7"/>
      <c r="AE228" s="37">
        <v>1</v>
      </c>
      <c r="AG228" s="37">
        <v>1</v>
      </c>
      <c r="AH228" s="37">
        <v>6.52</v>
      </c>
      <c r="AI228" s="7"/>
      <c r="AJ228" s="7"/>
      <c r="AK228" s="7"/>
      <c r="AL228" s="7"/>
      <c r="AM228" s="7"/>
    </row>
    <row r="229" spans="1:39" x14ac:dyDescent="0.2">
      <c r="A229" s="7">
        <v>228</v>
      </c>
      <c r="B229" s="7" t="s">
        <v>234</v>
      </c>
      <c r="C229" s="7" t="s">
        <v>15</v>
      </c>
      <c r="D229" s="7" t="s">
        <v>8</v>
      </c>
      <c r="E229" s="7" t="s">
        <v>4</v>
      </c>
      <c r="F229" s="7" t="s">
        <v>249</v>
      </c>
      <c r="G229">
        <v>2013</v>
      </c>
      <c r="H229" s="29" t="s">
        <v>240</v>
      </c>
      <c r="I229" s="30">
        <f>(15.5+17+15)/3</f>
        <v>15.833333333333334</v>
      </c>
      <c r="J229" s="30">
        <f>(3*(I229-5)*3.14)</f>
        <v>102.05</v>
      </c>
      <c r="K229" s="31">
        <v>103</v>
      </c>
      <c r="L229" s="32">
        <v>43087.441608796296</v>
      </c>
      <c r="M229" s="31" t="s">
        <v>113</v>
      </c>
      <c r="N229" s="31" t="s">
        <v>215</v>
      </c>
      <c r="O229" s="31">
        <v>1379</v>
      </c>
      <c r="P229" s="31">
        <v>163</v>
      </c>
      <c r="Q229" s="37">
        <v>47.45</v>
      </c>
      <c r="R229" s="37">
        <v>41.84</v>
      </c>
      <c r="S229" s="37">
        <v>41.84</v>
      </c>
      <c r="T229" s="33">
        <f t="shared" si="12"/>
        <v>143.72855637513172</v>
      </c>
      <c r="U229" s="33">
        <f t="shared" si="11"/>
        <v>1.4084130952977141</v>
      </c>
      <c r="V229" s="7"/>
      <c r="W229" s="35"/>
      <c r="X229" s="7"/>
      <c r="Y229" s="7"/>
      <c r="Z229" s="38"/>
      <c r="AA229" s="38"/>
      <c r="AB229" s="7"/>
      <c r="AC229" s="7"/>
      <c r="AE229" s="37">
        <v>1</v>
      </c>
      <c r="AG229" s="37">
        <v>1</v>
      </c>
      <c r="AH229" s="37">
        <v>6.02</v>
      </c>
      <c r="AI229" s="7"/>
      <c r="AJ229" s="7"/>
      <c r="AK229" s="7"/>
      <c r="AL229" s="7"/>
      <c r="AM229" s="7"/>
    </row>
    <row r="230" spans="1:39" x14ac:dyDescent="0.2">
      <c r="A230" s="7">
        <v>229</v>
      </c>
      <c r="B230" s="7" t="s">
        <v>234</v>
      </c>
      <c r="C230" s="7" t="s">
        <v>15</v>
      </c>
      <c r="D230" s="7" t="s">
        <v>8</v>
      </c>
      <c r="E230" s="7" t="s">
        <v>5</v>
      </c>
      <c r="F230" s="7" t="s">
        <v>249</v>
      </c>
      <c r="G230">
        <v>2013</v>
      </c>
      <c r="H230" s="29" t="s">
        <v>239</v>
      </c>
      <c r="I230" s="30">
        <v>5</v>
      </c>
      <c r="J230" s="30">
        <f>(6*5*2.83)+(3*5*3.14)</f>
        <v>132</v>
      </c>
      <c r="K230" s="31">
        <v>104</v>
      </c>
      <c r="L230" s="32">
        <v>43087.447442129633</v>
      </c>
      <c r="M230" s="31" t="s">
        <v>114</v>
      </c>
      <c r="N230" s="31" t="s">
        <v>216</v>
      </c>
      <c r="O230" s="31">
        <v>1380</v>
      </c>
      <c r="P230" s="31">
        <v>191.5</v>
      </c>
      <c r="Q230" s="37">
        <v>50</v>
      </c>
      <c r="R230" s="37">
        <v>43.18</v>
      </c>
      <c r="S230" s="37">
        <v>43.18</v>
      </c>
      <c r="T230" s="33">
        <f t="shared" si="12"/>
        <v>165.3794</v>
      </c>
      <c r="U230" s="33">
        <f t="shared" si="11"/>
        <v>1.2528742424242425</v>
      </c>
      <c r="V230" s="7"/>
      <c r="W230" s="35"/>
      <c r="X230" s="7"/>
      <c r="Y230" s="7"/>
      <c r="Z230" s="38"/>
      <c r="AA230" s="38"/>
      <c r="AB230" s="7"/>
      <c r="AC230" s="7"/>
      <c r="AE230" s="37">
        <v>1</v>
      </c>
      <c r="AG230" s="37">
        <v>1</v>
      </c>
      <c r="AH230" s="37">
        <v>6.17</v>
      </c>
      <c r="AI230" s="7"/>
      <c r="AJ230" s="7"/>
      <c r="AK230" s="7"/>
      <c r="AL230" s="7"/>
      <c r="AM230" s="7"/>
    </row>
    <row r="231" spans="1:39" x14ac:dyDescent="0.2">
      <c r="A231" s="7">
        <v>230</v>
      </c>
      <c r="B231" s="7" t="s">
        <v>234</v>
      </c>
      <c r="C231" s="7" t="s">
        <v>15</v>
      </c>
      <c r="D231" s="7" t="s">
        <v>8</v>
      </c>
      <c r="E231" s="7" t="s">
        <v>5</v>
      </c>
      <c r="F231" s="7" t="s">
        <v>249</v>
      </c>
      <c r="G231">
        <v>2013</v>
      </c>
      <c r="H231" s="29" t="s">
        <v>240</v>
      </c>
      <c r="I231" s="30">
        <f>(17.5+17.5+18)/3</f>
        <v>17.666666666666668</v>
      </c>
      <c r="J231" s="30">
        <f>(3*(I231-5)*3.14)</f>
        <v>119.32000000000001</v>
      </c>
      <c r="K231" s="31">
        <v>104</v>
      </c>
      <c r="L231" s="32">
        <v>43087.447442129633</v>
      </c>
      <c r="M231" s="31" t="s">
        <v>114</v>
      </c>
      <c r="N231" s="31" t="s">
        <v>216</v>
      </c>
      <c r="O231" s="31">
        <v>1380</v>
      </c>
      <c r="P231" s="31">
        <v>206</v>
      </c>
      <c r="Q231" s="37">
        <v>57.22</v>
      </c>
      <c r="R231" s="37">
        <v>49.26</v>
      </c>
      <c r="S231" s="37">
        <v>49.26</v>
      </c>
      <c r="T231" s="33">
        <f t="shared" si="12"/>
        <v>177.34288710241174</v>
      </c>
      <c r="U231" s="33">
        <f t="shared" si="11"/>
        <v>1.4862796438351638</v>
      </c>
      <c r="V231" s="7"/>
      <c r="W231" s="35"/>
      <c r="X231" s="7"/>
      <c r="Y231" s="7"/>
      <c r="Z231" s="38"/>
      <c r="AA231" s="38"/>
      <c r="AB231" s="7"/>
      <c r="AC231" s="7"/>
      <c r="AE231" s="37">
        <v>1</v>
      </c>
      <c r="AG231" s="37">
        <v>1</v>
      </c>
      <c r="AH231" s="37">
        <v>6.03</v>
      </c>
      <c r="AI231" s="7"/>
      <c r="AJ231" s="7"/>
      <c r="AK231" s="7"/>
      <c r="AL231" s="7"/>
      <c r="AM231" s="7"/>
    </row>
    <row r="232" spans="1:39" x14ac:dyDescent="0.2">
      <c r="A232" s="7">
        <v>231</v>
      </c>
      <c r="B232" s="7" t="s">
        <v>234</v>
      </c>
      <c r="C232" s="7" t="s">
        <v>15</v>
      </c>
      <c r="D232" s="7" t="s">
        <v>8</v>
      </c>
      <c r="E232" s="7" t="s">
        <v>6</v>
      </c>
      <c r="F232" s="7" t="s">
        <v>249</v>
      </c>
      <c r="G232">
        <v>2013</v>
      </c>
      <c r="H232" s="29" t="s">
        <v>239</v>
      </c>
      <c r="I232" s="30">
        <v>5</v>
      </c>
      <c r="J232" s="30">
        <f>(6*5*2.83)+(3*5*3.14)</f>
        <v>132</v>
      </c>
      <c r="K232" s="31">
        <v>105</v>
      </c>
      <c r="L232" s="32">
        <v>43087.453136574077</v>
      </c>
      <c r="M232" s="31" t="s">
        <v>115</v>
      </c>
      <c r="N232" s="31" t="s">
        <v>217</v>
      </c>
      <c r="O232" s="31">
        <v>1381</v>
      </c>
      <c r="P232" s="31">
        <v>173</v>
      </c>
      <c r="Q232" s="37">
        <v>51.3</v>
      </c>
      <c r="R232" s="37">
        <v>44.77</v>
      </c>
      <c r="S232" s="37">
        <v>44.77</v>
      </c>
      <c r="T232" s="33">
        <f t="shared" si="12"/>
        <v>150.9787524366472</v>
      </c>
      <c r="U232" s="33">
        <f t="shared" si="11"/>
        <v>1.1437784275503575</v>
      </c>
      <c r="V232" s="7"/>
      <c r="W232" s="35"/>
      <c r="X232" s="51"/>
      <c r="Y232" s="7"/>
      <c r="Z232" s="38"/>
      <c r="AA232" s="38"/>
      <c r="AB232" s="7"/>
      <c r="AC232" s="7"/>
      <c r="AE232" s="37">
        <v>1</v>
      </c>
      <c r="AG232" s="37">
        <v>1</v>
      </c>
      <c r="AH232" s="37">
        <v>6.43</v>
      </c>
      <c r="AI232" s="7"/>
      <c r="AJ232" s="7"/>
      <c r="AK232" s="7"/>
      <c r="AL232" s="7"/>
      <c r="AM232" s="7"/>
    </row>
    <row r="233" spans="1:39" x14ac:dyDescent="0.2">
      <c r="A233" s="7">
        <v>232</v>
      </c>
      <c r="B233" s="7" t="s">
        <v>234</v>
      </c>
      <c r="C233" s="7" t="s">
        <v>15</v>
      </c>
      <c r="D233" s="7" t="s">
        <v>8</v>
      </c>
      <c r="E233" s="7" t="s">
        <v>6</v>
      </c>
      <c r="F233" s="7" t="s">
        <v>249</v>
      </c>
      <c r="G233">
        <v>2013</v>
      </c>
      <c r="H233" s="29" t="s">
        <v>240</v>
      </c>
      <c r="I233" s="30">
        <f>(16+19.5+19)/3</f>
        <v>18.166666666666668</v>
      </c>
      <c r="J233" s="30">
        <f>(3*(I233-5)*3.14)</f>
        <v>124.03</v>
      </c>
      <c r="K233" s="31">
        <v>105</v>
      </c>
      <c r="L233" s="32">
        <v>43087.453136574077</v>
      </c>
      <c r="M233" s="31" t="s">
        <v>115</v>
      </c>
      <c r="N233" s="31" t="s">
        <v>217</v>
      </c>
      <c r="O233" s="31">
        <v>1381</v>
      </c>
      <c r="P233" s="31">
        <v>185.5</v>
      </c>
      <c r="Q233" s="37">
        <v>48.83</v>
      </c>
      <c r="R233" s="37">
        <v>43.14</v>
      </c>
      <c r="S233" s="37">
        <v>43.14</v>
      </c>
      <c r="T233" s="33">
        <f t="shared" si="12"/>
        <v>163.88429244317018</v>
      </c>
      <c r="U233" s="33">
        <f t="shared" si="11"/>
        <v>1.321327843611789</v>
      </c>
      <c r="V233" s="7"/>
      <c r="W233" s="35"/>
      <c r="X233" s="7"/>
      <c r="Y233" s="7"/>
      <c r="Z233" s="38"/>
      <c r="AA233" s="38"/>
      <c r="AB233" s="7"/>
      <c r="AC233" s="7"/>
      <c r="AE233" s="37">
        <v>1</v>
      </c>
      <c r="AG233" s="37">
        <v>1</v>
      </c>
      <c r="AH233" s="37">
        <v>6.08</v>
      </c>
      <c r="AI233" s="7"/>
      <c r="AJ233" s="7"/>
      <c r="AK233" s="7"/>
      <c r="AL233" s="7"/>
      <c r="AM233" s="7"/>
    </row>
    <row r="234" spans="1:39" x14ac:dyDescent="0.2">
      <c r="A234" s="7">
        <v>233</v>
      </c>
      <c r="B234" s="7" t="s">
        <v>234</v>
      </c>
      <c r="C234" s="7" t="s">
        <v>15</v>
      </c>
      <c r="D234" s="7" t="s">
        <v>9</v>
      </c>
      <c r="E234" s="7" t="s">
        <v>3</v>
      </c>
      <c r="F234" s="7" t="s">
        <v>249</v>
      </c>
      <c r="G234">
        <v>2017</v>
      </c>
      <c r="H234" s="29" t="s">
        <v>239</v>
      </c>
      <c r="I234" s="30">
        <v>5</v>
      </c>
      <c r="J234" s="30">
        <f>(6*5*2.83)+(3*5*3.14)</f>
        <v>132</v>
      </c>
      <c r="K234" s="31">
        <v>98</v>
      </c>
      <c r="L234" s="32">
        <v>43087.396678240744</v>
      </c>
      <c r="M234" s="31" t="s">
        <v>108</v>
      </c>
      <c r="N234" s="31" t="s">
        <v>210</v>
      </c>
      <c r="O234" s="31">
        <v>1366</v>
      </c>
      <c r="P234" s="31">
        <v>170</v>
      </c>
      <c r="Q234" s="37">
        <v>97.66</v>
      </c>
      <c r="R234" s="37">
        <v>94.98</v>
      </c>
      <c r="S234" s="37">
        <v>80.3</v>
      </c>
      <c r="T234" s="33">
        <f t="shared" si="12"/>
        <v>139.78087241449927</v>
      </c>
      <c r="U234" s="33">
        <f t="shared" si="11"/>
        <v>1.0589460031401461</v>
      </c>
      <c r="V234" s="7"/>
      <c r="W234" s="35"/>
      <c r="X234" s="7"/>
      <c r="Y234" s="7"/>
      <c r="Z234" s="38"/>
      <c r="AA234" s="38"/>
      <c r="AB234" s="7"/>
      <c r="AC234" s="7"/>
      <c r="AE234" s="37">
        <v>1</v>
      </c>
      <c r="AG234" s="37">
        <v>1</v>
      </c>
      <c r="AH234" s="37">
        <v>6.18</v>
      </c>
      <c r="AI234" s="37"/>
      <c r="AJ234" s="37"/>
      <c r="AK234" s="37"/>
      <c r="AL234" s="37"/>
      <c r="AM234" s="37"/>
    </row>
    <row r="235" spans="1:39" x14ac:dyDescent="0.2">
      <c r="A235" s="7">
        <v>234</v>
      </c>
      <c r="B235" s="7" t="s">
        <v>234</v>
      </c>
      <c r="C235" s="7" t="s">
        <v>15</v>
      </c>
      <c r="D235" s="7" t="s">
        <v>9</v>
      </c>
      <c r="E235" s="7" t="s">
        <v>3</v>
      </c>
      <c r="F235" s="7" t="s">
        <v>249</v>
      </c>
      <c r="G235">
        <v>2017</v>
      </c>
      <c r="H235" s="29" t="s">
        <v>240</v>
      </c>
      <c r="I235" s="30">
        <f>(14+18+20)/3</f>
        <v>17.333333333333332</v>
      </c>
      <c r="J235" s="30">
        <f>(3*(I235-5)*3.14)</f>
        <v>116.18</v>
      </c>
      <c r="K235" s="31">
        <v>98</v>
      </c>
      <c r="L235" s="32">
        <v>43087.396678240744</v>
      </c>
      <c r="M235" s="31" t="s">
        <v>108</v>
      </c>
      <c r="N235" s="31" t="s">
        <v>210</v>
      </c>
      <c r="O235" s="31">
        <v>1366</v>
      </c>
      <c r="P235" s="31">
        <v>185</v>
      </c>
      <c r="Q235" s="37">
        <v>89.48</v>
      </c>
      <c r="R235" s="37">
        <v>75.39</v>
      </c>
      <c r="S235" s="37">
        <v>75.39</v>
      </c>
      <c r="T235" s="33">
        <f t="shared" si="12"/>
        <v>155.86890925346447</v>
      </c>
      <c r="U235" s="33">
        <f t="shared" si="11"/>
        <v>1.3416156761358622</v>
      </c>
      <c r="V235" s="7"/>
      <c r="W235" s="35"/>
      <c r="X235" s="7"/>
      <c r="Y235" s="7"/>
      <c r="Z235" s="38"/>
      <c r="AA235" s="38"/>
      <c r="AB235" s="7"/>
      <c r="AC235" s="7"/>
      <c r="AE235" s="37">
        <v>1</v>
      </c>
      <c r="AG235" s="37">
        <v>1</v>
      </c>
      <c r="AH235" s="37">
        <v>5.8</v>
      </c>
      <c r="AI235" s="37"/>
      <c r="AJ235" s="37"/>
      <c r="AK235" s="37"/>
      <c r="AL235" s="37"/>
      <c r="AM235" s="37"/>
    </row>
    <row r="236" spans="1:39" x14ac:dyDescent="0.2">
      <c r="A236" s="7">
        <v>235</v>
      </c>
      <c r="B236" s="7" t="s">
        <v>234</v>
      </c>
      <c r="C236" s="7" t="s">
        <v>15</v>
      </c>
      <c r="D236" s="7" t="s">
        <v>9</v>
      </c>
      <c r="E236" s="7" t="s">
        <v>4</v>
      </c>
      <c r="F236" s="7" t="s">
        <v>249</v>
      </c>
      <c r="G236">
        <v>2017</v>
      </c>
      <c r="H236" s="29" t="s">
        <v>239</v>
      </c>
      <c r="I236" s="30">
        <v>5</v>
      </c>
      <c r="J236" s="30">
        <f>(6*5*2.83)+(3*5*3.14)</f>
        <v>132</v>
      </c>
      <c r="K236" s="31">
        <v>99</v>
      </c>
      <c r="L236" s="32">
        <v>43087.40353009259</v>
      </c>
      <c r="M236" s="31" t="s">
        <v>109</v>
      </c>
      <c r="N236" s="31" t="s">
        <v>211</v>
      </c>
      <c r="O236" s="31">
        <v>1366</v>
      </c>
      <c r="P236" s="31">
        <v>174.5</v>
      </c>
      <c r="Q236" s="37">
        <v>45.37</v>
      </c>
      <c r="R236" s="37">
        <v>38.42</v>
      </c>
      <c r="S236" s="37">
        <v>38.42</v>
      </c>
      <c r="T236" s="33">
        <f t="shared" si="12"/>
        <v>147.76923076923077</v>
      </c>
      <c r="U236" s="33">
        <f t="shared" si="11"/>
        <v>1.1194638694638694</v>
      </c>
      <c r="V236" s="7"/>
      <c r="W236" s="35"/>
      <c r="X236" s="7"/>
      <c r="Y236" s="7"/>
      <c r="Z236" s="38"/>
      <c r="AA236" s="38"/>
      <c r="AB236" s="7"/>
      <c r="AC236" s="7"/>
      <c r="AE236" s="37">
        <v>1</v>
      </c>
      <c r="AG236" s="37">
        <v>1</v>
      </c>
      <c r="AH236" s="37">
        <v>6.14</v>
      </c>
      <c r="AI236" s="7"/>
      <c r="AJ236" s="7"/>
      <c r="AK236" s="7"/>
      <c r="AL236" s="7"/>
      <c r="AM236" s="7"/>
    </row>
    <row r="237" spans="1:39" x14ac:dyDescent="0.2">
      <c r="A237" s="7">
        <v>236</v>
      </c>
      <c r="B237" s="7" t="s">
        <v>234</v>
      </c>
      <c r="C237" s="7" t="s">
        <v>15</v>
      </c>
      <c r="D237" s="7" t="s">
        <v>9</v>
      </c>
      <c r="E237" s="7" t="s">
        <v>4</v>
      </c>
      <c r="F237" s="7" t="s">
        <v>249</v>
      </c>
      <c r="G237">
        <v>2017</v>
      </c>
      <c r="H237" s="29" t="s">
        <v>240</v>
      </c>
      <c r="I237" s="30">
        <f>(18.5+18.5+20)/3</f>
        <v>19</v>
      </c>
      <c r="J237" s="30">
        <f>(3*(I237-5)*3.14)</f>
        <v>131.88</v>
      </c>
      <c r="K237" s="31">
        <v>99</v>
      </c>
      <c r="L237" s="32">
        <v>43087.40353009259</v>
      </c>
      <c r="M237" s="31" t="s">
        <v>109</v>
      </c>
      <c r="N237" s="31" t="s">
        <v>211</v>
      </c>
      <c r="O237" s="31">
        <v>1366</v>
      </c>
      <c r="P237" s="31">
        <v>217</v>
      </c>
      <c r="Q237" s="37">
        <v>60.43</v>
      </c>
      <c r="R237" s="37">
        <v>52.55</v>
      </c>
      <c r="S237" s="37">
        <v>52.55</v>
      </c>
      <c r="T237" s="33">
        <f t="shared" si="12"/>
        <v>188.70345854707926</v>
      </c>
      <c r="U237" s="33">
        <f t="shared" si="11"/>
        <v>1.4308724487949596</v>
      </c>
      <c r="V237" s="7"/>
      <c r="W237" s="35"/>
      <c r="X237" s="7"/>
      <c r="Y237" s="7"/>
      <c r="Z237" s="38"/>
      <c r="AA237" s="38"/>
      <c r="AB237" s="7"/>
      <c r="AC237" s="7"/>
      <c r="AE237" s="37">
        <v>1</v>
      </c>
      <c r="AG237" s="37">
        <v>1</v>
      </c>
      <c r="AH237" s="37">
        <v>5.99</v>
      </c>
      <c r="AI237" s="7"/>
      <c r="AJ237" s="7"/>
      <c r="AK237" s="7"/>
      <c r="AL237" s="7"/>
      <c r="AM237" s="7"/>
    </row>
    <row r="238" spans="1:39" x14ac:dyDescent="0.2">
      <c r="A238" s="7">
        <v>237</v>
      </c>
      <c r="B238" s="7" t="s">
        <v>234</v>
      </c>
      <c r="C238" s="7" t="s">
        <v>15</v>
      </c>
      <c r="D238" s="7" t="s">
        <v>9</v>
      </c>
      <c r="E238" s="7" t="s">
        <v>5</v>
      </c>
      <c r="F238" s="7" t="s">
        <v>249</v>
      </c>
      <c r="G238">
        <v>2017</v>
      </c>
      <c r="H238" s="29" t="s">
        <v>239</v>
      </c>
      <c r="I238" s="30">
        <v>5</v>
      </c>
      <c r="J238" s="30">
        <f>(6*5*2.83)+(3*5*3.14)</f>
        <v>132</v>
      </c>
      <c r="K238" s="31">
        <v>100</v>
      </c>
      <c r="L238" s="32">
        <v>43087.410370370373</v>
      </c>
      <c r="M238" s="31" t="s">
        <v>110</v>
      </c>
      <c r="N238" s="31" t="s">
        <v>212</v>
      </c>
      <c r="O238" s="31">
        <v>1366</v>
      </c>
      <c r="P238" s="31">
        <v>184</v>
      </c>
      <c r="Q238" s="37">
        <v>47.73</v>
      </c>
      <c r="R238" s="37">
        <v>41.18</v>
      </c>
      <c r="S238" s="37">
        <v>41.18</v>
      </c>
      <c r="T238" s="33">
        <f t="shared" si="12"/>
        <v>158.74963335428453</v>
      </c>
      <c r="U238" s="33">
        <f t="shared" si="11"/>
        <v>1.2026487375324586</v>
      </c>
      <c r="V238" s="7"/>
      <c r="W238" s="35"/>
      <c r="X238" s="7"/>
      <c r="Y238" s="7"/>
      <c r="Z238" s="38"/>
      <c r="AA238" s="38"/>
      <c r="AB238" s="7"/>
      <c r="AC238" s="7"/>
      <c r="AE238" s="37">
        <v>1</v>
      </c>
      <c r="AG238" s="37">
        <v>1</v>
      </c>
      <c r="AH238" s="37">
        <v>6.16</v>
      </c>
      <c r="AI238" s="7"/>
      <c r="AJ238" s="7"/>
      <c r="AK238" s="7"/>
      <c r="AL238" s="7"/>
      <c r="AM238" s="7"/>
    </row>
    <row r="239" spans="1:39" x14ac:dyDescent="0.2">
      <c r="A239" s="7">
        <v>238</v>
      </c>
      <c r="B239" s="7" t="s">
        <v>234</v>
      </c>
      <c r="C239" s="7" t="s">
        <v>15</v>
      </c>
      <c r="D239" s="7" t="s">
        <v>9</v>
      </c>
      <c r="E239" s="7" t="s">
        <v>5</v>
      </c>
      <c r="F239" s="7" t="s">
        <v>249</v>
      </c>
      <c r="G239">
        <v>2017</v>
      </c>
      <c r="H239" s="29" t="s">
        <v>240</v>
      </c>
      <c r="I239" s="30">
        <f>(20+20+18)/3</f>
        <v>19.333333333333332</v>
      </c>
      <c r="J239" s="30">
        <f>(3*(I239-5)*3.14)</f>
        <v>135.02000000000001</v>
      </c>
      <c r="K239" s="31">
        <v>100</v>
      </c>
      <c r="L239" s="32">
        <v>43087.410370370373</v>
      </c>
      <c r="M239" s="31" t="s">
        <v>110</v>
      </c>
      <c r="N239" s="31" t="s">
        <v>212</v>
      </c>
      <c r="O239" s="31">
        <v>1366</v>
      </c>
      <c r="P239" s="31">
        <v>206</v>
      </c>
      <c r="Q239" s="37">
        <v>44.28</v>
      </c>
      <c r="R239" s="37">
        <v>37.74</v>
      </c>
      <c r="S239" s="37">
        <v>37.74</v>
      </c>
      <c r="T239" s="33">
        <f t="shared" si="12"/>
        <v>175.57452574525746</v>
      </c>
      <c r="U239" s="33">
        <f t="shared" si="11"/>
        <v>1.3003593967209113</v>
      </c>
      <c r="V239" s="7"/>
      <c r="W239" s="35"/>
      <c r="X239" s="7"/>
      <c r="Y239" s="7"/>
      <c r="Z239" s="38"/>
      <c r="AA239" s="38"/>
      <c r="AB239" s="7"/>
      <c r="AC239" s="7"/>
      <c r="AE239" s="37">
        <v>1</v>
      </c>
      <c r="AG239" s="37">
        <v>1</v>
      </c>
      <c r="AH239" s="37">
        <v>6.89</v>
      </c>
      <c r="AI239" s="7"/>
      <c r="AJ239" s="7"/>
      <c r="AK239" s="7"/>
      <c r="AL239" s="7"/>
      <c r="AM239" s="7"/>
    </row>
    <row r="240" spans="1:39" x14ac:dyDescent="0.2">
      <c r="A240" s="7">
        <v>239</v>
      </c>
      <c r="B240" s="7" t="s">
        <v>234</v>
      </c>
      <c r="C240" s="7" t="s">
        <v>15</v>
      </c>
      <c r="D240" s="7" t="s">
        <v>9</v>
      </c>
      <c r="E240" s="7" t="s">
        <v>6</v>
      </c>
      <c r="F240" s="7" t="s">
        <v>249</v>
      </c>
      <c r="G240">
        <v>2017</v>
      </c>
      <c r="H240" s="29" t="s">
        <v>239</v>
      </c>
      <c r="I240" s="30">
        <v>5</v>
      </c>
      <c r="J240" s="30">
        <f>(6*5*2.83)+(3*5*3.14)</f>
        <v>132</v>
      </c>
      <c r="K240" s="31">
        <v>101</v>
      </c>
      <c r="L240" s="32">
        <v>43087.418668981481</v>
      </c>
      <c r="M240" s="31" t="s">
        <v>111</v>
      </c>
      <c r="N240" s="31" t="s">
        <v>213</v>
      </c>
      <c r="O240" s="31">
        <v>1367</v>
      </c>
      <c r="P240" s="31">
        <v>177</v>
      </c>
      <c r="Q240" s="37">
        <v>43.69</v>
      </c>
      <c r="R240" s="37">
        <v>35.700000000000003</v>
      </c>
      <c r="S240" s="37">
        <v>35.700000000000003</v>
      </c>
      <c r="T240" s="33">
        <f t="shared" si="12"/>
        <v>144.63035019455253</v>
      </c>
      <c r="U240" s="33">
        <f t="shared" si="11"/>
        <v>1.0956844711708524</v>
      </c>
      <c r="V240" s="7"/>
      <c r="W240" s="35"/>
      <c r="X240" s="7"/>
      <c r="Y240" s="7"/>
      <c r="Z240" s="38"/>
      <c r="AA240" s="38"/>
      <c r="AB240" s="7"/>
      <c r="AC240" s="7"/>
      <c r="AE240" s="37">
        <v>1</v>
      </c>
      <c r="AG240" s="37">
        <v>1</v>
      </c>
      <c r="AH240" s="37">
        <v>6.12</v>
      </c>
      <c r="AI240" s="7"/>
      <c r="AJ240" s="7"/>
      <c r="AK240" s="7"/>
      <c r="AL240" s="7"/>
      <c r="AM240" s="7"/>
    </row>
    <row r="241" spans="1:39" x14ac:dyDescent="0.2">
      <c r="A241" s="7">
        <v>240</v>
      </c>
      <c r="B241" s="7" t="s">
        <v>234</v>
      </c>
      <c r="C241" s="7" t="s">
        <v>15</v>
      </c>
      <c r="D241" s="7" t="s">
        <v>9</v>
      </c>
      <c r="E241" s="7" t="s">
        <v>6</v>
      </c>
      <c r="F241" s="7" t="s">
        <v>249</v>
      </c>
      <c r="G241">
        <v>2017</v>
      </c>
      <c r="H241" s="29" t="s">
        <v>240</v>
      </c>
      <c r="I241" s="30">
        <f>(17.5+19+20)/3</f>
        <v>18.833333333333332</v>
      </c>
      <c r="J241" s="30">
        <f>(3*(I241-5)*3.14)</f>
        <v>130.31</v>
      </c>
      <c r="K241" s="31">
        <v>101</v>
      </c>
      <c r="L241" s="32">
        <v>43087.418668981481</v>
      </c>
      <c r="M241" s="31" t="s">
        <v>111</v>
      </c>
      <c r="N241" s="31" t="s">
        <v>213</v>
      </c>
      <c r="O241" s="31">
        <v>1367</v>
      </c>
      <c r="P241" s="31">
        <v>208</v>
      </c>
      <c r="Q241" s="37">
        <v>53.4</v>
      </c>
      <c r="R241" s="37">
        <v>44.76</v>
      </c>
      <c r="S241" s="37">
        <v>44.76</v>
      </c>
      <c r="T241" s="33">
        <f t="shared" si="12"/>
        <v>174.34606741573035</v>
      </c>
      <c r="U241" s="33">
        <f t="shared" si="11"/>
        <v>1.3379331395574425</v>
      </c>
      <c r="V241" s="7"/>
      <c r="W241" s="35"/>
      <c r="X241" s="7"/>
      <c r="Y241" s="7"/>
      <c r="Z241" s="38"/>
      <c r="AA241" s="38"/>
      <c r="AB241" s="7"/>
      <c r="AC241" s="7"/>
      <c r="AE241" s="37">
        <v>1</v>
      </c>
      <c r="AG241" s="37">
        <v>1</v>
      </c>
      <c r="AH241" s="37">
        <v>6.02</v>
      </c>
      <c r="AI241" s="7"/>
      <c r="AJ241" s="7"/>
      <c r="AK241" s="7"/>
      <c r="AL241" s="7"/>
      <c r="AM241" s="7"/>
    </row>
    <row r="242" spans="1:39" x14ac:dyDescent="0.2">
      <c r="V242" s="25"/>
      <c r="W242" s="22"/>
      <c r="X242" s="26"/>
      <c r="Y242" s="27"/>
      <c r="Z242" s="22"/>
      <c r="AA242" s="22"/>
      <c r="AB242" s="26"/>
      <c r="AD242" s="28"/>
      <c r="AE242" s="5"/>
      <c r="AF242" s="57"/>
      <c r="AG242" s="5"/>
      <c r="AH242" s="5"/>
      <c r="AI242" s="5"/>
      <c r="AJ242" s="5"/>
      <c r="AK242" s="5"/>
      <c r="AL242" s="5"/>
      <c r="AM242" s="5"/>
    </row>
    <row r="243" spans="1:39" x14ac:dyDescent="0.2">
      <c r="AE243" s="5"/>
      <c r="AF243" s="57"/>
      <c r="AG243" s="5"/>
      <c r="AH243" s="5"/>
      <c r="AI243" s="5"/>
      <c r="AJ243" s="5"/>
      <c r="AK243" s="5"/>
      <c r="AL243" s="5"/>
      <c r="AM243" s="5"/>
    </row>
    <row r="244" spans="1:39" x14ac:dyDescent="0.2">
      <c r="AE244" s="5"/>
      <c r="AF244" s="57"/>
      <c r="AG244" s="5"/>
      <c r="AH244" s="5"/>
      <c r="AI244" s="5"/>
      <c r="AJ244" s="5"/>
      <c r="AK244" s="5"/>
      <c r="AL244" s="5"/>
      <c r="AM244" s="5"/>
    </row>
  </sheetData>
  <sortState ref="A2:AM241">
    <sortCondition ref="A2:A241"/>
  </sortState>
  <pageMargins left="0.7" right="0.7" top="0.75" bottom="0.75" header="0.3" footer="0.3"/>
  <pageSetup paperSize="9" orientation="portrait" horizontalDpi="0" verticalDpi="0"/>
  <ignoredErrors>
    <ignoredError sqref="AG2:AM2 H2:S241 V2:V241 X2:Y241 AB2:AE241 A2:F241 AG4:AM142 AG3:AL3 AG144:AM241 AG143:AL143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vildehaukenes92@gmail.com</cp:lastModifiedBy>
  <dcterms:created xsi:type="dcterms:W3CDTF">2018-01-23T12:03:03Z</dcterms:created>
  <dcterms:modified xsi:type="dcterms:W3CDTF">2018-09-19T11:52:59Z</dcterms:modified>
</cp:coreProperties>
</file>