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0290"/>
  </bookViews>
  <sheets>
    <sheet name="Fixed CCIRS" sheetId="1" r:id="rId1"/>
    <sheet name="Amortising Swap" sheetId="3" r:id="rId2"/>
    <sheet name="FX Forward or FX Swap" sheetId="4" r:id="rId3"/>
    <sheet name="Curves and Model" sheetId="2" r:id="rId4"/>
  </sheets>
  <calcPr calcId="145621" calcMode="manual" calcCompleted="0" calcOnSave="0"/>
</workbook>
</file>

<file path=xl/calcChain.xml><?xml version="1.0" encoding="utf-8"?>
<calcChain xmlns="http://schemas.openxmlformats.org/spreadsheetml/2006/main">
  <c r="B28" i="2" l="1"/>
  <c r="B16" i="2"/>
  <c r="B17" i="2"/>
  <c r="B15" i="2"/>
  <c r="H7" i="3" l="1"/>
  <c r="D8" i="3"/>
  <c r="D9" i="3" s="1"/>
  <c r="D10" i="3" s="1"/>
  <c r="D11" i="3" s="1"/>
  <c r="D12" i="3" s="1"/>
  <c r="D13" i="3" s="1"/>
  <c r="D14" i="3" s="1"/>
  <c r="H14" i="3" s="1"/>
  <c r="C7" i="3"/>
  <c r="B8" i="3" s="1"/>
  <c r="C8" i="3" s="1"/>
  <c r="B9" i="3" s="1"/>
  <c r="C9" i="3" s="1"/>
  <c r="B10" i="3" s="1"/>
  <c r="C10" i="3" s="1"/>
  <c r="B11" i="3" s="1"/>
  <c r="C11" i="3" s="1"/>
  <c r="B12" i="3" s="1"/>
  <c r="C12" i="3" s="1"/>
  <c r="B13" i="3" s="1"/>
  <c r="C13" i="3" s="1"/>
  <c r="B14" i="3" s="1"/>
  <c r="C14" i="3" s="1"/>
  <c r="F14" i="3" s="1"/>
  <c r="B12" i="4"/>
  <c r="C16" i="4" l="1"/>
  <c r="H13" i="3"/>
  <c r="H12" i="3"/>
  <c r="H9" i="3"/>
  <c r="H11" i="3"/>
  <c r="H10" i="3"/>
  <c r="H8" i="3"/>
  <c r="F7" i="3"/>
  <c r="F13" i="3"/>
  <c r="F11" i="3"/>
  <c r="F12" i="3"/>
  <c r="F10" i="3"/>
  <c r="F9" i="3"/>
  <c r="F8" i="3"/>
  <c r="G8" i="1"/>
  <c r="J8" i="1" s="1"/>
  <c r="J7" i="1"/>
  <c r="E7" i="1"/>
  <c r="B8" i="1"/>
  <c r="B9" i="1" s="1"/>
  <c r="B10" i="1" s="1"/>
  <c r="B11" i="1" s="1"/>
  <c r="B12" i="1" s="1"/>
  <c r="B13" i="1" s="1"/>
  <c r="B14" i="1" s="1"/>
  <c r="E14" i="1" s="1"/>
  <c r="I17" i="3"/>
  <c r="H10" i="2"/>
  <c r="B10" i="2"/>
  <c r="E10" i="2"/>
  <c r="B17" i="3"/>
  <c r="D16" i="2" l="1"/>
  <c r="D15" i="2"/>
  <c r="D17" i="2"/>
  <c r="C23" i="3"/>
  <c r="C22" i="3"/>
  <c r="C22" i="2"/>
  <c r="M8" i="2"/>
  <c r="M7" i="2"/>
  <c r="G9" i="1"/>
  <c r="E13" i="1"/>
  <c r="E12" i="1"/>
  <c r="E11" i="1"/>
  <c r="E10" i="1"/>
  <c r="E9" i="1"/>
  <c r="E8" i="1"/>
  <c r="E17" i="2"/>
  <c r="E16" i="2"/>
  <c r="E15" i="2"/>
  <c r="L10" i="2"/>
  <c r="B16" i="1"/>
  <c r="C23" i="2" l="1"/>
  <c r="C24" i="2"/>
  <c r="C25" i="2"/>
  <c r="C26" i="2"/>
  <c r="C22" i="1"/>
  <c r="G10" i="1"/>
  <c r="J9" i="1"/>
  <c r="G11" i="1" l="1"/>
  <c r="J10" i="1"/>
  <c r="J11" i="1" l="1"/>
  <c r="G12" i="1"/>
  <c r="G13" i="1" l="1"/>
  <c r="J12" i="1"/>
  <c r="G14" i="1" l="1"/>
  <c r="J13" i="1"/>
  <c r="J14" i="1" l="1"/>
  <c r="G16" i="1"/>
  <c r="C23" i="1" l="1"/>
  <c r="C25" i="1" l="1"/>
  <c r="C25" i="3"/>
  <c r="C19" i="4"/>
  <c r="B21" i="4"/>
  <c r="C23" i="4"/>
  <c r="B27" i="3"/>
  <c r="B27" i="1"/>
  <c r="C29" i="1"/>
  <c r="C29" i="3"/>
</calcChain>
</file>

<file path=xl/sharedStrings.xml><?xml version="1.0" encoding="utf-8"?>
<sst xmlns="http://schemas.openxmlformats.org/spreadsheetml/2006/main" count="108" uniqueCount="51">
  <si>
    <t>name</t>
  </si>
  <si>
    <t>currency</t>
  </si>
  <si>
    <t>ZAR</t>
  </si>
  <si>
    <t>paymentDates</t>
  </si>
  <si>
    <t>notionals</t>
  </si>
  <si>
    <t>rates</t>
  </si>
  <si>
    <t>accrualFractions</t>
  </si>
  <si>
    <t>fixedLegZAR0001</t>
  </si>
  <si>
    <t>USD</t>
  </si>
  <si>
    <t>fixedLegUSD0001</t>
  </si>
  <si>
    <t>discountCurve</t>
  </si>
  <si>
    <t>valueDate</t>
  </si>
  <si>
    <t>products</t>
  </si>
  <si>
    <t>ZARDiscount</t>
  </si>
  <si>
    <t>dates</t>
  </si>
  <si>
    <t>curveModel</t>
  </si>
  <si>
    <t>rateForecastCurves</t>
  </si>
  <si>
    <t>fxForecastCurves</t>
  </si>
  <si>
    <t>model</t>
  </si>
  <si>
    <t>QSA.CreateCurveModel</t>
  </si>
  <si>
    <t>QSA.CreateFXForecastCurve</t>
  </si>
  <si>
    <t>baseCurrency</t>
  </si>
  <si>
    <t>counterCurrency</t>
  </si>
  <si>
    <t>USDZARForwards</t>
  </si>
  <si>
    <t>fxRateAtAnchorDate</t>
  </si>
  <si>
    <t>ZARBasis</t>
  </si>
  <si>
    <t>USDDiscountAndBasis</t>
  </si>
  <si>
    <t>baseCurrencyFXBasisCurve</t>
  </si>
  <si>
    <t>counterCurrencyFXBasisCurve</t>
  </si>
  <si>
    <t>QSA.CreateFixedLeg</t>
  </si>
  <si>
    <t>QSA.Value</t>
  </si>
  <si>
    <t>floatLeg</t>
  </si>
  <si>
    <t>floatingIndex</t>
  </si>
  <si>
    <t>JIBAR3M</t>
  </si>
  <si>
    <t>resetDates</t>
  </si>
  <si>
    <t>spreads</t>
  </si>
  <si>
    <t>fixedLeg</t>
  </si>
  <si>
    <t>value</t>
  </si>
  <si>
    <t>ccirsValueResults</t>
  </si>
  <si>
    <t>amortSwapValueResults</t>
  </si>
  <si>
    <t>QSA.CreateFloatLeg</t>
  </si>
  <si>
    <t>fxSwap</t>
  </si>
  <si>
    <t>amounts</t>
  </si>
  <si>
    <t>currencies</t>
  </si>
  <si>
    <t>QSA.CreateCashLeg</t>
  </si>
  <si>
    <t>fxSwapValueResults</t>
  </si>
  <si>
    <t>discountCuve</t>
  </si>
  <si>
    <t>floatingRateIndex</t>
  </si>
  <si>
    <t>JIBAR6M</t>
  </si>
  <si>
    <t>LIBOR3M</t>
  </si>
  <si>
    <t>QSA.CreateRateForecastCurveFromDiscount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</si>
</sst>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#,##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15" fontId="0" fillId="3" borderId="0" xfId="0" applyNumberFormat="1" applyFill="1"/>
    <xf numFmtId="10" fontId="0" fillId="3" borderId="0" xfId="0" applyNumberFormat="1" applyFill="1"/>
    <xf numFmtId="164" fontId="0" fillId="3" borderId="0" xfId="0" applyNumberFormat="1" applyFill="1"/>
    <xf numFmtId="0" fontId="0" fillId="4" borderId="0" xfId="0" applyFill="1"/>
    <xf numFmtId="4" fontId="0" fillId="3" borderId="0" xfId="0" applyNumberFormat="1" applyFill="1"/>
    <xf numFmtId="10" fontId="0" fillId="3" borderId="0" xfId="1" applyNumberFormat="1" applyFont="1" applyFill="1"/>
    <xf numFmtId="0" fontId="2" fillId="0" borderId="0" xfId="0" applyFont="1"/>
    <xf numFmtId="0" fontId="0" fillId="5" borderId="0" xfId="0" applyFill="1"/>
    <xf numFmtId="15" fontId="0" fillId="0" borderId="0" xfId="0" applyNumberFormat="1"/>
    <xf numFmtId="4" fontId="0" fillId="6" borderId="0" xfId="0" applyNumberFormat="1" applyFill="1"/>
    <xf numFmtId="165" fontId="0" fillId="3" borderId="0" xfId="0" applyNumberFormat="1" applyFill="1"/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9"/>
  <sheetViews>
    <sheetView tabSelected="1" workbookViewId="0">
      <selection sqref="A1:XFD1048576"/>
    </sheetView>
  </sheetViews>
  <sheetFormatPr defaultRowHeight="15" x14ac:dyDescent="0.25"/>
  <cols>
    <col min="2" max="2" width="27.42578125" bestFit="1" customWidth="1"/>
    <col min="3" max="3" width="27.140625" bestFit="1" customWidth="1"/>
    <col min="4" max="4" width="6.140625" bestFit="1" customWidth="1"/>
    <col min="5" max="5" width="15.28515625" bestFit="1" customWidth="1"/>
    <col min="7" max="7" width="27.140625" bestFit="1" customWidth="1"/>
    <col min="8" max="8" width="16.28515625" bestFit="1" customWidth="1"/>
    <col min="9" max="9" width="6.140625" bestFit="1" customWidth="1"/>
    <col min="10" max="10" width="15.28515625" bestFit="1" customWidth="1"/>
  </cols>
  <sheetData>
    <row r="2" spans="2:10" ht="21" x14ac:dyDescent="0.35">
      <c r="B2" s="9" t="s">
        <v>29</v>
      </c>
    </row>
    <row r="3" spans="2:10" x14ac:dyDescent="0.25">
      <c r="B3" s="1" t="s">
        <v>0</v>
      </c>
      <c r="C3" s="2" t="s">
        <v>7</v>
      </c>
      <c r="G3" s="1" t="s">
        <v>0</v>
      </c>
      <c r="H3" s="2" t="s">
        <v>9</v>
      </c>
    </row>
    <row r="4" spans="2:10" x14ac:dyDescent="0.25">
      <c r="B4" s="1" t="s">
        <v>1</v>
      </c>
      <c r="C4" s="2" t="s">
        <v>2</v>
      </c>
      <c r="G4" s="1" t="s">
        <v>1</v>
      </c>
      <c r="H4" s="2" t="s">
        <v>8</v>
      </c>
    </row>
    <row r="6" spans="2:10" x14ac:dyDescent="0.25">
      <c r="B6" s="1" t="s">
        <v>3</v>
      </c>
      <c r="C6" s="1" t="s">
        <v>4</v>
      </c>
      <c r="D6" s="1" t="s">
        <v>5</v>
      </c>
      <c r="E6" s="1" t="s">
        <v>6</v>
      </c>
      <c r="G6" s="1" t="s">
        <v>3</v>
      </c>
      <c r="H6" s="1" t="s">
        <v>4</v>
      </c>
      <c r="I6" s="1" t="s">
        <v>5</v>
      </c>
      <c r="J6" s="1" t="s">
        <v>6</v>
      </c>
    </row>
    <row r="7" spans="2:10" x14ac:dyDescent="0.25">
      <c r="B7" s="3">
        <v>42727</v>
      </c>
      <c r="C7" s="7">
        <v>-16000000</v>
      </c>
      <c r="D7" s="4">
        <v>7.2300000000000003E-2</v>
      </c>
      <c r="E7" s="5">
        <f>(B7-EDATE(B7,-3))/365</f>
        <v>0.24931506849315069</v>
      </c>
      <c r="G7" s="3">
        <v>42727</v>
      </c>
      <c r="H7" s="7">
        <v>1000000</v>
      </c>
      <c r="I7" s="4">
        <v>7.2300000000000003E-2</v>
      </c>
      <c r="J7" s="5">
        <f>(G7-EDATE(G7,-3))/365</f>
        <v>0.24931506849315069</v>
      </c>
    </row>
    <row r="8" spans="2:10" x14ac:dyDescent="0.25">
      <c r="B8" s="3">
        <f t="shared" ref="B8:B14" si="0">EDATE(B7,3)</f>
        <v>42817</v>
      </c>
      <c r="C8" s="7">
        <v>-16000000</v>
      </c>
      <c r="D8" s="4">
        <v>7.2300000000000003E-2</v>
      </c>
      <c r="E8" s="5">
        <f t="shared" ref="E8:E14" si="1">(B8-EDATE(B8,-3))/365</f>
        <v>0.24657534246575341</v>
      </c>
      <c r="G8" s="3">
        <f t="shared" ref="G8:G14" si="2">EDATE(G7,3)</f>
        <v>42817</v>
      </c>
      <c r="H8" s="7">
        <v>1000000</v>
      </c>
      <c r="I8" s="4">
        <v>7.2300000000000003E-2</v>
      </c>
      <c r="J8" s="5">
        <f t="shared" ref="J8:J14" si="3">(G8-EDATE(G8,-3))/365</f>
        <v>0.24657534246575341</v>
      </c>
    </row>
    <row r="9" spans="2:10" x14ac:dyDescent="0.25">
      <c r="B9" s="3">
        <f t="shared" si="0"/>
        <v>42909</v>
      </c>
      <c r="C9" s="7">
        <v>-16000000</v>
      </c>
      <c r="D9" s="4">
        <v>7.2300000000000003E-2</v>
      </c>
      <c r="E9" s="5">
        <f t="shared" si="1"/>
        <v>0.25205479452054796</v>
      </c>
      <c r="G9" s="3">
        <f t="shared" si="2"/>
        <v>42909</v>
      </c>
      <c r="H9" s="7">
        <v>1000000</v>
      </c>
      <c r="I9" s="4">
        <v>7.2300000000000003E-2</v>
      </c>
      <c r="J9" s="5">
        <f t="shared" si="3"/>
        <v>0.25205479452054796</v>
      </c>
    </row>
    <row r="10" spans="2:10" x14ac:dyDescent="0.25">
      <c r="B10" s="3">
        <f t="shared" si="0"/>
        <v>43001</v>
      </c>
      <c r="C10" s="7">
        <v>-16000000</v>
      </c>
      <c r="D10" s="4">
        <v>7.2300000000000003E-2</v>
      </c>
      <c r="E10" s="5">
        <f t="shared" si="1"/>
        <v>0.25205479452054796</v>
      </c>
      <c r="G10" s="3">
        <f t="shared" si="2"/>
        <v>43001</v>
      </c>
      <c r="H10" s="7">
        <v>1000000</v>
      </c>
      <c r="I10" s="4">
        <v>7.2300000000000003E-2</v>
      </c>
      <c r="J10" s="5">
        <f t="shared" si="3"/>
        <v>0.25205479452054796</v>
      </c>
    </row>
    <row r="11" spans="2:10" x14ac:dyDescent="0.25">
      <c r="B11" s="3">
        <f t="shared" si="0"/>
        <v>43092</v>
      </c>
      <c r="C11" s="7">
        <v>-16000000</v>
      </c>
      <c r="D11" s="4">
        <v>7.2300000000000003E-2</v>
      </c>
      <c r="E11" s="5">
        <f t="shared" si="1"/>
        <v>0.24931506849315069</v>
      </c>
      <c r="G11" s="3">
        <f t="shared" si="2"/>
        <v>43092</v>
      </c>
      <c r="H11" s="7">
        <v>1000000</v>
      </c>
      <c r="I11" s="4">
        <v>7.2300000000000003E-2</v>
      </c>
      <c r="J11" s="5">
        <f t="shared" si="3"/>
        <v>0.24931506849315069</v>
      </c>
    </row>
    <row r="12" spans="2:10" x14ac:dyDescent="0.25">
      <c r="B12" s="3">
        <f t="shared" si="0"/>
        <v>43182</v>
      </c>
      <c r="C12" s="7">
        <v>-16000000</v>
      </c>
      <c r="D12" s="4">
        <v>7.2300000000000003E-2</v>
      </c>
      <c r="E12" s="5">
        <f t="shared" si="1"/>
        <v>0.24657534246575341</v>
      </c>
      <c r="G12" s="3">
        <f t="shared" si="2"/>
        <v>43182</v>
      </c>
      <c r="H12" s="7">
        <v>1000000</v>
      </c>
      <c r="I12" s="4">
        <v>7.2300000000000003E-2</v>
      </c>
      <c r="J12" s="5">
        <f t="shared" si="3"/>
        <v>0.24657534246575341</v>
      </c>
    </row>
    <row r="13" spans="2:10" x14ac:dyDescent="0.25">
      <c r="B13" s="3">
        <f t="shared" si="0"/>
        <v>43274</v>
      </c>
      <c r="C13" s="7">
        <v>-16000000</v>
      </c>
      <c r="D13" s="4">
        <v>7.2300000000000003E-2</v>
      </c>
      <c r="E13" s="5">
        <f t="shared" si="1"/>
        <v>0.25205479452054796</v>
      </c>
      <c r="G13" s="3">
        <f t="shared" si="2"/>
        <v>43274</v>
      </c>
      <c r="H13" s="7">
        <v>1000000</v>
      </c>
      <c r="I13" s="4">
        <v>7.2300000000000003E-2</v>
      </c>
      <c r="J13" s="5">
        <f t="shared" si="3"/>
        <v>0.25205479452054796</v>
      </c>
    </row>
    <row r="14" spans="2:10" x14ac:dyDescent="0.25">
      <c r="B14" s="3">
        <f t="shared" si="0"/>
        <v>43366</v>
      </c>
      <c r="C14" s="7">
        <v>-16000000</v>
      </c>
      <c r="D14" s="4">
        <v>7.2300000000000003E-2</v>
      </c>
      <c r="E14" s="5">
        <f t="shared" si="1"/>
        <v>0.25205479452054796</v>
      </c>
      <c r="G14" s="3">
        <f t="shared" si="2"/>
        <v>43366</v>
      </c>
      <c r="H14" s="7">
        <v>1000000</v>
      </c>
      <c r="I14" s="4">
        <v>7.2300000000000003E-2</v>
      </c>
      <c r="J14" s="5">
        <f t="shared" si="3"/>
        <v>0.25205479452054796</v>
      </c>
    </row>
    <row r="16" spans="2:10" x14ac:dyDescent="0.25">
      <c r="B16" s="6" t="str">
        <f>_xll.QSA.CreateFixedLeg(C3,C4,B7:B14,C7:C14,D7:D14,E7:E14)</f>
        <v>fixedLegZAR0001.08:29:00-70</v>
      </c>
      <c r="G16" s="6" t="str">
        <f>_xll.QSA.CreateFixedLeg(H3,H4,G7:G14,H7:H14,I7:I14,J7:J14)</f>
        <v>fixedLegUSD0001.08:29:00-71</v>
      </c>
    </row>
    <row r="20" spans="2:3" ht="21" x14ac:dyDescent="0.35">
      <c r="B20" s="9" t="s">
        <v>30</v>
      </c>
    </row>
    <row r="21" spans="2:3" x14ac:dyDescent="0.25">
      <c r="B21" s="1" t="s">
        <v>0</v>
      </c>
      <c r="C21" s="2" t="s">
        <v>38</v>
      </c>
    </row>
    <row r="22" spans="2:3" x14ac:dyDescent="0.25">
      <c r="B22" s="1" t="s">
        <v>12</v>
      </c>
      <c r="C22" s="10" t="str">
        <f>B16</f>
        <v>fixedLegZAR0001.08:29:00-70</v>
      </c>
    </row>
    <row r="23" spans="2:3" x14ac:dyDescent="0.25">
      <c r="C23" s="10" t="str">
        <f>G16</f>
        <v>fixedLegUSD0001.08:29:00-71</v>
      </c>
    </row>
    <row r="24" spans="2:3" x14ac:dyDescent="0.25">
      <c r="B24" s="1" t="s">
        <v>11</v>
      </c>
      <c r="C24" s="3">
        <v>42636</v>
      </c>
    </row>
    <row r="25" spans="2:3" x14ac:dyDescent="0.25">
      <c r="B25" s="1" t="s">
        <v>18</v>
      </c>
      <c r="C25" s="10" t="str">
        <f ca="1">'Curves and Model'!B28</f>
        <v>curveModel.08:29:00-72</v>
      </c>
    </row>
    <row r="27" spans="2:3" x14ac:dyDescent="0.25">
      <c r="B27" s="6" t="str">
        <f ca="1">_xll.QSA.Value(C21,C22:C23,C24,C25)</f>
        <v>ccirsValueResults.08:29:00-75</v>
      </c>
    </row>
    <row r="29" spans="2:3" x14ac:dyDescent="0.25">
      <c r="B29" s="1" t="s">
        <v>37</v>
      </c>
      <c r="C29" s="12">
        <f ca="1">_xll.QSA.GetResults(B27,"value")</f>
        <v>-179484.52557973986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9"/>
  <sheetViews>
    <sheetView workbookViewId="0">
      <selection activeCell="D20" sqref="D20"/>
    </sheetView>
  </sheetViews>
  <sheetFormatPr defaultColWidth="24.42578125" defaultRowHeight="15" x14ac:dyDescent="0.25"/>
  <cols>
    <col min="1" max="1" width="5" customWidth="1"/>
    <col min="7" max="7" width="5.42578125" customWidth="1"/>
  </cols>
  <sheetData>
    <row r="2" spans="2:9" x14ac:dyDescent="0.25">
      <c r="B2" s="1" t="s">
        <v>0</v>
      </c>
      <c r="C2" s="2" t="s">
        <v>31</v>
      </c>
      <c r="H2" s="1" t="s">
        <v>0</v>
      </c>
      <c r="I2" s="2" t="s">
        <v>36</v>
      </c>
    </row>
    <row r="3" spans="2:9" x14ac:dyDescent="0.25">
      <c r="B3" s="1" t="s">
        <v>1</v>
      </c>
      <c r="C3" s="2" t="s">
        <v>2</v>
      </c>
      <c r="H3" s="1" t="s">
        <v>1</v>
      </c>
      <c r="I3" s="2" t="s">
        <v>2</v>
      </c>
    </row>
    <row r="4" spans="2:9" x14ac:dyDescent="0.25">
      <c r="B4" s="1" t="s">
        <v>32</v>
      </c>
      <c r="C4" s="2" t="s">
        <v>33</v>
      </c>
      <c r="H4" s="1"/>
    </row>
    <row r="6" spans="2:9" x14ac:dyDescent="0.25">
      <c r="B6" s="1" t="s">
        <v>34</v>
      </c>
      <c r="C6" s="1" t="s">
        <v>3</v>
      </c>
      <c r="D6" s="1" t="s">
        <v>4</v>
      </c>
      <c r="E6" s="1" t="s">
        <v>35</v>
      </c>
      <c r="F6" s="1" t="s">
        <v>6</v>
      </c>
      <c r="H6" s="1" t="s">
        <v>4</v>
      </c>
      <c r="I6" s="1" t="s">
        <v>5</v>
      </c>
    </row>
    <row r="7" spans="2:9" x14ac:dyDescent="0.25">
      <c r="B7" s="3">
        <v>42639</v>
      </c>
      <c r="C7" s="3">
        <f>EDATE(B7,3)</f>
        <v>42730</v>
      </c>
      <c r="D7" s="2">
        <v>1000000</v>
      </c>
      <c r="E7" s="8">
        <v>0</v>
      </c>
      <c r="F7" s="13">
        <f>(C7-B7)/365</f>
        <v>0.24931506849315069</v>
      </c>
      <c r="H7" s="2">
        <f>-D7</f>
        <v>-1000000</v>
      </c>
      <c r="I7" s="8">
        <v>7.0000000000000007E-2</v>
      </c>
    </row>
    <row r="8" spans="2:9" x14ac:dyDescent="0.25">
      <c r="B8" s="3">
        <f>C7</f>
        <v>42730</v>
      </c>
      <c r="C8" s="3">
        <f t="shared" ref="C8:C14" si="0">EDATE(B8,3)</f>
        <v>42820</v>
      </c>
      <c r="D8" s="2">
        <f>D7-125000</f>
        <v>875000</v>
      </c>
      <c r="E8" s="8">
        <v>0</v>
      </c>
      <c r="F8" s="13">
        <f t="shared" ref="F8:F14" si="1">(C8-B8)/365</f>
        <v>0.24657534246575341</v>
      </c>
      <c r="H8" s="2">
        <f t="shared" ref="H8:H14" si="2">-D8</f>
        <v>-875000</v>
      </c>
      <c r="I8" s="8">
        <v>7.0000000000000007E-2</v>
      </c>
    </row>
    <row r="9" spans="2:9" x14ac:dyDescent="0.25">
      <c r="B9" s="3">
        <f t="shared" ref="B9:B14" si="3">C8</f>
        <v>42820</v>
      </c>
      <c r="C9" s="3">
        <f t="shared" si="0"/>
        <v>42912</v>
      </c>
      <c r="D9" s="2">
        <f t="shared" ref="D9:D14" si="4">D8-125000</f>
        <v>750000</v>
      </c>
      <c r="E9" s="8">
        <v>0</v>
      </c>
      <c r="F9" s="13">
        <f t="shared" si="1"/>
        <v>0.25205479452054796</v>
      </c>
      <c r="H9" s="2">
        <f t="shared" si="2"/>
        <v>-750000</v>
      </c>
      <c r="I9" s="8">
        <v>7.0000000000000007E-2</v>
      </c>
    </row>
    <row r="10" spans="2:9" x14ac:dyDescent="0.25">
      <c r="B10" s="3">
        <f t="shared" si="3"/>
        <v>42912</v>
      </c>
      <c r="C10" s="3">
        <f t="shared" si="0"/>
        <v>43004</v>
      </c>
      <c r="D10" s="2">
        <f t="shared" si="4"/>
        <v>625000</v>
      </c>
      <c r="E10" s="8">
        <v>0</v>
      </c>
      <c r="F10" s="13">
        <f t="shared" si="1"/>
        <v>0.25205479452054796</v>
      </c>
      <c r="H10" s="2">
        <f t="shared" si="2"/>
        <v>-625000</v>
      </c>
      <c r="I10" s="8">
        <v>7.0000000000000007E-2</v>
      </c>
    </row>
    <row r="11" spans="2:9" x14ac:dyDescent="0.25">
      <c r="B11" s="3">
        <f t="shared" si="3"/>
        <v>43004</v>
      </c>
      <c r="C11" s="3">
        <f t="shared" si="0"/>
        <v>43095</v>
      </c>
      <c r="D11" s="2">
        <f t="shared" si="4"/>
        <v>500000</v>
      </c>
      <c r="E11" s="8">
        <v>0</v>
      </c>
      <c r="F11" s="13">
        <f t="shared" si="1"/>
        <v>0.24931506849315069</v>
      </c>
      <c r="H11" s="2">
        <f t="shared" si="2"/>
        <v>-500000</v>
      </c>
      <c r="I11" s="8">
        <v>7.0000000000000007E-2</v>
      </c>
    </row>
    <row r="12" spans="2:9" x14ac:dyDescent="0.25">
      <c r="B12" s="3">
        <f t="shared" si="3"/>
        <v>43095</v>
      </c>
      <c r="C12" s="3">
        <f t="shared" si="0"/>
        <v>43185</v>
      </c>
      <c r="D12" s="2">
        <f t="shared" si="4"/>
        <v>375000</v>
      </c>
      <c r="E12" s="8">
        <v>0</v>
      </c>
      <c r="F12" s="13">
        <f t="shared" si="1"/>
        <v>0.24657534246575341</v>
      </c>
      <c r="H12" s="2">
        <f t="shared" si="2"/>
        <v>-375000</v>
      </c>
      <c r="I12" s="8">
        <v>7.0000000000000007E-2</v>
      </c>
    </row>
    <row r="13" spans="2:9" x14ac:dyDescent="0.25">
      <c r="B13" s="3">
        <f t="shared" si="3"/>
        <v>43185</v>
      </c>
      <c r="C13" s="3">
        <f t="shared" si="0"/>
        <v>43277</v>
      </c>
      <c r="D13" s="2">
        <f t="shared" si="4"/>
        <v>250000</v>
      </c>
      <c r="E13" s="8">
        <v>0</v>
      </c>
      <c r="F13" s="13">
        <f t="shared" si="1"/>
        <v>0.25205479452054796</v>
      </c>
      <c r="H13" s="2">
        <f t="shared" si="2"/>
        <v>-250000</v>
      </c>
      <c r="I13" s="8">
        <v>7.0000000000000007E-2</v>
      </c>
    </row>
    <row r="14" spans="2:9" x14ac:dyDescent="0.25">
      <c r="B14" s="3">
        <f t="shared" si="3"/>
        <v>43277</v>
      </c>
      <c r="C14" s="3">
        <f t="shared" si="0"/>
        <v>43369</v>
      </c>
      <c r="D14" s="2">
        <f t="shared" si="4"/>
        <v>125000</v>
      </c>
      <c r="E14" s="8">
        <v>0</v>
      </c>
      <c r="F14" s="13">
        <f t="shared" si="1"/>
        <v>0.25205479452054796</v>
      </c>
      <c r="H14" s="2">
        <f t="shared" si="2"/>
        <v>-125000</v>
      </c>
      <c r="I14" s="8">
        <v>7.0000000000000007E-2</v>
      </c>
    </row>
    <row r="15" spans="2:9" x14ac:dyDescent="0.25">
      <c r="B15" s="11"/>
      <c r="C15" s="11"/>
    </row>
    <row r="16" spans="2:9" ht="21" x14ac:dyDescent="0.35">
      <c r="B16" s="9" t="s">
        <v>40</v>
      </c>
      <c r="I16" s="9" t="s">
        <v>29</v>
      </c>
    </row>
    <row r="17" spans="2:9" x14ac:dyDescent="0.25">
      <c r="B17" s="6" t="str">
        <f>_xll.QSA.CreateFloatLeg(C2,C3,C4,B7:B14,C7:C14,D7:D14,E7:E14,F7:F14)</f>
        <v>floatLeg.08:29:00-65</v>
      </c>
      <c r="I17" s="6" t="str">
        <f>_xll.QSA.CreateFixedLeg(I2,I3,C7:C14,H7:H14,I7:I14,F7:F14)</f>
        <v>fixedLeg.08:29:00-61</v>
      </c>
    </row>
    <row r="20" spans="2:9" ht="21" x14ac:dyDescent="0.35">
      <c r="B20" s="9" t="s">
        <v>30</v>
      </c>
    </row>
    <row r="21" spans="2:9" x14ac:dyDescent="0.25">
      <c r="B21" s="1" t="s">
        <v>0</v>
      </c>
      <c r="C21" s="2" t="s">
        <v>39</v>
      </c>
    </row>
    <row r="22" spans="2:9" x14ac:dyDescent="0.25">
      <c r="B22" s="1" t="s">
        <v>12</v>
      </c>
      <c r="C22" s="10" t="str">
        <f>B17</f>
        <v>floatLeg.08:29:00-65</v>
      </c>
    </row>
    <row r="23" spans="2:9" x14ac:dyDescent="0.25">
      <c r="C23" s="10" t="str">
        <f>I17</f>
        <v>fixedLeg.08:29:00-61</v>
      </c>
    </row>
    <row r="24" spans="2:9" x14ac:dyDescent="0.25">
      <c r="B24" s="1" t="s">
        <v>11</v>
      </c>
      <c r="C24" s="3">
        <v>42636</v>
      </c>
    </row>
    <row r="25" spans="2:9" x14ac:dyDescent="0.25">
      <c r="B25" s="1" t="s">
        <v>18</v>
      </c>
      <c r="C25" s="10" t="str">
        <f ca="1">'Curves and Model'!B28</f>
        <v>curveModel.08:29:00-72</v>
      </c>
    </row>
    <row r="27" spans="2:9" x14ac:dyDescent="0.25">
      <c r="B27" s="6" t="str">
        <f ca="1">_xll.QSA.Value(C21,C22:C23,C24,C25)</f>
        <v>amortSwapValueResults.08:29:00-74</v>
      </c>
    </row>
    <row r="29" spans="2:9" x14ac:dyDescent="0.25">
      <c r="B29" s="1" t="s">
        <v>37</v>
      </c>
      <c r="C29" s="12">
        <f ca="1">_xll.QSA.GetResults(B27,"value")</f>
        <v>3341.7881313855064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3"/>
  <sheetViews>
    <sheetView workbookViewId="0">
      <selection activeCell="E20" sqref="E20"/>
    </sheetView>
  </sheetViews>
  <sheetFormatPr defaultRowHeight="15" x14ac:dyDescent="0.25"/>
  <cols>
    <col min="2" max="2" width="22.140625" bestFit="1" customWidth="1"/>
    <col min="3" max="3" width="13.140625" bestFit="1" customWidth="1"/>
    <col min="4" max="4" width="8.85546875" bestFit="1" customWidth="1"/>
  </cols>
  <sheetData>
    <row r="2" spans="2:4" x14ac:dyDescent="0.25">
      <c r="B2" s="1" t="s">
        <v>0</v>
      </c>
      <c r="C2" s="2" t="s">
        <v>41</v>
      </c>
    </row>
    <row r="4" spans="2:4" x14ac:dyDescent="0.25">
      <c r="B4" s="1" t="s">
        <v>3</v>
      </c>
      <c r="C4" s="1" t="s">
        <v>42</v>
      </c>
      <c r="D4" s="1" t="s">
        <v>43</v>
      </c>
    </row>
    <row r="5" spans="2:4" x14ac:dyDescent="0.25">
      <c r="B5" s="3">
        <v>42636</v>
      </c>
      <c r="C5" s="7">
        <v>-13660000</v>
      </c>
      <c r="D5" s="2" t="s">
        <v>2</v>
      </c>
    </row>
    <row r="6" spans="2:4" x14ac:dyDescent="0.25">
      <c r="B6" s="3">
        <v>42636</v>
      </c>
      <c r="C6" s="7">
        <v>1000000</v>
      </c>
      <c r="D6" s="2" t="s">
        <v>8</v>
      </c>
    </row>
    <row r="7" spans="2:4" x14ac:dyDescent="0.25">
      <c r="B7" s="3">
        <v>43001</v>
      </c>
      <c r="C7" s="7">
        <v>14553000</v>
      </c>
      <c r="D7" s="2" t="s">
        <v>2</v>
      </c>
    </row>
    <row r="8" spans="2:4" x14ac:dyDescent="0.25">
      <c r="B8" s="3">
        <v>43001</v>
      </c>
      <c r="C8" s="7">
        <v>-1000000</v>
      </c>
      <c r="D8" s="2" t="s">
        <v>8</v>
      </c>
    </row>
    <row r="11" spans="2:4" ht="21" x14ac:dyDescent="0.35">
      <c r="B11" s="9" t="s">
        <v>44</v>
      </c>
    </row>
    <row r="12" spans="2:4" x14ac:dyDescent="0.25">
      <c r="B12" s="6" t="str">
        <f>_xll.QSA.CreateCashLeg(C2,B5:B8,C5:C8,D5:D8)</f>
        <v>fxSwap.08:29:00-60</v>
      </c>
    </row>
    <row r="14" spans="2:4" ht="21" x14ac:dyDescent="0.35">
      <c r="B14" s="9" t="s">
        <v>30</v>
      </c>
    </row>
    <row r="15" spans="2:4" x14ac:dyDescent="0.25">
      <c r="B15" s="1" t="s">
        <v>0</v>
      </c>
      <c r="C15" s="2" t="s">
        <v>45</v>
      </c>
    </row>
    <row r="16" spans="2:4" x14ac:dyDescent="0.25">
      <c r="B16" s="1" t="s">
        <v>12</v>
      </c>
      <c r="C16" s="10" t="str">
        <f>B12</f>
        <v>fxSwap.08:29:00-60</v>
      </c>
    </row>
    <row r="18" spans="2:3" x14ac:dyDescent="0.25">
      <c r="B18" s="1" t="s">
        <v>11</v>
      </c>
      <c r="C18" s="3">
        <v>42636</v>
      </c>
    </row>
    <row r="19" spans="2:3" x14ac:dyDescent="0.25">
      <c r="B19" s="1" t="s">
        <v>18</v>
      </c>
      <c r="C19" s="10" t="str">
        <f ca="1">'Curves and Model'!B28</f>
        <v>curveModel.08:29:00-72</v>
      </c>
    </row>
    <row r="21" spans="2:3" x14ac:dyDescent="0.25">
      <c r="B21" s="6" t="str">
        <f ca="1">_xll.QSA.Value(C15,C16,C18,C19)</f>
        <v>fxSwapValueResults.08:29:00-73</v>
      </c>
    </row>
    <row r="23" spans="2:3" x14ac:dyDescent="0.25">
      <c r="B23" s="1" t="s">
        <v>37</v>
      </c>
      <c r="C23" s="12">
        <f ca="1">_xll.QSA.GetResults(B21,"value")</f>
        <v>341.00622510910034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8"/>
  <sheetViews>
    <sheetView workbookViewId="0">
      <selection activeCell="B29" sqref="B29"/>
    </sheetView>
  </sheetViews>
  <sheetFormatPr defaultColWidth="3.42578125" defaultRowHeight="15" x14ac:dyDescent="0.25"/>
  <cols>
    <col min="2" max="2" width="26.42578125" bestFit="1" customWidth="1"/>
    <col min="3" max="3" width="24.7109375" bestFit="1" customWidth="1"/>
    <col min="4" max="5" width="28.28515625" bestFit="1" customWidth="1"/>
    <col min="6" max="6" width="24.5703125" bestFit="1" customWidth="1"/>
    <col min="8" max="8" width="28.28515625" bestFit="1" customWidth="1"/>
    <col min="9" max="9" width="17.85546875" bestFit="1" customWidth="1"/>
    <col min="12" max="12" width="31.42578125" bestFit="1" customWidth="1"/>
    <col min="13" max="13" width="28.28515625" bestFit="1" customWidth="1"/>
  </cols>
  <sheetData>
    <row r="2" spans="2:13" ht="21" x14ac:dyDescent="0.35">
      <c r="L2" s="9" t="s">
        <v>20</v>
      </c>
    </row>
    <row r="3" spans="2:13" x14ac:dyDescent="0.25">
      <c r="B3" s="1" t="s">
        <v>0</v>
      </c>
      <c r="C3" s="2" t="s">
        <v>13</v>
      </c>
      <c r="E3" s="1" t="s">
        <v>0</v>
      </c>
      <c r="F3" s="2" t="s">
        <v>25</v>
      </c>
      <c r="H3" s="1" t="s">
        <v>0</v>
      </c>
      <c r="I3" s="2" t="s">
        <v>26</v>
      </c>
      <c r="L3" s="1" t="s">
        <v>0</v>
      </c>
      <c r="M3" s="2" t="s">
        <v>23</v>
      </c>
    </row>
    <row r="4" spans="2:13" x14ac:dyDescent="0.25">
      <c r="B4" s="1" t="s">
        <v>1</v>
      </c>
      <c r="C4" s="2" t="s">
        <v>2</v>
      </c>
      <c r="E4" s="1" t="s">
        <v>1</v>
      </c>
      <c r="F4" s="2" t="s">
        <v>2</v>
      </c>
      <c r="H4" s="1" t="s">
        <v>1</v>
      </c>
      <c r="I4" s="2" t="s">
        <v>8</v>
      </c>
      <c r="L4" s="1" t="s">
        <v>21</v>
      </c>
      <c r="M4" s="2" t="s">
        <v>8</v>
      </c>
    </row>
    <row r="5" spans="2:13" x14ac:dyDescent="0.25">
      <c r="L5" s="1" t="s">
        <v>22</v>
      </c>
      <c r="M5" s="2" t="s">
        <v>2</v>
      </c>
    </row>
    <row r="6" spans="2:13" x14ac:dyDescent="0.25">
      <c r="B6" s="1" t="s">
        <v>14</v>
      </c>
      <c r="C6" s="1" t="s">
        <v>5</v>
      </c>
      <c r="E6" s="1" t="s">
        <v>14</v>
      </c>
      <c r="F6" s="1" t="s">
        <v>5</v>
      </c>
      <c r="H6" s="1" t="s">
        <v>14</v>
      </c>
      <c r="I6" s="1" t="s">
        <v>5</v>
      </c>
      <c r="L6" s="1" t="s">
        <v>24</v>
      </c>
      <c r="M6" s="2">
        <v>13.66</v>
      </c>
    </row>
    <row r="7" spans="2:13" x14ac:dyDescent="0.25">
      <c r="B7" s="3">
        <v>42636</v>
      </c>
      <c r="C7" s="8">
        <v>7.2499999999999995E-2</v>
      </c>
      <c r="E7" s="3">
        <v>42636</v>
      </c>
      <c r="F7" s="8">
        <v>7.3499999999999996E-2</v>
      </c>
      <c r="H7" s="3">
        <v>42636</v>
      </c>
      <c r="I7" s="8">
        <v>0.01</v>
      </c>
      <c r="L7" s="1" t="s">
        <v>27</v>
      </c>
      <c r="M7" s="10" t="str">
        <f>H10</f>
        <v>USDDiscountAndBasis.08:29:00-62</v>
      </c>
    </row>
    <row r="8" spans="2:13" x14ac:dyDescent="0.25">
      <c r="B8" s="3">
        <v>46288</v>
      </c>
      <c r="C8" s="8">
        <v>7.2499999999999995E-2</v>
      </c>
      <c r="E8" s="3">
        <v>46288</v>
      </c>
      <c r="F8" s="8">
        <v>7.3499999999999996E-2</v>
      </c>
      <c r="H8" s="3">
        <v>46288</v>
      </c>
      <c r="I8" s="8">
        <v>1.2E-2</v>
      </c>
      <c r="L8" s="1" t="s">
        <v>28</v>
      </c>
      <c r="M8" s="10" t="str">
        <f>E10</f>
        <v>ZARBasis.08:29:00-64</v>
      </c>
    </row>
    <row r="10" spans="2:13" x14ac:dyDescent="0.25">
      <c r="B10" s="6" t="str">
        <f>_xll.QSA.CreateDatesAndRatesCurve(C3,B7:B8,C7:C8,C4)</f>
        <v>ZARDiscount.08:29:00-63</v>
      </c>
      <c r="E10" s="6" t="str">
        <f>_xll.QSA.CreateDatesAndRatesCurve(F3,E7:E8,F7:F8,F4)</f>
        <v>ZARBasis.08:29:00-64</v>
      </c>
      <c r="H10" s="6" t="str">
        <f>_xll.QSA.CreateDatesAndRatesCurve(I3,H7:H8,I7:I8,I4)</f>
        <v>USDDiscountAndBasis.08:29:00-62</v>
      </c>
      <c r="L10" s="6" t="str">
        <f>_xll.QSA.CreateFXForecastCurve(M3,M4,M5,M6,M7,M8)</f>
        <v>USDZARForwards.08:29:00-69</v>
      </c>
    </row>
    <row r="13" spans="2:13" ht="21" x14ac:dyDescent="0.35">
      <c r="B13" s="9" t="s">
        <v>50</v>
      </c>
    </row>
    <row r="14" spans="2:13" x14ac:dyDescent="0.25">
      <c r="B14" s="1" t="s">
        <v>0</v>
      </c>
      <c r="C14" s="1" t="s">
        <v>47</v>
      </c>
      <c r="D14" s="1" t="s">
        <v>46</v>
      </c>
    </row>
    <row r="15" spans="2:13" x14ac:dyDescent="0.25">
      <c r="B15" s="2" t="str">
        <f>"forecast"&amp;C15</f>
        <v>forecastJIBAR3M</v>
      </c>
      <c r="C15" s="2" t="s">
        <v>33</v>
      </c>
      <c r="D15" s="10" t="str">
        <f>B10</f>
        <v>ZARDiscount.08:29:00-63</v>
      </c>
      <c r="E15" s="6" t="str">
        <f>_xll.QSA.CreateRateForecastCurveFromDiscount(B15,C15,D15)</f>
        <v>forecastJIBAR3M.08:29:00-68</v>
      </c>
    </row>
    <row r="16" spans="2:13" x14ac:dyDescent="0.25">
      <c r="B16" s="2" t="str">
        <f t="shared" ref="B16:B17" si="0">"forecast"&amp;C16</f>
        <v>forecastJIBAR6M</v>
      </c>
      <c r="C16" s="2" t="s">
        <v>48</v>
      </c>
      <c r="D16" s="10" t="str">
        <f>B10</f>
        <v>ZARDiscount.08:29:00-63</v>
      </c>
      <c r="E16" s="6" t="str">
        <f>_xll.QSA.CreateRateForecastCurveFromDiscount(B16,C16,D16)</f>
        <v>forecastJIBAR6M.08:29:00-67</v>
      </c>
    </row>
    <row r="17" spans="2:5" x14ac:dyDescent="0.25">
      <c r="B17" s="2" t="str">
        <f t="shared" si="0"/>
        <v>forecastLIBOR3M</v>
      </c>
      <c r="C17" s="2" t="s">
        <v>49</v>
      </c>
      <c r="D17" s="10" t="str">
        <f>H10</f>
        <v>USDDiscountAndBasis.08:29:00-62</v>
      </c>
      <c r="E17" s="6" t="str">
        <f>_xll.QSA.CreateRateForecastCurveFromDiscount(B17,C17,D17)</f>
        <v>forecastLIBOR3M.08:29:00-66</v>
      </c>
    </row>
    <row r="20" spans="2:5" ht="21" x14ac:dyDescent="0.35">
      <c r="B20" s="9" t="s">
        <v>19</v>
      </c>
    </row>
    <row r="21" spans="2:5" x14ac:dyDescent="0.25">
      <c r="B21" s="1" t="s">
        <v>0</v>
      </c>
      <c r="C21" s="2" t="s">
        <v>15</v>
      </c>
    </row>
    <row r="22" spans="2:5" x14ac:dyDescent="0.25">
      <c r="B22" s="1" t="s">
        <v>10</v>
      </c>
      <c r="C22" s="10" t="str">
        <f>'Curves and Model'!B10</f>
        <v>ZARDiscount.08:29:00-63</v>
      </c>
    </row>
    <row r="23" spans="2:5" x14ac:dyDescent="0.25">
      <c r="B23" s="1" t="s">
        <v>16</v>
      </c>
      <c r="C23" s="10" t="str">
        <f>E15</f>
        <v>forecastJIBAR3M.08:29:00-68</v>
      </c>
    </row>
    <row r="24" spans="2:5" x14ac:dyDescent="0.25">
      <c r="C24" s="10" t="str">
        <f>E16</f>
        <v>forecastJIBAR6M.08:29:00-67</v>
      </c>
    </row>
    <row r="25" spans="2:5" x14ac:dyDescent="0.25">
      <c r="C25" s="10" t="str">
        <f>E17</f>
        <v>forecastLIBOR3M.08:29:00-66</v>
      </c>
    </row>
    <row r="26" spans="2:5" x14ac:dyDescent="0.25">
      <c r="B26" s="1" t="s">
        <v>17</v>
      </c>
      <c r="C26" s="10" t="str">
        <f>'Curves and Model'!L10</f>
        <v>USDZARForwards.08:29:00-69</v>
      </c>
    </row>
    <row r="28" spans="2:5" x14ac:dyDescent="0.25">
      <c r="B28" s="6" t="str">
        <f ca="1">_xll.QSA.CreateCurveModel(C21,C22,C23:C25,C26)</f>
        <v>curveModel.08:29:34-76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Fixed CCIRS</vt:lpstr>
      <vt:lpstr>Amortising Swap</vt:lpstr>
      <vt:lpstr>FX Forward or FX Swap</vt:lpstr>
      <vt:lpstr>Curves and Model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2013-06-11T08:46:42Z</dcterms:created>
  <dcterms:modified xsi:type="dcterms:W3CDTF">2016-10-31T08:47:40Z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e9c6eb6c-bf0b-4c4e-9d34-83248092af54</vt:lpwstr>
  </property>
</Properties>
</file>