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 activeTab="1"/>
  </bookViews>
  <sheets>
    <sheet name="LoanFixedRate(AfterStart)" sheetId="6" r:id="rId1"/>
    <sheet name="LoanFixedRate(BeforeStart)" sheetId="5" r:id="rId2"/>
    <sheet name="LoanFloatingRate" sheetId="3" r:id="rId3"/>
    <sheet name="Curves and Model" sheetId="2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D32" i="6" l="1"/>
  <c r="D25" i="6"/>
  <c r="D30" i="6"/>
  <c r="C22" i="6"/>
  <c r="E15" i="6"/>
  <c r="E14" i="6"/>
  <c r="E13" i="6"/>
  <c r="E12" i="6"/>
  <c r="E11" i="6"/>
  <c r="E10" i="6"/>
  <c r="E9" i="6"/>
  <c r="E8" i="6"/>
  <c r="E9" i="5"/>
  <c r="E10" i="5"/>
  <c r="E11" i="5"/>
  <c r="E12" i="5"/>
  <c r="E13" i="5"/>
  <c r="E14" i="5"/>
  <c r="E15" i="5"/>
  <c r="E8" i="5"/>
  <c r="F8" i="3"/>
  <c r="E9" i="3"/>
  <c r="E10" i="3"/>
  <c r="E11" i="3"/>
  <c r="E12" i="3"/>
  <c r="E13" i="3"/>
  <c r="E14" i="3"/>
  <c r="E15" i="3"/>
  <c r="E8" i="3"/>
  <c r="B18" i="6"/>
  <c r="C23" i="6" l="1"/>
  <c r="C22" i="5"/>
  <c r="C23" i="3"/>
  <c r="B18" i="5"/>
  <c r="C23" i="5" l="1"/>
  <c r="B16" i="2"/>
  <c r="B17" i="2"/>
  <c r="B15" i="2"/>
  <c r="C9" i="3" l="1"/>
  <c r="H10" i="2"/>
  <c r="E10" i="2"/>
  <c r="B10" i="2"/>
  <c r="D13" i="5"/>
  <c r="D11" i="5"/>
  <c r="D10" i="5"/>
  <c r="D14" i="5"/>
  <c r="D12" i="5"/>
  <c r="D9" i="5"/>
  <c r="D15" i="5"/>
  <c r="D7" i="5"/>
  <c r="D8" i="5"/>
  <c r="G14" i="3"/>
  <c r="G13" i="3"/>
  <c r="G16" i="3"/>
  <c r="G12" i="3"/>
  <c r="G11" i="3"/>
  <c r="G10" i="3"/>
  <c r="G15" i="3"/>
  <c r="G8" i="3"/>
  <c r="G9" i="3"/>
  <c r="D13" i="6"/>
  <c r="D10" i="6"/>
  <c r="D14" i="6"/>
  <c r="D9" i="6"/>
  <c r="D11" i="6"/>
  <c r="D15" i="6"/>
  <c r="D7" i="6"/>
  <c r="D8" i="6"/>
  <c r="D12" i="6"/>
  <c r="D31" i="6" l="1"/>
  <c r="D31" i="5"/>
  <c r="D30" i="5"/>
  <c r="F9" i="3"/>
  <c r="C10" i="3"/>
  <c r="D16" i="2"/>
  <c r="D15" i="2"/>
  <c r="D17" i="2"/>
  <c r="C22" i="2"/>
  <c r="M8" i="2"/>
  <c r="M7" i="2"/>
  <c r="E17" i="2"/>
  <c r="E16" i="2"/>
  <c r="E15" i="2"/>
  <c r="L10" i="2"/>
  <c r="D32" i="5" l="1"/>
  <c r="F10" i="3"/>
  <c r="C11" i="3"/>
  <c r="C23" i="2"/>
  <c r="C24" i="2"/>
  <c r="C25" i="2"/>
  <c r="C26" i="2"/>
  <c r="F11" i="3" l="1"/>
  <c r="C12" i="3"/>
  <c r="F12" i="3" s="1"/>
  <c r="C13" i="3" l="1"/>
  <c r="F13" i="3" s="1"/>
  <c r="B28" i="2"/>
  <c r="C26" i="6" l="1"/>
  <c r="C14" i="3"/>
  <c r="F14" i="3" s="1"/>
  <c r="C26" i="5"/>
  <c r="C27" i="3"/>
  <c r="B28" i="6"/>
  <c r="C30" i="6" s="1"/>
  <c r="B28" i="5"/>
  <c r="C30" i="5"/>
  <c r="C15" i="3" l="1"/>
  <c r="F16" i="3" s="1"/>
  <c r="E31" i="3"/>
  <c r="E32" i="3" s="1"/>
  <c r="E33" i="3" s="1"/>
  <c r="B19" i="3"/>
  <c r="F15" i="3" l="1"/>
  <c r="E34" i="3" s="1"/>
  <c r="E35" i="3" s="1"/>
  <c r="C24" i="3"/>
  <c r="B29" i="3"/>
  <c r="C31" i="3" s="1"/>
</calcChain>
</file>

<file path=xl/sharedStrings.xml><?xml version="1.0" encoding="utf-8"?>
<sst xmlns="http://schemas.openxmlformats.org/spreadsheetml/2006/main" count="95" uniqueCount="46">
  <si>
    <t>name</t>
  </si>
  <si>
    <t>currency</t>
  </si>
  <si>
    <t>ZAR</t>
  </si>
  <si>
    <t>rates</t>
  </si>
  <si>
    <t>USD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</si>
  <si>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</si>
  <si>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</si>
  <si>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</si>
  <si>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</si>
  <si>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</si>
  <si>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</si>
  <si>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</si>
  <si>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</si>
  <si>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model</t>
  </si>
  <si>
    <t>QSA.CreateCurveModel</t>
  </si>
  <si>
    <t>QSA.CreateFXForecastCurve</t>
  </si>
  <si>
    <t>baseCurrency</t>
  </si>
  <si>
    <t>counterCurrency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</si>
  <si>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</si>
  <si>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</si>
  <si>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</si>
  <si>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</si>
  <si>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</si>
  <si>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</si>
  <si>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QSA.Value</t>
  </si>
  <si>
    <t>floatingIndex</t>
  </si>
  <si>
    <t>JIBAR3M</t>
  </si>
  <si>
    <t>value</t>
  </si>
  <si>
    <t>discountCuve</t>
  </si>
  <si>
    <t>floatingRateIndex</t>
  </si>
  <si>
    <t>JIBAR6M</t>
  </si>
  <si>
    <t>LIBOR3M</t>
  </si>
  <si>
    <t>QSA.CreateRateForecastCurveFromDiscount</t>
  </si>
  <si>
    <t>floatingSpread</t>
  </si>
  <si>
    <t>floatingLoan</t>
  </si>
  <si>
    <t>balanceDates</t>
  </si>
  <si>
    <t>balanceAmounts</t>
  </si>
  <si>
    <t>QSA.CreateLoanFloatingRate</t>
  </si>
  <si>
    <t>fixedLoan</t>
  </si>
  <si>
    <t>simpleFixedRate</t>
  </si>
  <si>
    <t>floatTest</t>
  </si>
  <si>
    <t>&lt;- float leg</t>
  </si>
  <si>
    <t>&lt;- PV of notional flows</t>
  </si>
  <si>
    <t>&lt;- reference value</t>
  </si>
  <si>
    <t>&lt;- notional flows</t>
  </si>
  <si>
    <t>&lt;- interest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</si>
</sst>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4" fontId="0" fillId="6" borderId="0" xfId="0" applyNumberFormat="1" applyFill="1"/>
    <xf numFmtId="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D33" sqref="D33"/>
    </sheetView>
  </sheetViews>
  <sheetFormatPr defaultColWidth="24.375" defaultRowHeight="15" x14ac:dyDescent="0.25"/>
  <cols>
    <col min="1" max="1" width="5" customWidth="1"/>
    <col min="7" max="7" width="5.375" customWidth="1"/>
  </cols>
  <sheetData>
    <row r="2" spans="2:5" x14ac:dyDescent="0.25">
      <c r="B2" s="1" t="s">
        <v>0</v>
      </c>
      <c r="C2" s="2" t="s">
        <v>38</v>
      </c>
    </row>
    <row r="3" spans="2:5" x14ac:dyDescent="0.25">
      <c r="B3" s="1" t="s">
        <v>1</v>
      </c>
      <c r="C3" s="2" t="s">
        <v>2</v>
      </c>
    </row>
    <row r="4" spans="2:5" x14ac:dyDescent="0.25">
      <c r="B4" s="1" t="s">
        <v>39</v>
      </c>
      <c r="C4" s="6">
        <v>0.1</v>
      </c>
    </row>
    <row r="6" spans="2:5" x14ac:dyDescent="0.25">
      <c r="B6" s="1" t="s">
        <v>35</v>
      </c>
      <c r="C6" s="1" t="s">
        <v>36</v>
      </c>
    </row>
    <row r="7" spans="2:5" x14ac:dyDescent="0.25">
      <c r="B7" s="3">
        <v>42639</v>
      </c>
      <c r="C7" s="5">
        <v>1000000</v>
      </c>
      <c r="D7">
        <f>_xll.QSA.GetDF('Curves and Model'!$B$10,'LoanFixedRate(AfterStart)'!B7)</f>
        <v>0.999404287096472</v>
      </c>
    </row>
    <row r="8" spans="2:5" x14ac:dyDescent="0.25">
      <c r="B8" s="3">
        <v>42730</v>
      </c>
      <c r="C8" s="5">
        <v>1000000</v>
      </c>
      <c r="D8">
        <f>_xll.QSA.GetDF('Curves and Model'!$B$10,'LoanFixedRate(AfterStart)'!B8)</f>
        <v>0.98150199479174127</v>
      </c>
      <c r="E8">
        <f>$C$4*C7*(B8-B7)/365</f>
        <v>24931.506849315068</v>
      </c>
    </row>
    <row r="9" spans="2:5" x14ac:dyDescent="0.25">
      <c r="B9" s="3">
        <v>42820</v>
      </c>
      <c r="C9" s="5">
        <v>1000000</v>
      </c>
      <c r="D9">
        <f>_xll.QSA.GetDF('Curves and Model'!$B$10,'LoanFixedRate(AfterStart)'!B9)</f>
        <v>0.96411186824655548</v>
      </c>
      <c r="E9">
        <f t="shared" ref="E9:E15" si="0">$C$4*C8*(B9-B8)/365</f>
        <v>24657.534246575342</v>
      </c>
    </row>
    <row r="10" spans="2:5" x14ac:dyDescent="0.25">
      <c r="B10" s="3">
        <v>42912</v>
      </c>
      <c r="C10" s="5">
        <v>1000000</v>
      </c>
      <c r="D10">
        <f>_xll.QSA.GetDF('Curves and Model'!$B$10,'LoanFixedRate(AfterStart)'!B10)</f>
        <v>0.94665371511207852</v>
      </c>
      <c r="E10">
        <f t="shared" si="0"/>
        <v>25205.479452054795</v>
      </c>
    </row>
    <row r="11" spans="2:5" x14ac:dyDescent="0.25">
      <c r="B11" s="3">
        <v>43004</v>
      </c>
      <c r="C11" s="5">
        <v>1000000</v>
      </c>
      <c r="D11">
        <f>_xll.QSA.GetDF('Curves and Model'!$B$10,'LoanFixedRate(AfterStart)'!B11)</f>
        <v>0.92951169449386351</v>
      </c>
      <c r="E11">
        <f t="shared" si="0"/>
        <v>25205.479452054795</v>
      </c>
    </row>
    <row r="12" spans="2:5" x14ac:dyDescent="0.25">
      <c r="B12" s="3">
        <v>43095</v>
      </c>
      <c r="C12" s="5">
        <v>1000000</v>
      </c>
      <c r="D12">
        <f>_xll.QSA.GetDF('Curves and Model'!$B$10,'LoanFixedRate(AfterStart)'!B12)</f>
        <v>0.91286138563453356</v>
      </c>
      <c r="E12">
        <f t="shared" si="0"/>
        <v>24931.506849315068</v>
      </c>
    </row>
    <row r="13" spans="2:5" x14ac:dyDescent="0.25">
      <c r="B13" s="3">
        <v>43185</v>
      </c>
      <c r="C13" s="5">
        <v>1000000</v>
      </c>
      <c r="D13">
        <f>_xll.QSA.GetDF('Curves and Model'!$B$10,'LoanFixedRate(AfterStart)'!B13)</f>
        <v>0.89668742460476858</v>
      </c>
      <c r="E13">
        <f t="shared" si="0"/>
        <v>24657.534246575342</v>
      </c>
    </row>
    <row r="14" spans="2:5" x14ac:dyDescent="0.25">
      <c r="B14" s="3">
        <v>43277</v>
      </c>
      <c r="C14" s="5">
        <v>1000000</v>
      </c>
      <c r="D14">
        <f>_xll.QSA.GetDF('Curves and Model'!$B$10,'LoanFixedRate(AfterStart)'!B14)</f>
        <v>0.88045019437444183</v>
      </c>
      <c r="E14">
        <f t="shared" si="0"/>
        <v>25205.479452054795</v>
      </c>
    </row>
    <row r="15" spans="2:5" x14ac:dyDescent="0.25">
      <c r="B15" s="3">
        <v>43369</v>
      </c>
      <c r="C15" s="5">
        <v>0</v>
      </c>
      <c r="D15">
        <f>_xll.QSA.GetDF('Curves and Model'!$B$10,'LoanFixedRate(AfterStart)'!B15)</f>
        <v>0.86450698816889582</v>
      </c>
      <c r="E15">
        <f t="shared" si="0"/>
        <v>25205.479452054795</v>
      </c>
    </row>
    <row r="17" spans="2:5" ht="21" x14ac:dyDescent="0.35">
      <c r="B17" s="7" t="s">
        <v>37</v>
      </c>
    </row>
    <row r="18" spans="2:5" x14ac:dyDescent="0.25">
      <c r="B18" s="4" t="str">
        <f>_xll.QSA.CreateLoanFixedRate(C2,C3,B7:B15,C7:C15,C4)</f>
        <v>fixedLoan.13:16:39-116</v>
      </c>
    </row>
    <row r="21" spans="2:5" ht="21" x14ac:dyDescent="0.35">
      <c r="B21" s="7" t="s">
        <v>24</v>
      </c>
    </row>
    <row r="22" spans="2:5" x14ac:dyDescent="0.25">
      <c r="B22" s="1" t="s">
        <v>0</v>
      </c>
      <c r="C22" s="2" t="str">
        <f>C2&amp;"ValueResults"</f>
        <v>fixedLoanValueResults</v>
      </c>
    </row>
    <row r="23" spans="2:5" x14ac:dyDescent="0.25">
      <c r="B23" s="1" t="s">
        <v>7</v>
      </c>
      <c r="C23" s="8" t="str">
        <f>B18</f>
        <v>fixedLoan.13:16:39-116</v>
      </c>
    </row>
    <row r="25" spans="2:5" x14ac:dyDescent="0.25">
      <c r="B25" s="1" t="s">
        <v>6</v>
      </c>
      <c r="C25" s="3">
        <v>42643</v>
      </c>
      <c r="D25">
        <f ca="1">_xll.QSA.GetDF('Curves and Model'!$B$10,'LoanFixedRate(AfterStart)'!C25)</f>
        <v>0.99861055521456865</v>
      </c>
    </row>
    <row r="26" spans="2:5" x14ac:dyDescent="0.25">
      <c r="B26" s="1" t="s">
        <v>13</v>
      </c>
      <c r="C26" s="8" t="str">
        <f>'Curves and Model'!B28</f>
        <v>curveModel.13:16:39-125</v>
      </c>
    </row>
    <row r="28" spans="2:5" x14ac:dyDescent="0.25">
      <c r="B28" s="4" t="str">
        <f>_xll.QSA.Value(C22,C23,C25,C26)</f>
        <v>fixedLoanValueResults.13:16:39-126</v>
      </c>
    </row>
    <row r="30" spans="2:5" x14ac:dyDescent="0.25">
      <c r="B30" s="1" t="s">
        <v>27</v>
      </c>
      <c r="C30" s="9">
        <f>_xll.QSA.GetResults(B28,"value")</f>
        <v>1050350.579277612</v>
      </c>
      <c r="D30" s="10">
        <f ca="1">C7*(D15)</f>
        <v>864506.98816889583</v>
      </c>
      <c r="E30" t="s">
        <v>44</v>
      </c>
    </row>
    <row r="31" spans="2:5" x14ac:dyDescent="0.25">
      <c r="D31" s="10">
        <f>SUMPRODUCT(D8:D15,E8:E15)</f>
        <v>184384.18697346409</v>
      </c>
      <c r="E31" t="s">
        <v>45</v>
      </c>
    </row>
    <row r="32" spans="2:5" x14ac:dyDescent="0.25">
      <c r="D32" s="10">
        <f ca="1">SUM(D30:D31)/D25</f>
        <v>1050350.579277612</v>
      </c>
      <c r="E3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workbookViewId="0">
      <selection activeCell="D24" sqref="D24"/>
    </sheetView>
  </sheetViews>
  <sheetFormatPr defaultColWidth="24.375" defaultRowHeight="15" x14ac:dyDescent="0.25"/>
  <cols>
    <col min="1" max="1" width="5" customWidth="1"/>
    <col min="7" max="7" width="5.375" customWidth="1"/>
  </cols>
  <sheetData>
    <row r="2" spans="2:5" x14ac:dyDescent="0.25">
      <c r="B2" s="1" t="s">
        <v>0</v>
      </c>
      <c r="C2" s="2" t="s">
        <v>38</v>
      </c>
    </row>
    <row r="3" spans="2:5" x14ac:dyDescent="0.25">
      <c r="B3" s="1" t="s">
        <v>1</v>
      </c>
      <c r="C3" s="2" t="s">
        <v>2</v>
      </c>
    </row>
    <row r="4" spans="2:5" x14ac:dyDescent="0.25">
      <c r="B4" s="1" t="s">
        <v>39</v>
      </c>
      <c r="C4" s="6">
        <v>0.1</v>
      </c>
    </row>
    <row r="6" spans="2:5" x14ac:dyDescent="0.25">
      <c r="B6" s="1" t="s">
        <v>35</v>
      </c>
      <c r="C6" s="1" t="s">
        <v>36</v>
      </c>
    </row>
    <row r="7" spans="2:5" x14ac:dyDescent="0.25">
      <c r="B7" s="3">
        <v>42639</v>
      </c>
      <c r="C7" s="5">
        <v>1000000</v>
      </c>
      <c r="D7">
        <f>_xll.QSA.GetDF('Curves and Model'!$B$10,'LoanFixedRate(BeforeStart)'!B7)</f>
        <v>0.999404287096472</v>
      </c>
    </row>
    <row r="8" spans="2:5" x14ac:dyDescent="0.25">
      <c r="B8" s="3">
        <v>42730</v>
      </c>
      <c r="C8" s="5">
        <v>1000000</v>
      </c>
      <c r="D8">
        <f>_xll.QSA.GetDF('Curves and Model'!$B$10,'LoanFixedRate(BeforeStart)'!B8)</f>
        <v>0.98150199479174127</v>
      </c>
      <c r="E8">
        <f>$C$4*C7*(B8-B7)/365</f>
        <v>24931.506849315068</v>
      </c>
    </row>
    <row r="9" spans="2:5" x14ac:dyDescent="0.25">
      <c r="B9" s="3">
        <v>42820</v>
      </c>
      <c r="C9" s="5">
        <v>1000000</v>
      </c>
      <c r="D9">
        <f>_xll.QSA.GetDF('Curves and Model'!$B$10,'LoanFixedRate(BeforeStart)'!B9)</f>
        <v>0.96411186824655548</v>
      </c>
      <c r="E9">
        <f t="shared" ref="E9:E15" si="0">$C$4*C8*(B9-B8)/365</f>
        <v>24657.534246575342</v>
      </c>
    </row>
    <row r="10" spans="2:5" x14ac:dyDescent="0.25">
      <c r="B10" s="3">
        <v>42912</v>
      </c>
      <c r="C10" s="5">
        <v>1000000</v>
      </c>
      <c r="D10">
        <f>_xll.QSA.GetDF('Curves and Model'!$B$10,'LoanFixedRate(BeforeStart)'!B10)</f>
        <v>0.94665371511207852</v>
      </c>
      <c r="E10">
        <f t="shared" si="0"/>
        <v>25205.479452054795</v>
      </c>
    </row>
    <row r="11" spans="2:5" x14ac:dyDescent="0.25">
      <c r="B11" s="3">
        <v>43004</v>
      </c>
      <c r="C11" s="5">
        <v>1000000</v>
      </c>
      <c r="D11">
        <f>_xll.QSA.GetDF('Curves and Model'!$B$10,'LoanFixedRate(BeforeStart)'!B11)</f>
        <v>0.92951169449386351</v>
      </c>
      <c r="E11">
        <f t="shared" si="0"/>
        <v>25205.479452054795</v>
      </c>
    </row>
    <row r="12" spans="2:5" x14ac:dyDescent="0.25">
      <c r="B12" s="3">
        <v>43095</v>
      </c>
      <c r="C12" s="5">
        <v>1000000</v>
      </c>
      <c r="D12">
        <f>_xll.QSA.GetDF('Curves and Model'!$B$10,'LoanFixedRate(BeforeStart)'!B12)</f>
        <v>0.91286138563453356</v>
      </c>
      <c r="E12">
        <f t="shared" si="0"/>
        <v>24931.506849315068</v>
      </c>
    </row>
    <row r="13" spans="2:5" x14ac:dyDescent="0.25">
      <c r="B13" s="3">
        <v>43185</v>
      </c>
      <c r="C13" s="5">
        <v>1000000</v>
      </c>
      <c r="D13">
        <f>_xll.QSA.GetDF('Curves and Model'!$B$10,'LoanFixedRate(BeforeStart)'!B13)</f>
        <v>0.89668742460476858</v>
      </c>
      <c r="E13">
        <f t="shared" si="0"/>
        <v>24657.534246575342</v>
      </c>
    </row>
    <row r="14" spans="2:5" x14ac:dyDescent="0.25">
      <c r="B14" s="3">
        <v>43277</v>
      </c>
      <c r="C14" s="5">
        <v>1000000</v>
      </c>
      <c r="D14">
        <f>_xll.QSA.GetDF('Curves and Model'!$B$10,'LoanFixedRate(BeforeStart)'!B14)</f>
        <v>0.88045019437444183</v>
      </c>
      <c r="E14">
        <f t="shared" si="0"/>
        <v>25205.479452054795</v>
      </c>
    </row>
    <row r="15" spans="2:5" x14ac:dyDescent="0.25">
      <c r="B15" s="3">
        <v>43369</v>
      </c>
      <c r="C15" s="5">
        <v>0</v>
      </c>
      <c r="D15">
        <f>_xll.QSA.GetDF('Curves and Model'!$B$10,'LoanFixedRate(BeforeStart)'!B15)</f>
        <v>0.86450698816889582</v>
      </c>
      <c r="E15">
        <f t="shared" si="0"/>
        <v>25205.479452054795</v>
      </c>
    </row>
    <row r="17" spans="2:5" ht="21" x14ac:dyDescent="0.35">
      <c r="B17" s="7" t="s">
        <v>37</v>
      </c>
    </row>
    <row r="18" spans="2:5" x14ac:dyDescent="0.25">
      <c r="B18" s="4" t="str">
        <f>_xll.QSA.CreateLoanFixedRate(C2,C3,B7:B15,C7:C15,C4)</f>
        <v>fixedLoan.13:16:39-117</v>
      </c>
    </row>
    <row r="21" spans="2:5" ht="21" x14ac:dyDescent="0.35">
      <c r="B21" s="7" t="s">
        <v>24</v>
      </c>
    </row>
    <row r="22" spans="2:5" x14ac:dyDescent="0.25">
      <c r="B22" s="1" t="s">
        <v>0</v>
      </c>
      <c r="C22" s="2" t="str">
        <f>C2&amp;"ValueResults"</f>
        <v>fixedLoanValueResults</v>
      </c>
    </row>
    <row r="23" spans="2:5" x14ac:dyDescent="0.25">
      <c r="B23" s="1" t="s">
        <v>7</v>
      </c>
      <c r="C23" s="8" t="str">
        <f>B18</f>
        <v>fixedLoan.13:16:39-117</v>
      </c>
    </row>
    <row r="25" spans="2:5" x14ac:dyDescent="0.25">
      <c r="B25" s="1" t="s">
        <v>6</v>
      </c>
      <c r="C25" s="3">
        <v>42636</v>
      </c>
    </row>
    <row r="26" spans="2:5" x14ac:dyDescent="0.25">
      <c r="B26" s="1" t="s">
        <v>13</v>
      </c>
      <c r="C26" s="8" t="str">
        <f>'Curves and Model'!B28</f>
        <v>curveModel.13:16:39-125</v>
      </c>
    </row>
    <row r="28" spans="2:5" x14ac:dyDescent="0.25">
      <c r="B28" s="4" t="str">
        <f>_xll.QSA.Value(C22,C23,C25,C26)</f>
        <v>fixedLoanValueResults.13:16:39-127</v>
      </c>
    </row>
    <row r="30" spans="2:5" x14ac:dyDescent="0.25">
      <c r="B30" s="1" t="s">
        <v>27</v>
      </c>
      <c r="C30" s="9">
        <f>_xll.QSA.GetResults(B28,"value")</f>
        <v>49486.888045887928</v>
      </c>
      <c r="D30" s="10">
        <f>C7*(D15-D7)</f>
        <v>-134897.29892757619</v>
      </c>
      <c r="E30" t="s">
        <v>44</v>
      </c>
    </row>
    <row r="31" spans="2:5" x14ac:dyDescent="0.25">
      <c r="D31" s="10">
        <f>SUMPRODUCT(D8:D15,E8:E15)</f>
        <v>184384.18697346409</v>
      </c>
      <c r="E31" t="s">
        <v>45</v>
      </c>
    </row>
    <row r="32" spans="2:5" x14ac:dyDescent="0.25">
      <c r="D32" s="10">
        <f>SUM(D30:D31)</f>
        <v>49486.888045887899</v>
      </c>
      <c r="E3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A3" workbookViewId="0">
      <selection activeCell="F36" sqref="F36"/>
    </sheetView>
  </sheetViews>
  <sheetFormatPr defaultColWidth="24.375" defaultRowHeight="15" x14ac:dyDescent="0.25"/>
  <cols>
    <col min="1" max="1" width="5" customWidth="1"/>
    <col min="7" max="7" width="5.375" customWidth="1"/>
  </cols>
  <sheetData>
    <row r="2" spans="2:7" x14ac:dyDescent="0.25">
      <c r="B2" s="1" t="s">
        <v>0</v>
      </c>
      <c r="C2" s="2" t="s">
        <v>34</v>
      </c>
    </row>
    <row r="3" spans="2:7" x14ac:dyDescent="0.25">
      <c r="B3" s="1" t="s">
        <v>1</v>
      </c>
      <c r="C3" s="2" t="s">
        <v>2</v>
      </c>
    </row>
    <row r="4" spans="2:7" x14ac:dyDescent="0.25">
      <c r="B4" s="1" t="s">
        <v>25</v>
      </c>
      <c r="C4" s="2" t="s">
        <v>26</v>
      </c>
    </row>
    <row r="5" spans="2:7" x14ac:dyDescent="0.25">
      <c r="B5" s="1" t="s">
        <v>33</v>
      </c>
      <c r="C5" s="6">
        <v>1E-3</v>
      </c>
    </row>
    <row r="7" spans="2:7" x14ac:dyDescent="0.25">
      <c r="B7" s="1" t="s">
        <v>35</v>
      </c>
      <c r="C7" s="1" t="s">
        <v>36</v>
      </c>
    </row>
    <row r="8" spans="2:7" x14ac:dyDescent="0.25">
      <c r="B8" s="3">
        <v>42639</v>
      </c>
      <c r="C8" s="5">
        <v>1000000</v>
      </c>
      <c r="D8" s="11">
        <v>1E-3</v>
      </c>
      <c r="E8">
        <f>(B9-B8)/365</f>
        <v>0.24931506849315069</v>
      </c>
      <c r="F8" s="10">
        <f>-C8</f>
        <v>-1000000</v>
      </c>
      <c r="G8">
        <f>_xll.QSA.GetDF('Curves and Model'!$B$10,B8)</f>
        <v>0.999404287096472</v>
      </c>
    </row>
    <row r="9" spans="2:7" x14ac:dyDescent="0.25">
      <c r="B9" s="3">
        <v>42730</v>
      </c>
      <c r="C9" s="5">
        <f>C8-125000</f>
        <v>875000</v>
      </c>
      <c r="D9" s="11">
        <v>1E-3</v>
      </c>
      <c r="E9">
        <f>(B10-B9)/365</f>
        <v>0.24657534246575341</v>
      </c>
      <c r="F9" s="10">
        <f>C8-C9</f>
        <v>125000</v>
      </c>
      <c r="G9">
        <f>_xll.QSA.GetDF('Curves and Model'!$B$10,B9)</f>
        <v>0.98150199479174127</v>
      </c>
    </row>
    <row r="10" spans="2:7" x14ac:dyDescent="0.25">
      <c r="B10" s="3">
        <v>42820</v>
      </c>
      <c r="C10" s="5">
        <f t="shared" ref="C10:C15" si="0">C9-125000</f>
        <v>750000</v>
      </c>
      <c r="D10" s="11">
        <v>1E-3</v>
      </c>
      <c r="E10">
        <f>(B11-B10)/365</f>
        <v>0.25205479452054796</v>
      </c>
      <c r="F10" s="10">
        <f t="shared" ref="F10:F16" si="1">C9-C10</f>
        <v>125000</v>
      </c>
      <c r="G10">
        <f>_xll.QSA.GetDF('Curves and Model'!$B$10,B10)</f>
        <v>0.96411186824655548</v>
      </c>
    </row>
    <row r="11" spans="2:7" x14ac:dyDescent="0.25">
      <c r="B11" s="3">
        <v>42912</v>
      </c>
      <c r="C11" s="5">
        <f t="shared" si="0"/>
        <v>625000</v>
      </c>
      <c r="D11" s="11">
        <v>1E-3</v>
      </c>
      <c r="E11">
        <f>(B12-B11)/365</f>
        <v>0.25205479452054796</v>
      </c>
      <c r="F11" s="10">
        <f t="shared" si="1"/>
        <v>125000</v>
      </c>
      <c r="G11">
        <f>_xll.QSA.GetDF('Curves and Model'!$B$10,B11)</f>
        <v>0.94665371511207852</v>
      </c>
    </row>
    <row r="12" spans="2:7" x14ac:dyDescent="0.25">
      <c r="B12" s="3">
        <v>43004</v>
      </c>
      <c r="C12" s="5">
        <f t="shared" si="0"/>
        <v>500000</v>
      </c>
      <c r="D12" s="11">
        <v>1E-3</v>
      </c>
      <c r="E12">
        <f>(B13-B12)/365</f>
        <v>0.24931506849315069</v>
      </c>
      <c r="F12" s="10">
        <f t="shared" si="1"/>
        <v>125000</v>
      </c>
      <c r="G12">
        <f>_xll.QSA.GetDF('Curves and Model'!$B$10,B12)</f>
        <v>0.92951169449386351</v>
      </c>
    </row>
    <row r="13" spans="2:7" x14ac:dyDescent="0.25">
      <c r="B13" s="3">
        <v>43095</v>
      </c>
      <c r="C13" s="5">
        <f t="shared" si="0"/>
        <v>375000</v>
      </c>
      <c r="D13" s="11">
        <v>1E-3</v>
      </c>
      <c r="E13">
        <f>(B14-B13)/365</f>
        <v>0.24657534246575341</v>
      </c>
      <c r="F13" s="10">
        <f t="shared" si="1"/>
        <v>125000</v>
      </c>
      <c r="G13">
        <f>_xll.QSA.GetDF('Curves and Model'!$B$10,B13)</f>
        <v>0.91286138563453356</v>
      </c>
    </row>
    <row r="14" spans="2:7" x14ac:dyDescent="0.25">
      <c r="B14" s="3">
        <v>43185</v>
      </c>
      <c r="C14" s="5">
        <f t="shared" si="0"/>
        <v>250000</v>
      </c>
      <c r="D14" s="11">
        <v>1E-3</v>
      </c>
      <c r="E14">
        <f>(B15-B14)/365</f>
        <v>0.25205479452054796</v>
      </c>
      <c r="F14" s="10">
        <f t="shared" si="1"/>
        <v>125000</v>
      </c>
      <c r="G14">
        <f>_xll.QSA.GetDF('Curves and Model'!$B$10,B14)</f>
        <v>0.89668742460476858</v>
      </c>
    </row>
    <row r="15" spans="2:7" x14ac:dyDescent="0.25">
      <c r="B15" s="3">
        <v>43277</v>
      </c>
      <c r="C15" s="5">
        <f t="shared" si="0"/>
        <v>125000</v>
      </c>
      <c r="D15" s="11">
        <v>1E-3</v>
      </c>
      <c r="E15">
        <f>(B16-B15)/365</f>
        <v>0.25205479452054796</v>
      </c>
      <c r="F15" s="10">
        <f t="shared" si="1"/>
        <v>125000</v>
      </c>
      <c r="G15">
        <f>_xll.QSA.GetDF('Curves and Model'!$B$10,B15)</f>
        <v>0.88045019437444183</v>
      </c>
    </row>
    <row r="16" spans="2:7" x14ac:dyDescent="0.25">
      <c r="B16" s="3">
        <v>43369</v>
      </c>
      <c r="C16" s="5">
        <v>0</v>
      </c>
      <c r="D16" s="11">
        <v>1E-3</v>
      </c>
      <c r="F16" s="10">
        <f t="shared" si="1"/>
        <v>125000</v>
      </c>
      <c r="G16">
        <f>_xll.QSA.GetDF('Curves and Model'!$B$10,B16)</f>
        <v>0.86450698816889582</v>
      </c>
    </row>
    <row r="18" spans="2:5" ht="21" x14ac:dyDescent="0.35">
      <c r="B18" s="7" t="s">
        <v>37</v>
      </c>
    </row>
    <row r="19" spans="2:5" x14ac:dyDescent="0.25">
      <c r="B19" s="4" t="str">
        <f>_xll.QSA.CreateLoanFloatingRate(C2,C3,B8:B16,C8:C16,C4,C5)</f>
        <v>floatingLoan.13:16:39-130</v>
      </c>
    </row>
    <row r="22" spans="2:5" ht="21" x14ac:dyDescent="0.35">
      <c r="B22" s="7" t="s">
        <v>24</v>
      </c>
    </row>
    <row r="23" spans="2:5" x14ac:dyDescent="0.25">
      <c r="B23" s="1" t="s">
        <v>0</v>
      </c>
      <c r="C23" s="2" t="str">
        <f>C2&amp;"ValueResults"</f>
        <v>floatingLoanValueResults</v>
      </c>
    </row>
    <row r="24" spans="2:5" x14ac:dyDescent="0.25">
      <c r="B24" s="1" t="s">
        <v>7</v>
      </c>
      <c r="C24" s="8" t="str">
        <f>B19</f>
        <v>floatingLoan.13:16:39-130</v>
      </c>
    </row>
    <row r="26" spans="2:5" x14ac:dyDescent="0.25">
      <c r="B26" s="1" t="s">
        <v>6</v>
      </c>
      <c r="C26" s="3">
        <v>42636</v>
      </c>
    </row>
    <row r="27" spans="2:5" x14ac:dyDescent="0.25">
      <c r="B27" s="1" t="s">
        <v>13</v>
      </c>
      <c r="C27" s="8" t="str">
        <f>'Curves and Model'!B28</f>
        <v>curveModel.13:16:39-125</v>
      </c>
    </row>
    <row r="29" spans="2:5" x14ac:dyDescent="0.25">
      <c r="B29" s="4" t="str">
        <f>_xll.QSA.Value(C23,C24,C26,C27)</f>
        <v>floatingLoanValueResults.13:16:39-131</v>
      </c>
    </row>
    <row r="30" spans="2:5" x14ac:dyDescent="0.25">
      <c r="E30" t="s">
        <v>40</v>
      </c>
    </row>
    <row r="31" spans="2:5" x14ac:dyDescent="0.25">
      <c r="B31" s="1" t="s">
        <v>27</v>
      </c>
      <c r="C31" s="9">
        <f>_xll.QSA.GetResults(B29,"value")</f>
        <v>1057.5262969531759</v>
      </c>
      <c r="E31" t="str">
        <f>_xll.QSA.CreateFloatLeg(E30,C3,C4,B8:B15,B9:B16,C8:C15,D8:D15,E8:E15)</f>
        <v>floatTest.13:16:39-128</v>
      </c>
    </row>
    <row r="32" spans="2:5" x14ac:dyDescent="0.25">
      <c r="E32" t="str">
        <f>_xll.QSA.Value(E30&amp;"ValueResults",E31,C26,C27)</f>
        <v>floatTestValueResults.13:16:39-129</v>
      </c>
    </row>
    <row r="33" spans="5:6" x14ac:dyDescent="0.25">
      <c r="E33">
        <f>_xll.QSA.GetResults(E32,"value")</f>
        <v>78426.155215065417</v>
      </c>
      <c r="F33" t="s">
        <v>41</v>
      </c>
    </row>
    <row r="34" spans="5:6" x14ac:dyDescent="0.25">
      <c r="E34">
        <f>SUMPRODUCT(F8:F16,G8:G16)</f>
        <v>-77368.628918112212</v>
      </c>
      <c r="F34" t="s">
        <v>42</v>
      </c>
    </row>
    <row r="35" spans="5:6" x14ac:dyDescent="0.25">
      <c r="E35">
        <f>SUM(E33:E34)</f>
        <v>1057.526296953205</v>
      </c>
      <c r="F3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B29" sqref="B29"/>
    </sheetView>
  </sheetViews>
  <sheetFormatPr defaultColWidth="3.5" defaultRowHeight="15" x14ac:dyDescent="0.25"/>
  <cols>
    <col min="2" max="2" width="26.5" bestFit="1" customWidth="1"/>
    <col min="3" max="3" width="24.75" bestFit="1" customWidth="1"/>
    <col min="4" max="5" width="28.25" bestFit="1" customWidth="1"/>
    <col min="6" max="6" width="24.625" bestFit="1" customWidth="1"/>
    <col min="8" max="8" width="28.25" bestFit="1" customWidth="1"/>
    <col min="9" max="9" width="17.875" bestFit="1" customWidth="1"/>
    <col min="12" max="12" width="31.375" bestFit="1" customWidth="1"/>
    <col min="13" max="13" width="28.25" bestFit="1" customWidth="1"/>
  </cols>
  <sheetData>
    <row r="2" spans="2:13" ht="21" x14ac:dyDescent="0.35">
      <c r="L2" s="7" t="s">
        <v>15</v>
      </c>
    </row>
    <row r="3" spans="2:13" x14ac:dyDescent="0.25">
      <c r="B3" s="1" t="s">
        <v>0</v>
      </c>
      <c r="C3" s="2" t="s">
        <v>8</v>
      </c>
      <c r="E3" s="1" t="s">
        <v>0</v>
      </c>
      <c r="F3" s="2" t="s">
        <v>20</v>
      </c>
      <c r="H3" s="1" t="s">
        <v>0</v>
      </c>
      <c r="I3" s="2" t="s">
        <v>21</v>
      </c>
      <c r="L3" s="1" t="s">
        <v>0</v>
      </c>
      <c r="M3" s="2" t="s">
        <v>18</v>
      </c>
    </row>
    <row r="4" spans="2:13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4</v>
      </c>
      <c r="L4" s="1" t="s">
        <v>16</v>
      </c>
      <c r="M4" s="2" t="s">
        <v>4</v>
      </c>
    </row>
    <row r="5" spans="2:13" x14ac:dyDescent="0.25">
      <c r="L5" s="1" t="s">
        <v>17</v>
      </c>
      <c r="M5" s="2" t="s">
        <v>2</v>
      </c>
    </row>
    <row r="6" spans="2:13" x14ac:dyDescent="0.25">
      <c r="B6" s="1" t="s">
        <v>9</v>
      </c>
      <c r="C6" s="1" t="s">
        <v>3</v>
      </c>
      <c r="E6" s="1" t="s">
        <v>9</v>
      </c>
      <c r="F6" s="1" t="s">
        <v>3</v>
      </c>
      <c r="H6" s="1" t="s">
        <v>9</v>
      </c>
      <c r="I6" s="1" t="s">
        <v>3</v>
      </c>
      <c r="L6" s="1" t="s">
        <v>19</v>
      </c>
      <c r="M6" s="2">
        <v>13.66</v>
      </c>
    </row>
    <row r="7" spans="2:13" x14ac:dyDescent="0.25">
      <c r="B7" s="3">
        <v>42636</v>
      </c>
      <c r="C7" s="6">
        <v>7.2499999999999995E-2</v>
      </c>
      <c r="E7" s="3">
        <v>42636</v>
      </c>
      <c r="F7" s="6">
        <v>7.3499999999999996E-2</v>
      </c>
      <c r="H7" s="3">
        <v>42636</v>
      </c>
      <c r="I7" s="6">
        <v>0.01</v>
      </c>
      <c r="L7" s="1" t="s">
        <v>22</v>
      </c>
      <c r="M7" s="8" t="str">
        <f>H10</f>
        <v>USDDiscountAndBasis.13:16:39-118</v>
      </c>
    </row>
    <row r="8" spans="2:13" x14ac:dyDescent="0.25">
      <c r="B8" s="3">
        <v>46288</v>
      </c>
      <c r="C8" s="6">
        <v>7.2499999999999995E-2</v>
      </c>
      <c r="E8" s="3">
        <v>46288</v>
      </c>
      <c r="F8" s="6">
        <v>7.3499999999999996E-2</v>
      </c>
      <c r="H8" s="3">
        <v>46288</v>
      </c>
      <c r="I8" s="6">
        <v>1.2E-2</v>
      </c>
      <c r="L8" s="1" t="s">
        <v>23</v>
      </c>
      <c r="M8" s="8" t="str">
        <f>E10</f>
        <v>ZARBasis.13:16:39-119</v>
      </c>
    </row>
    <row r="10" spans="2:13" x14ac:dyDescent="0.25">
      <c r="B10" s="4" t="str">
        <f>_xll.QSA.CreateDatesAndRatesCurve(C3,B7:B8,C7:C8,C4)</f>
        <v>ZARDiscount.13:16:39-120</v>
      </c>
      <c r="E10" s="4" t="str">
        <f>_xll.QSA.CreateDatesAndRatesCurve(F3,E7:E8,F7:F8,F4)</f>
        <v>ZARBasis.13:16:39-119</v>
      </c>
      <c r="H10" s="4" t="str">
        <f>_xll.QSA.CreateDatesAndRatesCurve(I3,H7:H8,I7:I8,I4)</f>
        <v>USDDiscountAndBasis.13:16:39-118</v>
      </c>
      <c r="L10" s="4" t="str">
        <f>_xll.QSA.CreateFXForecastCurve(M3,M4,M5,M6,M7,M8)</f>
        <v>USDZARForwards.13:16:39-124</v>
      </c>
    </row>
    <row r="13" spans="2:13" ht="21" x14ac:dyDescent="0.35">
      <c r="B13" s="7" t="s">
        <v>32</v>
      </c>
    </row>
    <row r="14" spans="2:13" x14ac:dyDescent="0.25">
      <c r="B14" s="1" t="s">
        <v>0</v>
      </c>
      <c r="C14" s="1" t="s">
        <v>29</v>
      </c>
      <c r="D14" s="1" t="s">
        <v>28</v>
      </c>
    </row>
    <row r="15" spans="2:13" x14ac:dyDescent="0.25">
      <c r="B15" s="2" t="str">
        <f>"forecast"&amp;C15</f>
        <v>forecastJIBAR3M</v>
      </c>
      <c r="C15" s="2" t="s">
        <v>26</v>
      </c>
      <c r="D15" s="8" t="str">
        <f>B10</f>
        <v>ZARDiscount.13:16:39-120</v>
      </c>
      <c r="E15" s="4" t="str">
        <f>_xll.QSA.CreateRateForecastCurveFromDiscount(B15,C15,D15)</f>
        <v>forecastJIBAR3M.13:16:39-123</v>
      </c>
    </row>
    <row r="16" spans="2:13" x14ac:dyDescent="0.25">
      <c r="B16" s="2" t="str">
        <f t="shared" ref="B16:B17" si="0">"forecast"&amp;C16</f>
        <v>forecastJIBAR6M</v>
      </c>
      <c r="C16" s="2" t="s">
        <v>30</v>
      </c>
      <c r="D16" s="8" t="str">
        <f>B10</f>
        <v>ZARDiscount.13:16:39-120</v>
      </c>
      <c r="E16" s="4" t="str">
        <f>_xll.QSA.CreateRateForecastCurveFromDiscount(B16,C16,D16)</f>
        <v>forecastJIBAR6M.13:16:39-122</v>
      </c>
    </row>
    <row r="17" spans="2:5" x14ac:dyDescent="0.25">
      <c r="B17" s="2" t="str">
        <f t="shared" si="0"/>
        <v>forecastLIBOR3M</v>
      </c>
      <c r="C17" s="2" t="s">
        <v>31</v>
      </c>
      <c r="D17" s="8" t="str">
        <f>H10</f>
        <v>USDDiscountAndBasis.13:16:39-118</v>
      </c>
      <c r="E17" s="4" t="str">
        <f>_xll.QSA.CreateRateForecastCurveFromDiscount(B17,C17,D17)</f>
        <v>forecastLIBOR3M.13:16:39-121</v>
      </c>
    </row>
    <row r="20" spans="2:5" ht="21" x14ac:dyDescent="0.35">
      <c r="B20" s="7" t="s">
        <v>14</v>
      </c>
    </row>
    <row r="21" spans="2:5" x14ac:dyDescent="0.25">
      <c r="B21" s="1" t="s">
        <v>0</v>
      </c>
      <c r="C21" s="2" t="s">
        <v>10</v>
      </c>
    </row>
    <row r="22" spans="2:5" x14ac:dyDescent="0.25">
      <c r="B22" s="1" t="s">
        <v>5</v>
      </c>
      <c r="C22" s="8" t="str">
        <f>'Curves and Model'!B10</f>
        <v>ZARDiscount.13:16:39-120</v>
      </c>
    </row>
    <row r="23" spans="2:5" x14ac:dyDescent="0.25">
      <c r="B23" s="1" t="s">
        <v>11</v>
      </c>
      <c r="C23" s="8" t="str">
        <f>E15</f>
        <v>forecastJIBAR3M.13:16:39-123</v>
      </c>
    </row>
    <row r="24" spans="2:5" x14ac:dyDescent="0.25">
      <c r="C24" s="8" t="str">
        <f>E16</f>
        <v>forecastJIBAR6M.13:16:39-122</v>
      </c>
    </row>
    <row r="25" spans="2:5" x14ac:dyDescent="0.25">
      <c r="C25" s="8" t="str">
        <f>E17</f>
        <v>forecastLIBOR3M.13:16:39-121</v>
      </c>
    </row>
    <row r="26" spans="2:5" x14ac:dyDescent="0.25">
      <c r="B26" s="1" t="s">
        <v>12</v>
      </c>
      <c r="C26" s="8" t="str">
        <f>'Curves and Model'!L10</f>
        <v>USDZARForwards.13:16:39-124</v>
      </c>
    </row>
    <row r="28" spans="2:5" x14ac:dyDescent="0.25">
      <c r="B28" s="4" t="str">
        <f>_xll.QSA.CreateCurveModel(C21,C22,C23:C25,C26)</f>
        <v>curveModel.13:16:39-125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LoanFixedRate(AfterStart)</vt:lpstr>
      <vt:lpstr>LoanFixedRate(BeforeStart)</vt:lpstr>
      <vt:lpstr>LoanFloatingRate</vt:lpstr>
      <vt:lpstr>Curves and 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2016-10-19T11:17:57Z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