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es\Downloads\"/>
    </mc:Choice>
  </mc:AlternateContent>
  <xr:revisionPtr revIDLastSave="0" documentId="13_ncr:1_{AA1EA703-CCAD-477E-9AE6-65D646AA4B0D}" xr6:coauthVersionLast="47" xr6:coauthVersionMax="47" xr10:uidLastSave="{00000000-0000-0000-0000-000000000000}"/>
  <bookViews>
    <workbookView xWindow="-120" yWindow="-120" windowWidth="29040" windowHeight="15840" activeTab="5" xr2:uid="{DDDB4000-09B4-0B4E-983E-67AE2435B3A9}"/>
  </bookViews>
  <sheets>
    <sheet name="Drop Ship" sheetId="1" r:id="rId1"/>
    <sheet name="LT Demand" sheetId="2" r:id="rId2"/>
    <sheet name="LT Demand (2)" sheetId="5" r:id="rId3"/>
    <sheet name="EDN" sheetId="3" r:id="rId4"/>
    <sheet name="Ring" sheetId="4" r:id="rId5"/>
    <sheet name="Monte Carlo Simulation" sheetId="9" r:id="rId6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9" l="1"/>
  <c r="J28" i="9"/>
  <c r="J29" i="9"/>
  <c r="J35" i="9"/>
  <c r="J36" i="9"/>
  <c r="J37" i="9"/>
  <c r="J39" i="9"/>
  <c r="E28" i="9"/>
  <c r="K28" i="9"/>
  <c r="K29" i="9"/>
  <c r="K35" i="9"/>
  <c r="K36" i="9"/>
  <c r="K37" i="9"/>
  <c r="K39" i="9"/>
  <c r="J43" i="9"/>
  <c r="J45" i="9"/>
  <c r="E47" i="9"/>
  <c r="K50" i="9"/>
  <c r="L50" i="9"/>
  <c r="N50" i="9"/>
  <c r="J50" i="9"/>
  <c r="P50" i="9"/>
  <c r="J51" i="9"/>
  <c r="K51" i="9"/>
  <c r="L51" i="9"/>
  <c r="N51" i="9"/>
  <c r="P51" i="9"/>
  <c r="J49" i="9"/>
  <c r="K49" i="9"/>
  <c r="L49" i="9"/>
  <c r="N49" i="9"/>
  <c r="P49" i="9"/>
  <c r="O50" i="9"/>
  <c r="O51" i="9"/>
  <c r="O49" i="9"/>
  <c r="M50" i="9"/>
  <c r="M51" i="9"/>
  <c r="M49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48" i="9"/>
  <c r="N28" i="9"/>
  <c r="N29" i="9"/>
  <c r="N35" i="9"/>
  <c r="N36" i="9"/>
  <c r="N37" i="9"/>
  <c r="N39" i="9"/>
  <c r="O28" i="9"/>
  <c r="O29" i="9"/>
  <c r="O35" i="9"/>
  <c r="O36" i="9"/>
  <c r="O37" i="9"/>
  <c r="O39" i="9"/>
  <c r="P28" i="9"/>
  <c r="P29" i="9"/>
  <c r="P35" i="9"/>
  <c r="P36" i="9"/>
  <c r="P37" i="9"/>
  <c r="P39" i="9"/>
  <c r="Q28" i="9"/>
  <c r="Q29" i="9"/>
  <c r="Q35" i="9"/>
  <c r="Q36" i="9"/>
  <c r="Q37" i="9"/>
  <c r="Q39" i="9"/>
  <c r="N43" i="9"/>
  <c r="N41" i="9"/>
  <c r="O41" i="9"/>
  <c r="P41" i="9"/>
  <c r="Q41" i="9"/>
  <c r="N44" i="9"/>
  <c r="N45" i="9"/>
  <c r="F47" i="9"/>
  <c r="D29" i="9"/>
  <c r="D35" i="9"/>
  <c r="D36" i="9"/>
  <c r="D37" i="9"/>
  <c r="D39" i="9"/>
  <c r="E29" i="9"/>
  <c r="E35" i="9"/>
  <c r="E36" i="9"/>
  <c r="E37" i="9"/>
  <c r="E39" i="9"/>
  <c r="D43" i="9"/>
  <c r="D32" i="9"/>
  <c r="D33" i="9"/>
  <c r="D41" i="9"/>
  <c r="E32" i="9"/>
  <c r="E33" i="9"/>
  <c r="E41" i="9"/>
  <c r="D44" i="9"/>
  <c r="D45" i="9"/>
  <c r="D47" i="9"/>
  <c r="J44" i="9"/>
  <c r="O40" i="9"/>
  <c r="P40" i="9"/>
  <c r="Q40" i="9"/>
  <c r="N40" i="9"/>
  <c r="O38" i="9"/>
  <c r="P38" i="9"/>
  <c r="Q38" i="9"/>
  <c r="N38" i="9"/>
  <c r="J41" i="9"/>
  <c r="M22" i="9"/>
  <c r="N34" i="9"/>
  <c r="J24" i="9"/>
  <c r="J25" i="9"/>
  <c r="J26" i="9"/>
  <c r="J22" i="9"/>
  <c r="J34" i="9"/>
  <c r="O34" i="9"/>
  <c r="P34" i="9"/>
  <c r="Q34" i="9"/>
  <c r="Q31" i="9"/>
  <c r="Q33" i="9"/>
  <c r="O31" i="9"/>
  <c r="O33" i="9"/>
  <c r="P32" i="9"/>
  <c r="N32" i="9"/>
  <c r="J32" i="9"/>
  <c r="J31" i="9"/>
  <c r="P31" i="9"/>
  <c r="N31" i="9"/>
  <c r="K24" i="9"/>
  <c r="K25" i="9"/>
  <c r="K26" i="9"/>
  <c r="K31" i="9"/>
  <c r="K41" i="9"/>
  <c r="K40" i="9"/>
  <c r="J40" i="9"/>
  <c r="K34" i="9"/>
  <c r="K38" i="9"/>
  <c r="E24" i="9"/>
  <c r="E25" i="9"/>
  <c r="E26" i="9"/>
  <c r="D22" i="9"/>
  <c r="E34" i="9"/>
  <c r="E38" i="9"/>
  <c r="J33" i="9"/>
  <c r="D24" i="9"/>
  <c r="D25" i="9"/>
  <c r="D34" i="9"/>
  <c r="J38" i="9"/>
  <c r="K33" i="9"/>
  <c r="K32" i="9"/>
  <c r="D31" i="9"/>
  <c r="E31" i="9"/>
  <c r="E40" i="9"/>
  <c r="D38" i="9"/>
  <c r="J17" i="3"/>
  <c r="J24" i="3"/>
  <c r="D40" i="9"/>
  <c r="Q24" i="3"/>
  <c r="L15" i="3"/>
  <c r="L14" i="3"/>
  <c r="J14" i="3"/>
  <c r="J15" i="3"/>
  <c r="R29" i="3"/>
  <c r="R30" i="3"/>
  <c r="R26" i="3"/>
  <c r="R28" i="3"/>
  <c r="Q30" i="3"/>
  <c r="Q28" i="3"/>
  <c r="Q29" i="3"/>
  <c r="P30" i="3"/>
  <c r="O30" i="3"/>
  <c r="P29" i="3"/>
  <c r="O29" i="3"/>
  <c r="P28" i="3"/>
  <c r="O28" i="3"/>
  <c r="R25" i="3"/>
  <c r="Q26" i="3"/>
  <c r="P26" i="3"/>
  <c r="O26" i="3"/>
  <c r="N29" i="3"/>
  <c r="N30" i="3"/>
  <c r="N28" i="3"/>
  <c r="N24" i="3"/>
  <c r="M29" i="3"/>
  <c r="M30" i="3"/>
  <c r="M28" i="3"/>
  <c r="N26" i="3"/>
  <c r="N25" i="3"/>
  <c r="M26" i="3"/>
  <c r="K26" i="3"/>
  <c r="L26" i="3"/>
  <c r="L25" i="3"/>
  <c r="L29" i="3"/>
  <c r="L30" i="3"/>
  <c r="L28" i="3"/>
  <c r="L24" i="3"/>
  <c r="J30" i="3"/>
  <c r="J26" i="3"/>
  <c r="J25" i="3"/>
  <c r="R24" i="3"/>
  <c r="Q25" i="3"/>
  <c r="O25" i="3"/>
  <c r="P14" i="3"/>
  <c r="P25" i="3"/>
  <c r="P24" i="3"/>
  <c r="O24" i="3"/>
  <c r="O19" i="3"/>
  <c r="O18" i="3"/>
  <c r="O17" i="3"/>
  <c r="O16" i="3"/>
  <c r="O15" i="3"/>
  <c r="O14" i="3"/>
  <c r="K30" i="3"/>
  <c r="K29" i="3"/>
  <c r="K28" i="3"/>
  <c r="K25" i="3"/>
  <c r="M25" i="3"/>
  <c r="N14" i="3"/>
  <c r="M24" i="3"/>
  <c r="M14" i="3"/>
  <c r="K16" i="3"/>
  <c r="K15" i="3"/>
  <c r="K24" i="3"/>
  <c r="K14" i="3"/>
  <c r="K18" i="3"/>
  <c r="J29" i="3"/>
  <c r="J28" i="3"/>
  <c r="T7" i="3"/>
  <c r="I29" i="3"/>
  <c r="I28" i="3"/>
  <c r="I25" i="3"/>
  <c r="I24" i="3"/>
  <c r="I14" i="3"/>
  <c r="H16" i="3"/>
  <c r="H29" i="3"/>
  <c r="H30" i="3"/>
  <c r="H28" i="3"/>
  <c r="H24" i="3"/>
  <c r="E29" i="3"/>
  <c r="E28" i="3"/>
  <c r="E25" i="3"/>
  <c r="E24" i="3"/>
  <c r="H25" i="3"/>
  <c r="H26" i="3"/>
  <c r="H14" i="3"/>
  <c r="N29" i="4"/>
  <c r="N28" i="4"/>
  <c r="N27" i="4"/>
  <c r="J29" i="4"/>
  <c r="K28" i="4"/>
  <c r="K27" i="4"/>
  <c r="J28" i="4"/>
  <c r="J27" i="4"/>
  <c r="I28" i="4"/>
  <c r="I27" i="4"/>
  <c r="N18" i="4"/>
  <c r="M23" i="4"/>
  <c r="M24" i="4"/>
  <c r="M25" i="4"/>
  <c r="M26" i="4"/>
  <c r="M22" i="4"/>
  <c r="L23" i="4"/>
  <c r="L24" i="4"/>
  <c r="L25" i="4"/>
  <c r="L26" i="4"/>
  <c r="L22" i="4"/>
  <c r="K23" i="4"/>
  <c r="K24" i="4"/>
  <c r="K25" i="4"/>
  <c r="K26" i="4"/>
  <c r="K22" i="4"/>
  <c r="K12" i="4"/>
  <c r="I26" i="4"/>
  <c r="I25" i="4"/>
  <c r="I23" i="4"/>
  <c r="I24" i="4"/>
  <c r="I22" i="4"/>
  <c r="I12" i="4"/>
  <c r="G23" i="4"/>
  <c r="G24" i="4"/>
  <c r="G25" i="4"/>
  <c r="G26" i="4"/>
  <c r="G22" i="4"/>
  <c r="E22" i="4"/>
  <c r="E23" i="4"/>
  <c r="E25" i="4"/>
  <c r="E26" i="4"/>
  <c r="E24" i="4"/>
  <c r="H23" i="4"/>
  <c r="H24" i="4"/>
  <c r="H25" i="4"/>
  <c r="H26" i="4"/>
  <c r="H22" i="4"/>
  <c r="H13" i="4"/>
  <c r="H14" i="4"/>
  <c r="H15" i="4"/>
  <c r="H16" i="4"/>
  <c r="H17" i="4"/>
  <c r="H12" i="4"/>
  <c r="K14" i="4"/>
  <c r="L14" i="4"/>
  <c r="M14" i="4"/>
  <c r="K15" i="4"/>
  <c r="L15" i="4"/>
  <c r="M15" i="4"/>
  <c r="K16" i="4"/>
  <c r="L16" i="4"/>
  <c r="M16" i="4"/>
  <c r="K17" i="4"/>
  <c r="L17" i="4"/>
  <c r="M17" i="4"/>
  <c r="K13" i="4"/>
  <c r="L13" i="4"/>
  <c r="M13" i="4"/>
  <c r="L12" i="4"/>
  <c r="M12" i="4"/>
  <c r="K18" i="4"/>
  <c r="L17" i="3"/>
  <c r="L16" i="3"/>
  <c r="J18" i="4"/>
  <c r="I18" i="4"/>
  <c r="I13" i="4"/>
  <c r="I14" i="4"/>
  <c r="I15" i="4"/>
  <c r="I16" i="4"/>
  <c r="I17" i="4"/>
  <c r="M15" i="3"/>
  <c r="N15" i="3"/>
  <c r="P15" i="3"/>
  <c r="Q15" i="3"/>
  <c r="J16" i="3"/>
  <c r="M16" i="3"/>
  <c r="N16" i="3"/>
  <c r="P16" i="3"/>
  <c r="Q16" i="3"/>
  <c r="M17" i="3"/>
  <c r="N17" i="3"/>
  <c r="P17" i="3"/>
  <c r="Q17" i="3"/>
  <c r="P18" i="3"/>
  <c r="Q18" i="3"/>
  <c r="P19" i="3"/>
  <c r="Q19" i="3"/>
  <c r="Q14" i="3"/>
  <c r="S18" i="3"/>
  <c r="S16" i="3"/>
  <c r="S14" i="3"/>
  <c r="N18" i="3"/>
  <c r="N19" i="3"/>
  <c r="K19" i="3"/>
  <c r="L18" i="3"/>
  <c r="M18" i="3"/>
  <c r="L19" i="3"/>
  <c r="M19" i="3"/>
  <c r="I16" i="3"/>
  <c r="I17" i="3"/>
  <c r="I26" i="1"/>
  <c r="D28" i="4"/>
  <c r="D27" i="4"/>
  <c r="D18" i="4"/>
  <c r="J6" i="4"/>
  <c r="G6" i="4"/>
  <c r="C6" i="4"/>
  <c r="K17" i="3"/>
  <c r="I15" i="3"/>
  <c r="H15" i="3"/>
  <c r="H17" i="3"/>
  <c r="H18" i="3"/>
  <c r="H19" i="3"/>
  <c r="H33" i="1"/>
  <c r="H32" i="1"/>
  <c r="F33" i="1"/>
  <c r="F32" i="1"/>
  <c r="E33" i="1"/>
  <c r="E32" i="1"/>
  <c r="K27" i="1"/>
  <c r="K26" i="1"/>
  <c r="J27" i="1"/>
  <c r="J26" i="1"/>
  <c r="I27" i="1"/>
  <c r="C8" i="1"/>
  <c r="H27" i="1"/>
  <c r="H26" i="1"/>
  <c r="G27" i="1"/>
  <c r="G26" i="1"/>
  <c r="E27" i="1"/>
  <c r="E26" i="1"/>
  <c r="C6" i="5"/>
  <c r="B19" i="5"/>
  <c r="C24" i="5"/>
  <c r="B25" i="5"/>
  <c r="C25" i="5"/>
  <c r="B46" i="5"/>
  <c r="D6" i="5"/>
  <c r="C7" i="5"/>
  <c r="C19" i="5"/>
  <c r="D24" i="5"/>
  <c r="D25" i="5"/>
  <c r="B26" i="5"/>
  <c r="C26" i="5"/>
  <c r="C46" i="5"/>
  <c r="E6" i="5"/>
  <c r="D7" i="5"/>
  <c r="C8" i="5"/>
  <c r="D19" i="5"/>
  <c r="E24" i="5"/>
  <c r="E25" i="5"/>
  <c r="D26" i="5"/>
  <c r="B27" i="5"/>
  <c r="C27" i="5"/>
  <c r="D46" i="5"/>
  <c r="F6" i="5"/>
  <c r="E7" i="5"/>
  <c r="D8" i="5"/>
  <c r="C9" i="5"/>
  <c r="E19" i="5"/>
  <c r="F24" i="5"/>
  <c r="F25" i="5"/>
  <c r="E26" i="5"/>
  <c r="D27" i="5"/>
  <c r="B28" i="5"/>
  <c r="C28" i="5"/>
  <c r="E46" i="5"/>
  <c r="G6" i="5"/>
  <c r="F7" i="5"/>
  <c r="E8" i="5"/>
  <c r="D9" i="5"/>
  <c r="C10" i="5"/>
  <c r="F19" i="5"/>
  <c r="G24" i="5"/>
  <c r="G25" i="5"/>
  <c r="F26" i="5"/>
  <c r="E27" i="5"/>
  <c r="D28" i="5"/>
  <c r="B29" i="5"/>
  <c r="C29" i="5"/>
  <c r="F46" i="5"/>
  <c r="H6" i="5"/>
  <c r="G7" i="5"/>
  <c r="F8" i="5"/>
  <c r="E9" i="5"/>
  <c r="D10" i="5"/>
  <c r="C11" i="5"/>
  <c r="G19" i="5"/>
  <c r="H24" i="5"/>
  <c r="H25" i="5"/>
  <c r="G26" i="5"/>
  <c r="F27" i="5"/>
  <c r="E28" i="5"/>
  <c r="D29" i="5"/>
  <c r="B30" i="5"/>
  <c r="C30" i="5"/>
  <c r="G46" i="5"/>
  <c r="I6" i="5"/>
  <c r="H7" i="5"/>
  <c r="G8" i="5"/>
  <c r="F9" i="5"/>
  <c r="E10" i="5"/>
  <c r="D11" i="5"/>
  <c r="C12" i="5"/>
  <c r="H19" i="5"/>
  <c r="I24" i="5"/>
  <c r="I25" i="5"/>
  <c r="H26" i="5"/>
  <c r="G27" i="5"/>
  <c r="F28" i="5"/>
  <c r="E29" i="5"/>
  <c r="D30" i="5"/>
  <c r="B31" i="5"/>
  <c r="C31" i="5"/>
  <c r="H46" i="5"/>
  <c r="J6" i="5"/>
  <c r="I7" i="5"/>
  <c r="H8" i="5"/>
  <c r="G9" i="5"/>
  <c r="F10" i="5"/>
  <c r="E11" i="5"/>
  <c r="D12" i="5"/>
  <c r="C13" i="5"/>
  <c r="I19" i="5"/>
  <c r="J24" i="5"/>
  <c r="J25" i="5"/>
  <c r="I26" i="5"/>
  <c r="H27" i="5"/>
  <c r="G28" i="5"/>
  <c r="F29" i="5"/>
  <c r="E30" i="5"/>
  <c r="D31" i="5"/>
  <c r="B32" i="5"/>
  <c r="C32" i="5"/>
  <c r="I46" i="5"/>
  <c r="K6" i="5"/>
  <c r="J7" i="5"/>
  <c r="I8" i="5"/>
  <c r="H9" i="5"/>
  <c r="G10" i="5"/>
  <c r="F11" i="5"/>
  <c r="E12" i="5"/>
  <c r="D13" i="5"/>
  <c r="C14" i="5"/>
  <c r="J19" i="5"/>
  <c r="K24" i="5"/>
  <c r="K25" i="5"/>
  <c r="J26" i="5"/>
  <c r="I27" i="5"/>
  <c r="H28" i="5"/>
  <c r="G29" i="5"/>
  <c r="F30" i="5"/>
  <c r="E31" i="5"/>
  <c r="D32" i="5"/>
  <c r="B33" i="5"/>
  <c r="C33" i="5"/>
  <c r="J46" i="5"/>
  <c r="L6" i="5"/>
  <c r="K7" i="5"/>
  <c r="J8" i="5"/>
  <c r="I9" i="5"/>
  <c r="H10" i="5"/>
  <c r="G11" i="5"/>
  <c r="F12" i="5"/>
  <c r="E13" i="5"/>
  <c r="D14" i="5"/>
  <c r="C15" i="5"/>
  <c r="K19" i="5"/>
  <c r="L24" i="5"/>
  <c r="L25" i="5"/>
  <c r="K26" i="5"/>
  <c r="J27" i="5"/>
  <c r="I28" i="5"/>
  <c r="H29" i="5"/>
  <c r="G30" i="5"/>
  <c r="F31" i="5"/>
  <c r="E32" i="5"/>
  <c r="D33" i="5"/>
  <c r="B34" i="5"/>
  <c r="C34" i="5"/>
  <c r="K46" i="5"/>
  <c r="L7" i="5"/>
  <c r="K8" i="5"/>
  <c r="J9" i="5"/>
  <c r="I10" i="5"/>
  <c r="H11" i="5"/>
  <c r="G12" i="5"/>
  <c r="F13" i="5"/>
  <c r="E14" i="5"/>
  <c r="D15" i="5"/>
  <c r="L19" i="5"/>
  <c r="M24" i="5"/>
  <c r="M25" i="5"/>
  <c r="L26" i="5"/>
  <c r="K27" i="5"/>
  <c r="J28" i="5"/>
  <c r="I29" i="5"/>
  <c r="H30" i="5"/>
  <c r="G31" i="5"/>
  <c r="F32" i="5"/>
  <c r="E33" i="5"/>
  <c r="D34" i="5"/>
  <c r="B35" i="5"/>
  <c r="C35" i="5"/>
  <c r="L46" i="5"/>
  <c r="L8" i="5"/>
  <c r="K9" i="5"/>
  <c r="J10" i="5"/>
  <c r="I11" i="5"/>
  <c r="H12" i="5"/>
  <c r="G13" i="5"/>
  <c r="F14" i="5"/>
  <c r="E15" i="5"/>
  <c r="M19" i="5"/>
  <c r="N24" i="5"/>
  <c r="N25" i="5"/>
  <c r="M26" i="5"/>
  <c r="L27" i="5"/>
  <c r="K28" i="5"/>
  <c r="J29" i="5"/>
  <c r="I30" i="5"/>
  <c r="H31" i="5"/>
  <c r="G32" i="5"/>
  <c r="F33" i="5"/>
  <c r="E34" i="5"/>
  <c r="D35" i="5"/>
  <c r="B36" i="5"/>
  <c r="C36" i="5"/>
  <c r="M46" i="5"/>
  <c r="L9" i="5"/>
  <c r="K10" i="5"/>
  <c r="J11" i="5"/>
  <c r="I12" i="5"/>
  <c r="H13" i="5"/>
  <c r="G14" i="5"/>
  <c r="F15" i="5"/>
  <c r="N19" i="5"/>
  <c r="O24" i="5"/>
  <c r="O25" i="5"/>
  <c r="N26" i="5"/>
  <c r="M27" i="5"/>
  <c r="L28" i="5"/>
  <c r="K29" i="5"/>
  <c r="J30" i="5"/>
  <c r="I31" i="5"/>
  <c r="H32" i="5"/>
  <c r="G33" i="5"/>
  <c r="F34" i="5"/>
  <c r="E35" i="5"/>
  <c r="D36" i="5"/>
  <c r="B37" i="5"/>
  <c r="C37" i="5"/>
  <c r="N46" i="5"/>
  <c r="L10" i="5"/>
  <c r="K11" i="5"/>
  <c r="J12" i="5"/>
  <c r="I13" i="5"/>
  <c r="H14" i="5"/>
  <c r="G15" i="5"/>
  <c r="O19" i="5"/>
  <c r="P24" i="5"/>
  <c r="P25" i="5"/>
  <c r="O26" i="5"/>
  <c r="N27" i="5"/>
  <c r="M28" i="5"/>
  <c r="L29" i="5"/>
  <c r="K30" i="5"/>
  <c r="J31" i="5"/>
  <c r="I32" i="5"/>
  <c r="H33" i="5"/>
  <c r="G34" i="5"/>
  <c r="F35" i="5"/>
  <c r="E36" i="5"/>
  <c r="D37" i="5"/>
  <c r="B38" i="5"/>
  <c r="C38" i="5"/>
  <c r="O46" i="5"/>
  <c r="L11" i="5"/>
  <c r="K12" i="5"/>
  <c r="J13" i="5"/>
  <c r="I14" i="5"/>
  <c r="H15" i="5"/>
  <c r="P19" i="5"/>
  <c r="Q24" i="5"/>
  <c r="Q25" i="5"/>
  <c r="P26" i="5"/>
  <c r="O27" i="5"/>
  <c r="N28" i="5"/>
  <c r="M29" i="5"/>
  <c r="L30" i="5"/>
  <c r="K31" i="5"/>
  <c r="J32" i="5"/>
  <c r="I33" i="5"/>
  <c r="H34" i="5"/>
  <c r="G35" i="5"/>
  <c r="F36" i="5"/>
  <c r="E37" i="5"/>
  <c r="D38" i="5"/>
  <c r="B39" i="5"/>
  <c r="C39" i="5"/>
  <c r="P46" i="5"/>
  <c r="L12" i="5"/>
  <c r="K13" i="5"/>
  <c r="J14" i="5"/>
  <c r="I15" i="5"/>
  <c r="Q19" i="5"/>
  <c r="R24" i="5"/>
  <c r="R25" i="5"/>
  <c r="Q26" i="5"/>
  <c r="P27" i="5"/>
  <c r="O28" i="5"/>
  <c r="N29" i="5"/>
  <c r="M30" i="5"/>
  <c r="L31" i="5"/>
  <c r="K32" i="5"/>
  <c r="J33" i="5"/>
  <c r="I34" i="5"/>
  <c r="H35" i="5"/>
  <c r="G36" i="5"/>
  <c r="F37" i="5"/>
  <c r="E38" i="5"/>
  <c r="D39" i="5"/>
  <c r="B40" i="5"/>
  <c r="C40" i="5"/>
  <c r="Q46" i="5"/>
  <c r="L13" i="5"/>
  <c r="K14" i="5"/>
  <c r="J15" i="5"/>
  <c r="R19" i="5"/>
  <c r="S24" i="5"/>
  <c r="S25" i="5"/>
  <c r="R26" i="5"/>
  <c r="Q27" i="5"/>
  <c r="P28" i="5"/>
  <c r="O29" i="5"/>
  <c r="N30" i="5"/>
  <c r="M31" i="5"/>
  <c r="L32" i="5"/>
  <c r="K33" i="5"/>
  <c r="J34" i="5"/>
  <c r="I35" i="5"/>
  <c r="H36" i="5"/>
  <c r="G37" i="5"/>
  <c r="F38" i="5"/>
  <c r="E39" i="5"/>
  <c r="D40" i="5"/>
  <c r="B41" i="5"/>
  <c r="C41" i="5"/>
  <c r="R46" i="5"/>
  <c r="L14" i="5"/>
  <c r="K15" i="5"/>
  <c r="S19" i="5"/>
  <c r="T24" i="5"/>
  <c r="T25" i="5"/>
  <c r="S26" i="5"/>
  <c r="R27" i="5"/>
  <c r="Q28" i="5"/>
  <c r="P29" i="5"/>
  <c r="O30" i="5"/>
  <c r="N31" i="5"/>
  <c r="M32" i="5"/>
  <c r="L33" i="5"/>
  <c r="K34" i="5"/>
  <c r="J35" i="5"/>
  <c r="I36" i="5"/>
  <c r="H37" i="5"/>
  <c r="G38" i="5"/>
  <c r="F39" i="5"/>
  <c r="E40" i="5"/>
  <c r="D41" i="5"/>
  <c r="B42" i="5"/>
  <c r="C42" i="5"/>
  <c r="S46" i="5"/>
  <c r="L15" i="5"/>
  <c r="T19" i="5"/>
  <c r="U24" i="5"/>
  <c r="U25" i="5"/>
  <c r="T26" i="5"/>
  <c r="S27" i="5"/>
  <c r="R28" i="5"/>
  <c r="Q29" i="5"/>
  <c r="P30" i="5"/>
  <c r="O31" i="5"/>
  <c r="N32" i="5"/>
  <c r="M33" i="5"/>
  <c r="L34" i="5"/>
  <c r="K35" i="5"/>
  <c r="J36" i="5"/>
  <c r="I37" i="5"/>
  <c r="H38" i="5"/>
  <c r="G39" i="5"/>
  <c r="F40" i="5"/>
  <c r="E41" i="5"/>
  <c r="D42" i="5"/>
  <c r="B43" i="5"/>
  <c r="C43" i="5"/>
  <c r="T46" i="5"/>
  <c r="U26" i="5"/>
  <c r="T27" i="5"/>
  <c r="S28" i="5"/>
  <c r="R29" i="5"/>
  <c r="Q30" i="5"/>
  <c r="P31" i="5"/>
  <c r="O32" i="5"/>
  <c r="N33" i="5"/>
  <c r="M34" i="5"/>
  <c r="L35" i="5"/>
  <c r="K36" i="5"/>
  <c r="J37" i="5"/>
  <c r="I38" i="5"/>
  <c r="H39" i="5"/>
  <c r="G40" i="5"/>
  <c r="F41" i="5"/>
  <c r="E42" i="5"/>
  <c r="D43" i="5"/>
  <c r="U46" i="5"/>
  <c r="U27" i="5"/>
  <c r="T28" i="5"/>
  <c r="S29" i="5"/>
  <c r="R30" i="5"/>
  <c r="Q31" i="5"/>
  <c r="P32" i="5"/>
  <c r="O33" i="5"/>
  <c r="N34" i="5"/>
  <c r="M35" i="5"/>
  <c r="L36" i="5"/>
  <c r="K37" i="5"/>
  <c r="J38" i="5"/>
  <c r="I39" i="5"/>
  <c r="H40" i="5"/>
  <c r="G41" i="5"/>
  <c r="F42" i="5"/>
  <c r="E43" i="5"/>
  <c r="V46" i="5"/>
  <c r="U28" i="5"/>
  <c r="T29" i="5"/>
  <c r="S30" i="5"/>
  <c r="R31" i="5"/>
  <c r="Q32" i="5"/>
  <c r="P33" i="5"/>
  <c r="O34" i="5"/>
  <c r="N35" i="5"/>
  <c r="M36" i="5"/>
  <c r="L37" i="5"/>
  <c r="K38" i="5"/>
  <c r="J39" i="5"/>
  <c r="I40" i="5"/>
  <c r="H41" i="5"/>
  <c r="G42" i="5"/>
  <c r="F43" i="5"/>
  <c r="W46" i="5"/>
  <c r="G43" i="5"/>
  <c r="H42" i="5"/>
  <c r="I41" i="5"/>
  <c r="J40" i="5"/>
  <c r="K39" i="5"/>
  <c r="L38" i="5"/>
  <c r="M37" i="5"/>
  <c r="N36" i="5"/>
  <c r="O35" i="5"/>
  <c r="P34" i="5"/>
  <c r="Q33" i="5"/>
  <c r="R32" i="5"/>
  <c r="S31" i="5"/>
  <c r="T30" i="5"/>
  <c r="U29" i="5"/>
  <c r="X46" i="5"/>
  <c r="U30" i="5"/>
  <c r="T31" i="5"/>
  <c r="S32" i="5"/>
  <c r="R33" i="5"/>
  <c r="Q34" i="5"/>
  <c r="P35" i="5"/>
  <c r="O36" i="5"/>
  <c r="N37" i="5"/>
  <c r="M38" i="5"/>
  <c r="L39" i="5"/>
  <c r="K40" i="5"/>
  <c r="J41" i="5"/>
  <c r="I42" i="5"/>
  <c r="H43" i="5"/>
  <c r="Y46" i="5"/>
  <c r="U31" i="5"/>
  <c r="T32" i="5"/>
  <c r="S33" i="5"/>
  <c r="R34" i="5"/>
  <c r="Q35" i="5"/>
  <c r="P36" i="5"/>
  <c r="O37" i="5"/>
  <c r="N38" i="5"/>
  <c r="M39" i="5"/>
  <c r="L40" i="5"/>
  <c r="K41" i="5"/>
  <c r="J42" i="5"/>
  <c r="I43" i="5"/>
  <c r="Z46" i="5"/>
  <c r="U32" i="5"/>
  <c r="T33" i="5"/>
  <c r="S34" i="5"/>
  <c r="R35" i="5"/>
  <c r="Q36" i="5"/>
  <c r="P37" i="5"/>
  <c r="O38" i="5"/>
  <c r="N39" i="5"/>
  <c r="M40" i="5"/>
  <c r="L41" i="5"/>
  <c r="K42" i="5"/>
  <c r="J43" i="5"/>
  <c r="AA46" i="5"/>
  <c r="U33" i="5"/>
  <c r="T34" i="5"/>
  <c r="S35" i="5"/>
  <c r="R36" i="5"/>
  <c r="Q37" i="5"/>
  <c r="P38" i="5"/>
  <c r="O39" i="5"/>
  <c r="N40" i="5"/>
  <c r="M41" i="5"/>
  <c r="L42" i="5"/>
  <c r="K43" i="5"/>
  <c r="AB46" i="5"/>
  <c r="U34" i="5"/>
  <c r="T35" i="5"/>
  <c r="S36" i="5"/>
  <c r="R37" i="5"/>
  <c r="Q38" i="5"/>
  <c r="P39" i="5"/>
  <c r="O40" i="5"/>
  <c r="N41" i="5"/>
  <c r="M42" i="5"/>
  <c r="L43" i="5"/>
  <c r="AC46" i="5"/>
  <c r="U35" i="5"/>
  <c r="T36" i="5"/>
  <c r="S37" i="5"/>
  <c r="R38" i="5"/>
  <c r="Q39" i="5"/>
  <c r="P40" i="5"/>
  <c r="O41" i="5"/>
  <c r="N42" i="5"/>
  <c r="M43" i="5"/>
  <c r="AD46" i="5"/>
  <c r="N43" i="5"/>
  <c r="O42" i="5"/>
  <c r="P41" i="5"/>
  <c r="Q40" i="5"/>
  <c r="R39" i="5"/>
  <c r="S38" i="5"/>
  <c r="T37" i="5"/>
  <c r="U36" i="5"/>
  <c r="AE46" i="5"/>
  <c r="O43" i="5"/>
  <c r="P42" i="5"/>
  <c r="Q41" i="5"/>
  <c r="R40" i="5"/>
  <c r="S39" i="5"/>
  <c r="T38" i="5"/>
  <c r="U37" i="5"/>
  <c r="AF46" i="5"/>
  <c r="P43" i="5"/>
  <c r="Q42" i="5"/>
  <c r="R41" i="5"/>
  <c r="S40" i="5"/>
  <c r="T39" i="5"/>
  <c r="U38" i="5"/>
  <c r="AG46" i="5"/>
  <c r="Q43" i="5"/>
  <c r="R42" i="5"/>
  <c r="S41" i="5"/>
  <c r="T40" i="5"/>
  <c r="U39" i="5"/>
  <c r="AH46" i="5"/>
  <c r="R43" i="5"/>
  <c r="S42" i="5"/>
  <c r="T41" i="5"/>
  <c r="U40" i="5"/>
  <c r="AI46" i="5"/>
  <c r="S43" i="5"/>
  <c r="T42" i="5"/>
  <c r="U41" i="5"/>
  <c r="AJ46" i="5"/>
  <c r="T43" i="5"/>
  <c r="U42" i="5"/>
  <c r="AK46" i="5"/>
  <c r="U43" i="5"/>
  <c r="AL46" i="5"/>
  <c r="AL47" i="5"/>
  <c r="AK47" i="5"/>
  <c r="AJ47" i="5"/>
  <c r="AI47" i="5"/>
  <c r="AH47" i="5"/>
  <c r="AG47" i="5"/>
  <c r="AF47" i="5"/>
  <c r="AE47" i="5"/>
  <c r="AD47" i="5"/>
  <c r="AC47" i="5"/>
  <c r="AB47" i="5"/>
  <c r="AA47" i="5"/>
  <c r="Z47" i="5"/>
  <c r="Y47" i="5"/>
  <c r="X47" i="5"/>
  <c r="W47" i="5"/>
  <c r="V47" i="5"/>
  <c r="U47" i="5"/>
  <c r="T47" i="5"/>
  <c r="S47" i="5"/>
  <c r="R47" i="5"/>
  <c r="Q47" i="5"/>
  <c r="P47" i="5"/>
  <c r="O47" i="5"/>
  <c r="N47" i="5"/>
  <c r="M47" i="5"/>
  <c r="L47" i="5"/>
  <c r="K47" i="5"/>
  <c r="J47" i="5"/>
  <c r="I47" i="5"/>
  <c r="H47" i="5"/>
  <c r="G47" i="5"/>
  <c r="F47" i="5"/>
  <c r="E47" i="5"/>
  <c r="D47" i="5"/>
  <c r="C47" i="5"/>
  <c r="B47" i="5"/>
  <c r="T20" i="5"/>
  <c r="S20" i="5"/>
  <c r="R20" i="5"/>
  <c r="Q20" i="5"/>
  <c r="P20" i="5"/>
  <c r="O20" i="5"/>
  <c r="N20" i="5"/>
  <c r="M20" i="5"/>
  <c r="L20" i="5"/>
  <c r="K20" i="5"/>
  <c r="J20" i="5"/>
  <c r="I20" i="5"/>
  <c r="H20" i="5"/>
  <c r="G20" i="5"/>
  <c r="F20" i="5"/>
  <c r="E20" i="5"/>
  <c r="D20" i="5"/>
  <c r="C20" i="5"/>
  <c r="B20" i="5"/>
  <c r="D7" i="1"/>
  <c r="C33" i="1"/>
  <c r="C32" i="1"/>
  <c r="B33" i="1"/>
  <c r="B32" i="1"/>
  <c r="B27" i="1"/>
  <c r="B26" i="1"/>
  <c r="H7" i="1"/>
  <c r="H6" i="1"/>
  <c r="C27" i="1"/>
  <c r="C26" i="1"/>
  <c r="G13" i="1"/>
  <c r="G12" i="1"/>
  <c r="C6" i="2"/>
  <c r="B19" i="2"/>
  <c r="D6" i="2"/>
  <c r="C7" i="2"/>
  <c r="C19" i="2"/>
  <c r="E6" i="2"/>
  <c r="D7" i="2"/>
  <c r="C8" i="2"/>
  <c r="D19" i="2"/>
  <c r="F6" i="2"/>
  <c r="E7" i="2"/>
  <c r="D8" i="2"/>
  <c r="C9" i="2"/>
  <c r="E19" i="2"/>
  <c r="F24" i="2"/>
  <c r="G6" i="2"/>
  <c r="F7" i="2"/>
  <c r="E8" i="2"/>
  <c r="D9" i="2"/>
  <c r="C10" i="2"/>
  <c r="F19" i="2"/>
  <c r="H6" i="2"/>
  <c r="G7" i="2"/>
  <c r="F8" i="2"/>
  <c r="E9" i="2"/>
  <c r="D10" i="2"/>
  <c r="C11" i="2"/>
  <c r="G19" i="2"/>
  <c r="I6" i="2"/>
  <c r="H7" i="2"/>
  <c r="G8" i="2"/>
  <c r="F9" i="2"/>
  <c r="E10" i="2"/>
  <c r="D11" i="2"/>
  <c r="C12" i="2"/>
  <c r="H19" i="2"/>
  <c r="J6" i="2"/>
  <c r="I7" i="2"/>
  <c r="H8" i="2"/>
  <c r="G9" i="2"/>
  <c r="F10" i="2"/>
  <c r="E11" i="2"/>
  <c r="D12" i="2"/>
  <c r="C13" i="2"/>
  <c r="I19" i="2"/>
  <c r="K6" i="2"/>
  <c r="J7" i="2"/>
  <c r="I8" i="2"/>
  <c r="H9" i="2"/>
  <c r="G10" i="2"/>
  <c r="F11" i="2"/>
  <c r="E12" i="2"/>
  <c r="D13" i="2"/>
  <c r="C14" i="2"/>
  <c r="J19" i="2"/>
  <c r="L6" i="2"/>
  <c r="K7" i="2"/>
  <c r="J8" i="2"/>
  <c r="I9" i="2"/>
  <c r="H10" i="2"/>
  <c r="G11" i="2"/>
  <c r="F12" i="2"/>
  <c r="E13" i="2"/>
  <c r="D14" i="2"/>
  <c r="C15" i="2"/>
  <c r="K19" i="2"/>
  <c r="L7" i="2"/>
  <c r="K8" i="2"/>
  <c r="J9" i="2"/>
  <c r="I10" i="2"/>
  <c r="H11" i="2"/>
  <c r="G12" i="2"/>
  <c r="F13" i="2"/>
  <c r="E14" i="2"/>
  <c r="D15" i="2"/>
  <c r="L19" i="2"/>
  <c r="L8" i="2"/>
  <c r="K9" i="2"/>
  <c r="J10" i="2"/>
  <c r="I11" i="2"/>
  <c r="H12" i="2"/>
  <c r="G13" i="2"/>
  <c r="F14" i="2"/>
  <c r="E15" i="2"/>
  <c r="M19" i="2"/>
  <c r="L9" i="2"/>
  <c r="K10" i="2"/>
  <c r="J11" i="2"/>
  <c r="I12" i="2"/>
  <c r="H13" i="2"/>
  <c r="G14" i="2"/>
  <c r="F15" i="2"/>
  <c r="N19" i="2"/>
  <c r="L10" i="2"/>
  <c r="K11" i="2"/>
  <c r="J12" i="2"/>
  <c r="I13" i="2"/>
  <c r="H14" i="2"/>
  <c r="G15" i="2"/>
  <c r="O19" i="2"/>
  <c r="L11" i="2"/>
  <c r="K12" i="2"/>
  <c r="J13" i="2"/>
  <c r="I14" i="2"/>
  <c r="H15" i="2"/>
  <c r="P19" i="2"/>
  <c r="L12" i="2"/>
  <c r="K13" i="2"/>
  <c r="J14" i="2"/>
  <c r="I15" i="2"/>
  <c r="Q19" i="2"/>
  <c r="L13" i="2"/>
  <c r="K14" i="2"/>
  <c r="J15" i="2"/>
  <c r="R19" i="2"/>
  <c r="L14" i="2"/>
  <c r="K15" i="2"/>
  <c r="S19" i="2"/>
  <c r="T24" i="2"/>
  <c r="L15" i="2"/>
  <c r="T19" i="2"/>
  <c r="B28" i="2"/>
  <c r="F28" i="2"/>
  <c r="I24" i="2"/>
  <c r="B31" i="2"/>
  <c r="L24" i="2"/>
  <c r="B34" i="2"/>
  <c r="F34" i="2"/>
  <c r="G24" i="2"/>
  <c r="B29" i="2"/>
  <c r="T29" i="2"/>
  <c r="E24" i="2"/>
  <c r="B27" i="2"/>
  <c r="T27" i="2"/>
  <c r="B32" i="2"/>
  <c r="J24" i="2"/>
  <c r="T31" i="2"/>
  <c r="B40" i="2"/>
  <c r="T40" i="2"/>
  <c r="T32" i="2"/>
  <c r="T34" i="2"/>
  <c r="B39" i="2"/>
  <c r="T39" i="2"/>
  <c r="B37" i="2"/>
  <c r="T37" i="2"/>
  <c r="T28" i="2"/>
  <c r="B36" i="2"/>
  <c r="T36" i="2"/>
  <c r="N24" i="2"/>
  <c r="M24" i="2"/>
  <c r="B35" i="2"/>
  <c r="F35" i="2"/>
  <c r="B25" i="2"/>
  <c r="F25" i="2"/>
  <c r="F29" i="2"/>
  <c r="F31" i="2"/>
  <c r="F39" i="2"/>
  <c r="B26" i="2"/>
  <c r="F26" i="2"/>
  <c r="B30" i="2"/>
  <c r="F30" i="2"/>
  <c r="F32" i="2"/>
  <c r="Q24" i="2"/>
  <c r="O24" i="2"/>
  <c r="F37" i="2"/>
  <c r="T26" i="2"/>
  <c r="D24" i="2"/>
  <c r="S24" i="2"/>
  <c r="B41" i="2"/>
  <c r="F41" i="2"/>
  <c r="B33" i="2"/>
  <c r="F33" i="2"/>
  <c r="K24" i="2"/>
  <c r="U24" i="2"/>
  <c r="B43" i="2"/>
  <c r="T43" i="2"/>
  <c r="R24" i="2"/>
  <c r="F40" i="2"/>
  <c r="T30" i="2"/>
  <c r="P24" i="2"/>
  <c r="B38" i="2"/>
  <c r="F38" i="2"/>
  <c r="H24" i="2"/>
  <c r="D20" i="2"/>
  <c r="G20" i="2"/>
  <c r="H20" i="2"/>
  <c r="S20" i="2"/>
  <c r="C20" i="2"/>
  <c r="E20" i="2"/>
  <c r="J20" i="2"/>
  <c r="Q20" i="2"/>
  <c r="P20" i="2"/>
  <c r="T25" i="2"/>
  <c r="B20" i="2"/>
  <c r="R20" i="2"/>
  <c r="L20" i="2"/>
  <c r="T20" i="2"/>
  <c r="O20" i="2"/>
  <c r="M20" i="2"/>
  <c r="N20" i="2"/>
  <c r="I20" i="2"/>
  <c r="K20" i="2"/>
  <c r="F20" i="2"/>
  <c r="C24" i="2"/>
  <c r="B42" i="2"/>
  <c r="T42" i="2"/>
  <c r="S41" i="2"/>
  <c r="S37" i="2"/>
  <c r="S30" i="2"/>
  <c r="S40" i="2"/>
  <c r="S33" i="2"/>
  <c r="S34" i="2"/>
  <c r="S39" i="2"/>
  <c r="S25" i="2"/>
  <c r="S28" i="2"/>
  <c r="S38" i="2"/>
  <c r="S29" i="2"/>
  <c r="S31" i="2"/>
  <c r="S26" i="2"/>
  <c r="R27" i="2"/>
  <c r="Q28" i="2"/>
  <c r="P29" i="2"/>
  <c r="O30" i="2"/>
  <c r="N31" i="2"/>
  <c r="M32" i="2"/>
  <c r="L33" i="2"/>
  <c r="K34" i="2"/>
  <c r="J35" i="2"/>
  <c r="I36" i="2"/>
  <c r="H37" i="2"/>
  <c r="G38" i="2"/>
  <c r="E40" i="2"/>
  <c r="D41" i="2"/>
  <c r="C42" i="2"/>
  <c r="S46" i="2"/>
  <c r="S35" i="2"/>
  <c r="S32" i="2"/>
  <c r="S27" i="2"/>
  <c r="S43" i="2"/>
  <c r="S36" i="2"/>
  <c r="S42" i="2"/>
  <c r="T38" i="2"/>
  <c r="P41" i="2"/>
  <c r="P36" i="2"/>
  <c r="P30" i="2"/>
  <c r="P34" i="2"/>
  <c r="P31" i="2"/>
  <c r="P27" i="2"/>
  <c r="P35" i="2"/>
  <c r="P40" i="2"/>
  <c r="P43" i="2"/>
  <c r="Q42" i="2"/>
  <c r="R41" i="2"/>
  <c r="U38" i="2"/>
  <c r="AG46" i="2"/>
  <c r="P33" i="2"/>
  <c r="P39" i="2"/>
  <c r="P42" i="2"/>
  <c r="P38" i="2"/>
  <c r="P25" i="2"/>
  <c r="P28" i="2"/>
  <c r="P32" i="2"/>
  <c r="P37" i="2"/>
  <c r="P26" i="2"/>
  <c r="F27" i="2"/>
  <c r="M43" i="2"/>
  <c r="M42" i="2"/>
  <c r="M33" i="2"/>
  <c r="M26" i="2"/>
  <c r="M28" i="2"/>
  <c r="M40" i="2"/>
  <c r="M39" i="2"/>
  <c r="M34" i="2"/>
  <c r="M38" i="2"/>
  <c r="M37" i="2"/>
  <c r="M25" i="2"/>
  <c r="M35" i="2"/>
  <c r="M29" i="2"/>
  <c r="M41" i="2"/>
  <c r="M31" i="2"/>
  <c r="M30" i="2"/>
  <c r="M27" i="2"/>
  <c r="M36" i="2"/>
  <c r="D43" i="2"/>
  <c r="D26" i="2"/>
  <c r="D33" i="2"/>
  <c r="D39" i="2"/>
  <c r="D31" i="2"/>
  <c r="D42" i="2"/>
  <c r="D34" i="2"/>
  <c r="D29" i="2"/>
  <c r="D30" i="2"/>
  <c r="D40" i="2"/>
  <c r="D27" i="2"/>
  <c r="D37" i="2"/>
  <c r="D36" i="2"/>
  <c r="D25" i="2"/>
  <c r="D32" i="2"/>
  <c r="D35" i="2"/>
  <c r="D38" i="2"/>
  <c r="D28" i="2"/>
  <c r="F36" i="2"/>
  <c r="N33" i="2"/>
  <c r="N43" i="2"/>
  <c r="N35" i="2"/>
  <c r="N28" i="2"/>
  <c r="N34" i="2"/>
  <c r="N26" i="2"/>
  <c r="N32" i="2"/>
  <c r="N39" i="2"/>
  <c r="N27" i="2"/>
  <c r="N29" i="2"/>
  <c r="N30" i="2"/>
  <c r="N37" i="2"/>
  <c r="N42" i="2"/>
  <c r="N36" i="2"/>
  <c r="N41" i="2"/>
  <c r="N38" i="2"/>
  <c r="N25" i="2"/>
  <c r="N40" i="2"/>
  <c r="T35" i="2"/>
  <c r="G33" i="2"/>
  <c r="G27" i="2"/>
  <c r="G36" i="2"/>
  <c r="G30" i="2"/>
  <c r="G25" i="2"/>
  <c r="G42" i="2"/>
  <c r="G34" i="2"/>
  <c r="G39" i="2"/>
  <c r="G35" i="2"/>
  <c r="G26" i="2"/>
  <c r="G32" i="2"/>
  <c r="G41" i="2"/>
  <c r="G29" i="2"/>
  <c r="G31" i="2"/>
  <c r="G43" i="2"/>
  <c r="G40" i="2"/>
  <c r="G37" i="2"/>
  <c r="G28" i="2"/>
  <c r="C31" i="2"/>
  <c r="C26" i="2"/>
  <c r="C34" i="2"/>
  <c r="C27" i="2"/>
  <c r="C38" i="2"/>
  <c r="C35" i="2"/>
  <c r="C32" i="2"/>
  <c r="C37" i="2"/>
  <c r="C36" i="2"/>
  <c r="C39" i="2"/>
  <c r="C29" i="2"/>
  <c r="C30" i="2"/>
  <c r="C25" i="2"/>
  <c r="B46" i="2"/>
  <c r="C43" i="2"/>
  <c r="C40" i="2"/>
  <c r="C28" i="2"/>
  <c r="C41" i="2"/>
  <c r="C33" i="2"/>
  <c r="F42" i="2"/>
  <c r="R36" i="2"/>
  <c r="R37" i="2"/>
  <c r="R32" i="2"/>
  <c r="R31" i="2"/>
  <c r="R43" i="2"/>
  <c r="R39" i="2"/>
  <c r="R40" i="2"/>
  <c r="R28" i="2"/>
  <c r="R33" i="2"/>
  <c r="R25" i="2"/>
  <c r="R35" i="2"/>
  <c r="R42" i="2"/>
  <c r="R34" i="2"/>
  <c r="R38" i="2"/>
  <c r="R30" i="2"/>
  <c r="R29" i="2"/>
  <c r="R26" i="2"/>
  <c r="T33" i="2"/>
  <c r="F43" i="2"/>
  <c r="T41" i="2"/>
  <c r="L25" i="2"/>
  <c r="L34" i="2"/>
  <c r="L27" i="2"/>
  <c r="L28" i="2"/>
  <c r="L43" i="2"/>
  <c r="L29" i="2"/>
  <c r="L38" i="2"/>
  <c r="L30" i="2"/>
  <c r="L37" i="2"/>
  <c r="L26" i="2"/>
  <c r="L36" i="2"/>
  <c r="L41" i="2"/>
  <c r="L31" i="2"/>
  <c r="L35" i="2"/>
  <c r="L32" i="2"/>
  <c r="L39" i="2"/>
  <c r="L42" i="2"/>
  <c r="L40" i="2"/>
  <c r="E34" i="2"/>
  <c r="E30" i="2"/>
  <c r="E28" i="2"/>
  <c r="E37" i="2"/>
  <c r="E32" i="2"/>
  <c r="E29" i="2"/>
  <c r="E42" i="2"/>
  <c r="E33" i="2"/>
  <c r="E26" i="2"/>
  <c r="E46" i="2"/>
  <c r="E38" i="2"/>
  <c r="E31" i="2"/>
  <c r="E39" i="2"/>
  <c r="E35" i="2"/>
  <c r="E27" i="2"/>
  <c r="E36" i="2"/>
  <c r="E43" i="2"/>
  <c r="E25" i="2"/>
  <c r="D46" i="2"/>
  <c r="E41" i="2"/>
  <c r="H28" i="2"/>
  <c r="H32" i="2"/>
  <c r="H38" i="2"/>
  <c r="H40" i="2"/>
  <c r="H43" i="2"/>
  <c r="H39" i="2"/>
  <c r="H36" i="2"/>
  <c r="H29" i="2"/>
  <c r="H33" i="2"/>
  <c r="H25" i="2"/>
  <c r="H26" i="2"/>
  <c r="H34" i="2"/>
  <c r="H30" i="2"/>
  <c r="H42" i="2"/>
  <c r="H27" i="2"/>
  <c r="H35" i="2"/>
  <c r="H31" i="2"/>
  <c r="H41" i="2"/>
  <c r="U32" i="2"/>
  <c r="U37" i="2"/>
  <c r="U41" i="2"/>
  <c r="U35" i="2"/>
  <c r="Q39" i="2"/>
  <c r="O41" i="2"/>
  <c r="AD46" i="2"/>
  <c r="U25" i="2"/>
  <c r="U26" i="2"/>
  <c r="U39" i="2"/>
  <c r="U28" i="2"/>
  <c r="U36" i="2"/>
  <c r="U43" i="2"/>
  <c r="AL46" i="2"/>
  <c r="U30" i="2"/>
  <c r="Q34" i="2"/>
  <c r="O36" i="2"/>
  <c r="K40" i="2"/>
  <c r="J41" i="2"/>
  <c r="I42" i="2"/>
  <c r="Y46" i="2"/>
  <c r="U40" i="2"/>
  <c r="U33" i="2"/>
  <c r="U29" i="2"/>
  <c r="U31" i="2"/>
  <c r="U42" i="2"/>
  <c r="AK46" i="2"/>
  <c r="U27" i="2"/>
  <c r="U34" i="2"/>
  <c r="Q38" i="2"/>
  <c r="O40" i="2"/>
  <c r="AC46" i="2"/>
  <c r="O27" i="2"/>
  <c r="O38" i="2"/>
  <c r="O35" i="2"/>
  <c r="O29" i="2"/>
  <c r="O34" i="2"/>
  <c r="O42" i="2"/>
  <c r="O26" i="2"/>
  <c r="O25" i="2"/>
  <c r="O31" i="2"/>
  <c r="O37" i="2"/>
  <c r="O33" i="2"/>
  <c r="O32" i="2"/>
  <c r="O43" i="2"/>
  <c r="Q41" i="2"/>
  <c r="AF46" i="2"/>
  <c r="O28" i="2"/>
  <c r="O39" i="2"/>
  <c r="J42" i="2"/>
  <c r="J36" i="2"/>
  <c r="J33" i="2"/>
  <c r="J38" i="2"/>
  <c r="J37" i="2"/>
  <c r="J29" i="2"/>
  <c r="J39" i="2"/>
  <c r="J26" i="2"/>
  <c r="J30" i="2"/>
  <c r="J34" i="2"/>
  <c r="J43" i="2"/>
  <c r="J31" i="2"/>
  <c r="J25" i="2"/>
  <c r="I26" i="2"/>
  <c r="I46" i="2"/>
  <c r="J27" i="2"/>
  <c r="J40" i="2"/>
  <c r="J32" i="2"/>
  <c r="J28" i="2"/>
  <c r="Q25" i="2"/>
  <c r="Q29" i="2"/>
  <c r="Q30" i="2"/>
  <c r="Q32" i="2"/>
  <c r="Q40" i="2"/>
  <c r="Q36" i="2"/>
  <c r="Q31" i="2"/>
  <c r="Q37" i="2"/>
  <c r="Q26" i="2"/>
  <c r="Q35" i="2"/>
  <c r="Q43" i="2"/>
  <c r="Q33" i="2"/>
  <c r="Q27" i="2"/>
  <c r="K43" i="2"/>
  <c r="K25" i="2"/>
  <c r="K32" i="2"/>
  <c r="K42" i="2"/>
  <c r="K28" i="2"/>
  <c r="K26" i="2"/>
  <c r="K29" i="2"/>
  <c r="K33" i="2"/>
  <c r="K38" i="2"/>
  <c r="K37" i="2"/>
  <c r="K31" i="2"/>
  <c r="K36" i="2"/>
  <c r="K41" i="2"/>
  <c r="K39" i="2"/>
  <c r="K27" i="2"/>
  <c r="K30" i="2"/>
  <c r="K35" i="2"/>
  <c r="I39" i="2"/>
  <c r="I43" i="2"/>
  <c r="I29" i="2"/>
  <c r="I32" i="2"/>
  <c r="I41" i="2"/>
  <c r="I37" i="2"/>
  <c r="I38" i="2"/>
  <c r="I30" i="2"/>
  <c r="I33" i="2"/>
  <c r="I31" i="2"/>
  <c r="I40" i="2"/>
  <c r="I27" i="2"/>
  <c r="I25" i="2"/>
  <c r="I34" i="2"/>
  <c r="I28" i="2"/>
  <c r="I35" i="2"/>
  <c r="V46" i="2"/>
  <c r="Z46" i="2"/>
  <c r="G46" i="2"/>
  <c r="C46" i="2"/>
  <c r="F46" i="2"/>
  <c r="H46" i="2"/>
  <c r="J46" i="2"/>
  <c r="K46" i="2"/>
  <c r="L46" i="2"/>
  <c r="M46" i="2"/>
  <c r="N46" i="2"/>
  <c r="O46" i="2"/>
  <c r="P46" i="2"/>
  <c r="Q46" i="2"/>
  <c r="R46" i="2"/>
  <c r="R47" i="2"/>
  <c r="W46" i="2"/>
  <c r="T46" i="2"/>
  <c r="U46" i="2"/>
  <c r="X46" i="2"/>
  <c r="AA46" i="2"/>
  <c r="AB46" i="2"/>
  <c r="AE46" i="2"/>
  <c r="AG47" i="2"/>
  <c r="AJ46" i="2"/>
  <c r="C47" i="2"/>
  <c r="G47" i="2"/>
  <c r="B47" i="2"/>
  <c r="J47" i="2"/>
  <c r="E47" i="2"/>
  <c r="I47" i="2"/>
  <c r="F47" i="2"/>
  <c r="D47" i="2"/>
  <c r="AA47" i="2"/>
  <c r="S47" i="2"/>
  <c r="AH46" i="2"/>
  <c r="AI46" i="2"/>
  <c r="AK47" i="2"/>
  <c r="AL47" i="2"/>
  <c r="AD47" i="2"/>
  <c r="W47" i="2"/>
  <c r="AE47" i="2"/>
  <c r="AF47" i="2"/>
  <c r="U47" i="2"/>
  <c r="X47" i="2"/>
  <c r="O47" i="2"/>
  <c r="AB47" i="2"/>
  <c r="T47" i="2"/>
  <c r="AI47" i="2"/>
  <c r="Q47" i="2"/>
  <c r="AJ47" i="2"/>
  <c r="V47" i="2"/>
  <c r="N47" i="2"/>
  <c r="K47" i="2"/>
  <c r="M47" i="2"/>
  <c r="AC47" i="2"/>
  <c r="L47" i="2"/>
  <c r="H47" i="2"/>
  <c r="Y47" i="2"/>
  <c r="Z47" i="2"/>
  <c r="P47" i="2"/>
  <c r="AH4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tc={2A5509F5-74AF-4447-AD86-43DDB2A8C4C1}</author>
  </authors>
  <commentList>
    <comment ref="N28" authorId="0" shapeId="0" xr:uid="{2A5509F5-74AF-4447-AD86-43DDB2A8C4C1}">
      <text>
        <t>[Threaded comment]
Your version of Excel allows you to read this threaded comment; however, any edits to it will get removed if the file is opened in a newer version of Excel. Learn more: https://go.microsoft.com/fwlink/?linkid=870924
Comment:
    Do I use random here too or do I set it one of the otherones?</t>
      </text>
    </comment>
  </commentList>
</comments>
</file>

<file path=xl/sharedStrings.xml><?xml version="1.0" encoding="utf-8"?>
<sst xmlns="http://schemas.openxmlformats.org/spreadsheetml/2006/main" count="432" uniqueCount="188">
  <si>
    <t>Step 1a: Fill in the parameters</t>
  </si>
  <si>
    <t>wks</t>
  </si>
  <si>
    <t>Amazon's service level</t>
  </si>
  <si>
    <t>Amazon's annual percentage holding cost</t>
  </si>
  <si>
    <t>Prob (wkly demand = 0)</t>
  </si>
  <si>
    <t>Prob (wkly demand = 1)</t>
  </si>
  <si>
    <t>Prob (wkly demand = 2)</t>
  </si>
  <si>
    <t>Prob (wkly demand &gt; 2)</t>
  </si>
  <si>
    <t>Avg wkly demand</t>
  </si>
  <si>
    <t>A: Last Minute Knitted Gifts</t>
  </si>
  <si>
    <t xml:space="preserve">B: Blink - The Power of Thinking Without Thinking) </t>
  </si>
  <si>
    <t>Product A</t>
  </si>
  <si>
    <t>Product B</t>
  </si>
  <si>
    <t>Step 1c: Compute Amazon's procurement cost and inventory cost if buying from publishers</t>
  </si>
  <si>
    <t>(Hint: include pipeline inventory only if Amazon owns it)</t>
  </si>
  <si>
    <t>Unit procurement cost</t>
  </si>
  <si>
    <t>Safety stock</t>
  </si>
  <si>
    <t>Avg. pipeline inventory</t>
  </si>
  <si>
    <t>Avg. cycle inventory</t>
  </si>
  <si>
    <t>Avg. total inventory</t>
  </si>
  <si>
    <t>Avg. wkly inventory holding cost</t>
  </si>
  <si>
    <t>Avg. wkly procurement cost</t>
  </si>
  <si>
    <t>($ / unit)</t>
  </si>
  <si>
    <t>(units / wk)</t>
  </si>
  <si>
    <t>(units)</t>
  </si>
  <si>
    <t>($ / wk)</t>
  </si>
  <si>
    <t>Step 2: Compute Amazon's cost if drop-shipping from wholesalers</t>
  </si>
  <si>
    <t>Amazon.com Question 1 (b)</t>
  </si>
  <si>
    <t>Step 1: Consider buying from publishers and stocking in Amazon's DC</t>
  </si>
  <si>
    <t>Assume 1 year =</t>
  </si>
  <si>
    <t>List price</t>
  </si>
  <si>
    <t>Discuss with your group and figure out how to make use of this worksheet.</t>
  </si>
  <si>
    <t>Probability</t>
  </si>
  <si>
    <t>Cumulative</t>
  </si>
  <si>
    <t>Step 1a: Compute expected incremential shipping cost</t>
  </si>
  <si>
    <t>DC to customer location</t>
  </si>
  <si>
    <t>Incremental shipping cost (€)</t>
  </si>
  <si>
    <t>Expected per item incremental shipping cost (€)</t>
  </si>
  <si>
    <t>Lightweight unbundled</t>
  </si>
  <si>
    <t>Lightweight bundled</t>
  </si>
  <si>
    <t>LCD</t>
  </si>
  <si>
    <t>DVD</t>
  </si>
  <si>
    <t>Fra-to-Fra</t>
  </si>
  <si>
    <t>Fra-to-Ger</t>
  </si>
  <si>
    <t>Ger-to-Ger</t>
  </si>
  <si>
    <t>1 year =</t>
  </si>
  <si>
    <t>Ger-to-Fra</t>
  </si>
  <si>
    <t>Step 1b: Find inventory cost and procurement cost</t>
  </si>
  <si>
    <t>Unit proc. cost</t>
  </si>
  <si>
    <t>Weekly demand</t>
  </si>
  <si>
    <t>Lead time</t>
  </si>
  <si>
    <t>Annual % holding cost</t>
  </si>
  <si>
    <t>Avg. shipping cost per item</t>
  </si>
  <si>
    <t>Avg. weekly shipping cost</t>
  </si>
  <si>
    <t>(€/unit)</t>
  </si>
  <si>
    <t>mean (units)</t>
  </si>
  <si>
    <t>s.d. (units)</t>
  </si>
  <si>
    <t>(wks)</t>
  </si>
  <si>
    <t>(€ / wk)</t>
  </si>
  <si>
    <t>(€ / unit)</t>
  </si>
  <si>
    <t>DVD Total</t>
  </si>
  <si>
    <t>LCD Total</t>
  </si>
  <si>
    <t>Avg. shipping cost per item to Fra</t>
  </si>
  <si>
    <t>Avg. shipping cost per item to Ger</t>
  </si>
  <si>
    <t>Stocking in France DC</t>
  </si>
  <si>
    <t>Stocking in Germany DC</t>
  </si>
  <si>
    <t>Amazon.com Question 2</t>
  </si>
  <si>
    <t>Avg. pipeline inv.</t>
  </si>
  <si>
    <t>Avg. cycle inv.</t>
  </si>
  <si>
    <t>Avg. total inv.</t>
  </si>
  <si>
    <t>Avg. weekly inv. cost</t>
  </si>
  <si>
    <t>Amazon.com Question 3</t>
  </si>
  <si>
    <t>z</t>
  </si>
  <si>
    <t>i</t>
  </si>
  <si>
    <t>$</t>
  </si>
  <si>
    <t>Build to Stock</t>
  </si>
  <si>
    <t>Unit proc. Cost</t>
  </si>
  <si>
    <t>($)</t>
  </si>
  <si>
    <t>Ring 1 (A+D)</t>
  </si>
  <si>
    <t>Ring 2 (A+E)</t>
  </si>
  <si>
    <t>Ring 3 (B+D)</t>
  </si>
  <si>
    <t>Ring 4 (B+E)</t>
  </si>
  <si>
    <t>Ring 5 (C+D)</t>
  </si>
  <si>
    <t>Ring 6 (C+E)</t>
  </si>
  <si>
    <t>Total</t>
  </si>
  <si>
    <t>Total inventory cost:</t>
  </si>
  <si>
    <t>Build to Order</t>
  </si>
  <si>
    <t>Diamond A</t>
  </si>
  <si>
    <t>Diamond B</t>
  </si>
  <si>
    <t>Diamond C</t>
  </si>
  <si>
    <t xml:space="preserve"> Setting  D</t>
  </si>
  <si>
    <t xml:space="preserve"> Setting  E</t>
  </si>
  <si>
    <t>Total cost:</t>
  </si>
  <si>
    <t>Surcharge=</t>
  </si>
  <si>
    <t>Avg. weekly inventory holding cost</t>
  </si>
  <si>
    <t>Weekly cost</t>
    <phoneticPr fontId="7" type="noConversion"/>
  </si>
  <si>
    <r>
      <t>X</t>
    </r>
    <r>
      <rPr>
        <vertAlign val="subscript"/>
        <sz val="9"/>
        <rFont val="Arial"/>
        <family val="2"/>
      </rPr>
      <t>1</t>
    </r>
    <r>
      <rPr>
        <sz val="9"/>
        <rFont val="Arial"/>
        <family val="2"/>
      </rPr>
      <t xml:space="preserve"> = 0</t>
    </r>
  </si>
  <si>
    <r>
      <t>X</t>
    </r>
    <r>
      <rPr>
        <vertAlign val="subscript"/>
        <sz val="9"/>
        <rFont val="Arial"/>
        <family val="2"/>
      </rPr>
      <t>2</t>
    </r>
    <r>
      <rPr>
        <sz val="9"/>
        <rFont val="Arial"/>
        <family val="2"/>
      </rPr>
      <t xml:space="preserve"> = 0</t>
    </r>
  </si>
  <si>
    <r>
      <t>X</t>
    </r>
    <r>
      <rPr>
        <vertAlign val="subscript"/>
        <sz val="9"/>
        <rFont val="Arial"/>
        <family val="2"/>
      </rPr>
      <t>1</t>
    </r>
    <r>
      <rPr>
        <sz val="9"/>
        <rFont val="Arial"/>
        <family val="2"/>
      </rPr>
      <t xml:space="preserve"> + X</t>
    </r>
    <r>
      <rPr>
        <vertAlign val="subscript"/>
        <sz val="9"/>
        <rFont val="Arial"/>
        <family val="2"/>
      </rPr>
      <t>2</t>
    </r>
    <r>
      <rPr>
        <sz val="9"/>
        <rFont val="Arial"/>
        <family val="2"/>
      </rPr>
      <t xml:space="preserve"> = 0</t>
    </r>
  </si>
  <si>
    <r>
      <t>X</t>
    </r>
    <r>
      <rPr>
        <vertAlign val="subscript"/>
        <sz val="9"/>
        <rFont val="Arial"/>
        <family val="2"/>
      </rPr>
      <t>3</t>
    </r>
    <r>
      <rPr>
        <sz val="9"/>
        <rFont val="Arial"/>
        <family val="2"/>
      </rPr>
      <t xml:space="preserve"> + X</t>
    </r>
    <r>
      <rPr>
        <vertAlign val="subscript"/>
        <sz val="9"/>
        <rFont val="Arial"/>
        <family val="2"/>
      </rPr>
      <t>4</t>
    </r>
    <r>
      <rPr>
        <sz val="9"/>
        <rFont val="Arial"/>
        <family val="2"/>
      </rPr>
      <t xml:space="preserve"> = 0</t>
    </r>
  </si>
  <si>
    <r>
      <t>X</t>
    </r>
    <r>
      <rPr>
        <vertAlign val="subscript"/>
        <sz val="9"/>
        <rFont val="Arial"/>
        <family val="2"/>
      </rPr>
      <t>1</t>
    </r>
    <r>
      <rPr>
        <sz val="9"/>
        <rFont val="Arial"/>
        <family val="2"/>
      </rPr>
      <t xml:space="preserve"> + X</t>
    </r>
    <r>
      <rPr>
        <vertAlign val="subscript"/>
        <sz val="9"/>
        <rFont val="Arial"/>
        <family val="2"/>
      </rPr>
      <t>2</t>
    </r>
    <r>
      <rPr>
        <sz val="9"/>
        <rFont val="Arial"/>
        <family val="2"/>
      </rPr>
      <t xml:space="preserve"> + X</t>
    </r>
    <r>
      <rPr>
        <vertAlign val="subscript"/>
        <sz val="9"/>
        <rFont val="Arial"/>
        <family val="2"/>
      </rPr>
      <t>3</t>
    </r>
    <r>
      <rPr>
        <sz val="9"/>
        <rFont val="Arial"/>
        <family val="2"/>
      </rPr>
      <t xml:space="preserve"> + X</t>
    </r>
    <r>
      <rPr>
        <vertAlign val="subscript"/>
        <sz val="9"/>
        <rFont val="Arial"/>
        <family val="2"/>
      </rPr>
      <t>4</t>
    </r>
    <r>
      <rPr>
        <sz val="9"/>
        <rFont val="Arial"/>
        <family val="2"/>
      </rPr>
      <t>= 0</t>
    </r>
  </si>
  <si>
    <t>Input parameter values or formulas in green cells.  To facilitate grading, please do not modify the template format.</t>
  </si>
  <si>
    <t>Please input parameter values or formulas in green cells.  To facilitate grading, please do not modify the template format (column width, row height, etc).</t>
  </si>
  <si>
    <t>Service level (Diamond)</t>
  </si>
  <si>
    <t>Service level (Ring)</t>
  </si>
  <si>
    <t>Service level (Setting)</t>
  </si>
  <si>
    <t>Diamond</t>
  </si>
  <si>
    <t>Setting</t>
  </si>
  <si>
    <t>Total assembly cost:</t>
  </si>
  <si>
    <t>Cost changes</t>
  </si>
  <si>
    <t>(1 Week = 7 days)</t>
  </si>
  <si>
    <t>Ring</t>
  </si>
  <si>
    <t>Ring Total</t>
  </si>
  <si>
    <t>Bundling Probability</t>
  </si>
  <si>
    <t>Step 3: In your write-up (a separate document), conclude whether or not to drop ship A and B.</t>
  </si>
  <si>
    <t>Step 3: In your write-up, conclude where should Amazon hold each of the three products.</t>
  </si>
  <si>
    <t>In your write-up (a separate document), conclude which system you would prefer.</t>
  </si>
  <si>
    <r>
      <t xml:space="preserve">Step 1: Consider </t>
    </r>
    <r>
      <rPr>
        <b/>
        <sz val="9"/>
        <color indexed="12"/>
        <rFont val="Arial"/>
        <family val="2"/>
      </rPr>
      <t>stocking in both DCs</t>
    </r>
    <r>
      <rPr>
        <sz val="9"/>
        <color indexed="12"/>
        <rFont val="Arial"/>
        <family val="2"/>
      </rPr>
      <t xml:space="preserve"> and </t>
    </r>
    <r>
      <rPr>
        <b/>
        <sz val="9"/>
        <color indexed="12"/>
        <rFont val="Arial"/>
        <family val="2"/>
      </rPr>
      <t>serving customers from only local DCs</t>
    </r>
  </si>
  <si>
    <r>
      <t xml:space="preserve">Step 2: Consider </t>
    </r>
    <r>
      <rPr>
        <b/>
        <sz val="9"/>
        <color indexed="12"/>
        <rFont val="Arial"/>
        <family val="2"/>
      </rPr>
      <t>stocking in a single DC</t>
    </r>
  </si>
  <si>
    <t>Stock DVD in Fra</t>
  </si>
  <si>
    <t>Stock DVD in Ger</t>
  </si>
  <si>
    <t>Stock LCD in Fra</t>
  </si>
  <si>
    <t>Stock LCD in Ger</t>
  </si>
  <si>
    <t>Stock Ring in Fra</t>
  </si>
  <si>
    <t>Stock Ring in Ger</t>
  </si>
  <si>
    <t>Weekly Demand</t>
  </si>
  <si>
    <t>Order quantity</t>
  </si>
  <si>
    <t>Step 1b: Use "LT Demand" worksheet to find the distribution of demand during lead time L, and copy the cumulative distribution here:</t>
  </si>
  <si>
    <t>Cum. dist. of Lead time demand</t>
  </si>
  <si>
    <t>Demand during Lead time</t>
  </si>
  <si>
    <t>Total wkly cost (ignore setup costs)</t>
  </si>
  <si>
    <t>Total weekly cost (ignore setup cost)</t>
  </si>
  <si>
    <t>Total weekly cost (ignore setup costs)</t>
  </si>
  <si>
    <t xml:space="preserve">Avg. total inv. </t>
  </si>
  <si>
    <t xml:space="preserve">Avg. total inventory </t>
  </si>
  <si>
    <r>
      <t xml:space="preserve">Given a discrete distribution of weekly demand, how do we compute the distribution of LT demand?  This worksheet helps you on this. </t>
    </r>
    <r>
      <rPr>
        <b/>
        <sz val="11"/>
        <color indexed="12"/>
        <rFont val="Arial"/>
        <family val="2"/>
      </rPr>
      <t>Fill in the probabilities for the weekly demand in the yellow cells, and then read the formulas behind other cells to understand the logic.</t>
    </r>
  </si>
  <si>
    <t>Lead Time (LT) from publishers</t>
  </si>
  <si>
    <t>Reorder Point</t>
  </si>
  <si>
    <t>Lead Time Demand</t>
  </si>
  <si>
    <t>=G32-K26</t>
  </si>
  <si>
    <t>=G33-K27</t>
  </si>
  <si>
    <t>Wholesale Discount</t>
  </si>
  <si>
    <t>Publisher Discount</t>
  </si>
  <si>
    <t>z = normsin(desired service level)</t>
  </si>
  <si>
    <t>ROP-meanleadtime(demand)</t>
  </si>
  <si>
    <t>unit procurement cost / 52</t>
  </si>
  <si>
    <t>AVG TOTAL INVENTORY</t>
  </si>
  <si>
    <t>James Pan</t>
  </si>
  <si>
    <t>Simulation</t>
  </si>
  <si>
    <t>Average Weekly Demand</t>
  </si>
  <si>
    <t>SD Weekly Demand</t>
  </si>
  <si>
    <t>Random Variable</t>
  </si>
  <si>
    <t>Lead Time</t>
  </si>
  <si>
    <t>Safety Stock</t>
  </si>
  <si>
    <t>98 Percent Service Level</t>
  </si>
  <si>
    <t>Pipeline Inventory</t>
  </si>
  <si>
    <t>Total Inventory</t>
  </si>
  <si>
    <t>Cycle Inventory</t>
  </si>
  <si>
    <t>Weekly Inventory Holding Cost</t>
  </si>
  <si>
    <t>Yearly Inventory Holding Cost</t>
  </si>
  <si>
    <t>Weekly Inventory Shipping Cost</t>
  </si>
  <si>
    <t>Yearly Inventory Shipping Cost</t>
  </si>
  <si>
    <t>Demand to France</t>
  </si>
  <si>
    <t>Demand to Germany</t>
  </si>
  <si>
    <t>France only</t>
  </si>
  <si>
    <t>Germany only</t>
  </si>
  <si>
    <t xml:space="preserve">Simulation </t>
  </si>
  <si>
    <t>France and Germany</t>
  </si>
  <si>
    <t>France DVD</t>
  </si>
  <si>
    <t>Germany DVD</t>
  </si>
  <si>
    <t>France LCD</t>
  </si>
  <si>
    <t>Germany LCD</t>
  </si>
  <si>
    <t>Stocking in France and Germany</t>
  </si>
  <si>
    <t>Total Yearly Shipping Cost</t>
  </si>
  <si>
    <t>Total Yearly Inventory Cost</t>
  </si>
  <si>
    <t>Total Yearly Costs</t>
  </si>
  <si>
    <t xml:space="preserve">France </t>
  </si>
  <si>
    <t>Germany</t>
  </si>
  <si>
    <t xml:space="preserve">Simulation Results </t>
  </si>
  <si>
    <t>France</t>
  </si>
  <si>
    <t>Average Total Cost</t>
  </si>
  <si>
    <t>SD</t>
  </si>
  <si>
    <t>SE</t>
  </si>
  <si>
    <t>z.98</t>
  </si>
  <si>
    <t>MOE</t>
  </si>
  <si>
    <t>LCL</t>
  </si>
  <si>
    <t>UCL</t>
  </si>
  <si>
    <t>Lowest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</si>
</sst>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</numFmts>
  <fonts count="21"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sz val="9"/>
      <color indexed="12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indexed="12"/>
      <name val="Arial"/>
      <family val="2"/>
    </font>
    <font>
      <u/>
      <sz val="8"/>
      <color indexed="12"/>
      <name val="Arial"/>
      <family val="2"/>
    </font>
    <font>
      <u/>
      <sz val="12"/>
      <color indexed="12"/>
      <name val="宋体"/>
      <charset val="134"/>
    </font>
    <font>
      <sz val="10"/>
      <name val="Arial"/>
      <family val="2"/>
    </font>
    <font>
      <b/>
      <sz val="10"/>
      <name val="Arial"/>
      <family val="2"/>
    </font>
    <font>
      <vertAlign val="subscript"/>
      <sz val="9"/>
      <name val="Arial"/>
      <family val="2"/>
    </font>
    <font>
      <b/>
      <sz val="10"/>
      <color indexed="10"/>
      <name val="Arial"/>
      <family val="2"/>
    </font>
    <font>
      <sz val="7.9"/>
      <name val="Arial"/>
      <family val="2"/>
    </font>
    <font>
      <b/>
      <sz val="9"/>
      <color indexed="10"/>
      <name val="Arial"/>
      <family val="2"/>
    </font>
    <font>
      <b/>
      <sz val="9"/>
      <color indexed="12"/>
      <name val="Arial"/>
      <family val="2"/>
    </font>
    <font>
      <b/>
      <sz val="11"/>
      <color indexed="12"/>
      <name val="Arial"/>
      <family val="2"/>
    </font>
    <font>
      <i/>
      <sz val="8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102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3" fillId="2" borderId="1" xfId="0" applyFont="1" applyFill="1" applyBorder="1"/>
    <xf numFmtId="9" fontId="3" fillId="2" borderId="1" xfId="0" applyNumberFormat="1" applyFont="1" applyFill="1" applyBorder="1"/>
    <xf numFmtId="9" fontId="3" fillId="2" borderId="1" xfId="3" applyFont="1" applyFill="1" applyBorder="1" applyAlignment="1">
      <alignment vertical="center"/>
    </xf>
    <xf numFmtId="0" fontId="6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2" borderId="1" xfId="1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1" applyNumberFormat="1" applyFont="1" applyBorder="1" applyAlignment="1">
      <alignment horizontal="center"/>
    </xf>
    <xf numFmtId="0" fontId="3" fillId="0" borderId="0" xfId="1" applyNumberFormat="1" applyFont="1" applyBorder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4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8" fillId="0" borderId="0" xfId="0" applyFont="1"/>
    <xf numFmtId="0" fontId="5" fillId="0" borderId="0" xfId="0" applyFont="1" applyAlignment="1">
      <alignment horizontal="right" vertical="center"/>
    </xf>
    <xf numFmtId="0" fontId="5" fillId="3" borderId="2" xfId="0" applyFont="1" applyFill="1" applyBorder="1"/>
    <xf numFmtId="0" fontId="5" fillId="3" borderId="3" xfId="0" applyFont="1" applyFill="1" applyBorder="1"/>
    <xf numFmtId="0" fontId="5" fillId="0" borderId="2" xfId="0" applyFont="1" applyBorder="1"/>
    <xf numFmtId="0" fontId="5" fillId="0" borderId="3" xfId="0" applyFont="1" applyBorder="1"/>
    <xf numFmtId="0" fontId="5" fillId="4" borderId="0" xfId="0" applyFont="1" applyFill="1"/>
    <xf numFmtId="0" fontId="5" fillId="0" borderId="3" xfId="0" applyFont="1" applyBorder="1" applyAlignment="1">
      <alignment vertical="center" wrapText="1"/>
    </xf>
    <xf numFmtId="0" fontId="5" fillId="4" borderId="2" xfId="0" applyFont="1" applyFill="1" applyBorder="1"/>
    <xf numFmtId="0" fontId="5" fillId="4" borderId="3" xfId="0" applyFont="1" applyFill="1" applyBorder="1"/>
    <xf numFmtId="0" fontId="5" fillId="4" borderId="4" xfId="0" applyFont="1" applyFill="1" applyBorder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2" xfId="0" applyFont="1" applyBorder="1" applyAlignment="1">
      <alignment horizontal="right"/>
    </xf>
    <xf numFmtId="0" fontId="3" fillId="2" borderId="1" xfId="1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9" fillId="0" borderId="0" xfId="2" applyNumberFormat="1" applyFont="1" applyBorder="1" applyAlignment="1" applyProtection="1">
      <alignment horizontal="center" vertical="center" wrapText="1"/>
    </xf>
    <xf numFmtId="0" fontId="3" fillId="0" borderId="0" xfId="0" applyFont="1" applyAlignment="1">
      <alignment horizontal="justify" vertical="center" wrapText="1"/>
    </xf>
    <xf numFmtId="0" fontId="3" fillId="0" borderId="0" xfId="0" applyFont="1" applyAlignment="1">
      <alignment horizontal="right" vertical="center"/>
    </xf>
    <xf numFmtId="9" fontId="3" fillId="2" borderId="1" xfId="0" applyNumberFormat="1" applyFont="1" applyFill="1" applyBorder="1" applyAlignment="1">
      <alignment vertical="center"/>
    </xf>
    <xf numFmtId="0" fontId="3" fillId="0" borderId="0" xfId="0" applyFont="1" applyAlignment="1">
      <alignment horizontal="right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right" vertical="center" wrapText="1"/>
    </xf>
    <xf numFmtId="9" fontId="3" fillId="2" borderId="1" xfId="3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3" fillId="0" borderId="0" xfId="0" applyFont="1" applyAlignment="1">
      <alignment horizontal="center" wrapText="1"/>
    </xf>
    <xf numFmtId="0" fontId="12" fillId="0" borderId="0" xfId="0" applyFont="1" applyAlignment="1">
      <alignment vertical="center"/>
    </xf>
    <xf numFmtId="0" fontId="3" fillId="2" borderId="1" xfId="1" applyNumberFormat="1" applyFont="1" applyFill="1" applyBorder="1" applyAlignment="1">
      <alignment horizontal="right" vertical="center" wrapText="1"/>
    </xf>
    <xf numFmtId="0" fontId="3" fillId="0" borderId="0" xfId="1" applyNumberFormat="1" applyFont="1" applyFill="1" applyAlignment="1">
      <alignment vertical="center" wrapText="1"/>
    </xf>
    <xf numFmtId="0" fontId="6" fillId="0" borderId="0" xfId="0" applyFont="1" applyAlignment="1">
      <alignment horizontal="right" vertical="center"/>
    </xf>
    <xf numFmtId="0" fontId="6" fillId="2" borderId="1" xfId="0" applyFont="1" applyFill="1" applyBorder="1" applyAlignment="1">
      <alignment vertical="center" wrapText="1"/>
    </xf>
    <xf numFmtId="0" fontId="3" fillId="0" borderId="0" xfId="1" applyNumberFormat="1" applyFont="1" applyAlignment="1">
      <alignment vertical="center" wrapText="1"/>
    </xf>
    <xf numFmtId="0" fontId="0" fillId="0" borderId="0" xfId="0" applyAlignment="1">
      <alignment vertical="center"/>
    </xf>
    <xf numFmtId="0" fontId="3" fillId="0" borderId="0" xfId="1" applyNumberFormat="1" applyFont="1" applyBorder="1" applyAlignment="1">
      <alignment horizontal="center" vertical="center" wrapText="1"/>
    </xf>
    <xf numFmtId="9" fontId="3" fillId="2" borderId="1" xfId="0" applyNumberFormat="1" applyFont="1" applyFill="1" applyBorder="1" applyAlignment="1">
      <alignment vertical="center" wrapText="1"/>
    </xf>
    <xf numFmtId="9" fontId="3" fillId="2" borderId="1" xfId="3" applyFont="1" applyFill="1" applyBorder="1" applyAlignment="1">
      <alignment vertical="center" wrapText="1"/>
    </xf>
    <xf numFmtId="0" fontId="14" fillId="0" borderId="0" xfId="0" applyFont="1"/>
    <xf numFmtId="0" fontId="15" fillId="0" borderId="0" xfId="0" applyFont="1" applyAlignment="1">
      <alignment horizontal="center" vertical="center" wrapText="1"/>
    </xf>
    <xf numFmtId="0" fontId="16" fillId="0" borderId="0" xfId="0" applyFont="1" applyAlignment="1">
      <alignment vertical="top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6" xfId="0" applyFont="1" applyFill="1" applyBorder="1" applyAlignment="1">
      <alignment horizontal="right" vertical="center" wrapText="1"/>
    </xf>
    <xf numFmtId="0" fontId="3" fillId="0" borderId="7" xfId="0" applyFont="1" applyBorder="1" applyAlignment="1">
      <alignment horizontal="right" vertical="center" wrapText="1"/>
    </xf>
    <xf numFmtId="0" fontId="3" fillId="0" borderId="0" xfId="0" quotePrefix="1" applyFont="1"/>
    <xf numFmtId="0" fontId="3" fillId="0" borderId="0" xfId="0" applyFont="1" applyAlignment="1">
      <alignment horizontal="left" vertical="center"/>
    </xf>
    <xf numFmtId="0" fontId="3" fillId="0" borderId="5" xfId="0" applyFont="1" applyBorder="1" applyAlignment="1">
      <alignment vertical="center" wrapText="1"/>
    </xf>
    <xf numFmtId="6" fontId="0" fillId="2" borderId="1" xfId="0" applyNumberFormat="1" applyFill="1" applyBorder="1" applyAlignment="1">
      <alignment horizontal="center" vertical="center" wrapText="1"/>
    </xf>
    <xf numFmtId="6" fontId="3" fillId="2" borderId="1" xfId="1" applyNumberFormat="1" applyFont="1" applyFill="1" applyBorder="1" applyAlignment="1">
      <alignment horizontal="center" vertical="center" wrapText="1"/>
    </xf>
    <xf numFmtId="8" fontId="3" fillId="2" borderId="1" xfId="1" applyNumberFormat="1" applyFont="1" applyFill="1" applyBorder="1" applyAlignment="1">
      <alignment horizontal="center" vertical="center" wrapText="1"/>
    </xf>
    <xf numFmtId="8" fontId="3" fillId="2" borderId="1" xfId="0" applyNumberFormat="1" applyFont="1" applyFill="1" applyBorder="1" applyAlignment="1">
      <alignment horizontal="center" vertical="center"/>
    </xf>
    <xf numFmtId="8" fontId="3" fillId="2" borderId="1" xfId="0" applyNumberFormat="1" applyFont="1" applyFill="1" applyBorder="1" applyAlignment="1">
      <alignment horizontal="center" vertical="center" wrapText="1"/>
    </xf>
    <xf numFmtId="0" fontId="19" fillId="2" borderId="1" xfId="1" applyNumberFormat="1" applyFont="1" applyFill="1" applyBorder="1" applyAlignment="1">
      <alignment horizontal="right" vertical="center" wrapText="1"/>
    </xf>
    <xf numFmtId="9" fontId="0" fillId="0" borderId="0" xfId="0" applyNumberFormat="1"/>
    <xf numFmtId="0" fontId="12" fillId="0" borderId="0" xfId="0" applyFont="1"/>
    <xf numFmtId="0" fontId="0" fillId="5" borderId="0" xfId="0" applyFill="1"/>
    <xf numFmtId="0" fontId="0" fillId="6" borderId="0" xfId="0" applyFill="1"/>
    <xf numFmtId="0" fontId="20" fillId="7" borderId="0" xfId="0" applyFont="1" applyFill="1"/>
    <xf numFmtId="0" fontId="16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9" fillId="0" borderId="5" xfId="2" applyNumberFormat="1" applyFont="1" applyBorder="1" applyAlignment="1" applyProtection="1">
      <alignment horizontal="center" vertical="center" wrapText="1"/>
    </xf>
    <xf numFmtId="0" fontId="9" fillId="0" borderId="6" xfId="2" applyNumberFormat="1" applyFont="1" applyBorder="1" applyAlignment="1" applyProtection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</cellXfs>
  <cellStyles count="4">
    <cellStyle name="Comma" xfId="1" builtinId="3"/>
    <cellStyle name="Hyperlink" xfId="2" builtinId="8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88900</xdr:colOff>
      <xdr:row>22</xdr:row>
      <xdr:rowOff>139700</xdr:rowOff>
    </xdr:from>
    <xdr:to>
      <xdr:col>7</xdr:col>
      <xdr:colOff>127000</xdr:colOff>
      <xdr:row>23</xdr:row>
      <xdr:rowOff>152400</xdr:rowOff>
    </xdr:to>
    <xdr:sp macro="" textlink="">
      <xdr:nvSpPr>
        <xdr:cNvPr id="1282" name="Line 1">
          <a:extLst>
            <a:ext uri="{FF2B5EF4-FFF2-40B4-BE49-F238E27FC236}">
              <a16:creationId xmlns:a16="http://schemas.microsoft.com/office/drawing/2014/main" id="{28C596D4-E1FD-A870-8A20-1778EFFF17F5}"/>
            </a:ext>
          </a:extLst>
        </xdr:cNvPr>
        <xdr:cNvSpPr>
          <a:spLocks noChangeShapeType="1"/>
        </xdr:cNvSpPr>
      </xdr:nvSpPr>
      <xdr:spPr bwMode="auto">
        <a:xfrm>
          <a:off x="7429500" y="4203700"/>
          <a:ext cx="38100" cy="177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50800</xdr:colOff>
      <xdr:row>11</xdr:row>
      <xdr:rowOff>0</xdr:rowOff>
    </xdr:from>
    <xdr:to>
      <xdr:col>12</xdr:col>
      <xdr:colOff>88900</xdr:colOff>
      <xdr:row>11</xdr:row>
      <xdr:rowOff>139700</xdr:rowOff>
    </xdr:to>
    <xdr:sp macro="" textlink="">
      <xdr:nvSpPr>
        <xdr:cNvPr id="2305" name="Line 1">
          <a:extLst>
            <a:ext uri="{FF2B5EF4-FFF2-40B4-BE49-F238E27FC236}">
              <a16:creationId xmlns:a16="http://schemas.microsoft.com/office/drawing/2014/main" id="{EF7A840C-3B04-72EA-BF1C-1F3B0303A111}"/>
            </a:ext>
          </a:extLst>
        </xdr:cNvPr>
        <xdr:cNvSpPr>
          <a:spLocks noChangeShapeType="1"/>
        </xdr:cNvSpPr>
      </xdr:nvSpPr>
      <xdr:spPr bwMode="auto">
        <a:xfrm>
          <a:off x="6096000" y="1803400"/>
          <a:ext cx="38100" cy="139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50800</xdr:colOff>
      <xdr:row>1</xdr:row>
      <xdr:rowOff>0</xdr:rowOff>
    </xdr:from>
    <xdr:to>
      <xdr:col>15</xdr:col>
      <xdr:colOff>88900</xdr:colOff>
      <xdr:row>1</xdr:row>
      <xdr:rowOff>139700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9420E605-D5E3-41A7-9AA2-4E63AE450BD7}"/>
            </a:ext>
          </a:extLst>
        </xdr:cNvPr>
        <xdr:cNvSpPr>
          <a:spLocks noChangeShapeType="1"/>
        </xdr:cNvSpPr>
      </xdr:nvSpPr>
      <xdr:spPr bwMode="auto">
        <a:xfrm>
          <a:off x="5289550" y="1809750"/>
          <a:ext cx="38100" cy="139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an, James" id="{401B8231-DB9D-42E3-912D-6D88AA2154D3}" userId="S::panjames@umich.edu::ba95ea71-099e-4db7-ba84-bdd266d30125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28" dT="2025-05-07T20:56:35.85" personId="{401B8231-DB9D-42E3-912D-6D88AA2154D3}" id="{2A5509F5-74AF-4447-AD86-43DDB2A8C4C1}">
    <text>Do I use random here too or do I set it one of the otherones?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712AC-13C6-9F40-861D-5BF35FFF7488}">
  <dimension ref="A1:L36"/>
  <sheetViews>
    <sheetView showGridLines="0" topLeftCell="A4" zoomScale="120" zoomScaleNormal="120" workbookViewId="0">
      <selection activeCell="K7" sqref="K7"/>
    </sheetView>
  </sheetViews>
  <sheetFormatPr defaultColWidth="8.85546875" defaultRowHeight="12.75"/>
  <cols>
    <col min="1" max="1" width="20.42578125" customWidth="1"/>
    <col min="2" max="2" width="9.42578125" customWidth="1"/>
    <col min="3" max="3" width="22.28515625" bestFit="1" customWidth="1"/>
    <col min="4" max="5" width="9.42578125" customWidth="1"/>
    <col min="6" max="6" width="15.42578125" bestFit="1" customWidth="1"/>
    <col min="7" max="11" width="9.42578125" customWidth="1"/>
  </cols>
  <sheetData>
    <row r="1" spans="1:12">
      <c r="A1" s="1" t="s">
        <v>27</v>
      </c>
      <c r="B1" s="2"/>
      <c r="C1" s="2"/>
      <c r="D1" s="69" t="s">
        <v>147</v>
      </c>
      <c r="E1" s="2"/>
      <c r="H1" s="2"/>
      <c r="I1" s="2"/>
      <c r="J1" s="2"/>
      <c r="K1" s="2"/>
    </row>
    <row r="2" spans="1:12" ht="12.75" customHeight="1">
      <c r="A2" s="19" t="s">
        <v>28</v>
      </c>
      <c r="B2" s="3"/>
      <c r="C2" s="3"/>
      <c r="D2" s="3"/>
      <c r="E2" s="3"/>
      <c r="F2" s="89" t="s">
        <v>102</v>
      </c>
      <c r="G2" s="89"/>
      <c r="H2" s="89"/>
      <c r="I2" s="89"/>
      <c r="J2" s="89"/>
      <c r="K2" s="3"/>
    </row>
    <row r="3" spans="1:12">
      <c r="A3" s="19" t="s">
        <v>0</v>
      </c>
      <c r="B3" s="3"/>
      <c r="C3" s="3"/>
      <c r="D3" s="3"/>
      <c r="E3" s="3"/>
      <c r="F3" s="89"/>
      <c r="G3" s="89"/>
      <c r="H3" s="89"/>
      <c r="I3" s="89"/>
      <c r="J3" s="89"/>
      <c r="K3" s="3"/>
    </row>
    <row r="4" spans="1:12">
      <c r="B4" s="2"/>
      <c r="C4" s="2"/>
      <c r="D4" s="2"/>
      <c r="E4" s="2"/>
      <c r="F4" s="89"/>
      <c r="G4" s="89"/>
      <c r="H4" s="89"/>
      <c r="I4" s="89"/>
      <c r="J4" s="89"/>
      <c r="K4" s="2"/>
    </row>
    <row r="5" spans="1:12">
      <c r="A5" s="20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2">
      <c r="A6" s="20" t="s">
        <v>136</v>
      </c>
      <c r="B6" s="4">
        <v>4</v>
      </c>
      <c r="C6" s="2" t="s">
        <v>1</v>
      </c>
      <c r="D6" s="2"/>
      <c r="E6" s="2"/>
      <c r="F6" s="2" t="s">
        <v>141</v>
      </c>
      <c r="G6" s="2">
        <v>0.41</v>
      </c>
      <c r="H6" s="2">
        <f>1-G6</f>
        <v>0.59000000000000008</v>
      </c>
      <c r="I6" s="2"/>
      <c r="J6" s="2"/>
      <c r="K6" s="2"/>
    </row>
    <row r="7" spans="1:12">
      <c r="A7" s="20" t="s">
        <v>2</v>
      </c>
      <c r="B7" s="5">
        <v>0.98</v>
      </c>
      <c r="C7" s="2" t="s">
        <v>143</v>
      </c>
      <c r="D7" s="2">
        <f>NORMSINV(0.98)</f>
        <v>2.0537489106318221</v>
      </c>
      <c r="E7" s="2"/>
      <c r="F7" t="s">
        <v>142</v>
      </c>
      <c r="G7" s="2">
        <v>0.48</v>
      </c>
      <c r="H7" s="2">
        <f>1-G7</f>
        <v>0.52</v>
      </c>
      <c r="I7" s="2"/>
      <c r="J7" s="2"/>
      <c r="K7" s="2"/>
    </row>
    <row r="8" spans="1:12" ht="22.5">
      <c r="A8" s="21" t="s">
        <v>3</v>
      </c>
      <c r="B8" s="6">
        <v>0.5</v>
      </c>
      <c r="C8" s="2">
        <f>B8/B9</f>
        <v>9.6153846153846159E-3</v>
      </c>
      <c r="D8" s="2"/>
      <c r="E8" s="2"/>
      <c r="F8" s="2"/>
      <c r="G8" s="2"/>
      <c r="H8" s="2"/>
      <c r="I8" s="2"/>
      <c r="J8" s="2"/>
      <c r="K8" s="2"/>
    </row>
    <row r="9" spans="1:12">
      <c r="A9" s="22" t="s">
        <v>29</v>
      </c>
      <c r="B9" s="2">
        <v>52</v>
      </c>
      <c r="C9" s="2" t="s">
        <v>1</v>
      </c>
      <c r="D9" s="2"/>
      <c r="E9" s="2"/>
      <c r="F9" s="2"/>
      <c r="G9" s="2"/>
      <c r="H9" s="2"/>
      <c r="I9" s="2"/>
      <c r="J9" s="2"/>
      <c r="K9" s="2"/>
    </row>
    <row r="10" spans="1:12">
      <c r="A10" s="22"/>
      <c r="B10" s="2"/>
      <c r="C10" s="2">
        <v>0</v>
      </c>
      <c r="D10" s="2">
        <v>1</v>
      </c>
      <c r="E10" s="2">
        <v>2</v>
      </c>
      <c r="F10" s="2"/>
      <c r="G10" s="2"/>
      <c r="H10" s="2"/>
      <c r="I10" s="2"/>
      <c r="J10" s="2"/>
      <c r="K10" s="2"/>
    </row>
    <row r="11" spans="1:12" ht="23.1" customHeight="1">
      <c r="A11" s="7"/>
      <c r="B11" s="8" t="s">
        <v>30</v>
      </c>
      <c r="C11" s="70" t="s">
        <v>4</v>
      </c>
      <c r="D11" s="70" t="s">
        <v>5</v>
      </c>
      <c r="E11" s="70" t="s">
        <v>6</v>
      </c>
      <c r="F11" s="70" t="s">
        <v>7</v>
      </c>
      <c r="G11" s="8" t="s">
        <v>8</v>
      </c>
      <c r="H11" s="2"/>
      <c r="I11" s="2"/>
      <c r="J11" s="2"/>
      <c r="K11" s="2"/>
      <c r="L11" s="2"/>
    </row>
    <row r="12" spans="1:12" ht="20.25" customHeight="1">
      <c r="A12" s="18" t="s">
        <v>9</v>
      </c>
      <c r="B12" s="78">
        <v>25</v>
      </c>
      <c r="C12" s="9">
        <v>0.88</v>
      </c>
      <c r="D12" s="9">
        <v>0.1</v>
      </c>
      <c r="E12" s="9">
        <v>0.02</v>
      </c>
      <c r="F12" s="9">
        <v>0</v>
      </c>
      <c r="G12" s="9">
        <f>SUMPRODUCT(C10:E10,C12:E12)</f>
        <v>0.14000000000000001</v>
      </c>
      <c r="H12" s="2"/>
      <c r="I12" s="2"/>
      <c r="J12" s="2"/>
      <c r="K12" s="2"/>
      <c r="L12" s="2"/>
    </row>
    <row r="13" spans="1:12" ht="20.85" customHeight="1">
      <c r="A13" s="18" t="s">
        <v>10</v>
      </c>
      <c r="B13" s="78">
        <v>20</v>
      </c>
      <c r="C13" s="9">
        <v>0.08</v>
      </c>
      <c r="D13" s="9">
        <v>0.8</v>
      </c>
      <c r="E13" s="9">
        <v>0.12</v>
      </c>
      <c r="F13" s="9">
        <v>0</v>
      </c>
      <c r="G13" s="9">
        <f>SUMPRODUCT(C10:E10,C13:E13)</f>
        <v>1.04</v>
      </c>
      <c r="H13" s="2"/>
      <c r="I13" s="2"/>
      <c r="J13" s="2"/>
      <c r="K13" s="2"/>
      <c r="L13" s="2"/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2">
      <c r="A15" s="10" t="s">
        <v>127</v>
      </c>
      <c r="B15" s="10"/>
      <c r="C15" s="10"/>
      <c r="D15" s="10"/>
      <c r="E15" s="10"/>
      <c r="F15" s="10"/>
      <c r="G15" s="10"/>
      <c r="H15" s="2"/>
      <c r="I15" s="2"/>
      <c r="J15" s="2"/>
      <c r="K15" s="2"/>
    </row>
    <row r="16" spans="1:12" ht="12.95" customHeight="1">
      <c r="A16" s="25" t="s">
        <v>128</v>
      </c>
      <c r="B16" s="23">
        <v>0</v>
      </c>
      <c r="C16" s="24">
        <v>1</v>
      </c>
      <c r="D16" s="24">
        <v>2</v>
      </c>
      <c r="E16" s="24">
        <v>3</v>
      </c>
      <c r="F16" s="24">
        <v>4</v>
      </c>
      <c r="G16" s="24">
        <v>5</v>
      </c>
      <c r="H16" s="24">
        <v>6</v>
      </c>
      <c r="I16" s="24">
        <v>7</v>
      </c>
      <c r="J16" s="24">
        <v>8</v>
      </c>
      <c r="K16" s="2"/>
    </row>
    <row r="17" spans="1:11">
      <c r="A17" s="15" t="s">
        <v>11</v>
      </c>
      <c r="B17" s="9">
        <v>0.59969536000000001</v>
      </c>
      <c r="C17" s="9">
        <v>0.27258880000000002</v>
      </c>
      <c r="D17" s="9">
        <v>0.10098176</v>
      </c>
      <c r="E17" s="9">
        <v>2.2105600000000003E-2</v>
      </c>
      <c r="F17" s="9">
        <v>4.07056E-3</v>
      </c>
      <c r="G17" s="9">
        <v>5.0240000000000007E-4</v>
      </c>
      <c r="H17" s="9">
        <v>5.2160000000000002E-5</v>
      </c>
      <c r="I17" s="9">
        <v>3.2000000000000003E-6</v>
      </c>
      <c r="J17" s="9">
        <v>1.6E-7</v>
      </c>
      <c r="K17" s="2"/>
    </row>
    <row r="18" spans="1:11">
      <c r="A18" s="15" t="s">
        <v>12</v>
      </c>
      <c r="B18" s="9">
        <v>4.0960000000000001E-5</v>
      </c>
      <c r="C18" s="9">
        <v>1.6793600000000002E-3</v>
      </c>
      <c r="D18" s="9">
        <v>2.6501120000000003E-2</v>
      </c>
      <c r="E18" s="9">
        <v>0.19771392000000004</v>
      </c>
      <c r="F18" s="11">
        <v>0.68159488000000035</v>
      </c>
      <c r="G18" s="9">
        <v>0.93841408000000048</v>
      </c>
      <c r="H18" s="11">
        <v>0.99426304000000054</v>
      </c>
      <c r="I18" s="9">
        <v>0.99979264000000057</v>
      </c>
      <c r="J18" s="9">
        <v>1.0000000000000007</v>
      </c>
      <c r="K18" s="2"/>
    </row>
    <row r="19" spans="1:11">
      <c r="A19" s="26" t="s">
        <v>137</v>
      </c>
      <c r="B19" s="12"/>
      <c r="C19" s="12"/>
      <c r="D19" s="12"/>
      <c r="E19" s="12"/>
      <c r="F19" s="13"/>
      <c r="G19" s="2"/>
      <c r="H19" s="14"/>
      <c r="I19" s="2"/>
      <c r="J19" s="2"/>
      <c r="K19" s="2"/>
    </row>
    <row r="20" spans="1:11">
      <c r="A20" s="15" t="s">
        <v>11</v>
      </c>
      <c r="B20" s="9">
        <v>3</v>
      </c>
      <c r="C20" s="12"/>
      <c r="D20" s="12"/>
      <c r="E20" s="12"/>
      <c r="F20" s="13"/>
      <c r="G20" s="2"/>
      <c r="H20" s="14"/>
      <c r="I20" s="2"/>
      <c r="J20" s="2"/>
      <c r="K20" s="2"/>
    </row>
    <row r="21" spans="1:11">
      <c r="A21" s="15" t="s">
        <v>12</v>
      </c>
      <c r="B21" s="9">
        <v>6</v>
      </c>
      <c r="C21" s="12"/>
      <c r="D21" s="12"/>
      <c r="E21" s="12"/>
      <c r="F21" s="13"/>
      <c r="G21" s="2"/>
      <c r="H21" s="14"/>
      <c r="I21" s="2"/>
      <c r="J21" s="2"/>
      <c r="K21" s="2"/>
    </row>
    <row r="22" spans="1:11">
      <c r="A22" s="15"/>
      <c r="B22" s="16"/>
      <c r="C22" s="12"/>
      <c r="D22" s="12"/>
      <c r="E22" s="12"/>
      <c r="F22" s="13"/>
      <c r="G22" s="2"/>
      <c r="H22" s="14"/>
      <c r="I22" s="2"/>
      <c r="J22" s="2"/>
      <c r="K22" s="2"/>
    </row>
    <row r="23" spans="1:11">
      <c r="A23" s="10" t="s">
        <v>13</v>
      </c>
      <c r="B23" s="2"/>
      <c r="C23" s="2"/>
      <c r="D23" s="2"/>
      <c r="E23" s="2"/>
      <c r="F23" s="2"/>
      <c r="G23" s="2"/>
      <c r="H23" s="2" t="s">
        <v>14</v>
      </c>
      <c r="I23" s="2"/>
      <c r="J23" s="2"/>
    </row>
    <row r="24" spans="1:11" ht="45">
      <c r="A24" s="2"/>
      <c r="B24" s="8" t="s">
        <v>15</v>
      </c>
      <c r="C24" s="8" t="s">
        <v>8</v>
      </c>
      <c r="D24" s="8" t="s">
        <v>126</v>
      </c>
      <c r="E24" s="8" t="s">
        <v>17</v>
      </c>
      <c r="F24" s="8" t="s">
        <v>16</v>
      </c>
      <c r="G24" s="8" t="s">
        <v>18</v>
      </c>
      <c r="H24" s="8" t="s">
        <v>134</v>
      </c>
      <c r="I24" s="8" t="s">
        <v>20</v>
      </c>
      <c r="J24" s="8" t="s">
        <v>21</v>
      </c>
      <c r="K24" s="8" t="s">
        <v>130</v>
      </c>
    </row>
    <row r="25" spans="1:11">
      <c r="A25" s="12"/>
      <c r="B25" s="12" t="s">
        <v>22</v>
      </c>
      <c r="C25" s="12" t="s">
        <v>23</v>
      </c>
      <c r="D25" s="12" t="s">
        <v>24</v>
      </c>
      <c r="E25" s="12" t="s">
        <v>24</v>
      </c>
      <c r="F25" s="12" t="s">
        <v>24</v>
      </c>
      <c r="G25" s="12" t="s">
        <v>24</v>
      </c>
      <c r="H25" s="12" t="s">
        <v>24</v>
      </c>
      <c r="I25" s="12" t="s">
        <v>25</v>
      </c>
      <c r="J25" s="12" t="s">
        <v>25</v>
      </c>
      <c r="K25" s="12" t="s">
        <v>25</v>
      </c>
    </row>
    <row r="26" spans="1:11">
      <c r="A26" s="15" t="s">
        <v>11</v>
      </c>
      <c r="B26" s="79">
        <f>B12*H7</f>
        <v>13</v>
      </c>
      <c r="C26" s="42">
        <f>G12</f>
        <v>0.14000000000000001</v>
      </c>
      <c r="D26" s="42">
        <v>2</v>
      </c>
      <c r="E26" s="42">
        <f>B6*C26</f>
        <v>0.56000000000000005</v>
      </c>
      <c r="F26" s="42">
        <v>2.44</v>
      </c>
      <c r="G26" s="42">
        <f>D26/2</f>
        <v>1</v>
      </c>
      <c r="H26" s="42">
        <f>SUM(E26:G26)</f>
        <v>4</v>
      </c>
      <c r="I26" s="42">
        <f>G26/2</f>
        <v>0.5</v>
      </c>
      <c r="J26" s="82">
        <f>B26*C26</f>
        <v>1.8200000000000003</v>
      </c>
      <c r="K26" s="43">
        <f>SUM(I26:J26)</f>
        <v>2.3200000000000003</v>
      </c>
    </row>
    <row r="27" spans="1:11">
      <c r="A27" s="15" t="s">
        <v>12</v>
      </c>
      <c r="B27" s="80">
        <f>B13*H7</f>
        <v>10.4</v>
      </c>
      <c r="C27" s="42">
        <f>G13</f>
        <v>1.04</v>
      </c>
      <c r="D27" s="42">
        <v>3</v>
      </c>
      <c r="E27" s="42">
        <f>C27*B6</f>
        <v>4.16</v>
      </c>
      <c r="F27" s="42">
        <v>1.84</v>
      </c>
      <c r="G27" s="42">
        <f>D27/2</f>
        <v>1.5</v>
      </c>
      <c r="H27" s="42">
        <f>SUM(E27:G27)</f>
        <v>7.5</v>
      </c>
      <c r="I27" s="42">
        <f>G27/2</f>
        <v>0.75</v>
      </c>
      <c r="J27" s="82">
        <f>B27*C27</f>
        <v>10.816000000000001</v>
      </c>
      <c r="K27" s="43">
        <f>SUM(I27:J27)</f>
        <v>11.566000000000001</v>
      </c>
    </row>
    <row r="28" spans="1:1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10" t="s">
        <v>26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33.75">
      <c r="A30" s="2"/>
      <c r="B30" s="8" t="s">
        <v>15</v>
      </c>
      <c r="C30" s="8" t="s">
        <v>8</v>
      </c>
      <c r="D30" s="8" t="s">
        <v>20</v>
      </c>
      <c r="E30" s="8" t="s">
        <v>21</v>
      </c>
      <c r="F30" s="8" t="s">
        <v>130</v>
      </c>
      <c r="H30" s="8" t="s">
        <v>109</v>
      </c>
      <c r="I30" s="2"/>
      <c r="J30" s="2"/>
      <c r="K30" s="2"/>
    </row>
    <row r="31" spans="1:11">
      <c r="A31" s="12"/>
      <c r="B31" s="12" t="s">
        <v>22</v>
      </c>
      <c r="C31" s="12" t="s">
        <v>23</v>
      </c>
      <c r="D31" s="12" t="s">
        <v>25</v>
      </c>
      <c r="E31" s="12" t="s">
        <v>25</v>
      </c>
      <c r="F31" s="12" t="s">
        <v>25</v>
      </c>
      <c r="H31" s="12" t="s">
        <v>25</v>
      </c>
      <c r="I31" s="2"/>
      <c r="J31" s="2"/>
      <c r="K31" s="2"/>
    </row>
    <row r="32" spans="1:11">
      <c r="A32" s="15" t="s">
        <v>11</v>
      </c>
      <c r="B32" s="81">
        <f>B12*H6</f>
        <v>14.750000000000002</v>
      </c>
      <c r="C32" s="9">
        <f>G12</f>
        <v>0.14000000000000001</v>
      </c>
      <c r="D32" s="9">
        <v>0</v>
      </c>
      <c r="E32" s="81">
        <f>B32*C32</f>
        <v>2.0650000000000004</v>
      </c>
      <c r="F32" s="17">
        <f>SUM(D32:E32)</f>
        <v>2.0650000000000004</v>
      </c>
      <c r="H32" s="17">
        <f>F32-K26</f>
        <v>-0.25499999999999989</v>
      </c>
      <c r="I32" s="75" t="s">
        <v>139</v>
      </c>
      <c r="J32" s="2"/>
      <c r="K32" s="2"/>
    </row>
    <row r="33" spans="1:11">
      <c r="A33" s="15" t="s">
        <v>12</v>
      </c>
      <c r="B33" s="81">
        <f>B13*H6</f>
        <v>11.8</v>
      </c>
      <c r="C33" s="9">
        <f>G13</f>
        <v>1.04</v>
      </c>
      <c r="D33" s="9">
        <v>0</v>
      </c>
      <c r="E33" s="81">
        <f>B33*C33</f>
        <v>12.272000000000002</v>
      </c>
      <c r="F33" s="17">
        <f>SUM(D33:E33)</f>
        <v>12.272000000000002</v>
      </c>
      <c r="H33" s="17">
        <f>F33-K27</f>
        <v>0.70600000000000129</v>
      </c>
      <c r="I33" s="75" t="s">
        <v>140</v>
      </c>
      <c r="J33" s="2"/>
      <c r="K33" s="2"/>
    </row>
    <row r="34" spans="1:1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10" t="s">
        <v>114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10"/>
      <c r="B36" s="2"/>
      <c r="C36" s="2"/>
      <c r="D36" s="2"/>
      <c r="E36" s="2"/>
      <c r="F36" s="2"/>
      <c r="G36" s="2"/>
      <c r="H36" s="2"/>
      <c r="I36" s="2"/>
      <c r="J36" s="2"/>
      <c r="K36" s="2"/>
    </row>
  </sheetData>
  <mergeCells count="1">
    <mergeCell ref="F2:J4"/>
  </mergeCells>
  <phoneticPr fontId="7" type="noConversion"/>
  <pageMargins left="0.75" right="0.75" top="0.6" bottom="0.6" header="0.5" footer="0.5"/>
  <pageSetup orientation="landscape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3D57B-9EB5-0E4D-9AEE-D8A9B7E13DC6}">
  <dimension ref="A1:AL47"/>
  <sheetViews>
    <sheetView showGridLines="0" workbookViewId="0">
      <selection activeCell="B46" sqref="B46:J46"/>
    </sheetView>
  </sheetViews>
  <sheetFormatPr defaultColWidth="7.140625" defaultRowHeight="12"/>
  <cols>
    <col min="1" max="1" width="13.85546875" style="3" customWidth="1"/>
    <col min="2" max="2" width="8.42578125" style="3" customWidth="1"/>
    <col min="3" max="16384" width="7.140625" style="3"/>
  </cols>
  <sheetData>
    <row r="1" spans="1:16" ht="42" customHeight="1">
      <c r="A1" s="90" t="s">
        <v>135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</row>
    <row r="2" spans="1:16" ht="14.25">
      <c r="A2" s="27" t="s">
        <v>31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6">
      <c r="C3" s="91" t="s">
        <v>125</v>
      </c>
      <c r="D3" s="91"/>
      <c r="E3" s="91"/>
      <c r="F3" s="91"/>
      <c r="G3" s="91"/>
      <c r="H3" s="91"/>
      <c r="I3" s="91"/>
      <c r="J3" s="91"/>
      <c r="K3" s="91"/>
      <c r="L3" s="91"/>
    </row>
    <row r="4" spans="1:16" ht="13.5">
      <c r="C4" s="39" t="s">
        <v>97</v>
      </c>
      <c r="D4" s="3">
        <v>1</v>
      </c>
      <c r="E4" s="3">
        <v>2</v>
      </c>
      <c r="F4" s="3">
        <v>3</v>
      </c>
      <c r="G4" s="3">
        <v>4</v>
      </c>
      <c r="H4" s="3">
        <v>5</v>
      </c>
      <c r="I4" s="3">
        <v>6</v>
      </c>
      <c r="J4" s="3">
        <v>7</v>
      </c>
      <c r="K4" s="3">
        <v>8</v>
      </c>
      <c r="L4" s="3">
        <v>9</v>
      </c>
    </row>
    <row r="5" spans="1:16">
      <c r="A5" s="3" t="s">
        <v>125</v>
      </c>
      <c r="B5" s="28" t="s">
        <v>32</v>
      </c>
      <c r="C5" s="29">
        <v>0.88</v>
      </c>
      <c r="D5" s="29">
        <v>0.1</v>
      </c>
      <c r="E5" s="29">
        <v>0.02</v>
      </c>
      <c r="F5" s="29">
        <v>0</v>
      </c>
      <c r="G5" s="29">
        <v>0</v>
      </c>
      <c r="H5" s="29">
        <v>0</v>
      </c>
      <c r="I5" s="29">
        <v>0</v>
      </c>
      <c r="J5" s="29">
        <v>0</v>
      </c>
      <c r="K5" s="29">
        <v>0</v>
      </c>
      <c r="L5" s="29">
        <v>0</v>
      </c>
    </row>
    <row r="6" spans="1:16" ht="13.5">
      <c r="A6" s="38" t="s">
        <v>96</v>
      </c>
      <c r="B6" s="30">
        <v>0.88</v>
      </c>
      <c r="C6" s="3">
        <f t="shared" ref="C6:L15" si="0">PRODUCT(C$5,$B6)</f>
        <v>0.77439999999999998</v>
      </c>
      <c r="D6" s="3">
        <f t="shared" si="0"/>
        <v>8.8000000000000009E-2</v>
      </c>
      <c r="E6" s="3">
        <f t="shared" si="0"/>
        <v>1.7600000000000001E-2</v>
      </c>
      <c r="F6" s="3">
        <f t="shared" si="0"/>
        <v>0</v>
      </c>
      <c r="G6" s="3">
        <f t="shared" si="0"/>
        <v>0</v>
      </c>
      <c r="H6" s="3">
        <f t="shared" si="0"/>
        <v>0</v>
      </c>
      <c r="I6" s="3">
        <f t="shared" si="0"/>
        <v>0</v>
      </c>
      <c r="J6" s="3">
        <f t="shared" si="0"/>
        <v>0</v>
      </c>
      <c r="K6" s="3">
        <f t="shared" si="0"/>
        <v>0</v>
      </c>
      <c r="L6" s="3">
        <f t="shared" si="0"/>
        <v>0</v>
      </c>
    </row>
    <row r="7" spans="1:16">
      <c r="A7" s="38">
        <v>1</v>
      </c>
      <c r="B7" s="30">
        <v>0.1</v>
      </c>
      <c r="C7" s="3">
        <f t="shared" si="0"/>
        <v>8.8000000000000009E-2</v>
      </c>
      <c r="D7" s="3">
        <f t="shared" si="0"/>
        <v>1.0000000000000002E-2</v>
      </c>
      <c r="E7" s="3">
        <f t="shared" si="0"/>
        <v>2E-3</v>
      </c>
      <c r="F7" s="3">
        <f t="shared" si="0"/>
        <v>0</v>
      </c>
      <c r="G7" s="3">
        <f t="shared" si="0"/>
        <v>0</v>
      </c>
      <c r="H7" s="3">
        <f t="shared" si="0"/>
        <v>0</v>
      </c>
      <c r="I7" s="3">
        <f t="shared" si="0"/>
        <v>0</v>
      </c>
      <c r="J7" s="3">
        <f t="shared" si="0"/>
        <v>0</v>
      </c>
      <c r="K7" s="3">
        <f t="shared" si="0"/>
        <v>0</v>
      </c>
      <c r="L7" s="3">
        <f t="shared" si="0"/>
        <v>0</v>
      </c>
    </row>
    <row r="8" spans="1:16">
      <c r="A8" s="38">
        <v>2</v>
      </c>
      <c r="B8" s="30">
        <v>0.02</v>
      </c>
      <c r="C8" s="3">
        <f t="shared" si="0"/>
        <v>1.7600000000000001E-2</v>
      </c>
      <c r="D8" s="3">
        <f t="shared" si="0"/>
        <v>2E-3</v>
      </c>
      <c r="E8" s="3">
        <f t="shared" si="0"/>
        <v>4.0000000000000002E-4</v>
      </c>
      <c r="F8" s="3">
        <f t="shared" si="0"/>
        <v>0</v>
      </c>
      <c r="G8" s="3">
        <f t="shared" si="0"/>
        <v>0</v>
      </c>
      <c r="H8" s="3">
        <f t="shared" si="0"/>
        <v>0</v>
      </c>
      <c r="I8" s="3">
        <f t="shared" si="0"/>
        <v>0</v>
      </c>
      <c r="J8" s="3">
        <f t="shared" si="0"/>
        <v>0</v>
      </c>
      <c r="K8" s="3">
        <f t="shared" si="0"/>
        <v>0</v>
      </c>
      <c r="L8" s="3">
        <f t="shared" si="0"/>
        <v>0</v>
      </c>
    </row>
    <row r="9" spans="1:16">
      <c r="A9" s="38">
        <v>3</v>
      </c>
      <c r="B9" s="30">
        <v>0</v>
      </c>
      <c r="C9" s="3">
        <f t="shared" si="0"/>
        <v>0</v>
      </c>
      <c r="D9" s="3">
        <f t="shared" si="0"/>
        <v>0</v>
      </c>
      <c r="E9" s="3">
        <f t="shared" si="0"/>
        <v>0</v>
      </c>
      <c r="F9" s="3">
        <f t="shared" si="0"/>
        <v>0</v>
      </c>
      <c r="G9" s="3">
        <f t="shared" si="0"/>
        <v>0</v>
      </c>
      <c r="H9" s="3">
        <f t="shared" si="0"/>
        <v>0</v>
      </c>
      <c r="I9" s="3">
        <f t="shared" si="0"/>
        <v>0</v>
      </c>
      <c r="J9" s="3">
        <f t="shared" si="0"/>
        <v>0</v>
      </c>
      <c r="K9" s="3">
        <f t="shared" si="0"/>
        <v>0</v>
      </c>
      <c r="L9" s="3">
        <f t="shared" si="0"/>
        <v>0</v>
      </c>
    </row>
    <row r="10" spans="1:16">
      <c r="A10" s="38">
        <v>4</v>
      </c>
      <c r="B10" s="30">
        <v>0</v>
      </c>
      <c r="C10" s="3">
        <f t="shared" si="0"/>
        <v>0</v>
      </c>
      <c r="D10" s="3">
        <f t="shared" si="0"/>
        <v>0</v>
      </c>
      <c r="E10" s="3">
        <f t="shared" si="0"/>
        <v>0</v>
      </c>
      <c r="F10" s="3">
        <f t="shared" si="0"/>
        <v>0</v>
      </c>
      <c r="G10" s="3">
        <f t="shared" si="0"/>
        <v>0</v>
      </c>
      <c r="H10" s="3">
        <f t="shared" si="0"/>
        <v>0</v>
      </c>
      <c r="I10" s="3">
        <f t="shared" si="0"/>
        <v>0</v>
      </c>
      <c r="J10" s="3">
        <f t="shared" si="0"/>
        <v>0</v>
      </c>
      <c r="K10" s="3">
        <f t="shared" si="0"/>
        <v>0</v>
      </c>
      <c r="L10" s="3">
        <f t="shared" si="0"/>
        <v>0</v>
      </c>
    </row>
    <row r="11" spans="1:16">
      <c r="A11" s="38">
        <v>5</v>
      </c>
      <c r="B11" s="30">
        <v>0</v>
      </c>
      <c r="C11" s="3">
        <f t="shared" si="0"/>
        <v>0</v>
      </c>
      <c r="D11" s="3">
        <f t="shared" si="0"/>
        <v>0</v>
      </c>
      <c r="E11" s="3">
        <f t="shared" si="0"/>
        <v>0</v>
      </c>
      <c r="F11" s="3">
        <f t="shared" si="0"/>
        <v>0</v>
      </c>
      <c r="G11" s="3">
        <f t="shared" si="0"/>
        <v>0</v>
      </c>
      <c r="H11" s="3">
        <f t="shared" si="0"/>
        <v>0</v>
      </c>
      <c r="I11" s="3">
        <f t="shared" si="0"/>
        <v>0</v>
      </c>
      <c r="J11" s="3">
        <f t="shared" si="0"/>
        <v>0</v>
      </c>
      <c r="K11" s="3">
        <f t="shared" si="0"/>
        <v>0</v>
      </c>
      <c r="L11" s="3">
        <f t="shared" si="0"/>
        <v>0</v>
      </c>
    </row>
    <row r="12" spans="1:16">
      <c r="A12" s="38">
        <v>6</v>
      </c>
      <c r="B12" s="30">
        <v>0</v>
      </c>
      <c r="C12" s="3">
        <f t="shared" si="0"/>
        <v>0</v>
      </c>
      <c r="D12" s="3">
        <f t="shared" si="0"/>
        <v>0</v>
      </c>
      <c r="E12" s="3">
        <f t="shared" si="0"/>
        <v>0</v>
      </c>
      <c r="F12" s="3">
        <f t="shared" si="0"/>
        <v>0</v>
      </c>
      <c r="G12" s="3">
        <f t="shared" si="0"/>
        <v>0</v>
      </c>
      <c r="H12" s="3">
        <f t="shared" si="0"/>
        <v>0</v>
      </c>
      <c r="I12" s="3">
        <f t="shared" si="0"/>
        <v>0</v>
      </c>
      <c r="J12" s="3">
        <f t="shared" si="0"/>
        <v>0</v>
      </c>
      <c r="K12" s="3">
        <f t="shared" si="0"/>
        <v>0</v>
      </c>
      <c r="L12" s="3">
        <f t="shared" si="0"/>
        <v>0</v>
      </c>
    </row>
    <row r="13" spans="1:16">
      <c r="A13" s="38">
        <v>7</v>
      </c>
      <c r="B13" s="30">
        <v>0</v>
      </c>
      <c r="C13" s="3">
        <f t="shared" si="0"/>
        <v>0</v>
      </c>
      <c r="D13" s="3">
        <f t="shared" si="0"/>
        <v>0</v>
      </c>
      <c r="E13" s="3">
        <f t="shared" si="0"/>
        <v>0</v>
      </c>
      <c r="F13" s="3">
        <f t="shared" si="0"/>
        <v>0</v>
      </c>
      <c r="G13" s="3">
        <f t="shared" si="0"/>
        <v>0</v>
      </c>
      <c r="H13" s="3">
        <f t="shared" si="0"/>
        <v>0</v>
      </c>
      <c r="I13" s="3">
        <f t="shared" si="0"/>
        <v>0</v>
      </c>
      <c r="J13" s="3">
        <f t="shared" si="0"/>
        <v>0</v>
      </c>
      <c r="K13" s="3">
        <f t="shared" si="0"/>
        <v>0</v>
      </c>
      <c r="L13" s="3">
        <f t="shared" si="0"/>
        <v>0</v>
      </c>
    </row>
    <row r="14" spans="1:16">
      <c r="A14" s="38">
        <v>8</v>
      </c>
      <c r="B14" s="30">
        <v>0</v>
      </c>
      <c r="C14" s="3">
        <f t="shared" si="0"/>
        <v>0</v>
      </c>
      <c r="D14" s="3">
        <f t="shared" si="0"/>
        <v>0</v>
      </c>
      <c r="E14" s="3">
        <f t="shared" si="0"/>
        <v>0</v>
      </c>
      <c r="F14" s="3">
        <f t="shared" si="0"/>
        <v>0</v>
      </c>
      <c r="G14" s="3">
        <f t="shared" si="0"/>
        <v>0</v>
      </c>
      <c r="H14" s="3">
        <f t="shared" si="0"/>
        <v>0</v>
      </c>
      <c r="I14" s="3">
        <f t="shared" si="0"/>
        <v>0</v>
      </c>
      <c r="J14" s="3">
        <f t="shared" si="0"/>
        <v>0</v>
      </c>
      <c r="K14" s="3">
        <f t="shared" si="0"/>
        <v>0</v>
      </c>
      <c r="L14" s="3">
        <f t="shared" si="0"/>
        <v>0</v>
      </c>
    </row>
    <row r="15" spans="1:16">
      <c r="A15" s="38">
        <v>9</v>
      </c>
      <c r="B15" s="30">
        <v>0</v>
      </c>
      <c r="C15" s="3">
        <f t="shared" si="0"/>
        <v>0</v>
      </c>
      <c r="D15" s="3">
        <f t="shared" si="0"/>
        <v>0</v>
      </c>
      <c r="E15" s="3">
        <f t="shared" si="0"/>
        <v>0</v>
      </c>
      <c r="F15" s="3">
        <f t="shared" si="0"/>
        <v>0</v>
      </c>
      <c r="G15" s="3">
        <f t="shared" si="0"/>
        <v>0</v>
      </c>
      <c r="H15" s="3">
        <f t="shared" si="0"/>
        <v>0</v>
      </c>
      <c r="I15" s="3">
        <f t="shared" si="0"/>
        <v>0</v>
      </c>
      <c r="J15" s="3">
        <f t="shared" si="0"/>
        <v>0</v>
      </c>
      <c r="K15" s="3">
        <f t="shared" si="0"/>
        <v>0</v>
      </c>
      <c r="L15" s="3">
        <f t="shared" si="0"/>
        <v>0</v>
      </c>
    </row>
    <row r="18" spans="1:21" ht="13.5">
      <c r="B18" s="40" t="s">
        <v>98</v>
      </c>
      <c r="C18" s="31">
        <v>1</v>
      </c>
      <c r="D18" s="31">
        <v>2</v>
      </c>
      <c r="E18" s="31">
        <v>3</v>
      </c>
      <c r="F18" s="31">
        <v>4</v>
      </c>
      <c r="G18" s="31">
        <v>5</v>
      </c>
      <c r="H18" s="31">
        <v>6</v>
      </c>
      <c r="I18" s="31">
        <v>7</v>
      </c>
      <c r="J18" s="31">
        <v>8</v>
      </c>
      <c r="K18" s="31">
        <v>9</v>
      </c>
      <c r="L18" s="31">
        <v>10</v>
      </c>
      <c r="M18" s="31">
        <v>11</v>
      </c>
      <c r="N18" s="31">
        <v>12</v>
      </c>
      <c r="O18" s="31">
        <v>13</v>
      </c>
      <c r="P18" s="31">
        <v>14</v>
      </c>
      <c r="Q18" s="31">
        <v>15</v>
      </c>
      <c r="R18" s="31">
        <v>16</v>
      </c>
      <c r="S18" s="31">
        <v>17</v>
      </c>
      <c r="T18" s="31">
        <v>18</v>
      </c>
    </row>
    <row r="19" spans="1:21" ht="17.100000000000001" customHeight="1">
      <c r="A19" s="32" t="s">
        <v>32</v>
      </c>
      <c r="B19" s="33">
        <f>SUM(C6)</f>
        <v>0.77439999999999998</v>
      </c>
      <c r="C19" s="33">
        <f>SUM(D6,C7)</f>
        <v>0.17600000000000002</v>
      </c>
      <c r="D19" s="33">
        <f>SUM(E6,D7,C8)</f>
        <v>4.5200000000000004E-2</v>
      </c>
      <c r="E19" s="33">
        <f>SUM(F6,E7,D8,C9)</f>
        <v>4.0000000000000001E-3</v>
      </c>
      <c r="F19" s="33">
        <f>SUM(G6,F7,E8,D9,C10)</f>
        <v>4.0000000000000002E-4</v>
      </c>
      <c r="G19" s="33">
        <f>SUM(H6,G7,F8,E9,D10,C11)</f>
        <v>0</v>
      </c>
      <c r="H19" s="33">
        <f>SUM(I6,H7,G8,F9,E10,D11,C12)</f>
        <v>0</v>
      </c>
      <c r="I19" s="33">
        <f>SUM(J6,I7,H8,G9,F10,E11,D12,C13)</f>
        <v>0</v>
      </c>
      <c r="J19" s="33">
        <f>SUM(K6,J7,I8,H9,G10,F11,E12,D13,C14)</f>
        <v>0</v>
      </c>
      <c r="K19" s="33">
        <f>SUM(L6,K7,J8,I9,H10,G11,F12,E13,D14,C15)</f>
        <v>0</v>
      </c>
      <c r="L19" s="33">
        <f>SUM(L7,K8,J9,I10,H11,G12,F13,E14,D15)</f>
        <v>0</v>
      </c>
      <c r="M19" s="33">
        <f>SUM(L8,K9,J10,I11,H12,G13,F14,E15)</f>
        <v>0</v>
      </c>
      <c r="N19" s="33">
        <f>SUM(L9,K10,J11,I12,H13,G14,F15)</f>
        <v>0</v>
      </c>
      <c r="O19" s="33">
        <f>SUM(L10,K11,J12,I13,H14,G15)</f>
        <v>0</v>
      </c>
      <c r="P19" s="33">
        <f>SUM(L11,K12,J13,I14,H15)</f>
        <v>0</v>
      </c>
      <c r="Q19" s="33">
        <f>SUM(L12,K13,J14,I15)</f>
        <v>0</v>
      </c>
      <c r="R19" s="33">
        <f>SUM(L13,K14,J15)</f>
        <v>0</v>
      </c>
      <c r="S19" s="33">
        <f>SUM(L14,K15)</f>
        <v>0</v>
      </c>
      <c r="T19" s="33">
        <f>SUM(L15)</f>
        <v>0</v>
      </c>
    </row>
    <row r="20" spans="1:21" ht="17.100000000000001" customHeight="1">
      <c r="A20" s="34" t="s">
        <v>33</v>
      </c>
      <c r="B20" s="33">
        <f>SUM($B$19:B19)</f>
        <v>0.77439999999999998</v>
      </c>
      <c r="C20" s="33">
        <f>SUM($B$19:C19)</f>
        <v>0.95040000000000002</v>
      </c>
      <c r="D20" s="33">
        <f>SUM($B$19:D19)</f>
        <v>0.99560000000000004</v>
      </c>
      <c r="E20" s="33">
        <f>SUM($B$19:E19)</f>
        <v>0.99960000000000004</v>
      </c>
      <c r="F20" s="33">
        <f>SUM($B$19:F19)</f>
        <v>1</v>
      </c>
      <c r="G20" s="33">
        <f>SUM($B$19:G19)</f>
        <v>1</v>
      </c>
      <c r="H20" s="33">
        <f>SUM($B$19:H19)</f>
        <v>1</v>
      </c>
      <c r="I20" s="33">
        <f>SUM($B$19:I19)</f>
        <v>1</v>
      </c>
      <c r="J20" s="33">
        <f>SUM($B$19:J19)</f>
        <v>1</v>
      </c>
      <c r="K20" s="33">
        <f>SUM($B$19:K19)</f>
        <v>1</v>
      </c>
      <c r="L20" s="33">
        <f>SUM($B$19:L19)</f>
        <v>1</v>
      </c>
      <c r="M20" s="33">
        <f>SUM($B$19:M19)</f>
        <v>1</v>
      </c>
      <c r="N20" s="33">
        <f>SUM($B$19:N19)</f>
        <v>1</v>
      </c>
      <c r="O20" s="33">
        <f>SUM($B$19:O19)</f>
        <v>1</v>
      </c>
      <c r="P20" s="33">
        <f>SUM($B$19:P19)</f>
        <v>1</v>
      </c>
      <c r="Q20" s="33">
        <f>SUM($B$19:Q19)</f>
        <v>1</v>
      </c>
      <c r="R20" s="33">
        <f>SUM($B$19:R19)</f>
        <v>1</v>
      </c>
      <c r="S20" s="33">
        <f>SUM($B$19:S19)</f>
        <v>1</v>
      </c>
      <c r="T20" s="33">
        <f>SUM($B$19:T19)</f>
        <v>1</v>
      </c>
    </row>
    <row r="23" spans="1:21" ht="13.5">
      <c r="C23" s="39" t="s">
        <v>99</v>
      </c>
      <c r="D23" s="3">
        <v>1</v>
      </c>
      <c r="E23" s="3">
        <v>2</v>
      </c>
      <c r="F23" s="3">
        <v>3</v>
      </c>
      <c r="G23" s="3">
        <v>4</v>
      </c>
      <c r="H23" s="3">
        <v>5</v>
      </c>
      <c r="I23" s="3">
        <v>6</v>
      </c>
      <c r="J23" s="3">
        <v>7</v>
      </c>
      <c r="K23" s="3">
        <v>8</v>
      </c>
      <c r="L23" s="3">
        <v>9</v>
      </c>
      <c r="M23" s="3">
        <v>10</v>
      </c>
      <c r="N23" s="3">
        <v>11</v>
      </c>
      <c r="O23" s="3">
        <v>12</v>
      </c>
      <c r="P23" s="3">
        <v>13</v>
      </c>
      <c r="Q23" s="3">
        <v>14</v>
      </c>
      <c r="R23" s="3">
        <v>15</v>
      </c>
      <c r="S23" s="3">
        <v>16</v>
      </c>
      <c r="T23" s="3">
        <v>17</v>
      </c>
      <c r="U23" s="3">
        <v>18</v>
      </c>
    </row>
    <row r="24" spans="1:21">
      <c r="B24" s="28" t="s">
        <v>32</v>
      </c>
      <c r="C24" s="35">
        <f t="shared" ref="C24:U24" si="1">B19</f>
        <v>0.77439999999999998</v>
      </c>
      <c r="D24" s="35">
        <f t="shared" si="1"/>
        <v>0.17600000000000002</v>
      </c>
      <c r="E24" s="35">
        <f t="shared" si="1"/>
        <v>4.5200000000000004E-2</v>
      </c>
      <c r="F24" s="35">
        <f t="shared" si="1"/>
        <v>4.0000000000000001E-3</v>
      </c>
      <c r="G24" s="35">
        <f t="shared" si="1"/>
        <v>4.0000000000000002E-4</v>
      </c>
      <c r="H24" s="35">
        <f t="shared" si="1"/>
        <v>0</v>
      </c>
      <c r="I24" s="35">
        <f t="shared" si="1"/>
        <v>0</v>
      </c>
      <c r="J24" s="35">
        <f t="shared" si="1"/>
        <v>0</v>
      </c>
      <c r="K24" s="35">
        <f t="shared" si="1"/>
        <v>0</v>
      </c>
      <c r="L24" s="35">
        <f t="shared" si="1"/>
        <v>0</v>
      </c>
      <c r="M24" s="35">
        <f t="shared" si="1"/>
        <v>0</v>
      </c>
      <c r="N24" s="35">
        <f t="shared" si="1"/>
        <v>0</v>
      </c>
      <c r="O24" s="35">
        <f t="shared" si="1"/>
        <v>0</v>
      </c>
      <c r="P24" s="35">
        <f t="shared" si="1"/>
        <v>0</v>
      </c>
      <c r="Q24" s="35">
        <f t="shared" si="1"/>
        <v>0</v>
      </c>
      <c r="R24" s="35">
        <f t="shared" si="1"/>
        <v>0</v>
      </c>
      <c r="S24" s="35">
        <f t="shared" si="1"/>
        <v>0</v>
      </c>
      <c r="T24" s="35">
        <f t="shared" si="1"/>
        <v>0</v>
      </c>
      <c r="U24" s="35">
        <f t="shared" si="1"/>
        <v>0</v>
      </c>
    </row>
    <row r="25" spans="1:21" ht="13.5">
      <c r="A25" s="39" t="s">
        <v>98</v>
      </c>
      <c r="B25" s="36">
        <f>B19</f>
        <v>0.77439999999999998</v>
      </c>
      <c r="C25" s="3">
        <f t="shared" ref="C25:R40" si="2">PRODUCT(C$24,$B25)</f>
        <v>0.59969536000000001</v>
      </c>
      <c r="D25" s="3">
        <f t="shared" si="2"/>
        <v>0.13629440000000001</v>
      </c>
      <c r="E25" s="3">
        <f t="shared" si="2"/>
        <v>3.500288E-2</v>
      </c>
      <c r="F25" s="3">
        <f t="shared" si="2"/>
        <v>3.0975999999999998E-3</v>
      </c>
      <c r="G25" s="3">
        <f t="shared" si="2"/>
        <v>3.0976000000000002E-4</v>
      </c>
      <c r="H25" s="3">
        <f t="shared" si="2"/>
        <v>0</v>
      </c>
      <c r="I25" s="3">
        <f t="shared" si="2"/>
        <v>0</v>
      </c>
      <c r="J25" s="3">
        <f t="shared" si="2"/>
        <v>0</v>
      </c>
      <c r="K25" s="3">
        <f t="shared" si="2"/>
        <v>0</v>
      </c>
      <c r="L25" s="3">
        <f t="shared" si="2"/>
        <v>0</v>
      </c>
      <c r="M25" s="3">
        <f t="shared" si="2"/>
        <v>0</v>
      </c>
      <c r="N25" s="3">
        <f t="shared" si="2"/>
        <v>0</v>
      </c>
      <c r="O25" s="3">
        <f t="shared" si="2"/>
        <v>0</v>
      </c>
      <c r="P25" s="3">
        <f t="shared" si="2"/>
        <v>0</v>
      </c>
      <c r="Q25" s="3">
        <f t="shared" si="2"/>
        <v>0</v>
      </c>
      <c r="R25" s="3">
        <f t="shared" si="2"/>
        <v>0</v>
      </c>
      <c r="S25" s="3">
        <f t="shared" ref="M25:U40" si="3">PRODUCT(S$24,$B25)</f>
        <v>0</v>
      </c>
      <c r="T25" s="3">
        <f t="shared" si="3"/>
        <v>0</v>
      </c>
      <c r="U25" s="3">
        <f t="shared" si="3"/>
        <v>0</v>
      </c>
    </row>
    <row r="26" spans="1:21">
      <c r="A26" s="38">
        <v>1</v>
      </c>
      <c r="B26" s="36">
        <f>C19</f>
        <v>0.17600000000000002</v>
      </c>
      <c r="C26" s="3">
        <f t="shared" si="2"/>
        <v>0.13629440000000001</v>
      </c>
      <c r="D26" s="3">
        <f t="shared" si="2"/>
        <v>3.0976000000000007E-2</v>
      </c>
      <c r="E26" s="3">
        <f t="shared" si="2"/>
        <v>7.9552000000000008E-3</v>
      </c>
      <c r="F26" s="3">
        <f t="shared" si="2"/>
        <v>7.0400000000000009E-4</v>
      </c>
      <c r="G26" s="3">
        <f t="shared" si="2"/>
        <v>7.0400000000000017E-5</v>
      </c>
      <c r="H26" s="3">
        <f t="shared" si="2"/>
        <v>0</v>
      </c>
      <c r="I26" s="3">
        <f t="shared" si="2"/>
        <v>0</v>
      </c>
      <c r="J26" s="3">
        <f t="shared" si="2"/>
        <v>0</v>
      </c>
      <c r="K26" s="3">
        <f t="shared" si="2"/>
        <v>0</v>
      </c>
      <c r="L26" s="3">
        <f t="shared" si="2"/>
        <v>0</v>
      </c>
      <c r="M26" s="3">
        <f t="shared" si="3"/>
        <v>0</v>
      </c>
      <c r="N26" s="3">
        <f t="shared" si="3"/>
        <v>0</v>
      </c>
      <c r="O26" s="3">
        <f t="shared" si="3"/>
        <v>0</v>
      </c>
      <c r="P26" s="3">
        <f t="shared" si="3"/>
        <v>0</v>
      </c>
      <c r="Q26" s="3">
        <f t="shared" si="3"/>
        <v>0</v>
      </c>
      <c r="R26" s="3">
        <f t="shared" si="3"/>
        <v>0</v>
      </c>
      <c r="S26" s="3">
        <f t="shared" si="3"/>
        <v>0</v>
      </c>
      <c r="T26" s="3">
        <f t="shared" si="3"/>
        <v>0</v>
      </c>
      <c r="U26" s="3">
        <f t="shared" si="3"/>
        <v>0</v>
      </c>
    </row>
    <row r="27" spans="1:21">
      <c r="A27" s="38">
        <v>2</v>
      </c>
      <c r="B27" s="36">
        <f>D19</f>
        <v>4.5200000000000004E-2</v>
      </c>
      <c r="C27" s="3">
        <f t="shared" si="2"/>
        <v>3.500288E-2</v>
      </c>
      <c r="D27" s="3">
        <f t="shared" si="2"/>
        <v>7.9552000000000008E-3</v>
      </c>
      <c r="E27" s="3">
        <f t="shared" si="2"/>
        <v>2.0430400000000003E-3</v>
      </c>
      <c r="F27" s="3">
        <f t="shared" si="2"/>
        <v>1.8080000000000003E-4</v>
      </c>
      <c r="G27" s="3">
        <f t="shared" si="2"/>
        <v>1.8080000000000003E-5</v>
      </c>
      <c r="H27" s="3">
        <f t="shared" si="2"/>
        <v>0</v>
      </c>
      <c r="I27" s="3">
        <f t="shared" si="2"/>
        <v>0</v>
      </c>
      <c r="J27" s="3">
        <f t="shared" si="2"/>
        <v>0</v>
      </c>
      <c r="K27" s="3">
        <f t="shared" si="2"/>
        <v>0</v>
      </c>
      <c r="L27" s="3">
        <f t="shared" si="2"/>
        <v>0</v>
      </c>
      <c r="M27" s="3">
        <f t="shared" si="3"/>
        <v>0</v>
      </c>
      <c r="N27" s="3">
        <f t="shared" si="3"/>
        <v>0</v>
      </c>
      <c r="O27" s="3">
        <f t="shared" si="3"/>
        <v>0</v>
      </c>
      <c r="P27" s="3">
        <f t="shared" si="3"/>
        <v>0</v>
      </c>
      <c r="Q27" s="3">
        <f t="shared" si="3"/>
        <v>0</v>
      </c>
      <c r="R27" s="3">
        <f t="shared" si="3"/>
        <v>0</v>
      </c>
      <c r="S27" s="3">
        <f t="shared" si="3"/>
        <v>0</v>
      </c>
      <c r="T27" s="3">
        <f t="shared" si="3"/>
        <v>0</v>
      </c>
      <c r="U27" s="3">
        <f t="shared" si="3"/>
        <v>0</v>
      </c>
    </row>
    <row r="28" spans="1:21">
      <c r="A28" s="38">
        <v>3</v>
      </c>
      <c r="B28" s="36">
        <f>E19</f>
        <v>4.0000000000000001E-3</v>
      </c>
      <c r="C28" s="3">
        <f t="shared" si="2"/>
        <v>3.0975999999999998E-3</v>
      </c>
      <c r="D28" s="3">
        <f t="shared" si="2"/>
        <v>7.0400000000000009E-4</v>
      </c>
      <c r="E28" s="3">
        <f t="shared" si="2"/>
        <v>1.8080000000000003E-4</v>
      </c>
      <c r="F28" s="3">
        <f t="shared" si="2"/>
        <v>1.5999999999999999E-5</v>
      </c>
      <c r="G28" s="3">
        <f t="shared" si="2"/>
        <v>1.6000000000000001E-6</v>
      </c>
      <c r="H28" s="3">
        <f t="shared" si="2"/>
        <v>0</v>
      </c>
      <c r="I28" s="3">
        <f t="shared" si="2"/>
        <v>0</v>
      </c>
      <c r="J28" s="3">
        <f t="shared" si="2"/>
        <v>0</v>
      </c>
      <c r="K28" s="3">
        <f t="shared" si="2"/>
        <v>0</v>
      </c>
      <c r="L28" s="3">
        <f t="shared" si="2"/>
        <v>0</v>
      </c>
      <c r="M28" s="3">
        <f t="shared" si="3"/>
        <v>0</v>
      </c>
      <c r="N28" s="3">
        <f t="shared" si="3"/>
        <v>0</v>
      </c>
      <c r="O28" s="3">
        <f t="shared" si="3"/>
        <v>0</v>
      </c>
      <c r="P28" s="3">
        <f t="shared" si="3"/>
        <v>0</v>
      </c>
      <c r="Q28" s="3">
        <f t="shared" si="3"/>
        <v>0</v>
      </c>
      <c r="R28" s="3">
        <f t="shared" si="3"/>
        <v>0</v>
      </c>
      <c r="S28" s="3">
        <f t="shared" si="3"/>
        <v>0</v>
      </c>
      <c r="T28" s="3">
        <f t="shared" si="3"/>
        <v>0</v>
      </c>
      <c r="U28" s="3">
        <f t="shared" si="3"/>
        <v>0</v>
      </c>
    </row>
    <row r="29" spans="1:21">
      <c r="A29" s="38">
        <v>4</v>
      </c>
      <c r="B29" s="36">
        <f>F19</f>
        <v>4.0000000000000002E-4</v>
      </c>
      <c r="C29" s="3">
        <f t="shared" si="2"/>
        <v>3.0976000000000002E-4</v>
      </c>
      <c r="D29" s="3">
        <f t="shared" si="2"/>
        <v>7.0400000000000017E-5</v>
      </c>
      <c r="E29" s="3">
        <f t="shared" si="2"/>
        <v>1.8080000000000003E-5</v>
      </c>
      <c r="F29" s="3">
        <f t="shared" si="2"/>
        <v>1.6000000000000001E-6</v>
      </c>
      <c r="G29" s="3">
        <f t="shared" si="2"/>
        <v>1.6E-7</v>
      </c>
      <c r="H29" s="3">
        <f t="shared" si="2"/>
        <v>0</v>
      </c>
      <c r="I29" s="3">
        <f t="shared" si="2"/>
        <v>0</v>
      </c>
      <c r="J29" s="3">
        <f t="shared" si="2"/>
        <v>0</v>
      </c>
      <c r="K29" s="3">
        <f t="shared" si="2"/>
        <v>0</v>
      </c>
      <c r="L29" s="3">
        <f t="shared" si="2"/>
        <v>0</v>
      </c>
      <c r="M29" s="3">
        <f t="shared" si="3"/>
        <v>0</v>
      </c>
      <c r="N29" s="3">
        <f t="shared" si="3"/>
        <v>0</v>
      </c>
      <c r="O29" s="3">
        <f t="shared" si="3"/>
        <v>0</v>
      </c>
      <c r="P29" s="3">
        <f t="shared" si="3"/>
        <v>0</v>
      </c>
      <c r="Q29" s="3">
        <f t="shared" si="3"/>
        <v>0</v>
      </c>
      <c r="R29" s="3">
        <f t="shared" si="3"/>
        <v>0</v>
      </c>
      <c r="S29" s="3">
        <f t="shared" si="3"/>
        <v>0</v>
      </c>
      <c r="T29" s="3">
        <f t="shared" si="3"/>
        <v>0</v>
      </c>
      <c r="U29" s="3">
        <f t="shared" si="3"/>
        <v>0</v>
      </c>
    </row>
    <row r="30" spans="1:21">
      <c r="A30" s="38">
        <v>5</v>
      </c>
      <c r="B30" s="36">
        <f>G19</f>
        <v>0</v>
      </c>
      <c r="C30" s="3">
        <f t="shared" si="2"/>
        <v>0</v>
      </c>
      <c r="D30" s="3">
        <f t="shared" si="2"/>
        <v>0</v>
      </c>
      <c r="E30" s="3">
        <f t="shared" si="2"/>
        <v>0</v>
      </c>
      <c r="F30" s="3">
        <f t="shared" si="2"/>
        <v>0</v>
      </c>
      <c r="G30" s="3">
        <f t="shared" si="2"/>
        <v>0</v>
      </c>
      <c r="H30" s="3">
        <f t="shared" si="2"/>
        <v>0</v>
      </c>
      <c r="I30" s="3">
        <f t="shared" si="2"/>
        <v>0</v>
      </c>
      <c r="J30" s="3">
        <f t="shared" si="2"/>
        <v>0</v>
      </c>
      <c r="K30" s="3">
        <f t="shared" si="2"/>
        <v>0</v>
      </c>
      <c r="L30" s="3">
        <f t="shared" si="2"/>
        <v>0</v>
      </c>
      <c r="M30" s="3">
        <f t="shared" si="3"/>
        <v>0</v>
      </c>
      <c r="N30" s="3">
        <f t="shared" si="3"/>
        <v>0</v>
      </c>
      <c r="O30" s="3">
        <f t="shared" si="3"/>
        <v>0</v>
      </c>
      <c r="P30" s="3">
        <f t="shared" si="3"/>
        <v>0</v>
      </c>
      <c r="Q30" s="3">
        <f t="shared" si="3"/>
        <v>0</v>
      </c>
      <c r="R30" s="3">
        <f t="shared" si="3"/>
        <v>0</v>
      </c>
      <c r="S30" s="3">
        <f t="shared" si="3"/>
        <v>0</v>
      </c>
      <c r="T30" s="3">
        <f t="shared" si="3"/>
        <v>0</v>
      </c>
      <c r="U30" s="3">
        <f t="shared" si="3"/>
        <v>0</v>
      </c>
    </row>
    <row r="31" spans="1:21">
      <c r="A31" s="38">
        <v>6</v>
      </c>
      <c r="B31" s="36">
        <f>H19</f>
        <v>0</v>
      </c>
      <c r="C31" s="3">
        <f t="shared" si="2"/>
        <v>0</v>
      </c>
      <c r="D31" s="3">
        <f t="shared" si="2"/>
        <v>0</v>
      </c>
      <c r="E31" s="3">
        <f t="shared" si="2"/>
        <v>0</v>
      </c>
      <c r="F31" s="3">
        <f t="shared" si="2"/>
        <v>0</v>
      </c>
      <c r="G31" s="3">
        <f t="shared" si="2"/>
        <v>0</v>
      </c>
      <c r="H31" s="3">
        <f t="shared" si="2"/>
        <v>0</v>
      </c>
      <c r="I31" s="3">
        <f t="shared" si="2"/>
        <v>0</v>
      </c>
      <c r="J31" s="3">
        <f t="shared" si="2"/>
        <v>0</v>
      </c>
      <c r="K31" s="3">
        <f t="shared" si="2"/>
        <v>0</v>
      </c>
      <c r="L31" s="3">
        <f t="shared" si="2"/>
        <v>0</v>
      </c>
      <c r="M31" s="3">
        <f t="shared" si="3"/>
        <v>0</v>
      </c>
      <c r="N31" s="3">
        <f t="shared" si="3"/>
        <v>0</v>
      </c>
      <c r="O31" s="3">
        <f t="shared" si="3"/>
        <v>0</v>
      </c>
      <c r="P31" s="3">
        <f t="shared" si="3"/>
        <v>0</v>
      </c>
      <c r="Q31" s="3">
        <f t="shared" si="3"/>
        <v>0</v>
      </c>
      <c r="R31" s="3">
        <f t="shared" si="3"/>
        <v>0</v>
      </c>
      <c r="S31" s="3">
        <f t="shared" si="3"/>
        <v>0</v>
      </c>
      <c r="T31" s="3">
        <f t="shared" si="3"/>
        <v>0</v>
      </c>
      <c r="U31" s="3">
        <f t="shared" si="3"/>
        <v>0</v>
      </c>
    </row>
    <row r="32" spans="1:21">
      <c r="A32" s="38">
        <v>7</v>
      </c>
      <c r="B32" s="36">
        <f>I19</f>
        <v>0</v>
      </c>
      <c r="C32" s="3">
        <f t="shared" si="2"/>
        <v>0</v>
      </c>
      <c r="D32" s="3">
        <f t="shared" si="2"/>
        <v>0</v>
      </c>
      <c r="E32" s="3">
        <f t="shared" si="2"/>
        <v>0</v>
      </c>
      <c r="F32" s="3">
        <f t="shared" si="2"/>
        <v>0</v>
      </c>
      <c r="G32" s="3">
        <f t="shared" si="2"/>
        <v>0</v>
      </c>
      <c r="H32" s="3">
        <f t="shared" si="2"/>
        <v>0</v>
      </c>
      <c r="I32" s="3">
        <f t="shared" si="2"/>
        <v>0</v>
      </c>
      <c r="J32" s="3">
        <f t="shared" si="2"/>
        <v>0</v>
      </c>
      <c r="K32" s="3">
        <f t="shared" si="2"/>
        <v>0</v>
      </c>
      <c r="L32" s="3">
        <f t="shared" si="2"/>
        <v>0</v>
      </c>
      <c r="M32" s="3">
        <f t="shared" si="3"/>
        <v>0</v>
      </c>
      <c r="N32" s="3">
        <f t="shared" si="3"/>
        <v>0</v>
      </c>
      <c r="O32" s="3">
        <f t="shared" si="3"/>
        <v>0</v>
      </c>
      <c r="P32" s="3">
        <f t="shared" si="3"/>
        <v>0</v>
      </c>
      <c r="Q32" s="3">
        <f t="shared" si="3"/>
        <v>0</v>
      </c>
      <c r="R32" s="3">
        <f t="shared" si="3"/>
        <v>0</v>
      </c>
      <c r="S32" s="3">
        <f t="shared" si="3"/>
        <v>0</v>
      </c>
      <c r="T32" s="3">
        <f t="shared" si="3"/>
        <v>0</v>
      </c>
      <c r="U32" s="3">
        <f t="shared" si="3"/>
        <v>0</v>
      </c>
    </row>
    <row r="33" spans="1:38">
      <c r="A33" s="38">
        <v>8</v>
      </c>
      <c r="B33" s="36">
        <f>J19</f>
        <v>0</v>
      </c>
      <c r="C33" s="3">
        <f t="shared" si="2"/>
        <v>0</v>
      </c>
      <c r="D33" s="3">
        <f t="shared" si="2"/>
        <v>0</v>
      </c>
      <c r="E33" s="3">
        <f t="shared" si="2"/>
        <v>0</v>
      </c>
      <c r="F33" s="3">
        <f t="shared" si="2"/>
        <v>0</v>
      </c>
      <c r="G33" s="3">
        <f t="shared" si="2"/>
        <v>0</v>
      </c>
      <c r="H33" s="3">
        <f t="shared" si="2"/>
        <v>0</v>
      </c>
      <c r="I33" s="3">
        <f t="shared" si="2"/>
        <v>0</v>
      </c>
      <c r="J33" s="3">
        <f t="shared" si="2"/>
        <v>0</v>
      </c>
      <c r="K33" s="3">
        <f t="shared" si="2"/>
        <v>0</v>
      </c>
      <c r="L33" s="3">
        <f t="shared" si="2"/>
        <v>0</v>
      </c>
      <c r="M33" s="3">
        <f t="shared" si="3"/>
        <v>0</v>
      </c>
      <c r="N33" s="3">
        <f t="shared" si="3"/>
        <v>0</v>
      </c>
      <c r="O33" s="3">
        <f t="shared" si="3"/>
        <v>0</v>
      </c>
      <c r="P33" s="3">
        <f t="shared" si="3"/>
        <v>0</v>
      </c>
      <c r="Q33" s="3">
        <f t="shared" si="3"/>
        <v>0</v>
      </c>
      <c r="R33" s="3">
        <f t="shared" si="3"/>
        <v>0</v>
      </c>
      <c r="S33" s="3">
        <f t="shared" si="3"/>
        <v>0</v>
      </c>
      <c r="T33" s="3">
        <f t="shared" si="3"/>
        <v>0</v>
      </c>
      <c r="U33" s="3">
        <f t="shared" si="3"/>
        <v>0</v>
      </c>
    </row>
    <row r="34" spans="1:38">
      <c r="A34" s="38">
        <v>9</v>
      </c>
      <c r="B34" s="36">
        <f>K19</f>
        <v>0</v>
      </c>
      <c r="C34" s="3">
        <f t="shared" si="2"/>
        <v>0</v>
      </c>
      <c r="D34" s="3">
        <f t="shared" si="2"/>
        <v>0</v>
      </c>
      <c r="E34" s="3">
        <f t="shared" si="2"/>
        <v>0</v>
      </c>
      <c r="F34" s="3">
        <f t="shared" si="2"/>
        <v>0</v>
      </c>
      <c r="G34" s="3">
        <f t="shared" si="2"/>
        <v>0</v>
      </c>
      <c r="H34" s="3">
        <f t="shared" si="2"/>
        <v>0</v>
      </c>
      <c r="I34" s="3">
        <f t="shared" si="2"/>
        <v>0</v>
      </c>
      <c r="J34" s="3">
        <f t="shared" si="2"/>
        <v>0</v>
      </c>
      <c r="K34" s="3">
        <f t="shared" si="2"/>
        <v>0</v>
      </c>
      <c r="L34" s="3">
        <f t="shared" si="2"/>
        <v>0</v>
      </c>
      <c r="M34" s="3">
        <f t="shared" si="3"/>
        <v>0</v>
      </c>
      <c r="N34" s="3">
        <f t="shared" si="3"/>
        <v>0</v>
      </c>
      <c r="O34" s="3">
        <f t="shared" si="3"/>
        <v>0</v>
      </c>
      <c r="P34" s="3">
        <f t="shared" si="3"/>
        <v>0</v>
      </c>
      <c r="Q34" s="3">
        <f t="shared" si="3"/>
        <v>0</v>
      </c>
      <c r="R34" s="3">
        <f t="shared" si="3"/>
        <v>0</v>
      </c>
      <c r="S34" s="3">
        <f t="shared" si="3"/>
        <v>0</v>
      </c>
      <c r="T34" s="3">
        <f t="shared" si="3"/>
        <v>0</v>
      </c>
      <c r="U34" s="3">
        <f t="shared" si="3"/>
        <v>0</v>
      </c>
    </row>
    <row r="35" spans="1:38">
      <c r="A35" s="38">
        <v>10</v>
      </c>
      <c r="B35" s="36">
        <f>L19</f>
        <v>0</v>
      </c>
      <c r="C35" s="3">
        <f t="shared" si="2"/>
        <v>0</v>
      </c>
      <c r="D35" s="3">
        <f t="shared" si="2"/>
        <v>0</v>
      </c>
      <c r="E35" s="3">
        <f t="shared" si="2"/>
        <v>0</v>
      </c>
      <c r="F35" s="3">
        <f t="shared" si="2"/>
        <v>0</v>
      </c>
      <c r="G35" s="3">
        <f t="shared" si="2"/>
        <v>0</v>
      </c>
      <c r="H35" s="3">
        <f t="shared" si="2"/>
        <v>0</v>
      </c>
      <c r="I35" s="3">
        <f t="shared" si="2"/>
        <v>0</v>
      </c>
      <c r="J35" s="3">
        <f t="shared" si="2"/>
        <v>0</v>
      </c>
      <c r="K35" s="3">
        <f t="shared" si="2"/>
        <v>0</v>
      </c>
      <c r="L35" s="3">
        <f t="shared" si="2"/>
        <v>0</v>
      </c>
      <c r="M35" s="3">
        <f t="shared" si="3"/>
        <v>0</v>
      </c>
      <c r="N35" s="3">
        <f t="shared" si="3"/>
        <v>0</v>
      </c>
      <c r="O35" s="3">
        <f t="shared" si="3"/>
        <v>0</v>
      </c>
      <c r="P35" s="3">
        <f t="shared" si="3"/>
        <v>0</v>
      </c>
      <c r="Q35" s="3">
        <f t="shared" si="3"/>
        <v>0</v>
      </c>
      <c r="R35" s="3">
        <f t="shared" si="3"/>
        <v>0</v>
      </c>
      <c r="S35" s="3">
        <f t="shared" si="3"/>
        <v>0</v>
      </c>
      <c r="T35" s="3">
        <f t="shared" si="3"/>
        <v>0</v>
      </c>
      <c r="U35" s="3">
        <f t="shared" si="3"/>
        <v>0</v>
      </c>
    </row>
    <row r="36" spans="1:38">
      <c r="A36" s="38">
        <v>11</v>
      </c>
      <c r="B36" s="36">
        <f>M19</f>
        <v>0</v>
      </c>
      <c r="C36" s="3">
        <f t="shared" si="2"/>
        <v>0</v>
      </c>
      <c r="D36" s="3">
        <f t="shared" si="2"/>
        <v>0</v>
      </c>
      <c r="E36" s="3">
        <f t="shared" si="2"/>
        <v>0</v>
      </c>
      <c r="F36" s="3">
        <f t="shared" si="2"/>
        <v>0</v>
      </c>
      <c r="G36" s="3">
        <f t="shared" si="2"/>
        <v>0</v>
      </c>
      <c r="H36" s="3">
        <f t="shared" si="2"/>
        <v>0</v>
      </c>
      <c r="I36" s="3">
        <f t="shared" si="2"/>
        <v>0</v>
      </c>
      <c r="J36" s="3">
        <f t="shared" si="2"/>
        <v>0</v>
      </c>
      <c r="K36" s="3">
        <f t="shared" si="2"/>
        <v>0</v>
      </c>
      <c r="L36" s="3">
        <f t="shared" si="2"/>
        <v>0</v>
      </c>
      <c r="M36" s="3">
        <f t="shared" si="3"/>
        <v>0</v>
      </c>
      <c r="N36" s="3">
        <f t="shared" si="3"/>
        <v>0</v>
      </c>
      <c r="O36" s="3">
        <f t="shared" si="3"/>
        <v>0</v>
      </c>
      <c r="P36" s="3">
        <f t="shared" si="3"/>
        <v>0</v>
      </c>
      <c r="Q36" s="3">
        <f t="shared" si="3"/>
        <v>0</v>
      </c>
      <c r="R36" s="3">
        <f t="shared" si="3"/>
        <v>0</v>
      </c>
      <c r="S36" s="3">
        <f t="shared" si="3"/>
        <v>0</v>
      </c>
      <c r="T36" s="3">
        <f t="shared" si="3"/>
        <v>0</v>
      </c>
      <c r="U36" s="3">
        <f t="shared" si="3"/>
        <v>0</v>
      </c>
    </row>
    <row r="37" spans="1:38">
      <c r="A37" s="38">
        <v>12</v>
      </c>
      <c r="B37" s="36">
        <f>N19</f>
        <v>0</v>
      </c>
      <c r="C37" s="3">
        <f t="shared" si="2"/>
        <v>0</v>
      </c>
      <c r="D37" s="3">
        <f t="shared" si="2"/>
        <v>0</v>
      </c>
      <c r="E37" s="3">
        <f t="shared" si="2"/>
        <v>0</v>
      </c>
      <c r="F37" s="3">
        <f t="shared" si="2"/>
        <v>0</v>
      </c>
      <c r="G37" s="3">
        <f t="shared" si="2"/>
        <v>0</v>
      </c>
      <c r="H37" s="3">
        <f t="shared" si="2"/>
        <v>0</v>
      </c>
      <c r="I37" s="3">
        <f t="shared" si="2"/>
        <v>0</v>
      </c>
      <c r="J37" s="3">
        <f t="shared" si="2"/>
        <v>0</v>
      </c>
      <c r="K37" s="3">
        <f t="shared" si="2"/>
        <v>0</v>
      </c>
      <c r="L37" s="3">
        <f t="shared" si="2"/>
        <v>0</v>
      </c>
      <c r="M37" s="3">
        <f t="shared" si="3"/>
        <v>0</v>
      </c>
      <c r="N37" s="3">
        <f t="shared" si="3"/>
        <v>0</v>
      </c>
      <c r="O37" s="3">
        <f t="shared" si="3"/>
        <v>0</v>
      </c>
      <c r="P37" s="3">
        <f t="shared" si="3"/>
        <v>0</v>
      </c>
      <c r="Q37" s="3">
        <f t="shared" si="3"/>
        <v>0</v>
      </c>
      <c r="R37" s="3">
        <f t="shared" si="3"/>
        <v>0</v>
      </c>
      <c r="S37" s="3">
        <f t="shared" si="3"/>
        <v>0</v>
      </c>
      <c r="T37" s="3">
        <f t="shared" si="3"/>
        <v>0</v>
      </c>
      <c r="U37" s="3">
        <f t="shared" si="3"/>
        <v>0</v>
      </c>
    </row>
    <row r="38" spans="1:38">
      <c r="A38" s="38">
        <v>13</v>
      </c>
      <c r="B38" s="36">
        <f>O19</f>
        <v>0</v>
      </c>
      <c r="C38" s="3">
        <f t="shared" si="2"/>
        <v>0</v>
      </c>
      <c r="D38" s="3">
        <f t="shared" si="2"/>
        <v>0</v>
      </c>
      <c r="E38" s="3">
        <f t="shared" si="2"/>
        <v>0</v>
      </c>
      <c r="F38" s="3">
        <f t="shared" si="2"/>
        <v>0</v>
      </c>
      <c r="G38" s="3">
        <f t="shared" si="2"/>
        <v>0</v>
      </c>
      <c r="H38" s="3">
        <f t="shared" si="2"/>
        <v>0</v>
      </c>
      <c r="I38" s="3">
        <f t="shared" si="2"/>
        <v>0</v>
      </c>
      <c r="J38" s="3">
        <f t="shared" si="2"/>
        <v>0</v>
      </c>
      <c r="K38" s="3">
        <f t="shared" si="2"/>
        <v>0</v>
      </c>
      <c r="L38" s="3">
        <f t="shared" si="2"/>
        <v>0</v>
      </c>
      <c r="M38" s="3">
        <f t="shared" si="3"/>
        <v>0</v>
      </c>
      <c r="N38" s="3">
        <f t="shared" si="3"/>
        <v>0</v>
      </c>
      <c r="O38" s="3">
        <f t="shared" si="3"/>
        <v>0</v>
      </c>
      <c r="P38" s="3">
        <f t="shared" si="3"/>
        <v>0</v>
      </c>
      <c r="Q38" s="3">
        <f t="shared" si="3"/>
        <v>0</v>
      </c>
      <c r="R38" s="3">
        <f t="shared" si="3"/>
        <v>0</v>
      </c>
      <c r="S38" s="3">
        <f t="shared" si="3"/>
        <v>0</v>
      </c>
      <c r="T38" s="3">
        <f t="shared" si="3"/>
        <v>0</v>
      </c>
      <c r="U38" s="3">
        <f t="shared" si="3"/>
        <v>0</v>
      </c>
    </row>
    <row r="39" spans="1:38">
      <c r="A39" s="38">
        <v>14</v>
      </c>
      <c r="B39" s="36">
        <f>P19</f>
        <v>0</v>
      </c>
      <c r="C39" s="3">
        <f t="shared" si="2"/>
        <v>0</v>
      </c>
      <c r="D39" s="3">
        <f t="shared" si="2"/>
        <v>0</v>
      </c>
      <c r="E39" s="3">
        <f t="shared" si="2"/>
        <v>0</v>
      </c>
      <c r="F39" s="3">
        <f t="shared" si="2"/>
        <v>0</v>
      </c>
      <c r="G39" s="3">
        <f t="shared" si="2"/>
        <v>0</v>
      </c>
      <c r="H39" s="3">
        <f t="shared" si="2"/>
        <v>0</v>
      </c>
      <c r="I39" s="3">
        <f t="shared" si="2"/>
        <v>0</v>
      </c>
      <c r="J39" s="3">
        <f t="shared" si="2"/>
        <v>0</v>
      </c>
      <c r="K39" s="3">
        <f t="shared" si="2"/>
        <v>0</v>
      </c>
      <c r="L39" s="3">
        <f t="shared" si="2"/>
        <v>0</v>
      </c>
      <c r="M39" s="3">
        <f t="shared" si="3"/>
        <v>0</v>
      </c>
      <c r="N39" s="3">
        <f t="shared" si="3"/>
        <v>0</v>
      </c>
      <c r="O39" s="3">
        <f t="shared" si="3"/>
        <v>0</v>
      </c>
      <c r="P39" s="3">
        <f t="shared" si="3"/>
        <v>0</v>
      </c>
      <c r="Q39" s="3">
        <f t="shared" si="3"/>
        <v>0</v>
      </c>
      <c r="R39" s="3">
        <f t="shared" si="3"/>
        <v>0</v>
      </c>
      <c r="S39" s="3">
        <f t="shared" si="3"/>
        <v>0</v>
      </c>
      <c r="T39" s="3">
        <f t="shared" si="3"/>
        <v>0</v>
      </c>
      <c r="U39" s="3">
        <f t="shared" si="3"/>
        <v>0</v>
      </c>
    </row>
    <row r="40" spans="1:38">
      <c r="A40" s="38">
        <v>15</v>
      </c>
      <c r="B40" s="36">
        <f>Q19</f>
        <v>0</v>
      </c>
      <c r="C40" s="3">
        <f t="shared" si="2"/>
        <v>0</v>
      </c>
      <c r="D40" s="3">
        <f t="shared" si="2"/>
        <v>0</v>
      </c>
      <c r="E40" s="3">
        <f t="shared" si="2"/>
        <v>0</v>
      </c>
      <c r="F40" s="3">
        <f t="shared" si="2"/>
        <v>0</v>
      </c>
      <c r="G40" s="3">
        <f t="shared" si="2"/>
        <v>0</v>
      </c>
      <c r="H40" s="3">
        <f t="shared" si="2"/>
        <v>0</v>
      </c>
      <c r="I40" s="3">
        <f t="shared" si="2"/>
        <v>0</v>
      </c>
      <c r="J40" s="3">
        <f t="shared" si="2"/>
        <v>0</v>
      </c>
      <c r="K40" s="3">
        <f t="shared" si="2"/>
        <v>0</v>
      </c>
      <c r="L40" s="3">
        <f t="shared" si="2"/>
        <v>0</v>
      </c>
      <c r="M40" s="3">
        <f t="shared" si="3"/>
        <v>0</v>
      </c>
      <c r="N40" s="3">
        <f t="shared" si="3"/>
        <v>0</v>
      </c>
      <c r="O40" s="3">
        <f t="shared" si="3"/>
        <v>0</v>
      </c>
      <c r="P40" s="3">
        <f t="shared" si="3"/>
        <v>0</v>
      </c>
      <c r="Q40" s="3">
        <f t="shared" si="3"/>
        <v>0</v>
      </c>
      <c r="R40" s="3">
        <f t="shared" si="3"/>
        <v>0</v>
      </c>
      <c r="S40" s="3">
        <f t="shared" si="3"/>
        <v>0</v>
      </c>
      <c r="T40" s="3">
        <f t="shared" si="3"/>
        <v>0</v>
      </c>
      <c r="U40" s="3">
        <f t="shared" si="3"/>
        <v>0</v>
      </c>
    </row>
    <row r="41" spans="1:38">
      <c r="A41" s="38">
        <v>16</v>
      </c>
      <c r="B41" s="36">
        <f>R19</f>
        <v>0</v>
      </c>
      <c r="C41" s="3">
        <f t="shared" ref="C41:L43" si="4">PRODUCT(C$24,$B41)</f>
        <v>0</v>
      </c>
      <c r="D41" s="3">
        <f t="shared" si="4"/>
        <v>0</v>
      </c>
      <c r="E41" s="3">
        <f t="shared" si="4"/>
        <v>0</v>
      </c>
      <c r="F41" s="3">
        <f t="shared" si="4"/>
        <v>0</v>
      </c>
      <c r="G41" s="3">
        <f t="shared" si="4"/>
        <v>0</v>
      </c>
      <c r="H41" s="3">
        <f t="shared" si="4"/>
        <v>0</v>
      </c>
      <c r="I41" s="3">
        <f t="shared" si="4"/>
        <v>0</v>
      </c>
      <c r="J41" s="3">
        <f t="shared" si="4"/>
        <v>0</v>
      </c>
      <c r="K41" s="3">
        <f t="shared" si="4"/>
        <v>0</v>
      </c>
      <c r="L41" s="3">
        <f t="shared" si="4"/>
        <v>0</v>
      </c>
      <c r="M41" s="3">
        <f t="shared" ref="M41:U43" si="5">PRODUCT(M$24,$B41)</f>
        <v>0</v>
      </c>
      <c r="N41" s="3">
        <f t="shared" si="5"/>
        <v>0</v>
      </c>
      <c r="O41" s="3">
        <f t="shared" si="5"/>
        <v>0</v>
      </c>
      <c r="P41" s="3">
        <f t="shared" si="5"/>
        <v>0</v>
      </c>
      <c r="Q41" s="3">
        <f t="shared" si="5"/>
        <v>0</v>
      </c>
      <c r="R41" s="3">
        <f t="shared" si="5"/>
        <v>0</v>
      </c>
      <c r="S41" s="3">
        <f t="shared" si="5"/>
        <v>0</v>
      </c>
      <c r="T41" s="3">
        <f t="shared" si="5"/>
        <v>0</v>
      </c>
      <c r="U41" s="3">
        <f t="shared" si="5"/>
        <v>0</v>
      </c>
    </row>
    <row r="42" spans="1:38">
      <c r="A42" s="38">
        <v>17</v>
      </c>
      <c r="B42" s="36">
        <f>S19</f>
        <v>0</v>
      </c>
      <c r="C42" s="3">
        <f t="shared" si="4"/>
        <v>0</v>
      </c>
      <c r="D42" s="3">
        <f t="shared" si="4"/>
        <v>0</v>
      </c>
      <c r="E42" s="3">
        <f t="shared" si="4"/>
        <v>0</v>
      </c>
      <c r="F42" s="3">
        <f t="shared" si="4"/>
        <v>0</v>
      </c>
      <c r="G42" s="3">
        <f t="shared" si="4"/>
        <v>0</v>
      </c>
      <c r="H42" s="3">
        <f t="shared" si="4"/>
        <v>0</v>
      </c>
      <c r="I42" s="3">
        <f t="shared" si="4"/>
        <v>0</v>
      </c>
      <c r="J42" s="3">
        <f t="shared" si="4"/>
        <v>0</v>
      </c>
      <c r="K42" s="3">
        <f t="shared" si="4"/>
        <v>0</v>
      </c>
      <c r="L42" s="3">
        <f t="shared" si="4"/>
        <v>0</v>
      </c>
      <c r="M42" s="3">
        <f t="shared" si="5"/>
        <v>0</v>
      </c>
      <c r="N42" s="3">
        <f t="shared" si="5"/>
        <v>0</v>
      </c>
      <c r="O42" s="3">
        <f t="shared" si="5"/>
        <v>0</v>
      </c>
      <c r="P42" s="3">
        <f t="shared" si="5"/>
        <v>0</v>
      </c>
      <c r="Q42" s="3">
        <f t="shared" si="5"/>
        <v>0</v>
      </c>
      <c r="R42" s="3">
        <f t="shared" si="5"/>
        <v>0</v>
      </c>
      <c r="S42" s="3">
        <f t="shared" si="5"/>
        <v>0</v>
      </c>
      <c r="T42" s="3">
        <f t="shared" si="5"/>
        <v>0</v>
      </c>
      <c r="U42" s="3">
        <f t="shared" si="5"/>
        <v>0</v>
      </c>
    </row>
    <row r="43" spans="1:38">
      <c r="A43" s="38">
        <v>18</v>
      </c>
      <c r="B43" s="36">
        <f>T19</f>
        <v>0</v>
      </c>
      <c r="C43" s="3">
        <f t="shared" si="4"/>
        <v>0</v>
      </c>
      <c r="D43" s="3">
        <f t="shared" si="4"/>
        <v>0</v>
      </c>
      <c r="E43" s="3">
        <f t="shared" si="4"/>
        <v>0</v>
      </c>
      <c r="F43" s="3">
        <f t="shared" si="4"/>
        <v>0</v>
      </c>
      <c r="G43" s="3">
        <f t="shared" si="4"/>
        <v>0</v>
      </c>
      <c r="H43" s="3">
        <f t="shared" si="4"/>
        <v>0</v>
      </c>
      <c r="I43" s="3">
        <f t="shared" si="4"/>
        <v>0</v>
      </c>
      <c r="J43" s="3">
        <f t="shared" si="4"/>
        <v>0</v>
      </c>
      <c r="K43" s="3">
        <f t="shared" si="4"/>
        <v>0</v>
      </c>
      <c r="L43" s="3">
        <f t="shared" si="4"/>
        <v>0</v>
      </c>
      <c r="M43" s="3">
        <f t="shared" si="5"/>
        <v>0</v>
      </c>
      <c r="N43" s="3">
        <f t="shared" si="5"/>
        <v>0</v>
      </c>
      <c r="O43" s="3">
        <f t="shared" si="5"/>
        <v>0</v>
      </c>
      <c r="P43" s="3">
        <f t="shared" si="5"/>
        <v>0</v>
      </c>
      <c r="Q43" s="3">
        <f t="shared" si="5"/>
        <v>0</v>
      </c>
      <c r="R43" s="3">
        <f t="shared" si="5"/>
        <v>0</v>
      </c>
      <c r="S43" s="3">
        <f t="shared" si="5"/>
        <v>0</v>
      </c>
      <c r="T43" s="3">
        <f t="shared" si="5"/>
        <v>0</v>
      </c>
      <c r="U43" s="3">
        <f t="shared" si="5"/>
        <v>0</v>
      </c>
    </row>
    <row r="45" spans="1:38" ht="13.5">
      <c r="B45" s="39" t="s">
        <v>100</v>
      </c>
      <c r="C45" s="31">
        <v>1</v>
      </c>
      <c r="D45" s="31">
        <v>2</v>
      </c>
      <c r="E45" s="31">
        <v>3</v>
      </c>
      <c r="F45" s="31">
        <v>4</v>
      </c>
      <c r="G45" s="31">
        <v>5</v>
      </c>
      <c r="H45" s="31">
        <v>6</v>
      </c>
      <c r="I45" s="31">
        <v>7</v>
      </c>
      <c r="J45" s="31">
        <v>8</v>
      </c>
      <c r="K45" s="31">
        <v>9</v>
      </c>
      <c r="L45" s="31">
        <v>10</v>
      </c>
      <c r="M45" s="31">
        <v>11</v>
      </c>
      <c r="N45" s="31">
        <v>12</v>
      </c>
      <c r="O45" s="31">
        <v>13</v>
      </c>
      <c r="P45" s="31">
        <v>14</v>
      </c>
      <c r="Q45" s="31">
        <v>15</v>
      </c>
      <c r="R45" s="31">
        <v>16</v>
      </c>
      <c r="S45" s="31">
        <v>17</v>
      </c>
      <c r="T45" s="31">
        <v>18</v>
      </c>
      <c r="U45" s="3">
        <v>19</v>
      </c>
      <c r="V45" s="3">
        <v>20</v>
      </c>
      <c r="W45" s="3">
        <v>21</v>
      </c>
      <c r="X45" s="3">
        <v>22</v>
      </c>
      <c r="Y45" s="3">
        <v>23</v>
      </c>
      <c r="Z45" s="3">
        <v>24</v>
      </c>
      <c r="AA45" s="3">
        <v>25</v>
      </c>
      <c r="AB45" s="3">
        <v>26</v>
      </c>
      <c r="AC45" s="3">
        <v>27</v>
      </c>
      <c r="AD45" s="3">
        <v>28</v>
      </c>
      <c r="AE45" s="3">
        <v>29</v>
      </c>
      <c r="AF45" s="3">
        <v>30</v>
      </c>
      <c r="AG45" s="3">
        <v>31</v>
      </c>
      <c r="AH45" s="3">
        <v>32</v>
      </c>
      <c r="AI45" s="3">
        <v>33</v>
      </c>
      <c r="AJ45" s="3">
        <v>34</v>
      </c>
      <c r="AK45" s="3">
        <v>35</v>
      </c>
      <c r="AL45" s="3">
        <v>36</v>
      </c>
    </row>
    <row r="46" spans="1:38" ht="18" customHeight="1">
      <c r="A46" s="32" t="s">
        <v>32</v>
      </c>
      <c r="B46" s="33">
        <f>C25</f>
        <v>0.59969536000000001</v>
      </c>
      <c r="C46" s="33">
        <f>D25+C26</f>
        <v>0.27258880000000002</v>
      </c>
      <c r="D46" s="33">
        <f>E25+D26+C27</f>
        <v>0.10098176</v>
      </c>
      <c r="E46" s="33">
        <f>F25+E26+D27+C28</f>
        <v>2.2105600000000003E-2</v>
      </c>
      <c r="F46" s="33">
        <f>G25+F26+E27+D28+C29</f>
        <v>4.07056E-3</v>
      </c>
      <c r="G46" s="33">
        <f>H25+G26+F27+E28+D29+C30</f>
        <v>5.0240000000000007E-4</v>
      </c>
      <c r="H46" s="33">
        <f>I25+H26+G27+F28+E29+D30+C31</f>
        <v>5.2160000000000002E-5</v>
      </c>
      <c r="I46" s="33">
        <f>J25+I26+H27+G28+F29+E30+D31+C32</f>
        <v>3.2000000000000003E-6</v>
      </c>
      <c r="J46" s="33">
        <f>K25+J26+I27+H28+G29+F30+E31+D32+C33</f>
        <v>1.6E-7</v>
      </c>
      <c r="K46" s="33">
        <f>L25+K26+J27+I28+H29+G30+F31+E32+D33+C34</f>
        <v>0</v>
      </c>
      <c r="L46" s="33">
        <f>M25+L26+K27+J28+I29+H30+G31+F32+E33+D34+C35</f>
        <v>0</v>
      </c>
      <c r="M46" s="33">
        <f>N25+M26+L27+K28+J29+I30+H31+G32+F33+E34+D35+C36</f>
        <v>0</v>
      </c>
      <c r="N46" s="33">
        <f>O25+N26+M27+L28+K29+J30+I31+H32+G33+F34+E35+D36+C37</f>
        <v>0</v>
      </c>
      <c r="O46" s="33">
        <f>P25+O26+N27+M28+L29+K30+J31+I32+H33+G34+F35+E36+D37+C38</f>
        <v>0</v>
      </c>
      <c r="P46" s="33">
        <f>Q25+P26+O27+N28+M29+L30+K31+J32+I33+H34+G35+F36+E37+D38+C39</f>
        <v>0</v>
      </c>
      <c r="Q46" s="33">
        <f>R25+Q26+P27+O28+N29+M30+L31+K32+J33+I34+H35+G36+F37+E38+D39+C40</f>
        <v>0</v>
      </c>
      <c r="R46" s="33">
        <f>S25+R26+Q27+P28+O29+N30+M31+L32+K33+J34+I35+H36+G37+F38+E39+D40+C41</f>
        <v>0</v>
      </c>
      <c r="S46" s="33">
        <f>SUM(T25,S26,R27,Q28,P29,O30,N31,M32,L33,K34,J35,I36,H37,G38,F39,E40,D41,C42)</f>
        <v>0</v>
      </c>
      <c r="T46" s="33">
        <f>SUM(U25,T26,S27,R28,Q29,P30,O31,N32,M33,L34,K35,J36,I37,H38,G39,F40,E41,D42,C43)</f>
        <v>0</v>
      </c>
      <c r="U46" s="37">
        <f>SUM(U26,T27,S28,R29,Q30,P31,O32,N33,M34,L35,K36,J37,I38,H39,G40,F41,E42,D43)</f>
        <v>0</v>
      </c>
      <c r="V46" s="37">
        <f>SUM(U27,T28,S29,R30,Q31,P32,O33,N34,M35,L36,K37,J38,I39,H40,G41,F42,E43)</f>
        <v>0</v>
      </c>
      <c r="W46" s="37">
        <f>SUM(U28,T29,S30,R31,Q32,P33,O34,N35,M36,L37,K38,J39,I40,H41,G42,F43)</f>
        <v>0</v>
      </c>
      <c r="X46" s="37">
        <f>SUM(G43,H42,I41,J40,K39,L38,M37,N36,O35,P34,Q33,R32,S31,T30,U29)</f>
        <v>0</v>
      </c>
      <c r="Y46" s="37">
        <f>SUM(U30,T31,S32,R33,Q34,P35,O36,N37,M38,L39,K40,J41,I42,H43)</f>
        <v>0</v>
      </c>
      <c r="Z46" s="37">
        <f>SUM(U31,T32,S33,R34,Q35,P36,O37,N38,M39,L40,K41,J42,I43)</f>
        <v>0</v>
      </c>
      <c r="AA46" s="37">
        <f>SUM(U32,T33,S34,R35,Q36,P37,O38,N39,M40,L41,K42,J43)</f>
        <v>0</v>
      </c>
      <c r="AB46" s="37">
        <f>SUM(U33,T34,S35,R36,Q37,P38,O39,N40,M41,L42,K43)</f>
        <v>0</v>
      </c>
      <c r="AC46" s="37">
        <f>SUM(U34,T35,S36,R37,Q38,P39,O40,N41,M42,L43)</f>
        <v>0</v>
      </c>
      <c r="AD46" s="37">
        <f>SUM(U35,T36,S37,R38,Q39,P40,O41,N42,M43)</f>
        <v>0</v>
      </c>
      <c r="AE46" s="37">
        <f>SUM(N43,O42,P41,Q40,R39,S38,T37,U36)</f>
        <v>0</v>
      </c>
      <c r="AF46" s="37">
        <f>SUM(O43,P42,Q41,R40,S39,T38,U37)</f>
        <v>0</v>
      </c>
      <c r="AG46" s="37">
        <f>SUM(P43,Q42,R41,S40,T39,U38)</f>
        <v>0</v>
      </c>
      <c r="AH46" s="37">
        <f>SUM(Q43,R42,S41,T40,U39)</f>
        <v>0</v>
      </c>
      <c r="AI46" s="37">
        <f>SUM(R43,S42,T41,U40)</f>
        <v>0</v>
      </c>
      <c r="AJ46" s="37">
        <f>SUM(S43,T42,U41)</f>
        <v>0</v>
      </c>
      <c r="AK46" s="37">
        <f>SUM(T43,U42)</f>
        <v>0</v>
      </c>
      <c r="AL46" s="37">
        <f>SUM(U43)</f>
        <v>0</v>
      </c>
    </row>
    <row r="47" spans="1:38" ht="18" customHeight="1">
      <c r="A47" s="34" t="s">
        <v>33</v>
      </c>
      <c r="B47" s="33">
        <f>SUM($B46:B46)</f>
        <v>0.59969536000000001</v>
      </c>
      <c r="C47" s="33">
        <f>SUM($B46:C46)</f>
        <v>0.87228415999999998</v>
      </c>
      <c r="D47" s="33">
        <f>SUM($B46:D46)</f>
        <v>0.97326592000000001</v>
      </c>
      <c r="E47" s="33">
        <f>SUM($B46:E46)</f>
        <v>0.99537151999999995</v>
      </c>
      <c r="F47" s="33">
        <f>SUM($B46:F46)</f>
        <v>0.9994420799999999</v>
      </c>
      <c r="G47" s="33">
        <f>SUM($B46:G46)</f>
        <v>0.99994447999999991</v>
      </c>
      <c r="H47" s="33">
        <f>SUM($B46:H46)</f>
        <v>0.99999663999999988</v>
      </c>
      <c r="I47" s="33">
        <f>SUM($B46:I46)</f>
        <v>0.99999983999999986</v>
      </c>
      <c r="J47" s="33">
        <f>SUM($B46:J46)</f>
        <v>0.99999999999999989</v>
      </c>
      <c r="K47" s="33">
        <f>SUM($B46:K46)</f>
        <v>0.99999999999999989</v>
      </c>
      <c r="L47" s="33">
        <f>SUM($B46:L46)</f>
        <v>0.99999999999999989</v>
      </c>
      <c r="M47" s="33">
        <f>SUM($B46:M46)</f>
        <v>0.99999999999999989</v>
      </c>
      <c r="N47" s="33">
        <f>SUM($B46:N46)</f>
        <v>0.99999999999999989</v>
      </c>
      <c r="O47" s="33">
        <f>SUM($B46:O46)</f>
        <v>0.99999999999999989</v>
      </c>
      <c r="P47" s="33">
        <f>SUM($B46:P46)</f>
        <v>0.99999999999999989</v>
      </c>
      <c r="Q47" s="33">
        <f>SUM($B46:Q46)</f>
        <v>0.99999999999999989</v>
      </c>
      <c r="R47" s="33">
        <f>SUM($B46:R46)</f>
        <v>0.99999999999999989</v>
      </c>
      <c r="S47" s="33">
        <f>SUM($B46:S46)</f>
        <v>0.99999999999999989</v>
      </c>
      <c r="T47" s="33">
        <f>SUM($B46:T46)</f>
        <v>0.99999999999999989</v>
      </c>
      <c r="U47" s="33">
        <f>SUM($B46:U46)</f>
        <v>0.99999999999999989</v>
      </c>
      <c r="V47" s="33">
        <f>SUM($B46:V46)</f>
        <v>0.99999999999999989</v>
      </c>
      <c r="W47" s="33">
        <f>SUM($B46:W46)</f>
        <v>0.99999999999999989</v>
      </c>
      <c r="X47" s="33">
        <f>SUM($B46:X46)</f>
        <v>0.99999999999999989</v>
      </c>
      <c r="Y47" s="33">
        <f>SUM($B46:Y46)</f>
        <v>0.99999999999999989</v>
      </c>
      <c r="Z47" s="33">
        <f>SUM($B46:Z46)</f>
        <v>0.99999999999999989</v>
      </c>
      <c r="AA47" s="33">
        <f>SUM($B46:AA46)</f>
        <v>0.99999999999999989</v>
      </c>
      <c r="AB47" s="33">
        <f>SUM($B46:AB46)</f>
        <v>0.99999999999999989</v>
      </c>
      <c r="AC47" s="33">
        <f>SUM($B46:AC46)</f>
        <v>0.99999999999999989</v>
      </c>
      <c r="AD47" s="33">
        <f>SUM($B46:AD46)</f>
        <v>0.99999999999999989</v>
      </c>
      <c r="AE47" s="33">
        <f>SUM($B46:AE46)</f>
        <v>0.99999999999999989</v>
      </c>
      <c r="AF47" s="33">
        <f>SUM($B46:AF46)</f>
        <v>0.99999999999999989</v>
      </c>
      <c r="AG47" s="33">
        <f>SUM($B46:AG46)</f>
        <v>0.99999999999999989</v>
      </c>
      <c r="AH47" s="33">
        <f>SUM($B46:AH46)</f>
        <v>0.99999999999999989</v>
      </c>
      <c r="AI47" s="33">
        <f>SUM($B46:AI46)</f>
        <v>0.99999999999999989</v>
      </c>
      <c r="AJ47" s="33">
        <f>SUM($B46:AJ46)</f>
        <v>0.99999999999999989</v>
      </c>
      <c r="AK47" s="33">
        <f>SUM($B46:AK46)</f>
        <v>0.99999999999999989</v>
      </c>
      <c r="AL47" s="33">
        <f>SUM($B46:AL46)</f>
        <v>0.99999999999999989</v>
      </c>
    </row>
  </sheetData>
  <mergeCells count="2">
    <mergeCell ref="A1:P1"/>
    <mergeCell ref="C3:L3"/>
  </mergeCells>
  <phoneticPr fontId="7" type="noConversion"/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94C60-C121-4E48-B034-215A6E33B0C3}">
  <dimension ref="A1:AL47"/>
  <sheetViews>
    <sheetView showGridLines="0" workbookViewId="0">
      <selection activeCell="B47" sqref="B47:J47"/>
    </sheetView>
  </sheetViews>
  <sheetFormatPr defaultColWidth="7.140625" defaultRowHeight="12"/>
  <cols>
    <col min="1" max="1" width="13.85546875" style="3" customWidth="1"/>
    <col min="2" max="2" width="8.42578125" style="3" customWidth="1"/>
    <col min="3" max="16384" width="7.140625" style="3"/>
  </cols>
  <sheetData>
    <row r="1" spans="1:16" ht="42" customHeight="1">
      <c r="A1" s="90" t="s">
        <v>135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</row>
    <row r="2" spans="1:16" ht="14.25">
      <c r="A2" s="27" t="s">
        <v>31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6">
      <c r="C3" s="91" t="s">
        <v>125</v>
      </c>
      <c r="D3" s="91"/>
      <c r="E3" s="91"/>
      <c r="F3" s="91"/>
      <c r="G3" s="91"/>
      <c r="H3" s="91"/>
      <c r="I3" s="91"/>
      <c r="J3" s="91"/>
      <c r="K3" s="91"/>
      <c r="L3" s="91"/>
    </row>
    <row r="4" spans="1:16" ht="13.5">
      <c r="C4" s="39" t="s">
        <v>97</v>
      </c>
      <c r="D4" s="3">
        <v>1</v>
      </c>
      <c r="E4" s="3">
        <v>2</v>
      </c>
      <c r="F4" s="3">
        <v>3</v>
      </c>
      <c r="G4" s="3">
        <v>4</v>
      </c>
      <c r="H4" s="3">
        <v>5</v>
      </c>
      <c r="I4" s="3">
        <v>6</v>
      </c>
      <c r="J4" s="3">
        <v>7</v>
      </c>
      <c r="K4" s="3">
        <v>8</v>
      </c>
      <c r="L4" s="3">
        <v>9</v>
      </c>
    </row>
    <row r="5" spans="1:16">
      <c r="A5" s="3" t="s">
        <v>125</v>
      </c>
      <c r="B5" s="28" t="s">
        <v>32</v>
      </c>
      <c r="C5" s="29">
        <v>0.08</v>
      </c>
      <c r="D5" s="29">
        <v>0.8</v>
      </c>
      <c r="E5" s="29">
        <v>0.12</v>
      </c>
      <c r="F5" s="29">
        <v>0</v>
      </c>
      <c r="G5" s="29">
        <v>0</v>
      </c>
      <c r="H5" s="29">
        <v>0</v>
      </c>
      <c r="I5" s="29">
        <v>0</v>
      </c>
      <c r="J5" s="29">
        <v>0</v>
      </c>
      <c r="K5" s="29">
        <v>0</v>
      </c>
      <c r="L5" s="29">
        <v>0</v>
      </c>
    </row>
    <row r="6" spans="1:16" ht="13.5">
      <c r="A6" s="38" t="s">
        <v>96</v>
      </c>
      <c r="B6" s="30">
        <v>0.08</v>
      </c>
      <c r="C6" s="3">
        <f t="shared" ref="C6:L15" si="0">PRODUCT(C$5,$B6)</f>
        <v>6.4000000000000003E-3</v>
      </c>
      <c r="D6" s="3">
        <f t="shared" si="0"/>
        <v>6.4000000000000001E-2</v>
      </c>
      <c r="E6" s="3">
        <f t="shared" si="0"/>
        <v>9.5999999999999992E-3</v>
      </c>
      <c r="F6" s="3">
        <f t="shared" si="0"/>
        <v>0</v>
      </c>
      <c r="G6" s="3">
        <f t="shared" si="0"/>
        <v>0</v>
      </c>
      <c r="H6" s="3">
        <f t="shared" si="0"/>
        <v>0</v>
      </c>
      <c r="I6" s="3">
        <f t="shared" si="0"/>
        <v>0</v>
      </c>
      <c r="J6" s="3">
        <f t="shared" si="0"/>
        <v>0</v>
      </c>
      <c r="K6" s="3">
        <f t="shared" si="0"/>
        <v>0</v>
      </c>
      <c r="L6" s="3">
        <f t="shared" si="0"/>
        <v>0</v>
      </c>
    </row>
    <row r="7" spans="1:16">
      <c r="A7" s="38">
        <v>1</v>
      </c>
      <c r="B7" s="30">
        <v>0.8</v>
      </c>
      <c r="C7" s="3">
        <f t="shared" si="0"/>
        <v>6.4000000000000001E-2</v>
      </c>
      <c r="D7" s="3">
        <f t="shared" si="0"/>
        <v>0.64000000000000012</v>
      </c>
      <c r="E7" s="3">
        <f t="shared" si="0"/>
        <v>9.6000000000000002E-2</v>
      </c>
      <c r="F7" s="3">
        <f t="shared" si="0"/>
        <v>0</v>
      </c>
      <c r="G7" s="3">
        <f t="shared" si="0"/>
        <v>0</v>
      </c>
      <c r="H7" s="3">
        <f t="shared" si="0"/>
        <v>0</v>
      </c>
      <c r="I7" s="3">
        <f t="shared" si="0"/>
        <v>0</v>
      </c>
      <c r="J7" s="3">
        <f t="shared" si="0"/>
        <v>0</v>
      </c>
      <c r="K7" s="3">
        <f t="shared" si="0"/>
        <v>0</v>
      </c>
      <c r="L7" s="3">
        <f t="shared" si="0"/>
        <v>0</v>
      </c>
    </row>
    <row r="8" spans="1:16">
      <c r="A8" s="38">
        <v>2</v>
      </c>
      <c r="B8" s="30">
        <v>0.12</v>
      </c>
      <c r="C8" s="3">
        <f t="shared" si="0"/>
        <v>9.5999999999999992E-3</v>
      </c>
      <c r="D8" s="3">
        <f t="shared" si="0"/>
        <v>9.6000000000000002E-2</v>
      </c>
      <c r="E8" s="3">
        <f t="shared" si="0"/>
        <v>1.44E-2</v>
      </c>
      <c r="F8" s="3">
        <f t="shared" si="0"/>
        <v>0</v>
      </c>
      <c r="G8" s="3">
        <f t="shared" si="0"/>
        <v>0</v>
      </c>
      <c r="H8" s="3">
        <f t="shared" si="0"/>
        <v>0</v>
      </c>
      <c r="I8" s="3">
        <f t="shared" si="0"/>
        <v>0</v>
      </c>
      <c r="J8" s="3">
        <f t="shared" si="0"/>
        <v>0</v>
      </c>
      <c r="K8" s="3">
        <f t="shared" si="0"/>
        <v>0</v>
      </c>
      <c r="L8" s="3">
        <f t="shared" si="0"/>
        <v>0</v>
      </c>
    </row>
    <row r="9" spans="1:16">
      <c r="A9" s="38">
        <v>3</v>
      </c>
      <c r="B9" s="30">
        <v>0</v>
      </c>
      <c r="C9" s="3">
        <f t="shared" si="0"/>
        <v>0</v>
      </c>
      <c r="D9" s="3">
        <f t="shared" si="0"/>
        <v>0</v>
      </c>
      <c r="E9" s="3">
        <f t="shared" si="0"/>
        <v>0</v>
      </c>
      <c r="F9" s="3">
        <f t="shared" si="0"/>
        <v>0</v>
      </c>
      <c r="G9" s="3">
        <f t="shared" si="0"/>
        <v>0</v>
      </c>
      <c r="H9" s="3">
        <f t="shared" si="0"/>
        <v>0</v>
      </c>
      <c r="I9" s="3">
        <f t="shared" si="0"/>
        <v>0</v>
      </c>
      <c r="J9" s="3">
        <f t="shared" si="0"/>
        <v>0</v>
      </c>
      <c r="K9" s="3">
        <f t="shared" si="0"/>
        <v>0</v>
      </c>
      <c r="L9" s="3">
        <f t="shared" si="0"/>
        <v>0</v>
      </c>
    </row>
    <row r="10" spans="1:16">
      <c r="A10" s="38">
        <v>4</v>
      </c>
      <c r="B10" s="30">
        <v>0</v>
      </c>
      <c r="C10" s="3">
        <f t="shared" si="0"/>
        <v>0</v>
      </c>
      <c r="D10" s="3">
        <f t="shared" si="0"/>
        <v>0</v>
      </c>
      <c r="E10" s="3">
        <f t="shared" si="0"/>
        <v>0</v>
      </c>
      <c r="F10" s="3">
        <f t="shared" si="0"/>
        <v>0</v>
      </c>
      <c r="G10" s="3">
        <f t="shared" si="0"/>
        <v>0</v>
      </c>
      <c r="H10" s="3">
        <f t="shared" si="0"/>
        <v>0</v>
      </c>
      <c r="I10" s="3">
        <f t="shared" si="0"/>
        <v>0</v>
      </c>
      <c r="J10" s="3">
        <f t="shared" si="0"/>
        <v>0</v>
      </c>
      <c r="K10" s="3">
        <f t="shared" si="0"/>
        <v>0</v>
      </c>
      <c r="L10" s="3">
        <f t="shared" si="0"/>
        <v>0</v>
      </c>
    </row>
    <row r="11" spans="1:16">
      <c r="A11" s="38">
        <v>5</v>
      </c>
      <c r="B11" s="30">
        <v>0</v>
      </c>
      <c r="C11" s="3">
        <f t="shared" si="0"/>
        <v>0</v>
      </c>
      <c r="D11" s="3">
        <f t="shared" si="0"/>
        <v>0</v>
      </c>
      <c r="E11" s="3">
        <f t="shared" si="0"/>
        <v>0</v>
      </c>
      <c r="F11" s="3">
        <f t="shared" si="0"/>
        <v>0</v>
      </c>
      <c r="G11" s="3">
        <f t="shared" si="0"/>
        <v>0</v>
      </c>
      <c r="H11" s="3">
        <f t="shared" si="0"/>
        <v>0</v>
      </c>
      <c r="I11" s="3">
        <f t="shared" si="0"/>
        <v>0</v>
      </c>
      <c r="J11" s="3">
        <f t="shared" si="0"/>
        <v>0</v>
      </c>
      <c r="K11" s="3">
        <f t="shared" si="0"/>
        <v>0</v>
      </c>
      <c r="L11" s="3">
        <f t="shared" si="0"/>
        <v>0</v>
      </c>
    </row>
    <row r="12" spans="1:16">
      <c r="A12" s="38">
        <v>6</v>
      </c>
      <c r="B12" s="30">
        <v>0</v>
      </c>
      <c r="C12" s="3">
        <f t="shared" si="0"/>
        <v>0</v>
      </c>
      <c r="D12" s="3">
        <f t="shared" si="0"/>
        <v>0</v>
      </c>
      <c r="E12" s="3">
        <f t="shared" si="0"/>
        <v>0</v>
      </c>
      <c r="F12" s="3">
        <f t="shared" si="0"/>
        <v>0</v>
      </c>
      <c r="G12" s="3">
        <f t="shared" si="0"/>
        <v>0</v>
      </c>
      <c r="H12" s="3">
        <f t="shared" si="0"/>
        <v>0</v>
      </c>
      <c r="I12" s="3">
        <f t="shared" si="0"/>
        <v>0</v>
      </c>
      <c r="J12" s="3">
        <f t="shared" si="0"/>
        <v>0</v>
      </c>
      <c r="K12" s="3">
        <f t="shared" si="0"/>
        <v>0</v>
      </c>
      <c r="L12" s="3">
        <f t="shared" si="0"/>
        <v>0</v>
      </c>
    </row>
    <row r="13" spans="1:16">
      <c r="A13" s="38">
        <v>7</v>
      </c>
      <c r="B13" s="30">
        <v>0</v>
      </c>
      <c r="C13" s="3">
        <f t="shared" si="0"/>
        <v>0</v>
      </c>
      <c r="D13" s="3">
        <f t="shared" si="0"/>
        <v>0</v>
      </c>
      <c r="E13" s="3">
        <f t="shared" si="0"/>
        <v>0</v>
      </c>
      <c r="F13" s="3">
        <f t="shared" si="0"/>
        <v>0</v>
      </c>
      <c r="G13" s="3">
        <f t="shared" si="0"/>
        <v>0</v>
      </c>
      <c r="H13" s="3">
        <f t="shared" si="0"/>
        <v>0</v>
      </c>
      <c r="I13" s="3">
        <f t="shared" si="0"/>
        <v>0</v>
      </c>
      <c r="J13" s="3">
        <f t="shared" si="0"/>
        <v>0</v>
      </c>
      <c r="K13" s="3">
        <f t="shared" si="0"/>
        <v>0</v>
      </c>
      <c r="L13" s="3">
        <f t="shared" si="0"/>
        <v>0</v>
      </c>
    </row>
    <row r="14" spans="1:16">
      <c r="A14" s="38">
        <v>8</v>
      </c>
      <c r="B14" s="30">
        <v>0</v>
      </c>
      <c r="C14" s="3">
        <f t="shared" si="0"/>
        <v>0</v>
      </c>
      <c r="D14" s="3">
        <f t="shared" si="0"/>
        <v>0</v>
      </c>
      <c r="E14" s="3">
        <f t="shared" si="0"/>
        <v>0</v>
      </c>
      <c r="F14" s="3">
        <f t="shared" si="0"/>
        <v>0</v>
      </c>
      <c r="G14" s="3">
        <f t="shared" si="0"/>
        <v>0</v>
      </c>
      <c r="H14" s="3">
        <f t="shared" si="0"/>
        <v>0</v>
      </c>
      <c r="I14" s="3">
        <f t="shared" si="0"/>
        <v>0</v>
      </c>
      <c r="J14" s="3">
        <f t="shared" si="0"/>
        <v>0</v>
      </c>
      <c r="K14" s="3">
        <f t="shared" si="0"/>
        <v>0</v>
      </c>
      <c r="L14" s="3">
        <f t="shared" si="0"/>
        <v>0</v>
      </c>
    </row>
    <row r="15" spans="1:16">
      <c r="A15" s="38">
        <v>9</v>
      </c>
      <c r="B15" s="30">
        <v>0</v>
      </c>
      <c r="C15" s="3">
        <f t="shared" si="0"/>
        <v>0</v>
      </c>
      <c r="D15" s="3">
        <f t="shared" si="0"/>
        <v>0</v>
      </c>
      <c r="E15" s="3">
        <f t="shared" si="0"/>
        <v>0</v>
      </c>
      <c r="F15" s="3">
        <f t="shared" si="0"/>
        <v>0</v>
      </c>
      <c r="G15" s="3">
        <f t="shared" si="0"/>
        <v>0</v>
      </c>
      <c r="H15" s="3">
        <f t="shared" si="0"/>
        <v>0</v>
      </c>
      <c r="I15" s="3">
        <f t="shared" si="0"/>
        <v>0</v>
      </c>
      <c r="J15" s="3">
        <f t="shared" si="0"/>
        <v>0</v>
      </c>
      <c r="K15" s="3">
        <f t="shared" si="0"/>
        <v>0</v>
      </c>
      <c r="L15" s="3">
        <f t="shared" si="0"/>
        <v>0</v>
      </c>
    </row>
    <row r="18" spans="1:21" ht="13.5">
      <c r="B18" s="40" t="s">
        <v>98</v>
      </c>
      <c r="C18" s="31">
        <v>1</v>
      </c>
      <c r="D18" s="31">
        <v>2</v>
      </c>
      <c r="E18" s="31">
        <v>3</v>
      </c>
      <c r="F18" s="31">
        <v>4</v>
      </c>
      <c r="G18" s="31">
        <v>5</v>
      </c>
      <c r="H18" s="31">
        <v>6</v>
      </c>
      <c r="I18" s="31">
        <v>7</v>
      </c>
      <c r="J18" s="31">
        <v>8</v>
      </c>
      <c r="K18" s="31">
        <v>9</v>
      </c>
      <c r="L18" s="31">
        <v>10</v>
      </c>
      <c r="M18" s="31">
        <v>11</v>
      </c>
      <c r="N18" s="31">
        <v>12</v>
      </c>
      <c r="O18" s="31">
        <v>13</v>
      </c>
      <c r="P18" s="31">
        <v>14</v>
      </c>
      <c r="Q18" s="31">
        <v>15</v>
      </c>
      <c r="R18" s="31">
        <v>16</v>
      </c>
      <c r="S18" s="31">
        <v>17</v>
      </c>
      <c r="T18" s="31">
        <v>18</v>
      </c>
    </row>
    <row r="19" spans="1:21" ht="17.100000000000001" customHeight="1">
      <c r="A19" s="32" t="s">
        <v>32</v>
      </c>
      <c r="B19" s="33">
        <f>SUM(C6)</f>
        <v>6.4000000000000003E-3</v>
      </c>
      <c r="C19" s="33">
        <f>SUM(D6,C7)</f>
        <v>0.128</v>
      </c>
      <c r="D19" s="33">
        <f>SUM(E6,D7,C8)</f>
        <v>0.65920000000000023</v>
      </c>
      <c r="E19" s="33">
        <f>SUM(F6,E7,D8,C9)</f>
        <v>0.192</v>
      </c>
      <c r="F19" s="33">
        <f>SUM(G6,F7,E8,D9,C10)</f>
        <v>1.44E-2</v>
      </c>
      <c r="G19" s="33">
        <f>SUM(H6,G7,F8,E9,D10,C11)</f>
        <v>0</v>
      </c>
      <c r="H19" s="33">
        <f>SUM(I6,H7,G8,F9,E10,D11,C12)</f>
        <v>0</v>
      </c>
      <c r="I19" s="33">
        <f>SUM(J6,I7,H8,G9,F10,E11,D12,C13)</f>
        <v>0</v>
      </c>
      <c r="J19" s="33">
        <f>SUM(K6,J7,I8,H9,G10,F11,E12,D13,C14)</f>
        <v>0</v>
      </c>
      <c r="K19" s="33">
        <f>SUM(L6,K7,J8,I9,H10,G11,F12,E13,D14,C15)</f>
        <v>0</v>
      </c>
      <c r="L19" s="33">
        <f>SUM(L7,K8,J9,I10,H11,G12,F13,E14,D15)</f>
        <v>0</v>
      </c>
      <c r="M19" s="33">
        <f>SUM(L8,K9,J10,I11,H12,G13,F14,E15)</f>
        <v>0</v>
      </c>
      <c r="N19" s="33">
        <f>SUM(L9,K10,J11,I12,H13,G14,F15)</f>
        <v>0</v>
      </c>
      <c r="O19" s="33">
        <f>SUM(L10,K11,J12,I13,H14,G15)</f>
        <v>0</v>
      </c>
      <c r="P19" s="33">
        <f>SUM(L11,K12,J13,I14,H15)</f>
        <v>0</v>
      </c>
      <c r="Q19" s="33">
        <f>SUM(L12,K13,J14,I15)</f>
        <v>0</v>
      </c>
      <c r="R19" s="33">
        <f>SUM(L13,K14,J15)</f>
        <v>0</v>
      </c>
      <c r="S19" s="33">
        <f>SUM(L14,K15)</f>
        <v>0</v>
      </c>
      <c r="T19" s="33">
        <f>SUM(L15)</f>
        <v>0</v>
      </c>
    </row>
    <row r="20" spans="1:21" ht="17.100000000000001" customHeight="1">
      <c r="A20" s="34" t="s">
        <v>33</v>
      </c>
      <c r="B20" s="33">
        <f>SUM($B$19:B19)</f>
        <v>6.4000000000000003E-3</v>
      </c>
      <c r="C20" s="33">
        <f>SUM($B$19:C19)</f>
        <v>0.13439999999999999</v>
      </c>
      <c r="D20" s="33">
        <f>SUM($B$19:D19)</f>
        <v>0.79360000000000019</v>
      </c>
      <c r="E20" s="33">
        <f>SUM($B$19:E19)</f>
        <v>0.98560000000000025</v>
      </c>
      <c r="F20" s="33">
        <f>SUM($B$19:F19)</f>
        <v>1.0000000000000002</v>
      </c>
      <c r="G20" s="33">
        <f>SUM($B$19:G19)</f>
        <v>1.0000000000000002</v>
      </c>
      <c r="H20" s="33">
        <f>SUM($B$19:H19)</f>
        <v>1.0000000000000002</v>
      </c>
      <c r="I20" s="33">
        <f>SUM($B$19:I19)</f>
        <v>1.0000000000000002</v>
      </c>
      <c r="J20" s="33">
        <f>SUM($B$19:J19)</f>
        <v>1.0000000000000002</v>
      </c>
      <c r="K20" s="33">
        <f>SUM($B$19:K19)</f>
        <v>1.0000000000000002</v>
      </c>
      <c r="L20" s="33">
        <f>SUM($B$19:L19)</f>
        <v>1.0000000000000002</v>
      </c>
      <c r="M20" s="33">
        <f>SUM($B$19:M19)</f>
        <v>1.0000000000000002</v>
      </c>
      <c r="N20" s="33">
        <f>SUM($B$19:N19)</f>
        <v>1.0000000000000002</v>
      </c>
      <c r="O20" s="33">
        <f>SUM($B$19:O19)</f>
        <v>1.0000000000000002</v>
      </c>
      <c r="P20" s="33">
        <f>SUM($B$19:P19)</f>
        <v>1.0000000000000002</v>
      </c>
      <c r="Q20" s="33">
        <f>SUM($B$19:Q19)</f>
        <v>1.0000000000000002</v>
      </c>
      <c r="R20" s="33">
        <f>SUM($B$19:R19)</f>
        <v>1.0000000000000002</v>
      </c>
      <c r="S20" s="33">
        <f>SUM($B$19:S19)</f>
        <v>1.0000000000000002</v>
      </c>
      <c r="T20" s="33">
        <f>SUM($B$19:T19)</f>
        <v>1.0000000000000002</v>
      </c>
    </row>
    <row r="23" spans="1:21" ht="13.5">
      <c r="C23" s="39" t="s">
        <v>99</v>
      </c>
      <c r="D23" s="3">
        <v>1</v>
      </c>
      <c r="E23" s="3">
        <v>2</v>
      </c>
      <c r="F23" s="3">
        <v>3</v>
      </c>
      <c r="G23" s="3">
        <v>4</v>
      </c>
      <c r="H23" s="3">
        <v>5</v>
      </c>
      <c r="I23" s="3">
        <v>6</v>
      </c>
      <c r="J23" s="3">
        <v>7</v>
      </c>
      <c r="K23" s="3">
        <v>8</v>
      </c>
      <c r="L23" s="3">
        <v>9</v>
      </c>
      <c r="M23" s="3">
        <v>10</v>
      </c>
      <c r="N23" s="3">
        <v>11</v>
      </c>
      <c r="O23" s="3">
        <v>12</v>
      </c>
      <c r="P23" s="3">
        <v>13</v>
      </c>
      <c r="Q23" s="3">
        <v>14</v>
      </c>
      <c r="R23" s="3">
        <v>15</v>
      </c>
      <c r="S23" s="3">
        <v>16</v>
      </c>
      <c r="T23" s="3">
        <v>17</v>
      </c>
      <c r="U23" s="3">
        <v>18</v>
      </c>
    </row>
    <row r="24" spans="1:21">
      <c r="B24" s="28" t="s">
        <v>32</v>
      </c>
      <c r="C24" s="35">
        <f t="shared" ref="C24:U24" si="1">B19</f>
        <v>6.4000000000000003E-3</v>
      </c>
      <c r="D24" s="35">
        <f t="shared" si="1"/>
        <v>0.128</v>
      </c>
      <c r="E24" s="35">
        <f t="shared" si="1"/>
        <v>0.65920000000000023</v>
      </c>
      <c r="F24" s="35">
        <f t="shared" si="1"/>
        <v>0.192</v>
      </c>
      <c r="G24" s="35">
        <f t="shared" si="1"/>
        <v>1.44E-2</v>
      </c>
      <c r="H24" s="35">
        <f t="shared" si="1"/>
        <v>0</v>
      </c>
      <c r="I24" s="35">
        <f t="shared" si="1"/>
        <v>0</v>
      </c>
      <c r="J24" s="35">
        <f t="shared" si="1"/>
        <v>0</v>
      </c>
      <c r="K24" s="35">
        <f t="shared" si="1"/>
        <v>0</v>
      </c>
      <c r="L24" s="35">
        <f t="shared" si="1"/>
        <v>0</v>
      </c>
      <c r="M24" s="35">
        <f t="shared" si="1"/>
        <v>0</v>
      </c>
      <c r="N24" s="35">
        <f t="shared" si="1"/>
        <v>0</v>
      </c>
      <c r="O24" s="35">
        <f t="shared" si="1"/>
        <v>0</v>
      </c>
      <c r="P24" s="35">
        <f t="shared" si="1"/>
        <v>0</v>
      </c>
      <c r="Q24" s="35">
        <f t="shared" si="1"/>
        <v>0</v>
      </c>
      <c r="R24" s="35">
        <f t="shared" si="1"/>
        <v>0</v>
      </c>
      <c r="S24" s="35">
        <f t="shared" si="1"/>
        <v>0</v>
      </c>
      <c r="T24" s="35">
        <f t="shared" si="1"/>
        <v>0</v>
      </c>
      <c r="U24" s="35">
        <f t="shared" si="1"/>
        <v>0</v>
      </c>
    </row>
    <row r="25" spans="1:21" ht="13.5">
      <c r="A25" s="39" t="s">
        <v>98</v>
      </c>
      <c r="B25" s="36">
        <f>B19</f>
        <v>6.4000000000000003E-3</v>
      </c>
      <c r="C25" s="3">
        <f t="shared" ref="C25:R40" si="2">PRODUCT(C$24,$B25)</f>
        <v>4.0960000000000001E-5</v>
      </c>
      <c r="D25" s="3">
        <f t="shared" si="2"/>
        <v>8.1920000000000007E-4</v>
      </c>
      <c r="E25" s="3">
        <f t="shared" si="2"/>
        <v>4.2188800000000021E-3</v>
      </c>
      <c r="F25" s="3">
        <f t="shared" si="2"/>
        <v>1.2288000000000002E-3</v>
      </c>
      <c r="G25" s="3">
        <f t="shared" si="2"/>
        <v>9.2159999999999999E-5</v>
      </c>
      <c r="H25" s="3">
        <f t="shared" si="2"/>
        <v>0</v>
      </c>
      <c r="I25" s="3">
        <f t="shared" si="2"/>
        <v>0</v>
      </c>
      <c r="J25" s="3">
        <f t="shared" si="2"/>
        <v>0</v>
      </c>
      <c r="K25" s="3">
        <f t="shared" si="2"/>
        <v>0</v>
      </c>
      <c r="L25" s="3">
        <f t="shared" si="2"/>
        <v>0</v>
      </c>
      <c r="M25" s="3">
        <f t="shared" si="2"/>
        <v>0</v>
      </c>
      <c r="N25" s="3">
        <f t="shared" si="2"/>
        <v>0</v>
      </c>
      <c r="O25" s="3">
        <f t="shared" si="2"/>
        <v>0</v>
      </c>
      <c r="P25" s="3">
        <f t="shared" si="2"/>
        <v>0</v>
      </c>
      <c r="Q25" s="3">
        <f t="shared" si="2"/>
        <v>0</v>
      </c>
      <c r="R25" s="3">
        <f t="shared" si="2"/>
        <v>0</v>
      </c>
      <c r="S25" s="3">
        <f t="shared" ref="M25:U40" si="3">PRODUCT(S$24,$B25)</f>
        <v>0</v>
      </c>
      <c r="T25" s="3">
        <f t="shared" si="3"/>
        <v>0</v>
      </c>
      <c r="U25" s="3">
        <f t="shared" si="3"/>
        <v>0</v>
      </c>
    </row>
    <row r="26" spans="1:21">
      <c r="A26" s="38">
        <v>1</v>
      </c>
      <c r="B26" s="36">
        <f>C19</f>
        <v>0.128</v>
      </c>
      <c r="C26" s="3">
        <f t="shared" si="2"/>
        <v>8.1920000000000007E-4</v>
      </c>
      <c r="D26" s="3">
        <f t="shared" si="2"/>
        <v>1.6383999999999999E-2</v>
      </c>
      <c r="E26" s="3">
        <f t="shared" si="2"/>
        <v>8.4377600000000025E-2</v>
      </c>
      <c r="F26" s="3">
        <f t="shared" si="2"/>
        <v>2.4576000000000001E-2</v>
      </c>
      <c r="G26" s="3">
        <f t="shared" si="2"/>
        <v>1.8431999999999999E-3</v>
      </c>
      <c r="H26" s="3">
        <f t="shared" si="2"/>
        <v>0</v>
      </c>
      <c r="I26" s="3">
        <f t="shared" si="2"/>
        <v>0</v>
      </c>
      <c r="J26" s="3">
        <f t="shared" si="2"/>
        <v>0</v>
      </c>
      <c r="K26" s="3">
        <f t="shared" si="2"/>
        <v>0</v>
      </c>
      <c r="L26" s="3">
        <f t="shared" si="2"/>
        <v>0</v>
      </c>
      <c r="M26" s="3">
        <f t="shared" si="3"/>
        <v>0</v>
      </c>
      <c r="N26" s="3">
        <f t="shared" si="3"/>
        <v>0</v>
      </c>
      <c r="O26" s="3">
        <f t="shared" si="3"/>
        <v>0</v>
      </c>
      <c r="P26" s="3">
        <f t="shared" si="3"/>
        <v>0</v>
      </c>
      <c r="Q26" s="3">
        <f t="shared" si="3"/>
        <v>0</v>
      </c>
      <c r="R26" s="3">
        <f t="shared" si="3"/>
        <v>0</v>
      </c>
      <c r="S26" s="3">
        <f t="shared" si="3"/>
        <v>0</v>
      </c>
      <c r="T26" s="3">
        <f t="shared" si="3"/>
        <v>0</v>
      </c>
      <c r="U26" s="3">
        <f t="shared" si="3"/>
        <v>0</v>
      </c>
    </row>
    <row r="27" spans="1:21">
      <c r="A27" s="38">
        <v>2</v>
      </c>
      <c r="B27" s="36">
        <f>D19</f>
        <v>0.65920000000000023</v>
      </c>
      <c r="C27" s="3">
        <f t="shared" si="2"/>
        <v>4.2188800000000021E-3</v>
      </c>
      <c r="D27" s="3">
        <f t="shared" si="2"/>
        <v>8.4377600000000025E-2</v>
      </c>
      <c r="E27" s="3">
        <f t="shared" si="2"/>
        <v>0.43454464000000032</v>
      </c>
      <c r="F27" s="3">
        <f t="shared" si="2"/>
        <v>0.12656640000000005</v>
      </c>
      <c r="G27" s="3">
        <f t="shared" si="2"/>
        <v>9.4924800000000028E-3</v>
      </c>
      <c r="H27" s="3">
        <f t="shared" si="2"/>
        <v>0</v>
      </c>
      <c r="I27" s="3">
        <f t="shared" si="2"/>
        <v>0</v>
      </c>
      <c r="J27" s="3">
        <f t="shared" si="2"/>
        <v>0</v>
      </c>
      <c r="K27" s="3">
        <f t="shared" si="2"/>
        <v>0</v>
      </c>
      <c r="L27" s="3">
        <f t="shared" si="2"/>
        <v>0</v>
      </c>
      <c r="M27" s="3">
        <f t="shared" si="3"/>
        <v>0</v>
      </c>
      <c r="N27" s="3">
        <f t="shared" si="3"/>
        <v>0</v>
      </c>
      <c r="O27" s="3">
        <f t="shared" si="3"/>
        <v>0</v>
      </c>
      <c r="P27" s="3">
        <f t="shared" si="3"/>
        <v>0</v>
      </c>
      <c r="Q27" s="3">
        <f t="shared" si="3"/>
        <v>0</v>
      </c>
      <c r="R27" s="3">
        <f t="shared" si="3"/>
        <v>0</v>
      </c>
      <c r="S27" s="3">
        <f t="shared" si="3"/>
        <v>0</v>
      </c>
      <c r="T27" s="3">
        <f t="shared" si="3"/>
        <v>0</v>
      </c>
      <c r="U27" s="3">
        <f t="shared" si="3"/>
        <v>0</v>
      </c>
    </row>
    <row r="28" spans="1:21">
      <c r="A28" s="38">
        <v>3</v>
      </c>
      <c r="B28" s="36">
        <f>E19</f>
        <v>0.192</v>
      </c>
      <c r="C28" s="3">
        <f t="shared" si="2"/>
        <v>1.2288000000000002E-3</v>
      </c>
      <c r="D28" s="3">
        <f t="shared" si="2"/>
        <v>2.4576000000000001E-2</v>
      </c>
      <c r="E28" s="3">
        <f t="shared" si="2"/>
        <v>0.12656640000000005</v>
      </c>
      <c r="F28" s="3">
        <f t="shared" si="2"/>
        <v>3.6864000000000001E-2</v>
      </c>
      <c r="G28" s="3">
        <f t="shared" si="2"/>
        <v>2.7648E-3</v>
      </c>
      <c r="H28" s="3">
        <f t="shared" si="2"/>
        <v>0</v>
      </c>
      <c r="I28" s="3">
        <f t="shared" si="2"/>
        <v>0</v>
      </c>
      <c r="J28" s="3">
        <f t="shared" si="2"/>
        <v>0</v>
      </c>
      <c r="K28" s="3">
        <f t="shared" si="2"/>
        <v>0</v>
      </c>
      <c r="L28" s="3">
        <f t="shared" si="2"/>
        <v>0</v>
      </c>
      <c r="M28" s="3">
        <f t="shared" si="3"/>
        <v>0</v>
      </c>
      <c r="N28" s="3">
        <f t="shared" si="3"/>
        <v>0</v>
      </c>
      <c r="O28" s="3">
        <f t="shared" si="3"/>
        <v>0</v>
      </c>
      <c r="P28" s="3">
        <f t="shared" si="3"/>
        <v>0</v>
      </c>
      <c r="Q28" s="3">
        <f t="shared" si="3"/>
        <v>0</v>
      </c>
      <c r="R28" s="3">
        <f t="shared" si="3"/>
        <v>0</v>
      </c>
      <c r="S28" s="3">
        <f t="shared" si="3"/>
        <v>0</v>
      </c>
      <c r="T28" s="3">
        <f t="shared" si="3"/>
        <v>0</v>
      </c>
      <c r="U28" s="3">
        <f t="shared" si="3"/>
        <v>0</v>
      </c>
    </row>
    <row r="29" spans="1:21">
      <c r="A29" s="38">
        <v>4</v>
      </c>
      <c r="B29" s="36">
        <f>F19</f>
        <v>1.44E-2</v>
      </c>
      <c r="C29" s="3">
        <f t="shared" si="2"/>
        <v>9.2159999999999999E-5</v>
      </c>
      <c r="D29" s="3">
        <f t="shared" si="2"/>
        <v>1.8431999999999999E-3</v>
      </c>
      <c r="E29" s="3">
        <f t="shared" si="2"/>
        <v>9.4924800000000028E-3</v>
      </c>
      <c r="F29" s="3">
        <f t="shared" si="2"/>
        <v>2.7648E-3</v>
      </c>
      <c r="G29" s="3">
        <f t="shared" si="2"/>
        <v>2.0735999999999999E-4</v>
      </c>
      <c r="H29" s="3">
        <f t="shared" si="2"/>
        <v>0</v>
      </c>
      <c r="I29" s="3">
        <f t="shared" si="2"/>
        <v>0</v>
      </c>
      <c r="J29" s="3">
        <f t="shared" si="2"/>
        <v>0</v>
      </c>
      <c r="K29" s="3">
        <f t="shared" si="2"/>
        <v>0</v>
      </c>
      <c r="L29" s="3">
        <f t="shared" si="2"/>
        <v>0</v>
      </c>
      <c r="M29" s="3">
        <f t="shared" si="3"/>
        <v>0</v>
      </c>
      <c r="N29" s="3">
        <f t="shared" si="3"/>
        <v>0</v>
      </c>
      <c r="O29" s="3">
        <f t="shared" si="3"/>
        <v>0</v>
      </c>
      <c r="P29" s="3">
        <f t="shared" si="3"/>
        <v>0</v>
      </c>
      <c r="Q29" s="3">
        <f t="shared" si="3"/>
        <v>0</v>
      </c>
      <c r="R29" s="3">
        <f t="shared" si="3"/>
        <v>0</v>
      </c>
      <c r="S29" s="3">
        <f t="shared" si="3"/>
        <v>0</v>
      </c>
      <c r="T29" s="3">
        <f t="shared" si="3"/>
        <v>0</v>
      </c>
      <c r="U29" s="3">
        <f t="shared" si="3"/>
        <v>0</v>
      </c>
    </row>
    <row r="30" spans="1:21">
      <c r="A30" s="38">
        <v>5</v>
      </c>
      <c r="B30" s="36">
        <f>G19</f>
        <v>0</v>
      </c>
      <c r="C30" s="3">
        <f t="shared" si="2"/>
        <v>0</v>
      </c>
      <c r="D30" s="3">
        <f t="shared" si="2"/>
        <v>0</v>
      </c>
      <c r="E30" s="3">
        <f t="shared" si="2"/>
        <v>0</v>
      </c>
      <c r="F30" s="3">
        <f t="shared" si="2"/>
        <v>0</v>
      </c>
      <c r="G30" s="3">
        <f t="shared" si="2"/>
        <v>0</v>
      </c>
      <c r="H30" s="3">
        <f t="shared" si="2"/>
        <v>0</v>
      </c>
      <c r="I30" s="3">
        <f t="shared" si="2"/>
        <v>0</v>
      </c>
      <c r="J30" s="3">
        <f t="shared" si="2"/>
        <v>0</v>
      </c>
      <c r="K30" s="3">
        <f t="shared" si="2"/>
        <v>0</v>
      </c>
      <c r="L30" s="3">
        <f t="shared" si="2"/>
        <v>0</v>
      </c>
      <c r="M30" s="3">
        <f t="shared" si="3"/>
        <v>0</v>
      </c>
      <c r="N30" s="3">
        <f t="shared" si="3"/>
        <v>0</v>
      </c>
      <c r="O30" s="3">
        <f t="shared" si="3"/>
        <v>0</v>
      </c>
      <c r="P30" s="3">
        <f t="shared" si="3"/>
        <v>0</v>
      </c>
      <c r="Q30" s="3">
        <f t="shared" si="3"/>
        <v>0</v>
      </c>
      <c r="R30" s="3">
        <f t="shared" si="3"/>
        <v>0</v>
      </c>
      <c r="S30" s="3">
        <f t="shared" si="3"/>
        <v>0</v>
      </c>
      <c r="T30" s="3">
        <f t="shared" si="3"/>
        <v>0</v>
      </c>
      <c r="U30" s="3">
        <f t="shared" si="3"/>
        <v>0</v>
      </c>
    </row>
    <row r="31" spans="1:21">
      <c r="A31" s="38">
        <v>6</v>
      </c>
      <c r="B31" s="36">
        <f>H19</f>
        <v>0</v>
      </c>
      <c r="C31" s="3">
        <f t="shared" si="2"/>
        <v>0</v>
      </c>
      <c r="D31" s="3">
        <f t="shared" si="2"/>
        <v>0</v>
      </c>
      <c r="E31" s="3">
        <f t="shared" si="2"/>
        <v>0</v>
      </c>
      <c r="F31" s="3">
        <f t="shared" si="2"/>
        <v>0</v>
      </c>
      <c r="G31" s="3">
        <f t="shared" si="2"/>
        <v>0</v>
      </c>
      <c r="H31" s="3">
        <f t="shared" si="2"/>
        <v>0</v>
      </c>
      <c r="I31" s="3">
        <f t="shared" si="2"/>
        <v>0</v>
      </c>
      <c r="J31" s="3">
        <f t="shared" si="2"/>
        <v>0</v>
      </c>
      <c r="K31" s="3">
        <f t="shared" si="2"/>
        <v>0</v>
      </c>
      <c r="L31" s="3">
        <f t="shared" si="2"/>
        <v>0</v>
      </c>
      <c r="M31" s="3">
        <f t="shared" si="3"/>
        <v>0</v>
      </c>
      <c r="N31" s="3">
        <f t="shared" si="3"/>
        <v>0</v>
      </c>
      <c r="O31" s="3">
        <f t="shared" si="3"/>
        <v>0</v>
      </c>
      <c r="P31" s="3">
        <f t="shared" si="3"/>
        <v>0</v>
      </c>
      <c r="Q31" s="3">
        <f t="shared" si="3"/>
        <v>0</v>
      </c>
      <c r="R31" s="3">
        <f t="shared" si="3"/>
        <v>0</v>
      </c>
      <c r="S31" s="3">
        <f t="shared" si="3"/>
        <v>0</v>
      </c>
      <c r="T31" s="3">
        <f t="shared" si="3"/>
        <v>0</v>
      </c>
      <c r="U31" s="3">
        <f t="shared" si="3"/>
        <v>0</v>
      </c>
    </row>
    <row r="32" spans="1:21">
      <c r="A32" s="38">
        <v>7</v>
      </c>
      <c r="B32" s="36">
        <f>I19</f>
        <v>0</v>
      </c>
      <c r="C32" s="3">
        <f t="shared" si="2"/>
        <v>0</v>
      </c>
      <c r="D32" s="3">
        <f t="shared" si="2"/>
        <v>0</v>
      </c>
      <c r="E32" s="3">
        <f t="shared" si="2"/>
        <v>0</v>
      </c>
      <c r="F32" s="3">
        <f t="shared" si="2"/>
        <v>0</v>
      </c>
      <c r="G32" s="3">
        <f t="shared" si="2"/>
        <v>0</v>
      </c>
      <c r="H32" s="3">
        <f t="shared" si="2"/>
        <v>0</v>
      </c>
      <c r="I32" s="3">
        <f t="shared" si="2"/>
        <v>0</v>
      </c>
      <c r="J32" s="3">
        <f t="shared" si="2"/>
        <v>0</v>
      </c>
      <c r="K32" s="3">
        <f t="shared" si="2"/>
        <v>0</v>
      </c>
      <c r="L32" s="3">
        <f t="shared" si="2"/>
        <v>0</v>
      </c>
      <c r="M32" s="3">
        <f t="shared" si="3"/>
        <v>0</v>
      </c>
      <c r="N32" s="3">
        <f t="shared" si="3"/>
        <v>0</v>
      </c>
      <c r="O32" s="3">
        <f t="shared" si="3"/>
        <v>0</v>
      </c>
      <c r="P32" s="3">
        <f t="shared" si="3"/>
        <v>0</v>
      </c>
      <c r="Q32" s="3">
        <f t="shared" si="3"/>
        <v>0</v>
      </c>
      <c r="R32" s="3">
        <f t="shared" si="3"/>
        <v>0</v>
      </c>
      <c r="S32" s="3">
        <f t="shared" si="3"/>
        <v>0</v>
      </c>
      <c r="T32" s="3">
        <f t="shared" si="3"/>
        <v>0</v>
      </c>
      <c r="U32" s="3">
        <f t="shared" si="3"/>
        <v>0</v>
      </c>
    </row>
    <row r="33" spans="1:38">
      <c r="A33" s="38">
        <v>8</v>
      </c>
      <c r="B33" s="36">
        <f>J19</f>
        <v>0</v>
      </c>
      <c r="C33" s="3">
        <f t="shared" si="2"/>
        <v>0</v>
      </c>
      <c r="D33" s="3">
        <f t="shared" si="2"/>
        <v>0</v>
      </c>
      <c r="E33" s="3">
        <f t="shared" si="2"/>
        <v>0</v>
      </c>
      <c r="F33" s="3">
        <f t="shared" si="2"/>
        <v>0</v>
      </c>
      <c r="G33" s="3">
        <f t="shared" si="2"/>
        <v>0</v>
      </c>
      <c r="H33" s="3">
        <f t="shared" si="2"/>
        <v>0</v>
      </c>
      <c r="I33" s="3">
        <f t="shared" si="2"/>
        <v>0</v>
      </c>
      <c r="J33" s="3">
        <f t="shared" si="2"/>
        <v>0</v>
      </c>
      <c r="K33" s="3">
        <f t="shared" si="2"/>
        <v>0</v>
      </c>
      <c r="L33" s="3">
        <f t="shared" si="2"/>
        <v>0</v>
      </c>
      <c r="M33" s="3">
        <f t="shared" si="3"/>
        <v>0</v>
      </c>
      <c r="N33" s="3">
        <f t="shared" si="3"/>
        <v>0</v>
      </c>
      <c r="O33" s="3">
        <f t="shared" si="3"/>
        <v>0</v>
      </c>
      <c r="P33" s="3">
        <f t="shared" si="3"/>
        <v>0</v>
      </c>
      <c r="Q33" s="3">
        <f t="shared" si="3"/>
        <v>0</v>
      </c>
      <c r="R33" s="3">
        <f t="shared" si="3"/>
        <v>0</v>
      </c>
      <c r="S33" s="3">
        <f t="shared" si="3"/>
        <v>0</v>
      </c>
      <c r="T33" s="3">
        <f t="shared" si="3"/>
        <v>0</v>
      </c>
      <c r="U33" s="3">
        <f t="shared" si="3"/>
        <v>0</v>
      </c>
    </row>
    <row r="34" spans="1:38">
      <c r="A34" s="38">
        <v>9</v>
      </c>
      <c r="B34" s="36">
        <f>K19</f>
        <v>0</v>
      </c>
      <c r="C34" s="3">
        <f t="shared" si="2"/>
        <v>0</v>
      </c>
      <c r="D34" s="3">
        <f t="shared" si="2"/>
        <v>0</v>
      </c>
      <c r="E34" s="3">
        <f t="shared" si="2"/>
        <v>0</v>
      </c>
      <c r="F34" s="3">
        <f t="shared" si="2"/>
        <v>0</v>
      </c>
      <c r="G34" s="3">
        <f t="shared" si="2"/>
        <v>0</v>
      </c>
      <c r="H34" s="3">
        <f t="shared" si="2"/>
        <v>0</v>
      </c>
      <c r="I34" s="3">
        <f t="shared" si="2"/>
        <v>0</v>
      </c>
      <c r="J34" s="3">
        <f t="shared" si="2"/>
        <v>0</v>
      </c>
      <c r="K34" s="3">
        <f t="shared" si="2"/>
        <v>0</v>
      </c>
      <c r="L34" s="3">
        <f t="shared" si="2"/>
        <v>0</v>
      </c>
      <c r="M34" s="3">
        <f t="shared" si="3"/>
        <v>0</v>
      </c>
      <c r="N34" s="3">
        <f t="shared" si="3"/>
        <v>0</v>
      </c>
      <c r="O34" s="3">
        <f t="shared" si="3"/>
        <v>0</v>
      </c>
      <c r="P34" s="3">
        <f t="shared" si="3"/>
        <v>0</v>
      </c>
      <c r="Q34" s="3">
        <f t="shared" si="3"/>
        <v>0</v>
      </c>
      <c r="R34" s="3">
        <f t="shared" si="3"/>
        <v>0</v>
      </c>
      <c r="S34" s="3">
        <f t="shared" si="3"/>
        <v>0</v>
      </c>
      <c r="T34" s="3">
        <f t="shared" si="3"/>
        <v>0</v>
      </c>
      <c r="U34" s="3">
        <f t="shared" si="3"/>
        <v>0</v>
      </c>
    </row>
    <row r="35" spans="1:38">
      <c r="A35" s="38">
        <v>10</v>
      </c>
      <c r="B35" s="36">
        <f>L19</f>
        <v>0</v>
      </c>
      <c r="C35" s="3">
        <f t="shared" si="2"/>
        <v>0</v>
      </c>
      <c r="D35" s="3">
        <f t="shared" si="2"/>
        <v>0</v>
      </c>
      <c r="E35" s="3">
        <f t="shared" si="2"/>
        <v>0</v>
      </c>
      <c r="F35" s="3">
        <f t="shared" si="2"/>
        <v>0</v>
      </c>
      <c r="G35" s="3">
        <f t="shared" si="2"/>
        <v>0</v>
      </c>
      <c r="H35" s="3">
        <f t="shared" si="2"/>
        <v>0</v>
      </c>
      <c r="I35" s="3">
        <f t="shared" si="2"/>
        <v>0</v>
      </c>
      <c r="J35" s="3">
        <f t="shared" si="2"/>
        <v>0</v>
      </c>
      <c r="K35" s="3">
        <f t="shared" si="2"/>
        <v>0</v>
      </c>
      <c r="L35" s="3">
        <f t="shared" si="2"/>
        <v>0</v>
      </c>
      <c r="M35" s="3">
        <f t="shared" si="3"/>
        <v>0</v>
      </c>
      <c r="N35" s="3">
        <f t="shared" si="3"/>
        <v>0</v>
      </c>
      <c r="O35" s="3">
        <f t="shared" si="3"/>
        <v>0</v>
      </c>
      <c r="P35" s="3">
        <f t="shared" si="3"/>
        <v>0</v>
      </c>
      <c r="Q35" s="3">
        <f t="shared" si="3"/>
        <v>0</v>
      </c>
      <c r="R35" s="3">
        <f t="shared" si="3"/>
        <v>0</v>
      </c>
      <c r="S35" s="3">
        <f t="shared" si="3"/>
        <v>0</v>
      </c>
      <c r="T35" s="3">
        <f t="shared" si="3"/>
        <v>0</v>
      </c>
      <c r="U35" s="3">
        <f t="shared" si="3"/>
        <v>0</v>
      </c>
    </row>
    <row r="36" spans="1:38">
      <c r="A36" s="38">
        <v>11</v>
      </c>
      <c r="B36" s="36">
        <f>M19</f>
        <v>0</v>
      </c>
      <c r="C36" s="3">
        <f t="shared" si="2"/>
        <v>0</v>
      </c>
      <c r="D36" s="3">
        <f t="shared" si="2"/>
        <v>0</v>
      </c>
      <c r="E36" s="3">
        <f t="shared" si="2"/>
        <v>0</v>
      </c>
      <c r="F36" s="3">
        <f t="shared" si="2"/>
        <v>0</v>
      </c>
      <c r="G36" s="3">
        <f t="shared" si="2"/>
        <v>0</v>
      </c>
      <c r="H36" s="3">
        <f t="shared" si="2"/>
        <v>0</v>
      </c>
      <c r="I36" s="3">
        <f t="shared" si="2"/>
        <v>0</v>
      </c>
      <c r="J36" s="3">
        <f t="shared" si="2"/>
        <v>0</v>
      </c>
      <c r="K36" s="3">
        <f t="shared" si="2"/>
        <v>0</v>
      </c>
      <c r="L36" s="3">
        <f t="shared" si="2"/>
        <v>0</v>
      </c>
      <c r="M36" s="3">
        <f t="shared" si="3"/>
        <v>0</v>
      </c>
      <c r="N36" s="3">
        <f t="shared" si="3"/>
        <v>0</v>
      </c>
      <c r="O36" s="3">
        <f t="shared" si="3"/>
        <v>0</v>
      </c>
      <c r="P36" s="3">
        <f t="shared" si="3"/>
        <v>0</v>
      </c>
      <c r="Q36" s="3">
        <f t="shared" si="3"/>
        <v>0</v>
      </c>
      <c r="R36" s="3">
        <f t="shared" si="3"/>
        <v>0</v>
      </c>
      <c r="S36" s="3">
        <f t="shared" si="3"/>
        <v>0</v>
      </c>
      <c r="T36" s="3">
        <f t="shared" si="3"/>
        <v>0</v>
      </c>
      <c r="U36" s="3">
        <f t="shared" si="3"/>
        <v>0</v>
      </c>
    </row>
    <row r="37" spans="1:38">
      <c r="A37" s="38">
        <v>12</v>
      </c>
      <c r="B37" s="36">
        <f>N19</f>
        <v>0</v>
      </c>
      <c r="C37" s="3">
        <f t="shared" si="2"/>
        <v>0</v>
      </c>
      <c r="D37" s="3">
        <f t="shared" si="2"/>
        <v>0</v>
      </c>
      <c r="E37" s="3">
        <f t="shared" si="2"/>
        <v>0</v>
      </c>
      <c r="F37" s="3">
        <f t="shared" si="2"/>
        <v>0</v>
      </c>
      <c r="G37" s="3">
        <f t="shared" si="2"/>
        <v>0</v>
      </c>
      <c r="H37" s="3">
        <f t="shared" si="2"/>
        <v>0</v>
      </c>
      <c r="I37" s="3">
        <f t="shared" si="2"/>
        <v>0</v>
      </c>
      <c r="J37" s="3">
        <f t="shared" si="2"/>
        <v>0</v>
      </c>
      <c r="K37" s="3">
        <f t="shared" si="2"/>
        <v>0</v>
      </c>
      <c r="L37" s="3">
        <f t="shared" si="2"/>
        <v>0</v>
      </c>
      <c r="M37" s="3">
        <f t="shared" si="3"/>
        <v>0</v>
      </c>
      <c r="N37" s="3">
        <f t="shared" si="3"/>
        <v>0</v>
      </c>
      <c r="O37" s="3">
        <f t="shared" si="3"/>
        <v>0</v>
      </c>
      <c r="P37" s="3">
        <f t="shared" si="3"/>
        <v>0</v>
      </c>
      <c r="Q37" s="3">
        <f t="shared" si="3"/>
        <v>0</v>
      </c>
      <c r="R37" s="3">
        <f t="shared" si="3"/>
        <v>0</v>
      </c>
      <c r="S37" s="3">
        <f t="shared" si="3"/>
        <v>0</v>
      </c>
      <c r="T37" s="3">
        <f t="shared" si="3"/>
        <v>0</v>
      </c>
      <c r="U37" s="3">
        <f t="shared" si="3"/>
        <v>0</v>
      </c>
    </row>
    <row r="38" spans="1:38">
      <c r="A38" s="38">
        <v>13</v>
      </c>
      <c r="B38" s="36">
        <f>O19</f>
        <v>0</v>
      </c>
      <c r="C38" s="3">
        <f t="shared" si="2"/>
        <v>0</v>
      </c>
      <c r="D38" s="3">
        <f t="shared" si="2"/>
        <v>0</v>
      </c>
      <c r="E38" s="3">
        <f t="shared" si="2"/>
        <v>0</v>
      </c>
      <c r="F38" s="3">
        <f t="shared" si="2"/>
        <v>0</v>
      </c>
      <c r="G38" s="3">
        <f t="shared" si="2"/>
        <v>0</v>
      </c>
      <c r="H38" s="3">
        <f t="shared" si="2"/>
        <v>0</v>
      </c>
      <c r="I38" s="3">
        <f t="shared" si="2"/>
        <v>0</v>
      </c>
      <c r="J38" s="3">
        <f t="shared" si="2"/>
        <v>0</v>
      </c>
      <c r="K38" s="3">
        <f t="shared" si="2"/>
        <v>0</v>
      </c>
      <c r="L38" s="3">
        <f t="shared" si="2"/>
        <v>0</v>
      </c>
      <c r="M38" s="3">
        <f t="shared" si="3"/>
        <v>0</v>
      </c>
      <c r="N38" s="3">
        <f t="shared" si="3"/>
        <v>0</v>
      </c>
      <c r="O38" s="3">
        <f t="shared" si="3"/>
        <v>0</v>
      </c>
      <c r="P38" s="3">
        <f t="shared" si="3"/>
        <v>0</v>
      </c>
      <c r="Q38" s="3">
        <f t="shared" si="3"/>
        <v>0</v>
      </c>
      <c r="R38" s="3">
        <f t="shared" si="3"/>
        <v>0</v>
      </c>
      <c r="S38" s="3">
        <f t="shared" si="3"/>
        <v>0</v>
      </c>
      <c r="T38" s="3">
        <f t="shared" si="3"/>
        <v>0</v>
      </c>
      <c r="U38" s="3">
        <f t="shared" si="3"/>
        <v>0</v>
      </c>
    </row>
    <row r="39" spans="1:38">
      <c r="A39" s="38">
        <v>14</v>
      </c>
      <c r="B39" s="36">
        <f>P19</f>
        <v>0</v>
      </c>
      <c r="C39" s="3">
        <f t="shared" si="2"/>
        <v>0</v>
      </c>
      <c r="D39" s="3">
        <f t="shared" si="2"/>
        <v>0</v>
      </c>
      <c r="E39" s="3">
        <f t="shared" si="2"/>
        <v>0</v>
      </c>
      <c r="F39" s="3">
        <f t="shared" si="2"/>
        <v>0</v>
      </c>
      <c r="G39" s="3">
        <f t="shared" si="2"/>
        <v>0</v>
      </c>
      <c r="H39" s="3">
        <f t="shared" si="2"/>
        <v>0</v>
      </c>
      <c r="I39" s="3">
        <f t="shared" si="2"/>
        <v>0</v>
      </c>
      <c r="J39" s="3">
        <f t="shared" si="2"/>
        <v>0</v>
      </c>
      <c r="K39" s="3">
        <f t="shared" si="2"/>
        <v>0</v>
      </c>
      <c r="L39" s="3">
        <f t="shared" si="2"/>
        <v>0</v>
      </c>
      <c r="M39" s="3">
        <f t="shared" si="3"/>
        <v>0</v>
      </c>
      <c r="N39" s="3">
        <f t="shared" si="3"/>
        <v>0</v>
      </c>
      <c r="O39" s="3">
        <f t="shared" si="3"/>
        <v>0</v>
      </c>
      <c r="P39" s="3">
        <f t="shared" si="3"/>
        <v>0</v>
      </c>
      <c r="Q39" s="3">
        <f t="shared" si="3"/>
        <v>0</v>
      </c>
      <c r="R39" s="3">
        <f t="shared" si="3"/>
        <v>0</v>
      </c>
      <c r="S39" s="3">
        <f t="shared" si="3"/>
        <v>0</v>
      </c>
      <c r="T39" s="3">
        <f t="shared" si="3"/>
        <v>0</v>
      </c>
      <c r="U39" s="3">
        <f t="shared" si="3"/>
        <v>0</v>
      </c>
    </row>
    <row r="40" spans="1:38">
      <c r="A40" s="38">
        <v>15</v>
      </c>
      <c r="B40" s="36">
        <f>Q19</f>
        <v>0</v>
      </c>
      <c r="C40" s="3">
        <f t="shared" si="2"/>
        <v>0</v>
      </c>
      <c r="D40" s="3">
        <f t="shared" si="2"/>
        <v>0</v>
      </c>
      <c r="E40" s="3">
        <f t="shared" si="2"/>
        <v>0</v>
      </c>
      <c r="F40" s="3">
        <f t="shared" si="2"/>
        <v>0</v>
      </c>
      <c r="G40" s="3">
        <f t="shared" si="2"/>
        <v>0</v>
      </c>
      <c r="H40" s="3">
        <f t="shared" si="2"/>
        <v>0</v>
      </c>
      <c r="I40" s="3">
        <f t="shared" si="2"/>
        <v>0</v>
      </c>
      <c r="J40" s="3">
        <f t="shared" si="2"/>
        <v>0</v>
      </c>
      <c r="K40" s="3">
        <f t="shared" si="2"/>
        <v>0</v>
      </c>
      <c r="L40" s="3">
        <f t="shared" si="2"/>
        <v>0</v>
      </c>
      <c r="M40" s="3">
        <f t="shared" si="3"/>
        <v>0</v>
      </c>
      <c r="N40" s="3">
        <f t="shared" si="3"/>
        <v>0</v>
      </c>
      <c r="O40" s="3">
        <f t="shared" si="3"/>
        <v>0</v>
      </c>
      <c r="P40" s="3">
        <f t="shared" si="3"/>
        <v>0</v>
      </c>
      <c r="Q40" s="3">
        <f t="shared" si="3"/>
        <v>0</v>
      </c>
      <c r="R40" s="3">
        <f t="shared" si="3"/>
        <v>0</v>
      </c>
      <c r="S40" s="3">
        <f t="shared" si="3"/>
        <v>0</v>
      </c>
      <c r="T40" s="3">
        <f t="shared" si="3"/>
        <v>0</v>
      </c>
      <c r="U40" s="3">
        <f t="shared" si="3"/>
        <v>0</v>
      </c>
    </row>
    <row r="41" spans="1:38">
      <c r="A41" s="38">
        <v>16</v>
      </c>
      <c r="B41" s="36">
        <f>R19</f>
        <v>0</v>
      </c>
      <c r="C41" s="3">
        <f t="shared" ref="C41:R43" si="4">PRODUCT(C$24,$B41)</f>
        <v>0</v>
      </c>
      <c r="D41" s="3">
        <f t="shared" si="4"/>
        <v>0</v>
      </c>
      <c r="E41" s="3">
        <f t="shared" si="4"/>
        <v>0</v>
      </c>
      <c r="F41" s="3">
        <f t="shared" si="4"/>
        <v>0</v>
      </c>
      <c r="G41" s="3">
        <f t="shared" si="4"/>
        <v>0</v>
      </c>
      <c r="H41" s="3">
        <f t="shared" si="4"/>
        <v>0</v>
      </c>
      <c r="I41" s="3">
        <f t="shared" si="4"/>
        <v>0</v>
      </c>
      <c r="J41" s="3">
        <f t="shared" si="4"/>
        <v>0</v>
      </c>
      <c r="K41" s="3">
        <f t="shared" si="4"/>
        <v>0</v>
      </c>
      <c r="L41" s="3">
        <f t="shared" si="4"/>
        <v>0</v>
      </c>
      <c r="M41" s="3">
        <f t="shared" si="4"/>
        <v>0</v>
      </c>
      <c r="N41" s="3">
        <f t="shared" si="4"/>
        <v>0</v>
      </c>
      <c r="O41" s="3">
        <f t="shared" si="4"/>
        <v>0</v>
      </c>
      <c r="P41" s="3">
        <f t="shared" si="4"/>
        <v>0</v>
      </c>
      <c r="Q41" s="3">
        <f t="shared" si="4"/>
        <v>0</v>
      </c>
      <c r="R41" s="3">
        <f t="shared" si="4"/>
        <v>0</v>
      </c>
      <c r="S41" s="3">
        <f t="shared" ref="S41:U43" si="5">PRODUCT(S$24,$B41)</f>
        <v>0</v>
      </c>
      <c r="T41" s="3">
        <f t="shared" si="5"/>
        <v>0</v>
      </c>
      <c r="U41" s="3">
        <f t="shared" si="5"/>
        <v>0</v>
      </c>
    </row>
    <row r="42" spans="1:38">
      <c r="A42" s="38">
        <v>17</v>
      </c>
      <c r="B42" s="36">
        <f>S19</f>
        <v>0</v>
      </c>
      <c r="C42" s="3">
        <f t="shared" si="4"/>
        <v>0</v>
      </c>
      <c r="D42" s="3">
        <f t="shared" si="4"/>
        <v>0</v>
      </c>
      <c r="E42" s="3">
        <f t="shared" si="4"/>
        <v>0</v>
      </c>
      <c r="F42" s="3">
        <f t="shared" si="4"/>
        <v>0</v>
      </c>
      <c r="G42" s="3">
        <f t="shared" si="4"/>
        <v>0</v>
      </c>
      <c r="H42" s="3">
        <f t="shared" si="4"/>
        <v>0</v>
      </c>
      <c r="I42" s="3">
        <f t="shared" si="4"/>
        <v>0</v>
      </c>
      <c r="J42" s="3">
        <f t="shared" si="4"/>
        <v>0</v>
      </c>
      <c r="K42" s="3">
        <f t="shared" si="4"/>
        <v>0</v>
      </c>
      <c r="L42" s="3">
        <f t="shared" si="4"/>
        <v>0</v>
      </c>
      <c r="M42" s="3">
        <f t="shared" ref="M42:R43" si="6">PRODUCT(M$24,$B42)</f>
        <v>0</v>
      </c>
      <c r="N42" s="3">
        <f t="shared" si="6"/>
        <v>0</v>
      </c>
      <c r="O42" s="3">
        <f t="shared" si="6"/>
        <v>0</v>
      </c>
      <c r="P42" s="3">
        <f t="shared" si="6"/>
        <v>0</v>
      </c>
      <c r="Q42" s="3">
        <f t="shared" si="6"/>
        <v>0</v>
      </c>
      <c r="R42" s="3">
        <f t="shared" si="6"/>
        <v>0</v>
      </c>
      <c r="S42" s="3">
        <f t="shared" si="5"/>
        <v>0</v>
      </c>
      <c r="T42" s="3">
        <f t="shared" si="5"/>
        <v>0</v>
      </c>
      <c r="U42" s="3">
        <f t="shared" si="5"/>
        <v>0</v>
      </c>
    </row>
    <row r="43" spans="1:38">
      <c r="A43" s="38">
        <v>18</v>
      </c>
      <c r="B43" s="36">
        <f>T19</f>
        <v>0</v>
      </c>
      <c r="C43" s="3">
        <f t="shared" si="4"/>
        <v>0</v>
      </c>
      <c r="D43" s="3">
        <f t="shared" si="4"/>
        <v>0</v>
      </c>
      <c r="E43" s="3">
        <f t="shared" si="4"/>
        <v>0</v>
      </c>
      <c r="F43" s="3">
        <f t="shared" si="4"/>
        <v>0</v>
      </c>
      <c r="G43" s="3">
        <f t="shared" si="4"/>
        <v>0</v>
      </c>
      <c r="H43" s="3">
        <f t="shared" si="4"/>
        <v>0</v>
      </c>
      <c r="I43" s="3">
        <f t="shared" si="4"/>
        <v>0</v>
      </c>
      <c r="J43" s="3">
        <f t="shared" si="4"/>
        <v>0</v>
      </c>
      <c r="K43" s="3">
        <f t="shared" si="4"/>
        <v>0</v>
      </c>
      <c r="L43" s="3">
        <f t="shared" si="4"/>
        <v>0</v>
      </c>
      <c r="M43" s="3">
        <f t="shared" si="6"/>
        <v>0</v>
      </c>
      <c r="N43" s="3">
        <f t="shared" si="6"/>
        <v>0</v>
      </c>
      <c r="O43" s="3">
        <f t="shared" si="6"/>
        <v>0</v>
      </c>
      <c r="P43" s="3">
        <f t="shared" si="6"/>
        <v>0</v>
      </c>
      <c r="Q43" s="3">
        <f t="shared" si="6"/>
        <v>0</v>
      </c>
      <c r="R43" s="3">
        <f t="shared" si="6"/>
        <v>0</v>
      </c>
      <c r="S43" s="3">
        <f t="shared" si="5"/>
        <v>0</v>
      </c>
      <c r="T43" s="3">
        <f t="shared" si="5"/>
        <v>0</v>
      </c>
      <c r="U43" s="3">
        <f t="shared" si="5"/>
        <v>0</v>
      </c>
    </row>
    <row r="45" spans="1:38" ht="13.5">
      <c r="B45" s="39" t="s">
        <v>100</v>
      </c>
      <c r="C45" s="31">
        <v>1</v>
      </c>
      <c r="D45" s="31">
        <v>2</v>
      </c>
      <c r="E45" s="31">
        <v>3</v>
      </c>
      <c r="F45" s="31">
        <v>4</v>
      </c>
      <c r="G45" s="31">
        <v>5</v>
      </c>
      <c r="H45" s="31">
        <v>6</v>
      </c>
      <c r="I45" s="31">
        <v>7</v>
      </c>
      <c r="J45" s="31">
        <v>8</v>
      </c>
      <c r="K45" s="31">
        <v>9</v>
      </c>
      <c r="L45" s="31">
        <v>10</v>
      </c>
      <c r="M45" s="31">
        <v>11</v>
      </c>
      <c r="N45" s="31">
        <v>12</v>
      </c>
      <c r="O45" s="31">
        <v>13</v>
      </c>
      <c r="P45" s="31">
        <v>14</v>
      </c>
      <c r="Q45" s="31">
        <v>15</v>
      </c>
      <c r="R45" s="31">
        <v>16</v>
      </c>
      <c r="S45" s="31">
        <v>17</v>
      </c>
      <c r="T45" s="31">
        <v>18</v>
      </c>
      <c r="U45" s="3">
        <v>19</v>
      </c>
      <c r="V45" s="3">
        <v>20</v>
      </c>
      <c r="W45" s="3">
        <v>21</v>
      </c>
      <c r="X45" s="3">
        <v>22</v>
      </c>
      <c r="Y45" s="3">
        <v>23</v>
      </c>
      <c r="Z45" s="3">
        <v>24</v>
      </c>
      <c r="AA45" s="3">
        <v>25</v>
      </c>
      <c r="AB45" s="3">
        <v>26</v>
      </c>
      <c r="AC45" s="3">
        <v>27</v>
      </c>
      <c r="AD45" s="3">
        <v>28</v>
      </c>
      <c r="AE45" s="3">
        <v>29</v>
      </c>
      <c r="AF45" s="3">
        <v>30</v>
      </c>
      <c r="AG45" s="3">
        <v>31</v>
      </c>
      <c r="AH45" s="3">
        <v>32</v>
      </c>
      <c r="AI45" s="3">
        <v>33</v>
      </c>
      <c r="AJ45" s="3">
        <v>34</v>
      </c>
      <c r="AK45" s="3">
        <v>35</v>
      </c>
      <c r="AL45" s="3">
        <v>36</v>
      </c>
    </row>
    <row r="46" spans="1:38" ht="18" customHeight="1">
      <c r="A46" s="32" t="s">
        <v>32</v>
      </c>
      <c r="B46" s="33">
        <f>C25</f>
        <v>4.0960000000000001E-5</v>
      </c>
      <c r="C46" s="33">
        <f>D25+C26</f>
        <v>1.6384000000000001E-3</v>
      </c>
      <c r="D46" s="33">
        <f>E25+D26+C27</f>
        <v>2.4821760000000002E-2</v>
      </c>
      <c r="E46" s="33">
        <f>F25+E26+D27+C28</f>
        <v>0.17121280000000005</v>
      </c>
      <c r="F46" s="33">
        <f>G25+F26+E27+D28+C29</f>
        <v>0.4838809600000003</v>
      </c>
      <c r="G46" s="33">
        <f>H25+G26+F27+E28+D29+C30</f>
        <v>0.25681920000000008</v>
      </c>
      <c r="H46" s="33">
        <f>I25+H26+G27+F28+E29+D30+C31</f>
        <v>5.584896000000001E-2</v>
      </c>
      <c r="I46" s="33">
        <f>J25+I26+H27+G28+F29+E30+D31+C32</f>
        <v>5.5296E-3</v>
      </c>
      <c r="J46" s="33">
        <f>K25+J26+I27+H28+G29+F30+E31+D32+C33</f>
        <v>2.0735999999999999E-4</v>
      </c>
      <c r="K46" s="33">
        <f>L25+K26+J27+I28+H29+G30+F31+E32+D33+C34</f>
        <v>0</v>
      </c>
      <c r="L46" s="33">
        <f>M25+L26+K27+J28+I29+H30+G31+F32+E33+D34+C35</f>
        <v>0</v>
      </c>
      <c r="M46" s="33">
        <f>N25+M26+L27+K28+J29+I30+H31+G32+F33+E34+D35+C36</f>
        <v>0</v>
      </c>
      <c r="N46" s="33">
        <f>O25+N26+M27+L28+K29+J30+I31+H32+G33+F34+E35+D36+C37</f>
        <v>0</v>
      </c>
      <c r="O46" s="33">
        <f>P25+O26+N27+M28+L29+K30+J31+I32+H33+G34+F35+E36+D37+C38</f>
        <v>0</v>
      </c>
      <c r="P46" s="33">
        <f>Q25+P26+O27+N28+M29+L30+K31+J32+I33+H34+G35+F36+E37+D38+C39</f>
        <v>0</v>
      </c>
      <c r="Q46" s="33">
        <f>R25+Q26+P27+O28+N29+M30+L31+K32+J33+I34+H35+G36+F37+E38+D39+C40</f>
        <v>0</v>
      </c>
      <c r="R46" s="33">
        <f>S25+R26+Q27+P28+O29+N30+M31+L32+K33+J34+I35+H36+G37+F38+E39+D40+C41</f>
        <v>0</v>
      </c>
      <c r="S46" s="33">
        <f>SUM(T25,S26,R27,Q28,P29,O30,N31,M32,L33,K34,J35,I36,H37,G38,F39,E40,D41,C42)</f>
        <v>0</v>
      </c>
      <c r="T46" s="33">
        <f>SUM(U25,T26,S27,R28,Q29,P30,O31,N32,M33,L34,K35,J36,I37,H38,G39,F40,E41,D42,C43)</f>
        <v>0</v>
      </c>
      <c r="U46" s="37">
        <f>SUM(U26,T27,S28,R29,Q30,P31,O32,N33,M34,L35,K36,J37,I38,H39,G40,F41,E42,D43)</f>
        <v>0</v>
      </c>
      <c r="V46" s="37">
        <f>SUM(U27,T28,S29,R30,Q31,P32,O33,N34,M35,L36,K37,J38,I39,H40,G41,F42,E43)</f>
        <v>0</v>
      </c>
      <c r="W46" s="37">
        <f>SUM(U28,T29,S30,R31,Q32,P33,O34,N35,M36,L37,K38,J39,I40,H41,G42,F43)</f>
        <v>0</v>
      </c>
      <c r="X46" s="37">
        <f>SUM(G43,H42,I41,J40,K39,L38,M37,N36,O35,P34,Q33,R32,S31,T30,U29)</f>
        <v>0</v>
      </c>
      <c r="Y46" s="37">
        <f>SUM(U30,T31,S32,R33,Q34,P35,O36,N37,M38,L39,K40,J41,I42,H43)</f>
        <v>0</v>
      </c>
      <c r="Z46" s="37">
        <f>SUM(U31,T32,S33,R34,Q35,P36,O37,N38,M39,L40,K41,J42,I43)</f>
        <v>0</v>
      </c>
      <c r="AA46" s="37">
        <f>SUM(U32,T33,S34,R35,Q36,P37,O38,N39,M40,L41,K42,J43)</f>
        <v>0</v>
      </c>
      <c r="AB46" s="37">
        <f>SUM(U33,T34,S35,R36,Q37,P38,O39,N40,M41,L42,K43)</f>
        <v>0</v>
      </c>
      <c r="AC46" s="37">
        <f>SUM(U34,T35,S36,R37,Q38,P39,O40,N41,M42,L43)</f>
        <v>0</v>
      </c>
      <c r="AD46" s="37">
        <f>SUM(U35,T36,S37,R38,Q39,P40,O41,N42,M43)</f>
        <v>0</v>
      </c>
      <c r="AE46" s="37">
        <f>SUM(N43,O42,P41,Q40,R39,S38,T37,U36)</f>
        <v>0</v>
      </c>
      <c r="AF46" s="37">
        <f>SUM(O43,P42,Q41,R40,S39,T38,U37)</f>
        <v>0</v>
      </c>
      <c r="AG46" s="37">
        <f>SUM(P43,Q42,R41,S40,T39,U38)</f>
        <v>0</v>
      </c>
      <c r="AH46" s="37">
        <f>SUM(Q43,R42,S41,T40,U39)</f>
        <v>0</v>
      </c>
      <c r="AI46" s="37">
        <f>SUM(R43,S42,T41,U40)</f>
        <v>0</v>
      </c>
      <c r="AJ46" s="37">
        <f>SUM(S43,T42,U41)</f>
        <v>0</v>
      </c>
      <c r="AK46" s="37">
        <f>SUM(T43,U42)</f>
        <v>0</v>
      </c>
      <c r="AL46" s="37">
        <f>SUM(U43)</f>
        <v>0</v>
      </c>
    </row>
    <row r="47" spans="1:38" ht="18" customHeight="1">
      <c r="A47" s="34" t="s">
        <v>33</v>
      </c>
      <c r="B47" s="33">
        <f>SUM($B46:B46)</f>
        <v>4.0960000000000001E-5</v>
      </c>
      <c r="C47" s="33">
        <f>SUM($B46:C46)</f>
        <v>1.6793600000000002E-3</v>
      </c>
      <c r="D47" s="33">
        <f>SUM($B46:D46)</f>
        <v>2.6501120000000003E-2</v>
      </c>
      <c r="E47" s="33">
        <f>SUM($B46:E46)</f>
        <v>0.19771392000000004</v>
      </c>
      <c r="F47" s="33">
        <f>SUM($B46:F46)</f>
        <v>0.68159488000000035</v>
      </c>
      <c r="G47" s="33">
        <f>SUM($B46:G46)</f>
        <v>0.93841408000000048</v>
      </c>
      <c r="H47" s="33">
        <f>SUM($B46:H46)</f>
        <v>0.99426304000000054</v>
      </c>
      <c r="I47" s="33">
        <f>SUM($B46:I46)</f>
        <v>0.99979264000000057</v>
      </c>
      <c r="J47" s="33">
        <f>SUM($B46:J46)</f>
        <v>1.0000000000000007</v>
      </c>
      <c r="K47" s="33">
        <f>SUM($B46:K46)</f>
        <v>1.0000000000000007</v>
      </c>
      <c r="L47" s="33">
        <f>SUM($B46:L46)</f>
        <v>1.0000000000000007</v>
      </c>
      <c r="M47" s="33">
        <f>SUM($B46:M46)</f>
        <v>1.0000000000000007</v>
      </c>
      <c r="N47" s="33">
        <f>SUM($B46:N46)</f>
        <v>1.0000000000000007</v>
      </c>
      <c r="O47" s="33">
        <f>SUM($B46:O46)</f>
        <v>1.0000000000000007</v>
      </c>
      <c r="P47" s="33">
        <f>SUM($B46:P46)</f>
        <v>1.0000000000000007</v>
      </c>
      <c r="Q47" s="33">
        <f>SUM($B46:Q46)</f>
        <v>1.0000000000000007</v>
      </c>
      <c r="R47" s="33">
        <f>SUM($B46:R46)</f>
        <v>1.0000000000000007</v>
      </c>
      <c r="S47" s="33">
        <f>SUM($B46:S46)</f>
        <v>1.0000000000000007</v>
      </c>
      <c r="T47" s="33">
        <f>SUM($B46:T46)</f>
        <v>1.0000000000000007</v>
      </c>
      <c r="U47" s="33">
        <f>SUM($B46:U46)</f>
        <v>1.0000000000000007</v>
      </c>
      <c r="V47" s="33">
        <f>SUM($B46:V46)</f>
        <v>1.0000000000000007</v>
      </c>
      <c r="W47" s="33">
        <f>SUM($B46:W46)</f>
        <v>1.0000000000000007</v>
      </c>
      <c r="X47" s="33">
        <f>SUM($B46:X46)</f>
        <v>1.0000000000000007</v>
      </c>
      <c r="Y47" s="33">
        <f>SUM($B46:Y46)</f>
        <v>1.0000000000000007</v>
      </c>
      <c r="Z47" s="33">
        <f>SUM($B46:Z46)</f>
        <v>1.0000000000000007</v>
      </c>
      <c r="AA47" s="33">
        <f>SUM($B46:AA46)</f>
        <v>1.0000000000000007</v>
      </c>
      <c r="AB47" s="33">
        <f>SUM($B46:AB46)</f>
        <v>1.0000000000000007</v>
      </c>
      <c r="AC47" s="33">
        <f>SUM($B46:AC46)</f>
        <v>1.0000000000000007</v>
      </c>
      <c r="AD47" s="33">
        <f>SUM($B46:AD46)</f>
        <v>1.0000000000000007</v>
      </c>
      <c r="AE47" s="33">
        <f>SUM($B46:AE46)</f>
        <v>1.0000000000000007</v>
      </c>
      <c r="AF47" s="33">
        <f>SUM($B46:AF46)</f>
        <v>1.0000000000000007</v>
      </c>
      <c r="AG47" s="33">
        <f>SUM($B46:AG46)</f>
        <v>1.0000000000000007</v>
      </c>
      <c r="AH47" s="33">
        <f>SUM($B46:AH46)</f>
        <v>1.0000000000000007</v>
      </c>
      <c r="AI47" s="33">
        <f>SUM($B46:AI46)</f>
        <v>1.0000000000000007</v>
      </c>
      <c r="AJ47" s="33">
        <f>SUM($B46:AJ46)</f>
        <v>1.0000000000000007</v>
      </c>
      <c r="AK47" s="33">
        <f>SUM($B46:AK46)</f>
        <v>1.0000000000000007</v>
      </c>
      <c r="AL47" s="33">
        <f>SUM($B46:AL46)</f>
        <v>1.0000000000000007</v>
      </c>
    </row>
  </sheetData>
  <mergeCells count="2">
    <mergeCell ref="A1:P1"/>
    <mergeCell ref="C3:L3"/>
  </mergeCells>
  <pageMargins left="0.75" right="0.75" top="1" bottom="1" header="0.5" footer="0.5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2DB8F-F5A9-AA49-9D2F-34C9680FDA33}">
  <dimension ref="A1:X33"/>
  <sheetViews>
    <sheetView showGridLines="0" topLeftCell="A12" zoomScale="110" zoomScaleNormal="110" workbookViewId="0">
      <selection activeCell="B12" sqref="B12:Q12"/>
    </sheetView>
  </sheetViews>
  <sheetFormatPr defaultColWidth="9" defaultRowHeight="11.25"/>
  <cols>
    <col min="1" max="1" width="12.42578125" style="18" customWidth="1"/>
    <col min="2" max="7" width="5.42578125" style="18" customWidth="1"/>
    <col min="8" max="8" width="8.85546875" style="18" bestFit="1" customWidth="1"/>
    <col min="9" max="9" width="5.42578125" style="18" customWidth="1"/>
    <col min="10" max="16" width="6.42578125" style="18" customWidth="1"/>
    <col min="17" max="18" width="9.42578125" style="18" customWidth="1"/>
    <col min="19" max="19" width="6.85546875" style="18" customWidth="1"/>
    <col min="20" max="20" width="5" style="18" customWidth="1"/>
    <col min="21" max="21" width="8" style="18" customWidth="1"/>
    <col min="22" max="16384" width="9" style="18"/>
  </cols>
  <sheetData>
    <row r="1" spans="1:24" s="2" customFormat="1" ht="12.75">
      <c r="A1" s="1" t="s">
        <v>66</v>
      </c>
      <c r="G1" s="69"/>
      <c r="O1" s="89" t="s">
        <v>101</v>
      </c>
      <c r="P1" s="89"/>
      <c r="Q1" s="89"/>
      <c r="R1" s="89"/>
      <c r="S1" s="89"/>
    </row>
    <row r="2" spans="1:24" s="3" customFormat="1" ht="12" customHeight="1">
      <c r="A2" s="19" t="s">
        <v>117</v>
      </c>
      <c r="O2" s="89"/>
      <c r="P2" s="89"/>
      <c r="Q2" s="89"/>
      <c r="R2" s="89"/>
      <c r="S2" s="89"/>
      <c r="T2" s="71"/>
    </row>
    <row r="3" spans="1:24" s="3" customFormat="1" ht="12">
      <c r="A3" s="19" t="s">
        <v>34</v>
      </c>
      <c r="O3" s="89"/>
      <c r="P3" s="89"/>
      <c r="Q3" s="89"/>
      <c r="R3" s="89"/>
      <c r="S3" s="89"/>
      <c r="T3" s="71"/>
    </row>
    <row r="4" spans="1:24" ht="12" customHeight="1">
      <c r="A4" s="97" t="s">
        <v>35</v>
      </c>
      <c r="B4" s="99" t="s">
        <v>113</v>
      </c>
      <c r="C4" s="100"/>
      <c r="D4" s="101"/>
      <c r="E4" s="95" t="s">
        <v>36</v>
      </c>
      <c r="F4" s="95"/>
      <c r="G4" s="95"/>
      <c r="H4" s="95"/>
      <c r="I4" s="95"/>
      <c r="K4" s="45" t="s">
        <v>37</v>
      </c>
      <c r="L4" s="46"/>
      <c r="M4" s="46"/>
      <c r="N4" s="46"/>
      <c r="O4" s="46"/>
    </row>
    <row r="5" spans="1:24" ht="22.7" customHeight="1">
      <c r="A5" s="98"/>
      <c r="B5" s="44" t="s">
        <v>41</v>
      </c>
      <c r="C5" s="44" t="s">
        <v>40</v>
      </c>
      <c r="D5" s="44" t="s">
        <v>111</v>
      </c>
      <c r="E5" s="95" t="s">
        <v>38</v>
      </c>
      <c r="F5" s="95"/>
      <c r="G5" s="95" t="s">
        <v>39</v>
      </c>
      <c r="H5" s="95"/>
      <c r="I5" s="44" t="s">
        <v>40</v>
      </c>
      <c r="J5" s="47"/>
      <c r="K5" s="93"/>
      <c r="L5" s="94"/>
      <c r="M5" s="44" t="s">
        <v>41</v>
      </c>
      <c r="N5" s="44" t="s">
        <v>40</v>
      </c>
      <c r="O5" s="44" t="s">
        <v>111</v>
      </c>
    </row>
    <row r="6" spans="1:24" ht="12" customHeight="1">
      <c r="A6" s="44" t="s">
        <v>42</v>
      </c>
      <c r="B6" s="77">
        <v>0.5</v>
      </c>
      <c r="C6" s="44">
        <v>0</v>
      </c>
      <c r="D6" s="44">
        <v>0.1</v>
      </c>
      <c r="E6" s="95">
        <v>1</v>
      </c>
      <c r="F6" s="95"/>
      <c r="G6" s="95">
        <v>0</v>
      </c>
      <c r="H6" s="95"/>
      <c r="I6" s="44">
        <v>8</v>
      </c>
      <c r="J6" s="48"/>
      <c r="K6" s="92" t="s">
        <v>42</v>
      </c>
      <c r="L6" s="92"/>
      <c r="M6" s="77">
        <v>0.5</v>
      </c>
      <c r="N6" s="44">
        <v>0</v>
      </c>
      <c r="O6" s="44">
        <v>0.1</v>
      </c>
      <c r="R6" s="49"/>
      <c r="S6" s="16"/>
      <c r="T6" s="51"/>
    </row>
    <row r="7" spans="1:24" ht="12" customHeight="1">
      <c r="A7" s="44" t="s">
        <v>43</v>
      </c>
      <c r="B7" s="77">
        <v>0.4</v>
      </c>
      <c r="C7" s="44">
        <v>0</v>
      </c>
      <c r="D7" s="44">
        <v>0.1</v>
      </c>
      <c r="E7" s="95">
        <v>2</v>
      </c>
      <c r="F7" s="95"/>
      <c r="G7" s="95">
        <v>0</v>
      </c>
      <c r="H7" s="95"/>
      <c r="I7" s="44">
        <v>9</v>
      </c>
      <c r="J7" s="48"/>
      <c r="K7" s="92" t="s">
        <v>43</v>
      </c>
      <c r="L7" s="92"/>
      <c r="M7" s="77">
        <v>0.4</v>
      </c>
      <c r="N7" s="44">
        <v>0</v>
      </c>
      <c r="O7" s="44">
        <v>0.1</v>
      </c>
      <c r="R7" s="49" t="s">
        <v>2</v>
      </c>
      <c r="S7" s="50">
        <v>0.98</v>
      </c>
      <c r="T7" s="18">
        <f>_xlfn.NORM.S.INV(S7)</f>
        <v>2.0537489106318221</v>
      </c>
    </row>
    <row r="8" spans="1:24" ht="12" customHeight="1">
      <c r="A8" s="44" t="s">
        <v>44</v>
      </c>
      <c r="B8" s="77">
        <v>0.9</v>
      </c>
      <c r="C8" s="44">
        <v>0</v>
      </c>
      <c r="D8" s="44">
        <v>0.7</v>
      </c>
      <c r="E8" s="95">
        <v>1</v>
      </c>
      <c r="F8" s="95"/>
      <c r="G8" s="95">
        <v>0</v>
      </c>
      <c r="H8" s="95"/>
      <c r="I8" s="44">
        <v>8</v>
      </c>
      <c r="J8" s="48"/>
      <c r="K8" s="92" t="s">
        <v>44</v>
      </c>
      <c r="L8" s="92"/>
      <c r="M8" s="77">
        <v>0.9</v>
      </c>
      <c r="N8" s="44">
        <v>0</v>
      </c>
      <c r="O8" s="44">
        <v>0.7</v>
      </c>
      <c r="R8" s="22" t="s">
        <v>45</v>
      </c>
      <c r="S8" s="2">
        <v>52</v>
      </c>
      <c r="T8" s="2" t="s">
        <v>1</v>
      </c>
    </row>
    <row r="9" spans="1:24" ht="12" customHeight="1">
      <c r="A9" s="44" t="s">
        <v>46</v>
      </c>
      <c r="B9" s="77">
        <v>0.3</v>
      </c>
      <c r="C9" s="44">
        <v>0</v>
      </c>
      <c r="D9" s="44">
        <v>0.05</v>
      </c>
      <c r="E9" s="95">
        <v>2</v>
      </c>
      <c r="F9" s="95"/>
      <c r="G9" s="95">
        <v>0</v>
      </c>
      <c r="H9" s="95"/>
      <c r="I9" s="44">
        <v>9</v>
      </c>
      <c r="J9" s="48"/>
      <c r="K9" s="92" t="s">
        <v>46</v>
      </c>
      <c r="L9" s="92"/>
      <c r="M9" s="77">
        <v>0.3</v>
      </c>
      <c r="N9" s="44">
        <v>0</v>
      </c>
      <c r="O9" s="44">
        <v>0.05</v>
      </c>
    </row>
    <row r="11" spans="1:24" ht="12">
      <c r="A11" s="19" t="s">
        <v>47</v>
      </c>
      <c r="M11" s="2" t="s">
        <v>14</v>
      </c>
    </row>
    <row r="12" spans="1:24" ht="43.35" customHeight="1">
      <c r="B12" s="8" t="s">
        <v>48</v>
      </c>
      <c r="C12" s="8" t="s">
        <v>51</v>
      </c>
      <c r="D12" s="96" t="s">
        <v>49</v>
      </c>
      <c r="E12" s="96"/>
      <c r="F12" s="8" t="s">
        <v>126</v>
      </c>
      <c r="G12" s="8" t="s">
        <v>50</v>
      </c>
      <c r="H12" s="96" t="s">
        <v>129</v>
      </c>
      <c r="I12" s="96"/>
      <c r="J12" s="8" t="s">
        <v>16</v>
      </c>
      <c r="K12" s="8" t="s">
        <v>67</v>
      </c>
      <c r="L12" s="8" t="s">
        <v>68</v>
      </c>
      <c r="M12" s="8" t="s">
        <v>133</v>
      </c>
      <c r="N12" s="8" t="s">
        <v>70</v>
      </c>
      <c r="O12" s="8" t="s">
        <v>52</v>
      </c>
      <c r="P12" s="8" t="s">
        <v>53</v>
      </c>
      <c r="Q12" s="8" t="s">
        <v>131</v>
      </c>
      <c r="R12" s="8"/>
    </row>
    <row r="13" spans="1:24" ht="22.7" customHeight="1">
      <c r="B13" s="51" t="s">
        <v>54</v>
      </c>
      <c r="C13" s="8"/>
      <c r="D13" s="8" t="s">
        <v>55</v>
      </c>
      <c r="E13" s="8" t="s">
        <v>56</v>
      </c>
      <c r="F13" s="8" t="s">
        <v>24</v>
      </c>
      <c r="G13" s="8" t="s">
        <v>57</v>
      </c>
      <c r="H13" s="8" t="s">
        <v>55</v>
      </c>
      <c r="I13" s="8" t="s">
        <v>56</v>
      </c>
      <c r="J13" s="8" t="s">
        <v>24</v>
      </c>
      <c r="K13" s="8" t="s">
        <v>24</v>
      </c>
      <c r="L13" s="8" t="s">
        <v>24</v>
      </c>
      <c r="M13" s="8" t="s">
        <v>24</v>
      </c>
      <c r="N13" s="8" t="s">
        <v>58</v>
      </c>
      <c r="O13" s="8" t="s">
        <v>59</v>
      </c>
      <c r="P13" s="8" t="s">
        <v>58</v>
      </c>
      <c r="Q13" s="8" t="s">
        <v>58</v>
      </c>
      <c r="S13" s="18" t="s">
        <v>95</v>
      </c>
    </row>
    <row r="14" spans="1:24" ht="18" customHeight="1">
      <c r="A14" s="18" t="s">
        <v>119</v>
      </c>
      <c r="B14" s="53">
        <v>10</v>
      </c>
      <c r="C14" s="54">
        <v>0.2</v>
      </c>
      <c r="D14" s="53">
        <v>250</v>
      </c>
      <c r="E14" s="53">
        <v>42</v>
      </c>
      <c r="F14" s="53">
        <v>250</v>
      </c>
      <c r="G14" s="53">
        <v>1</v>
      </c>
      <c r="H14" s="53">
        <f>F14 * G14</f>
        <v>250</v>
      </c>
      <c r="I14" s="53">
        <f>E14/G14</f>
        <v>42</v>
      </c>
      <c r="J14" s="53">
        <f>$T$7*I14</f>
        <v>86.257454246536525</v>
      </c>
      <c r="K14" s="53">
        <f>H14</f>
        <v>250</v>
      </c>
      <c r="L14" s="53">
        <f>K14/2/G14</f>
        <v>125</v>
      </c>
      <c r="M14" s="53">
        <f>J14+K14+L14</f>
        <v>461.25745424653655</v>
      </c>
      <c r="N14" s="53">
        <f>M14*C14 * B14 / 52</f>
        <v>17.740671317174481</v>
      </c>
      <c r="O14" s="53">
        <f>B6*G6+(1-B6*E6)</f>
        <v>0.5</v>
      </c>
      <c r="P14" s="53">
        <f>D14*O14</f>
        <v>125</v>
      </c>
      <c r="Q14" s="53">
        <f t="shared" ref="Q14:Q19" si="0">SUM(N14,P14)</f>
        <v>142.74067131717447</v>
      </c>
      <c r="R14" s="51" t="s">
        <v>60</v>
      </c>
      <c r="S14" s="52">
        <f>SUM(Q14:Q15)</f>
        <v>1029.9184561754182</v>
      </c>
      <c r="U14" s="18" t="s">
        <v>145</v>
      </c>
    </row>
    <row r="15" spans="1:24" ht="18" customHeight="1">
      <c r="A15" s="18" t="s">
        <v>120</v>
      </c>
      <c r="B15" s="53">
        <v>10</v>
      </c>
      <c r="C15" s="54">
        <v>0.2</v>
      </c>
      <c r="D15" s="53">
        <v>700</v>
      </c>
      <c r="E15" s="53">
        <v>86</v>
      </c>
      <c r="F15" s="53">
        <v>700</v>
      </c>
      <c r="G15" s="53">
        <v>1</v>
      </c>
      <c r="H15" s="53">
        <f t="shared" ref="H15:H19" si="1">F15 * G15</f>
        <v>700</v>
      </c>
      <c r="I15" s="53">
        <f>E15*SQRT(G15)</f>
        <v>86</v>
      </c>
      <c r="J15" s="53">
        <f>$T$7*I15</f>
        <v>176.6224063143367</v>
      </c>
      <c r="K15" s="53">
        <f>H15</f>
        <v>700</v>
      </c>
      <c r="L15" s="53">
        <f>K15/2/G15</f>
        <v>350</v>
      </c>
      <c r="M15" s="53">
        <f t="shared" ref="M15:M19" si="2">J15+K15+L15</f>
        <v>1226.6224063143368</v>
      </c>
      <c r="N15" s="53">
        <f t="shared" ref="N15:N19" si="3">M15*C15 * B15 / 52</f>
        <v>47.177784858243726</v>
      </c>
      <c r="O15" s="53">
        <f>(B7*G7)+(1-B7)*E7</f>
        <v>1.2</v>
      </c>
      <c r="P15" s="53">
        <f t="shared" ref="P15:P19" si="4">D15*O15</f>
        <v>840</v>
      </c>
      <c r="Q15" s="53">
        <f t="shared" si="0"/>
        <v>887.17778485824374</v>
      </c>
      <c r="R15" s="51"/>
    </row>
    <row r="16" spans="1:24" ht="18" customHeight="1">
      <c r="A16" s="18" t="s">
        <v>121</v>
      </c>
      <c r="B16" s="53">
        <v>400</v>
      </c>
      <c r="C16" s="54">
        <v>0.4</v>
      </c>
      <c r="D16" s="53">
        <v>19</v>
      </c>
      <c r="E16" s="53">
        <v>6</v>
      </c>
      <c r="F16" s="53">
        <v>19</v>
      </c>
      <c r="G16" s="53">
        <v>2.5</v>
      </c>
      <c r="H16" s="53">
        <f>F16 * G16</f>
        <v>47.5</v>
      </c>
      <c r="I16" s="53">
        <f>E16*SQRT(G16)</f>
        <v>9.4868329805051381</v>
      </c>
      <c r="J16" s="53">
        <f>$T$7*I16</f>
        <v>19.483572899058469</v>
      </c>
      <c r="K16" s="53">
        <f>H16</f>
        <v>47.5</v>
      </c>
      <c r="L16" s="53">
        <f t="shared" ref="L16:L19" si="5">K16/2/G16</f>
        <v>9.5</v>
      </c>
      <c r="M16" s="53">
        <f t="shared" si="2"/>
        <v>76.483572899058473</v>
      </c>
      <c r="N16" s="53">
        <f t="shared" si="3"/>
        <v>235.33407045864149</v>
      </c>
      <c r="O16" s="53">
        <f>C6*G6+(1-C6)*I6</f>
        <v>8</v>
      </c>
      <c r="P16" s="53">
        <f t="shared" si="4"/>
        <v>152</v>
      </c>
      <c r="Q16" s="53">
        <f t="shared" si="0"/>
        <v>387.33407045864146</v>
      </c>
      <c r="R16" s="51" t="s">
        <v>61</v>
      </c>
      <c r="S16" s="52">
        <f>SUM(Q16:Q17)</f>
        <v>678.52271891776581</v>
      </c>
      <c r="X16" s="18" t="s">
        <v>146</v>
      </c>
    </row>
    <row r="17" spans="1:21" ht="18" customHeight="1">
      <c r="A17" s="18" t="s">
        <v>122</v>
      </c>
      <c r="B17" s="53">
        <v>400</v>
      </c>
      <c r="C17" s="54">
        <v>0.4</v>
      </c>
      <c r="D17" s="53">
        <v>14</v>
      </c>
      <c r="E17" s="53">
        <v>5</v>
      </c>
      <c r="F17" s="53">
        <v>14</v>
      </c>
      <c r="G17" s="53">
        <v>2.5</v>
      </c>
      <c r="H17" s="53">
        <f t="shared" si="1"/>
        <v>35</v>
      </c>
      <c r="I17" s="53">
        <f>E17*SQRT(G17)</f>
        <v>7.905694150420949</v>
      </c>
      <c r="J17" s="53">
        <f>$T$7*I17</f>
        <v>16.236310749215392</v>
      </c>
      <c r="K17" s="53">
        <f>H17</f>
        <v>35</v>
      </c>
      <c r="L17" s="53">
        <f t="shared" si="5"/>
        <v>7</v>
      </c>
      <c r="M17" s="53">
        <f t="shared" si="2"/>
        <v>58.236310749215392</v>
      </c>
      <c r="N17" s="53">
        <f t="shared" si="3"/>
        <v>179.18864845912429</v>
      </c>
      <c r="O17" s="53">
        <f>C8*G8+(1-C8)*I8</f>
        <v>8</v>
      </c>
      <c r="P17" s="53">
        <f t="shared" si="4"/>
        <v>112</v>
      </c>
      <c r="Q17" s="53">
        <f t="shared" si="0"/>
        <v>291.18864845912429</v>
      </c>
      <c r="R17" s="51"/>
    </row>
    <row r="18" spans="1:21" ht="18" customHeight="1">
      <c r="A18" s="18" t="s">
        <v>123</v>
      </c>
      <c r="B18" s="53">
        <v>800</v>
      </c>
      <c r="C18" s="54">
        <v>0.3</v>
      </c>
      <c r="D18" s="72">
        <v>2.09</v>
      </c>
      <c r="E18" s="74"/>
      <c r="F18" s="73">
        <v>2.09</v>
      </c>
      <c r="G18" s="53">
        <v>1</v>
      </c>
      <c r="H18" s="53">
        <f t="shared" si="1"/>
        <v>2.09</v>
      </c>
      <c r="I18" s="74"/>
      <c r="J18" s="53">
        <v>1.91</v>
      </c>
      <c r="K18" s="53">
        <f>D18*G18</f>
        <v>2.09</v>
      </c>
      <c r="L18" s="53">
        <f t="shared" si="5"/>
        <v>1.0449999999999999</v>
      </c>
      <c r="M18" s="53">
        <f t="shared" si="2"/>
        <v>5.0449999999999999</v>
      </c>
      <c r="N18" s="53">
        <f t="shared" si="3"/>
        <v>23.284615384615385</v>
      </c>
      <c r="O18" s="53">
        <f>D6*G6+(1-D6)*E6</f>
        <v>0.9</v>
      </c>
      <c r="P18" s="53">
        <f t="shared" si="4"/>
        <v>1.881</v>
      </c>
      <c r="Q18" s="53">
        <f t="shared" si="0"/>
        <v>25.165615384615386</v>
      </c>
      <c r="R18" s="51" t="s">
        <v>112</v>
      </c>
      <c r="S18" s="52">
        <f>SUM(Q18:Q19)</f>
        <v>49.077230769230766</v>
      </c>
      <c r="U18" s="18" t="s">
        <v>144</v>
      </c>
    </row>
    <row r="19" spans="1:21" ht="18" customHeight="1">
      <c r="A19" s="18" t="s">
        <v>124</v>
      </c>
      <c r="B19" s="53">
        <v>800</v>
      </c>
      <c r="C19" s="54">
        <v>0.3</v>
      </c>
      <c r="D19" s="72">
        <v>2.09</v>
      </c>
      <c r="E19" s="74"/>
      <c r="F19" s="73">
        <v>2.09</v>
      </c>
      <c r="G19" s="53">
        <v>1</v>
      </c>
      <c r="H19" s="53">
        <f t="shared" si="1"/>
        <v>2.09</v>
      </c>
      <c r="I19" s="74"/>
      <c r="J19" s="53">
        <v>1.91</v>
      </c>
      <c r="K19" s="53">
        <f>D19*G19</f>
        <v>2.09</v>
      </c>
      <c r="L19" s="53">
        <f t="shared" si="5"/>
        <v>1.0449999999999999</v>
      </c>
      <c r="M19" s="53">
        <f t="shared" si="2"/>
        <v>5.0449999999999999</v>
      </c>
      <c r="N19" s="53">
        <f t="shared" si="3"/>
        <v>23.284615384615385</v>
      </c>
      <c r="O19" s="53">
        <f>(D8*G8)+(1-D8)*E8</f>
        <v>0.30000000000000004</v>
      </c>
      <c r="P19" s="53">
        <f t="shared" si="4"/>
        <v>0.627</v>
      </c>
      <c r="Q19" s="53">
        <f t="shared" si="0"/>
        <v>23.911615384615384</v>
      </c>
    </row>
    <row r="21" spans="1:21" ht="12">
      <c r="A21" s="19" t="s">
        <v>118</v>
      </c>
    </row>
    <row r="22" spans="1:21" ht="51.95" customHeight="1">
      <c r="B22" s="8" t="s">
        <v>48</v>
      </c>
      <c r="C22" s="8" t="s">
        <v>51</v>
      </c>
      <c r="D22" s="96" t="s">
        <v>49</v>
      </c>
      <c r="E22" s="96"/>
      <c r="F22" s="8" t="s">
        <v>126</v>
      </c>
      <c r="G22" s="8" t="s">
        <v>50</v>
      </c>
      <c r="H22" s="96" t="s">
        <v>129</v>
      </c>
      <c r="I22" s="96"/>
      <c r="J22" s="8" t="s">
        <v>16</v>
      </c>
      <c r="K22" s="8" t="s">
        <v>67</v>
      </c>
      <c r="L22" s="8" t="s">
        <v>68</v>
      </c>
      <c r="M22" s="8" t="s">
        <v>69</v>
      </c>
      <c r="N22" s="8" t="s">
        <v>70</v>
      </c>
      <c r="O22" s="8" t="s">
        <v>62</v>
      </c>
      <c r="P22" s="8" t="s">
        <v>63</v>
      </c>
      <c r="Q22" s="8" t="s">
        <v>53</v>
      </c>
      <c r="R22" s="8" t="s">
        <v>132</v>
      </c>
    </row>
    <row r="23" spans="1:21" ht="20.85" customHeight="1">
      <c r="A23" s="7" t="s">
        <v>64</v>
      </c>
      <c r="B23" s="51" t="s">
        <v>54</v>
      </c>
      <c r="C23" s="8"/>
      <c r="D23" s="8" t="s">
        <v>55</v>
      </c>
      <c r="E23" s="8" t="s">
        <v>56</v>
      </c>
      <c r="F23" s="8" t="s">
        <v>24</v>
      </c>
      <c r="G23" s="8" t="s">
        <v>57</v>
      </c>
      <c r="H23" s="8" t="s">
        <v>55</v>
      </c>
      <c r="I23" s="8" t="s">
        <v>56</v>
      </c>
      <c r="J23" s="8" t="s">
        <v>24</v>
      </c>
      <c r="K23" s="8" t="s">
        <v>24</v>
      </c>
      <c r="L23" s="8" t="s">
        <v>24</v>
      </c>
      <c r="M23" s="8" t="s">
        <v>24</v>
      </c>
      <c r="N23" s="8" t="s">
        <v>58</v>
      </c>
      <c r="O23" s="8" t="s">
        <v>59</v>
      </c>
      <c r="P23" s="8" t="s">
        <v>59</v>
      </c>
      <c r="Q23" s="8" t="s">
        <v>58</v>
      </c>
      <c r="R23" s="8" t="s">
        <v>58</v>
      </c>
    </row>
    <row r="24" spans="1:21" ht="14.25" customHeight="1">
      <c r="A24" s="18" t="s">
        <v>41</v>
      </c>
      <c r="B24" s="53">
        <v>10</v>
      </c>
      <c r="C24" s="54">
        <v>0.2</v>
      </c>
      <c r="D24" s="53">
        <v>950</v>
      </c>
      <c r="E24" s="53">
        <f>SQRT(E14^2+E15^2)</f>
        <v>95.707888912043188</v>
      </c>
      <c r="F24" s="53">
        <v>950</v>
      </c>
      <c r="G24" s="53">
        <v>1</v>
      </c>
      <c r="H24" s="53">
        <f>F24*G24</f>
        <v>950</v>
      </c>
      <c r="I24" s="53">
        <f>E24/G24</f>
        <v>95.707888912043188</v>
      </c>
      <c r="J24" s="53">
        <f>T$7*I24</f>
        <v>196.55997259198014</v>
      </c>
      <c r="K24" s="53">
        <f>H24</f>
        <v>950</v>
      </c>
      <c r="L24" s="53">
        <f>K24/2/G24</f>
        <v>475</v>
      </c>
      <c r="M24" s="53">
        <f>SUM(J24:L24)</f>
        <v>1621.5599725919801</v>
      </c>
      <c r="N24" s="53">
        <f>M24*B24*C24/52</f>
        <v>62.3676912535377</v>
      </c>
      <c r="O24" s="53">
        <f>B6*G6+(1-B6)*E6</f>
        <v>0.5</v>
      </c>
      <c r="P24" s="53">
        <f>B7*G7+(1-B7)*E7</f>
        <v>1.2</v>
      </c>
      <c r="Q24" s="53">
        <f>D14*O24+D15*P24</f>
        <v>965</v>
      </c>
      <c r="R24" s="55">
        <f>SUM(Q24,N24)</f>
        <v>1027.3676912535377</v>
      </c>
    </row>
    <row r="25" spans="1:21" ht="14.25" customHeight="1">
      <c r="A25" s="18" t="s">
        <v>40</v>
      </c>
      <c r="B25" s="53">
        <v>400</v>
      </c>
      <c r="C25" s="54">
        <v>0.4</v>
      </c>
      <c r="D25" s="53">
        <v>33</v>
      </c>
      <c r="E25" s="53">
        <f>SQRT(E16^2+E17^2)</f>
        <v>7.810249675906654</v>
      </c>
      <c r="F25" s="53">
        <v>33</v>
      </c>
      <c r="G25" s="53">
        <v>2.5</v>
      </c>
      <c r="H25" s="53">
        <f t="shared" ref="H25:H26" si="6">F25*G25</f>
        <v>82.5</v>
      </c>
      <c r="I25" s="53">
        <f>E25/G25</f>
        <v>3.1240998703626617</v>
      </c>
      <c r="J25" s="53">
        <f>T$7*I25</f>
        <v>6.4161167054623327</v>
      </c>
      <c r="K25" s="53">
        <f>H25</f>
        <v>82.5</v>
      </c>
      <c r="L25" s="53">
        <f>K25/2/G25</f>
        <v>16.5</v>
      </c>
      <c r="M25" s="53">
        <f>SUM(J25:L25)</f>
        <v>105.41611670546233</v>
      </c>
      <c r="N25" s="53">
        <f>M25*B25*C25/52</f>
        <v>324.35728217065332</v>
      </c>
      <c r="O25" s="53">
        <f>C6*G6+(1-C6)*I6</f>
        <v>8</v>
      </c>
      <c r="P25" s="53">
        <f>C8*G8+(1-C8)*I8</f>
        <v>8</v>
      </c>
      <c r="Q25" s="53">
        <f>O25*D16+D17*P25</f>
        <v>264</v>
      </c>
      <c r="R25" s="55">
        <f>SUM(Q25,N25)</f>
        <v>588.35728217065332</v>
      </c>
    </row>
    <row r="26" spans="1:21" ht="14.25" customHeight="1">
      <c r="A26" s="18" t="s">
        <v>111</v>
      </c>
      <c r="B26" s="53">
        <v>800</v>
      </c>
      <c r="C26" s="54">
        <v>0.3</v>
      </c>
      <c r="D26" s="53">
        <v>4.18</v>
      </c>
      <c r="E26" s="74"/>
      <c r="F26" s="53">
        <v>4.18</v>
      </c>
      <c r="G26" s="53">
        <v>1</v>
      </c>
      <c r="H26" s="53">
        <f t="shared" si="6"/>
        <v>4.18</v>
      </c>
      <c r="I26" s="74"/>
      <c r="J26" s="53">
        <f>J19</f>
        <v>1.91</v>
      </c>
      <c r="K26" s="53">
        <f>H26</f>
        <v>4.18</v>
      </c>
      <c r="L26" s="53">
        <f>K26/2/G26</f>
        <v>2.09</v>
      </c>
      <c r="M26" s="53">
        <f>SUM(J26:L26)</f>
        <v>8.18</v>
      </c>
      <c r="N26" s="53">
        <f>M26*B26*C26/52</f>
        <v>37.753846153846148</v>
      </c>
      <c r="O26" s="53">
        <f>D6*G6+(1-D6)*E6</f>
        <v>0.9</v>
      </c>
      <c r="P26" s="53">
        <f>D8*G8+(1-D8)*(E8)</f>
        <v>0.30000000000000004</v>
      </c>
      <c r="Q26" s="53">
        <f>O26*D18+D19*P26</f>
        <v>2.508</v>
      </c>
      <c r="R26" s="55">
        <f>SUM(N26,Q26)</f>
        <v>40.26184615384615</v>
      </c>
    </row>
    <row r="27" spans="1:21" ht="22.5">
      <c r="A27" s="7" t="s">
        <v>65</v>
      </c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</row>
    <row r="28" spans="1:21" ht="12.95" customHeight="1">
      <c r="A28" s="18" t="s">
        <v>41</v>
      </c>
      <c r="B28" s="53">
        <v>10</v>
      </c>
      <c r="C28" s="54">
        <v>0.2</v>
      </c>
      <c r="D28" s="53">
        <v>950</v>
      </c>
      <c r="E28" s="53">
        <f>SQRT(E14^2+E15^2)</f>
        <v>95.707888912043188</v>
      </c>
      <c r="F28" s="53">
        <v>950</v>
      </c>
      <c r="G28" s="53">
        <v>1</v>
      </c>
      <c r="H28" s="53">
        <f>F28*G28</f>
        <v>950</v>
      </c>
      <c r="I28" s="53">
        <f>E28/G28</f>
        <v>95.707888912043188</v>
      </c>
      <c r="J28" s="53">
        <f>I28*$T$7</f>
        <v>196.55997259198014</v>
      </c>
      <c r="K28" s="53">
        <f>H28</f>
        <v>950</v>
      </c>
      <c r="L28" s="53">
        <f>K28/2/G28</f>
        <v>475</v>
      </c>
      <c r="M28" s="53">
        <f>SUM(J28:L28)</f>
        <v>1621.5599725919801</v>
      </c>
      <c r="N28" s="53">
        <f>M28*B28*C28/52</f>
        <v>62.3676912535377</v>
      </c>
      <c r="O28" s="53">
        <f>B9*G9+(1-B9*E9)</f>
        <v>0.4</v>
      </c>
      <c r="P28" s="53">
        <f>B8*G8+(1-B8*E8)</f>
        <v>9.9999999999999978E-2</v>
      </c>
      <c r="Q28" s="53">
        <f>O28*F14+P28*F15</f>
        <v>170</v>
      </c>
      <c r="R28" s="55">
        <f>SUM(Q28,N28)</f>
        <v>232.36769125353771</v>
      </c>
    </row>
    <row r="29" spans="1:21" ht="12.95" customHeight="1">
      <c r="A29" s="18" t="s">
        <v>40</v>
      </c>
      <c r="B29" s="53">
        <v>40</v>
      </c>
      <c r="C29" s="54">
        <v>0.4</v>
      </c>
      <c r="D29" s="53">
        <v>33</v>
      </c>
      <c r="E29" s="53">
        <f>SQRT(E16^2+E17^2)</f>
        <v>7.810249675906654</v>
      </c>
      <c r="F29" s="53">
        <v>33</v>
      </c>
      <c r="G29" s="53">
        <v>2.5</v>
      </c>
      <c r="H29" s="53">
        <f t="shared" ref="H29:H30" si="7">F29*G29</f>
        <v>82.5</v>
      </c>
      <c r="I29" s="53">
        <f>E29/G29</f>
        <v>3.1240998703626617</v>
      </c>
      <c r="J29" s="53">
        <f>I29*$T$7</f>
        <v>6.4161167054623327</v>
      </c>
      <c r="K29" s="53">
        <f>H29</f>
        <v>82.5</v>
      </c>
      <c r="L29" s="53">
        <f t="shared" ref="L29:L30" si="8">K29/2/G29</f>
        <v>16.5</v>
      </c>
      <c r="M29" s="53">
        <f t="shared" ref="M29:M30" si="9">SUM(J29:L29)</f>
        <v>105.41611670546233</v>
      </c>
      <c r="N29" s="53">
        <f t="shared" ref="N29:N30" si="10">M29*B29*C29/52</f>
        <v>32.435728217065339</v>
      </c>
      <c r="O29" s="53">
        <f>C9*G9+(1-C9)*I9</f>
        <v>9</v>
      </c>
      <c r="P29" s="53">
        <f>C8*G8+(1-C8)*I8</f>
        <v>8</v>
      </c>
      <c r="Q29" s="53">
        <f>D16*O29+D17*P29</f>
        <v>283</v>
      </c>
      <c r="R29" s="55">
        <f t="shared" ref="R29:R30" si="11">SUM(Q29,N29)</f>
        <v>315.43572821706533</v>
      </c>
    </row>
    <row r="30" spans="1:21" ht="12.95" customHeight="1">
      <c r="A30" s="18" t="s">
        <v>111</v>
      </c>
      <c r="B30" s="53">
        <v>800</v>
      </c>
      <c r="C30" s="54">
        <v>0.3</v>
      </c>
      <c r="D30" s="53">
        <v>4.18</v>
      </c>
      <c r="E30" s="74"/>
      <c r="F30" s="53">
        <v>4.18</v>
      </c>
      <c r="G30" s="53">
        <v>1</v>
      </c>
      <c r="H30" s="53">
        <f t="shared" si="7"/>
        <v>4.18</v>
      </c>
      <c r="I30" s="74"/>
      <c r="J30" s="53">
        <f>J19</f>
        <v>1.91</v>
      </c>
      <c r="K30" s="53">
        <f>H30</f>
        <v>4.18</v>
      </c>
      <c r="L30" s="53">
        <f t="shared" si="8"/>
        <v>2.09</v>
      </c>
      <c r="M30" s="53">
        <f t="shared" si="9"/>
        <v>8.18</v>
      </c>
      <c r="N30" s="53">
        <f t="shared" si="10"/>
        <v>37.753846153846148</v>
      </c>
      <c r="O30" s="53">
        <f>D9*G9+(1-D9)*E9</f>
        <v>1.9</v>
      </c>
      <c r="P30" s="53">
        <f>D8*G8+(1-D8)*E8</f>
        <v>0.30000000000000004</v>
      </c>
      <c r="Q30" s="53">
        <f>D18*O30+D19*P30</f>
        <v>4.5979999999999999</v>
      </c>
      <c r="R30" s="55">
        <f t="shared" si="11"/>
        <v>42.351846153846147</v>
      </c>
    </row>
    <row r="32" spans="1:21" ht="12">
      <c r="A32" s="10" t="s">
        <v>115</v>
      </c>
    </row>
    <row r="33" spans="1:1" ht="12">
      <c r="A33" s="10"/>
    </row>
  </sheetData>
  <mergeCells count="23">
    <mergeCell ref="K8:L8"/>
    <mergeCell ref="E9:F9"/>
    <mergeCell ref="G9:H9"/>
    <mergeCell ref="K9:L9"/>
    <mergeCell ref="D12:E12"/>
    <mergeCell ref="H12:I12"/>
    <mergeCell ref="D22:E22"/>
    <mergeCell ref="H22:I22"/>
    <mergeCell ref="A4:A5"/>
    <mergeCell ref="B4:D4"/>
    <mergeCell ref="E4:I4"/>
    <mergeCell ref="E5:F5"/>
    <mergeCell ref="G5:H5"/>
    <mergeCell ref="E8:F8"/>
    <mergeCell ref="G8:H8"/>
    <mergeCell ref="K7:L7"/>
    <mergeCell ref="O1:S3"/>
    <mergeCell ref="K5:L5"/>
    <mergeCell ref="E6:F6"/>
    <mergeCell ref="G6:H6"/>
    <mergeCell ref="K6:L6"/>
    <mergeCell ref="E7:F7"/>
    <mergeCell ref="G7:H7"/>
  </mergeCells>
  <phoneticPr fontId="7" type="noConversion"/>
  <pageMargins left="0.6" right="0" top="0.6" bottom="0.6" header="0.5" footer="0.5"/>
  <pageSetup orientation="landscape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676F2-A9FB-C54D-A584-69FE9B406C06}">
  <dimension ref="A1:N30"/>
  <sheetViews>
    <sheetView showGridLines="0" topLeftCell="A7" workbookViewId="0">
      <selection activeCell="I31" sqref="I31"/>
    </sheetView>
  </sheetViews>
  <sheetFormatPr defaultColWidth="9" defaultRowHeight="12.75"/>
  <cols>
    <col min="1" max="1" width="10" style="65" customWidth="1"/>
    <col min="2" max="2" width="12.7109375" style="65" customWidth="1"/>
    <col min="3" max="7" width="7.42578125" style="65" customWidth="1"/>
    <col min="8" max="12" width="8.7109375" style="65" customWidth="1"/>
    <col min="13" max="13" width="7.42578125" style="65" customWidth="1"/>
    <col min="14" max="16384" width="9" style="65"/>
  </cols>
  <sheetData>
    <row r="1" spans="1:14">
      <c r="A1" s="56" t="s">
        <v>71</v>
      </c>
      <c r="B1" s="16"/>
      <c r="C1" s="16"/>
      <c r="D1" s="16"/>
      <c r="E1" s="16"/>
      <c r="I1" s="89" t="s">
        <v>101</v>
      </c>
      <c r="J1" s="89"/>
      <c r="K1" s="89"/>
      <c r="L1" s="89"/>
      <c r="M1" s="89"/>
    </row>
    <row r="2" spans="1:14" ht="12.75" customHeight="1">
      <c r="A2" s="57"/>
      <c r="B2" s="49"/>
      <c r="C2" s="18"/>
      <c r="D2" s="18"/>
      <c r="I2" s="89"/>
      <c r="J2" s="89"/>
      <c r="K2" s="89"/>
      <c r="L2" s="89"/>
      <c r="M2" s="89"/>
    </row>
    <row r="3" spans="1:14">
      <c r="A3" s="57"/>
      <c r="B3" s="49"/>
      <c r="C3" s="76" t="s">
        <v>110</v>
      </c>
      <c r="D3" s="18"/>
      <c r="I3" s="89"/>
      <c r="J3" s="89"/>
      <c r="K3" s="89"/>
      <c r="L3" s="89"/>
      <c r="M3" s="89"/>
    </row>
    <row r="4" spans="1:14">
      <c r="A4" s="57"/>
      <c r="B4" s="49" t="s">
        <v>50</v>
      </c>
      <c r="C4" s="52">
        <v>1</v>
      </c>
      <c r="D4" s="18" t="s">
        <v>1</v>
      </c>
      <c r="F4" s="71"/>
      <c r="G4" s="71"/>
      <c r="H4" s="71"/>
      <c r="I4" s="71"/>
      <c r="J4" s="71"/>
      <c r="K4" s="18"/>
      <c r="L4" s="18"/>
      <c r="M4" s="18"/>
    </row>
    <row r="5" spans="1:14">
      <c r="A5" s="57"/>
      <c r="B5" s="49" t="s">
        <v>104</v>
      </c>
      <c r="C5" s="67">
        <v>0.94</v>
      </c>
      <c r="D5" s="18"/>
      <c r="F5" s="49" t="s">
        <v>105</v>
      </c>
      <c r="G5" s="54">
        <v>0.99</v>
      </c>
      <c r="H5" s="18"/>
      <c r="I5" s="49" t="s">
        <v>103</v>
      </c>
      <c r="J5" s="67">
        <v>0.95</v>
      </c>
      <c r="K5" s="18"/>
      <c r="L5" s="18"/>
      <c r="M5" s="18"/>
    </row>
    <row r="6" spans="1:14">
      <c r="A6" s="57"/>
      <c r="B6" s="49" t="s">
        <v>72</v>
      </c>
      <c r="C6" s="52">
        <f>NORMSINV(0.94)</f>
        <v>1.5547735945968528</v>
      </c>
      <c r="D6" s="18"/>
      <c r="F6" s="49" t="s">
        <v>72</v>
      </c>
      <c r="G6" s="52">
        <f>NORMSINV(0.99)</f>
        <v>2.3263478740408408</v>
      </c>
      <c r="H6" s="18"/>
      <c r="I6" s="49" t="s">
        <v>72</v>
      </c>
      <c r="J6" s="52">
        <f>NORMSINV(0.95)</f>
        <v>1.6448536269514715</v>
      </c>
      <c r="K6" s="18"/>
      <c r="L6" s="18"/>
      <c r="M6" s="18"/>
    </row>
    <row r="7" spans="1:14">
      <c r="A7" s="57"/>
      <c r="B7" s="49" t="s">
        <v>73</v>
      </c>
      <c r="C7" s="68">
        <v>0.3</v>
      </c>
      <c r="D7" s="18"/>
      <c r="E7" s="51"/>
      <c r="F7" s="18"/>
      <c r="G7" s="18"/>
      <c r="H7" s="18"/>
      <c r="I7" s="18"/>
      <c r="J7" s="18"/>
      <c r="K7" s="18"/>
      <c r="L7" s="18"/>
      <c r="M7" s="18"/>
    </row>
    <row r="8" spans="1:14">
      <c r="A8" s="57"/>
      <c r="B8" s="51" t="s">
        <v>93</v>
      </c>
      <c r="C8" s="18">
        <v>4</v>
      </c>
      <c r="D8" s="18" t="s">
        <v>74</v>
      </c>
      <c r="E8" s="51"/>
      <c r="F8" s="18"/>
      <c r="G8" s="18"/>
      <c r="H8" s="18"/>
      <c r="I8" s="18"/>
      <c r="J8" s="18"/>
      <c r="K8" s="18"/>
      <c r="L8" s="18"/>
      <c r="M8" s="18"/>
    </row>
    <row r="9" spans="1:14">
      <c r="A9" s="57"/>
      <c r="B9" s="8"/>
      <c r="C9" s="8"/>
      <c r="D9" s="8"/>
      <c r="E9" s="8"/>
      <c r="F9" s="8"/>
      <c r="G9" s="8"/>
      <c r="H9" s="8"/>
      <c r="I9" s="66"/>
      <c r="J9" s="18"/>
      <c r="K9" s="2"/>
      <c r="L9" s="18"/>
      <c r="M9" s="18"/>
    </row>
    <row r="10" spans="1:14" ht="56.25">
      <c r="A10" s="59" t="s">
        <v>75</v>
      </c>
      <c r="B10" s="8"/>
      <c r="C10" s="8" t="s">
        <v>76</v>
      </c>
      <c r="D10" s="96" t="s">
        <v>49</v>
      </c>
      <c r="E10" s="96"/>
      <c r="F10" s="96" t="s">
        <v>138</v>
      </c>
      <c r="G10" s="96"/>
      <c r="H10" s="8" t="s">
        <v>126</v>
      </c>
      <c r="I10" s="8" t="s">
        <v>16</v>
      </c>
      <c r="J10" s="8" t="s">
        <v>17</v>
      </c>
      <c r="K10" s="8" t="s">
        <v>18</v>
      </c>
      <c r="L10" s="8" t="s">
        <v>19</v>
      </c>
      <c r="M10" s="8" t="s">
        <v>94</v>
      </c>
      <c r="N10" s="18"/>
    </row>
    <row r="11" spans="1:14" ht="22.5">
      <c r="A11" s="57"/>
      <c r="B11" s="8"/>
      <c r="C11" s="58" t="s">
        <v>77</v>
      </c>
      <c r="D11" s="58" t="s">
        <v>55</v>
      </c>
      <c r="E11" s="58" t="s">
        <v>56</v>
      </c>
      <c r="F11" s="58" t="s">
        <v>55</v>
      </c>
      <c r="G11" s="58" t="s">
        <v>56</v>
      </c>
      <c r="H11" s="58" t="s">
        <v>24</v>
      </c>
      <c r="I11" s="58" t="s">
        <v>24</v>
      </c>
      <c r="J11" s="58" t="s">
        <v>24</v>
      </c>
      <c r="K11" s="58" t="s">
        <v>24</v>
      </c>
      <c r="L11" s="58" t="s">
        <v>24</v>
      </c>
      <c r="M11" s="58" t="s">
        <v>25</v>
      </c>
      <c r="N11" s="18"/>
    </row>
    <row r="12" spans="1:14" ht="18" customHeight="1">
      <c r="A12" s="57"/>
      <c r="B12" s="42" t="s">
        <v>78</v>
      </c>
      <c r="C12" s="60">
        <v>1900</v>
      </c>
      <c r="D12" s="53">
        <v>5</v>
      </c>
      <c r="E12" s="53">
        <v>2.5</v>
      </c>
      <c r="F12" s="53">
        <v>5</v>
      </c>
      <c r="G12" s="53">
        <v>2.5</v>
      </c>
      <c r="H12" s="53">
        <f t="shared" ref="H12:H17" si="0">F12/4</f>
        <v>1.25</v>
      </c>
      <c r="I12" s="42">
        <f t="shared" ref="I12:I17" si="1">$C$6*G12</f>
        <v>3.886933986492132</v>
      </c>
      <c r="J12" s="53">
        <v>5</v>
      </c>
      <c r="K12" s="42">
        <f t="shared" ref="K12:K17" si="2">H12/2</f>
        <v>0.625</v>
      </c>
      <c r="L12" s="42">
        <f t="shared" ref="L12:L17" si="3">SUM(I12:K12)</f>
        <v>9.5119339864921315</v>
      </c>
      <c r="M12" s="42">
        <f t="shared" ref="M12:M17" si="4">L12*$C$7/52*C12</f>
        <v>104.26543023654837</v>
      </c>
      <c r="N12" s="18"/>
    </row>
    <row r="13" spans="1:14" ht="18" customHeight="1">
      <c r="A13" s="57"/>
      <c r="B13" s="42" t="s">
        <v>79</v>
      </c>
      <c r="C13" s="60">
        <v>2000</v>
      </c>
      <c r="D13" s="53">
        <v>5</v>
      </c>
      <c r="E13" s="53">
        <v>2.5</v>
      </c>
      <c r="F13" s="53">
        <v>5</v>
      </c>
      <c r="G13" s="53">
        <v>2.5</v>
      </c>
      <c r="H13" s="53">
        <f t="shared" si="0"/>
        <v>1.25</v>
      </c>
      <c r="I13" s="42">
        <f t="shared" si="1"/>
        <v>3.886933986492132</v>
      </c>
      <c r="J13" s="53">
        <v>5</v>
      </c>
      <c r="K13" s="42">
        <f t="shared" si="2"/>
        <v>0.625</v>
      </c>
      <c r="L13" s="42">
        <f t="shared" si="3"/>
        <v>9.5119339864921315</v>
      </c>
      <c r="M13" s="42">
        <f t="shared" si="4"/>
        <v>109.7530844595246</v>
      </c>
      <c r="N13" s="18"/>
    </row>
    <row r="14" spans="1:14" ht="18" customHeight="1">
      <c r="A14" s="57"/>
      <c r="B14" s="42" t="s">
        <v>80</v>
      </c>
      <c r="C14" s="60">
        <v>3200</v>
      </c>
      <c r="D14" s="52">
        <v>4.5</v>
      </c>
      <c r="E14" s="53">
        <v>2.2999999999999998</v>
      </c>
      <c r="F14" s="52">
        <v>4.5</v>
      </c>
      <c r="G14" s="53">
        <v>2.2999999999999998</v>
      </c>
      <c r="H14" s="53">
        <f t="shared" si="0"/>
        <v>1.125</v>
      </c>
      <c r="I14" s="42">
        <f t="shared" si="1"/>
        <v>3.5759792675727611</v>
      </c>
      <c r="J14" s="52">
        <v>4.5</v>
      </c>
      <c r="K14" s="42">
        <f t="shared" si="2"/>
        <v>0.5625</v>
      </c>
      <c r="L14" s="42">
        <f t="shared" si="3"/>
        <v>8.6384792675727606</v>
      </c>
      <c r="M14" s="42">
        <f t="shared" si="4"/>
        <v>159.47961724749712</v>
      </c>
      <c r="N14" s="18"/>
    </row>
    <row r="15" spans="1:14" ht="18" customHeight="1">
      <c r="A15" s="57"/>
      <c r="B15" s="42" t="s">
        <v>81</v>
      </c>
      <c r="C15" s="60">
        <v>3300</v>
      </c>
      <c r="D15" s="53">
        <v>4.5</v>
      </c>
      <c r="E15" s="53">
        <v>2.2999999999999998</v>
      </c>
      <c r="F15" s="53">
        <v>4.5</v>
      </c>
      <c r="G15" s="53">
        <v>2.2999999999999998</v>
      </c>
      <c r="H15" s="53">
        <f t="shared" si="0"/>
        <v>1.125</v>
      </c>
      <c r="I15" s="42">
        <f t="shared" si="1"/>
        <v>3.5759792675727611</v>
      </c>
      <c r="J15" s="53">
        <v>4.5</v>
      </c>
      <c r="K15" s="42">
        <f t="shared" si="2"/>
        <v>0.5625</v>
      </c>
      <c r="L15" s="42">
        <f t="shared" si="3"/>
        <v>8.6384792675727606</v>
      </c>
      <c r="M15" s="42">
        <f t="shared" si="4"/>
        <v>164.4633552864814</v>
      </c>
      <c r="N15" s="18"/>
    </row>
    <row r="16" spans="1:14" ht="18" customHeight="1">
      <c r="A16" s="57"/>
      <c r="B16" s="42" t="s">
        <v>82</v>
      </c>
      <c r="C16" s="60">
        <v>10400</v>
      </c>
      <c r="D16" s="53">
        <v>4</v>
      </c>
      <c r="E16" s="53">
        <v>2</v>
      </c>
      <c r="F16" s="53">
        <v>4</v>
      </c>
      <c r="G16" s="53">
        <v>2</v>
      </c>
      <c r="H16" s="53">
        <f t="shared" si="0"/>
        <v>1</v>
      </c>
      <c r="I16" s="42">
        <f t="shared" si="1"/>
        <v>3.1095471891937057</v>
      </c>
      <c r="J16" s="53">
        <v>4</v>
      </c>
      <c r="K16" s="42">
        <f t="shared" si="2"/>
        <v>0.5</v>
      </c>
      <c r="L16" s="42">
        <f t="shared" si="3"/>
        <v>7.6095471891937052</v>
      </c>
      <c r="M16" s="42">
        <f t="shared" si="4"/>
        <v>456.57283135162226</v>
      </c>
      <c r="N16" s="18"/>
    </row>
    <row r="17" spans="1:14" ht="18" customHeight="1">
      <c r="A17" s="57"/>
      <c r="B17" s="42" t="s">
        <v>83</v>
      </c>
      <c r="C17" s="60">
        <v>10500</v>
      </c>
      <c r="D17" s="52">
        <v>4</v>
      </c>
      <c r="E17" s="53">
        <v>2</v>
      </c>
      <c r="F17" s="52">
        <v>4</v>
      </c>
      <c r="G17" s="53">
        <v>2</v>
      </c>
      <c r="H17" s="53">
        <f t="shared" si="0"/>
        <v>1</v>
      </c>
      <c r="I17" s="42">
        <f t="shared" si="1"/>
        <v>3.1095471891937057</v>
      </c>
      <c r="J17" s="52">
        <v>4</v>
      </c>
      <c r="K17" s="42">
        <f t="shared" si="2"/>
        <v>0.5</v>
      </c>
      <c r="L17" s="42">
        <f t="shared" si="3"/>
        <v>7.6095471891937052</v>
      </c>
      <c r="M17" s="42">
        <f t="shared" si="4"/>
        <v>460.96295473000328</v>
      </c>
      <c r="N17" s="18"/>
    </row>
    <row r="18" spans="1:14" ht="18" customHeight="1">
      <c r="A18" s="57"/>
      <c r="B18" s="8" t="s">
        <v>84</v>
      </c>
      <c r="C18" s="61"/>
      <c r="D18" s="52">
        <f>SUM(D12:D12:D17)</f>
        <v>27</v>
      </c>
      <c r="E18" s="18">
        <v>2</v>
      </c>
      <c r="F18" s="18"/>
      <c r="G18" s="18"/>
      <c r="H18" s="18"/>
      <c r="I18" s="52">
        <f>SUM(I12:I17)</f>
        <v>21.144920886517198</v>
      </c>
      <c r="J18" s="52">
        <f>SUM(J12:J17)</f>
        <v>27</v>
      </c>
      <c r="K18" s="52">
        <f>SUM(K12:K17)</f>
        <v>3.375</v>
      </c>
      <c r="M18" s="62" t="s">
        <v>85</v>
      </c>
      <c r="N18" s="63">
        <f>SUM(M12:M17)</f>
        <v>1455.497273311677</v>
      </c>
    </row>
    <row r="19" spans="1:14" ht="18" customHeight="1">
      <c r="A19" s="57"/>
      <c r="B19" s="18"/>
      <c r="C19" s="64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</row>
    <row r="20" spans="1:14" ht="56.25">
      <c r="A20" s="59" t="s">
        <v>86</v>
      </c>
      <c r="B20" s="8"/>
      <c r="C20" s="8" t="s">
        <v>76</v>
      </c>
      <c r="D20" s="96" t="s">
        <v>49</v>
      </c>
      <c r="E20" s="96"/>
      <c r="F20" s="96" t="s">
        <v>138</v>
      </c>
      <c r="G20" s="96"/>
      <c r="H20" s="8" t="s">
        <v>126</v>
      </c>
      <c r="I20" s="8" t="s">
        <v>16</v>
      </c>
      <c r="J20" s="8" t="s">
        <v>17</v>
      </c>
      <c r="K20" s="8" t="s">
        <v>18</v>
      </c>
      <c r="L20" s="8" t="s">
        <v>19</v>
      </c>
      <c r="M20" s="8" t="s">
        <v>94</v>
      </c>
      <c r="N20" s="18"/>
    </row>
    <row r="21" spans="1:14" ht="22.5">
      <c r="A21" s="57"/>
      <c r="B21" s="8"/>
      <c r="C21" s="58" t="s">
        <v>77</v>
      </c>
      <c r="D21" s="58" t="s">
        <v>55</v>
      </c>
      <c r="E21" s="58" t="s">
        <v>56</v>
      </c>
      <c r="F21" s="58" t="s">
        <v>55</v>
      </c>
      <c r="G21" s="58" t="s">
        <v>56</v>
      </c>
      <c r="H21" s="58" t="s">
        <v>24</v>
      </c>
      <c r="I21" s="58" t="s">
        <v>24</v>
      </c>
      <c r="J21" s="58" t="s">
        <v>24</v>
      </c>
      <c r="K21" s="58" t="s">
        <v>24</v>
      </c>
      <c r="L21" s="58" t="s">
        <v>24</v>
      </c>
      <c r="M21" s="58" t="s">
        <v>25</v>
      </c>
      <c r="N21" s="18"/>
    </row>
    <row r="22" spans="1:14" ht="18" customHeight="1">
      <c r="A22" s="57"/>
      <c r="B22" s="42" t="s">
        <v>87</v>
      </c>
      <c r="C22" s="83">
        <v>1500</v>
      </c>
      <c r="D22" s="53">
        <v>10</v>
      </c>
      <c r="E22" s="53">
        <f>SQRT(E12^2+E13^2)</f>
        <v>3.5355339059327378</v>
      </c>
      <c r="F22" s="53">
        <v>10</v>
      </c>
      <c r="G22" s="41">
        <f>E22</f>
        <v>3.5355339059327378</v>
      </c>
      <c r="H22" s="53">
        <f>F22/4</f>
        <v>2.5</v>
      </c>
      <c r="I22" s="42">
        <f>$J$6*G22</f>
        <v>5.8154357683833666</v>
      </c>
      <c r="J22" s="53">
        <v>10</v>
      </c>
      <c r="K22" s="42">
        <f>H22/2</f>
        <v>1.25</v>
      </c>
      <c r="L22" s="42">
        <f>SUM(I22:K22)</f>
        <v>17.065435768383367</v>
      </c>
      <c r="M22" s="42">
        <f>L22*C22*$C$7/52</f>
        <v>147.68165568793296</v>
      </c>
      <c r="N22" s="18"/>
    </row>
    <row r="23" spans="1:14" ht="18" customHeight="1">
      <c r="A23" s="57"/>
      <c r="B23" s="42" t="s">
        <v>88</v>
      </c>
      <c r="C23" s="60">
        <v>2800</v>
      </c>
      <c r="D23" s="53">
        <v>9</v>
      </c>
      <c r="E23" s="53">
        <f>SQRT(E14^2+E15^2)</f>
        <v>3.2526911934581184</v>
      </c>
      <c r="F23" s="53">
        <v>9</v>
      </c>
      <c r="G23" s="41">
        <f>E23</f>
        <v>3.2526911934581184</v>
      </c>
      <c r="H23" s="53">
        <f>F23/4</f>
        <v>2.25</v>
      </c>
      <c r="I23" s="42">
        <f>$J$6*G23</f>
        <v>5.350200906912697</v>
      </c>
      <c r="J23" s="53">
        <v>9</v>
      </c>
      <c r="K23" s="42">
        <f>H23/2</f>
        <v>1.125</v>
      </c>
      <c r="L23" s="42">
        <f>SUM(I23:K23)</f>
        <v>15.475200906912697</v>
      </c>
      <c r="M23" s="42">
        <f>L23*C23*$C$7/52</f>
        <v>249.98401465012819</v>
      </c>
      <c r="N23" s="18"/>
    </row>
    <row r="24" spans="1:14" ht="18" customHeight="1">
      <c r="A24" s="57"/>
      <c r="B24" s="42" t="s">
        <v>89</v>
      </c>
      <c r="C24" s="60">
        <v>10000</v>
      </c>
      <c r="D24" s="52">
        <v>8</v>
      </c>
      <c r="E24" s="53">
        <f>SQRT(E16^2+E17^2)</f>
        <v>2.8284271247461903</v>
      </c>
      <c r="F24" s="52">
        <v>8</v>
      </c>
      <c r="G24" s="41">
        <f>E24</f>
        <v>2.8284271247461903</v>
      </c>
      <c r="H24" s="53">
        <f>F24/4</f>
        <v>2</v>
      </c>
      <c r="I24" s="42">
        <f>$J$6*G24</f>
        <v>4.6523486147066935</v>
      </c>
      <c r="J24" s="52">
        <v>8</v>
      </c>
      <c r="K24" s="42">
        <f>H24/2</f>
        <v>1</v>
      </c>
      <c r="L24" s="42">
        <f>SUM(I24:K24)</f>
        <v>13.652348614706693</v>
      </c>
      <c r="M24" s="42">
        <f>L24*C24*$C$7/52</f>
        <v>787.63549700230919</v>
      </c>
      <c r="N24" s="18"/>
    </row>
    <row r="25" spans="1:14" ht="18" customHeight="1">
      <c r="A25" s="57"/>
      <c r="B25" s="42" t="s">
        <v>90</v>
      </c>
      <c r="C25" s="60">
        <v>400</v>
      </c>
      <c r="D25" s="53">
        <v>13.5</v>
      </c>
      <c r="E25" s="53">
        <f>SQRT(E16^2+E12^2)</f>
        <v>3.2015621187164243</v>
      </c>
      <c r="F25" s="53">
        <v>13.5</v>
      </c>
      <c r="G25" s="41">
        <f>E25</f>
        <v>3.2015621187164243</v>
      </c>
      <c r="H25" s="53">
        <f>F25/4</f>
        <v>3.375</v>
      </c>
      <c r="I25" s="42">
        <f>$G$6*G25</f>
        <v>7.4479472284856438</v>
      </c>
      <c r="J25" s="53">
        <v>13.5</v>
      </c>
      <c r="K25" s="42">
        <f>H25/2</f>
        <v>1.6875</v>
      </c>
      <c r="L25" s="42">
        <f>SUM(I25:K25)</f>
        <v>22.635447228485646</v>
      </c>
      <c r="M25" s="42">
        <f>L25*C25*$C$7/52</f>
        <v>52.235647450351493</v>
      </c>
      <c r="N25" s="18"/>
    </row>
    <row r="26" spans="1:14" ht="18" customHeight="1">
      <c r="A26" s="57"/>
      <c r="B26" s="42" t="s">
        <v>91</v>
      </c>
      <c r="C26" s="60">
        <v>500</v>
      </c>
      <c r="D26" s="53">
        <v>13.5</v>
      </c>
      <c r="E26" s="53">
        <f>SQRT(E17^2+E13^2)</f>
        <v>3.2015621187164243</v>
      </c>
      <c r="F26" s="53">
        <v>13.5</v>
      </c>
      <c r="G26" s="41">
        <f>E26</f>
        <v>3.2015621187164243</v>
      </c>
      <c r="H26" s="53">
        <f>F26/4</f>
        <v>3.375</v>
      </c>
      <c r="I26" s="42">
        <f>$G$6*G26</f>
        <v>7.4479472284856438</v>
      </c>
      <c r="J26" s="53">
        <v>13.5</v>
      </c>
      <c r="K26" s="42">
        <f>H26/2</f>
        <v>1.6875</v>
      </c>
      <c r="L26" s="42">
        <f>SUM(I26:K26)</f>
        <v>22.635447228485646</v>
      </c>
      <c r="M26" s="42">
        <f>L26*C26*$C$7/52</f>
        <v>65.294559312939356</v>
      </c>
      <c r="N26" s="18"/>
    </row>
    <row r="27" spans="1:14" ht="15.6" customHeight="1">
      <c r="A27" s="57"/>
      <c r="B27" s="8" t="s">
        <v>84</v>
      </c>
      <c r="C27" s="8" t="s">
        <v>106</v>
      </c>
      <c r="D27" s="52">
        <f>SUM(D22:D24)</f>
        <v>27</v>
      </c>
      <c r="E27" s="18"/>
      <c r="F27" s="18"/>
      <c r="G27" s="18"/>
      <c r="H27" s="18"/>
      <c r="I27" s="52">
        <f>SUM(I22:I24)</f>
        <v>15.817985290002756</v>
      </c>
      <c r="J27" s="52">
        <f>SUM(J22:J24)</f>
        <v>27</v>
      </c>
      <c r="K27" s="52">
        <f>SUM(K22:K24)</f>
        <v>3.375</v>
      </c>
      <c r="L27" s="8"/>
      <c r="M27" s="62" t="s">
        <v>85</v>
      </c>
      <c r="N27" s="63">
        <f>SUM(M22:M24)</f>
        <v>1185.3011673403703</v>
      </c>
    </row>
    <row r="28" spans="1:14" ht="15.6" customHeight="1">
      <c r="A28" s="57"/>
      <c r="B28" s="18"/>
      <c r="C28" s="18" t="s">
        <v>107</v>
      </c>
      <c r="D28" s="52">
        <f>SUM(D25:D26)</f>
        <v>27</v>
      </c>
      <c r="E28" s="18"/>
      <c r="F28" s="18"/>
      <c r="G28" s="18"/>
      <c r="H28" s="18"/>
      <c r="I28" s="52">
        <f>SUM(I25:I26)</f>
        <v>14.895894456971288</v>
      </c>
      <c r="J28" s="52">
        <f>SUM(J25:J26)</f>
        <v>27</v>
      </c>
      <c r="K28" s="52">
        <f>SUM(K25:K26)</f>
        <v>3.375</v>
      </c>
      <c r="L28" s="18"/>
      <c r="M28" s="62" t="s">
        <v>108</v>
      </c>
      <c r="N28" s="63">
        <f>SUM(M25:M26)</f>
        <v>117.53020676329085</v>
      </c>
    </row>
    <row r="29" spans="1:14" ht="15.6" customHeight="1">
      <c r="A29" s="57"/>
      <c r="B29" s="18"/>
      <c r="C29" s="18"/>
      <c r="D29" s="18"/>
      <c r="E29" s="18"/>
      <c r="F29" s="18"/>
      <c r="G29" s="18"/>
      <c r="H29" s="18"/>
      <c r="I29" s="18"/>
      <c r="J29" s="18">
        <f>J28+K28</f>
        <v>30.375</v>
      </c>
      <c r="K29" s="18"/>
      <c r="L29" s="18"/>
      <c r="M29" s="62" t="s">
        <v>92</v>
      </c>
      <c r="N29" s="63">
        <f>SUM(N27:N28)</f>
        <v>1302.8313741036611</v>
      </c>
    </row>
    <row r="30" spans="1:14">
      <c r="A30" s="10" t="s">
        <v>116</v>
      </c>
    </row>
  </sheetData>
  <mergeCells count="5">
    <mergeCell ref="I1:M3"/>
    <mergeCell ref="D10:E10"/>
    <mergeCell ref="F10:G10"/>
    <mergeCell ref="D20:E20"/>
    <mergeCell ref="F20:G20"/>
  </mergeCells>
  <phoneticPr fontId="7" type="noConversion"/>
  <pageMargins left="0.75" right="0.75" top="0.6" bottom="0.6" header="0.5" footer="0.5"/>
  <pageSetup orientation="landscape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DE247-D795-4E66-AC13-F5499508CF4C}">
  <dimension ref="C2:U247"/>
  <sheetViews>
    <sheetView tabSelected="1" topLeftCell="D17" workbookViewId="0">
      <selection activeCell="N63" sqref="N63"/>
    </sheetView>
  </sheetViews>
  <sheetFormatPr defaultRowHeight="12.75"/>
  <cols>
    <col min="3" max="3" width="26.85546875" bestFit="1" customWidth="1"/>
    <col min="4" max="4" width="31.5703125" bestFit="1" customWidth="1"/>
    <col min="5" max="5" width="13.28515625" bestFit="1" customWidth="1"/>
    <col min="6" max="6" width="19.85546875" bestFit="1" customWidth="1"/>
    <col min="7" max="7" width="14.5703125" bestFit="1" customWidth="1"/>
    <col min="8" max="8" width="12" bestFit="1" customWidth="1"/>
    <col min="9" max="9" width="27.85546875" bestFit="1" customWidth="1"/>
    <col min="10" max="10" width="16.7109375" bestFit="1" customWidth="1"/>
    <col min="11" max="11" width="22.5703125" bestFit="1" customWidth="1"/>
    <col min="12" max="12" width="12" bestFit="1" customWidth="1"/>
    <col min="13" max="13" width="27.85546875" bestFit="1" customWidth="1"/>
    <col min="14" max="14" width="14.85546875" bestFit="1" customWidth="1"/>
    <col min="15" max="15" width="12.85546875" bestFit="1" customWidth="1"/>
    <col min="16" max="16" width="12" bestFit="1" customWidth="1"/>
    <col min="17" max="17" width="18.5703125" bestFit="1" customWidth="1"/>
    <col min="18" max="18" width="29.42578125" bestFit="1" customWidth="1"/>
    <col min="19" max="19" width="29.85546875" bestFit="1" customWidth="1"/>
    <col min="20" max="20" width="22.85546875" bestFit="1" customWidth="1"/>
    <col min="21" max="21" width="33.140625" bestFit="1" customWidth="1"/>
  </cols>
  <sheetData>
    <row r="2" spans="4:21" ht="22.5">
      <c r="D2" s="85" t="s">
        <v>172</v>
      </c>
      <c r="E2" s="8" t="s">
        <v>48</v>
      </c>
      <c r="F2" s="8" t="s">
        <v>51</v>
      </c>
      <c r="G2" s="96" t="s">
        <v>49</v>
      </c>
      <c r="H2" s="96"/>
      <c r="I2" s="8" t="s">
        <v>126</v>
      </c>
      <c r="J2" s="8" t="s">
        <v>50</v>
      </c>
      <c r="K2" s="96" t="s">
        <v>129</v>
      </c>
      <c r="L2" s="96"/>
      <c r="M2" s="8" t="s">
        <v>16</v>
      </c>
      <c r="N2" s="8" t="s">
        <v>67</v>
      </c>
      <c r="O2" s="8" t="s">
        <v>68</v>
      </c>
      <c r="P2" s="8" t="s">
        <v>133</v>
      </c>
      <c r="Q2" s="8" t="s">
        <v>70</v>
      </c>
      <c r="R2" s="8" t="s">
        <v>52</v>
      </c>
      <c r="S2" s="8" t="s">
        <v>53</v>
      </c>
      <c r="T2" s="8" t="s">
        <v>131</v>
      </c>
    </row>
    <row r="3" spans="4:21">
      <c r="D3" t="s">
        <v>119</v>
      </c>
      <c r="E3">
        <v>10</v>
      </c>
      <c r="F3">
        <v>0.2</v>
      </c>
      <c r="G3">
        <v>250</v>
      </c>
      <c r="H3">
        <v>42</v>
      </c>
      <c r="I3">
        <v>250</v>
      </c>
      <c r="J3">
        <v>1</v>
      </c>
      <c r="K3">
        <v>250</v>
      </c>
      <c r="L3">
        <v>42</v>
      </c>
      <c r="M3">
        <v>86.257454246536525</v>
      </c>
      <c r="N3">
        <v>250</v>
      </c>
      <c r="O3">
        <v>125</v>
      </c>
      <c r="P3">
        <v>461.25745424653655</v>
      </c>
      <c r="Q3">
        <v>17.740671317174481</v>
      </c>
      <c r="R3">
        <v>0.5</v>
      </c>
      <c r="S3">
        <v>125</v>
      </c>
      <c r="T3">
        <v>142.74067131717447</v>
      </c>
    </row>
    <row r="4" spans="4:21">
      <c r="D4" t="s">
        <v>120</v>
      </c>
      <c r="E4">
        <v>10</v>
      </c>
      <c r="F4">
        <v>0.2</v>
      </c>
      <c r="G4">
        <v>700</v>
      </c>
      <c r="H4">
        <v>86</v>
      </c>
      <c r="I4">
        <v>700</v>
      </c>
      <c r="J4">
        <v>1</v>
      </c>
      <c r="K4">
        <v>700</v>
      </c>
      <c r="L4">
        <v>86</v>
      </c>
      <c r="M4">
        <v>176.6224063143367</v>
      </c>
      <c r="N4">
        <v>700</v>
      </c>
      <c r="O4">
        <v>350</v>
      </c>
      <c r="P4">
        <v>1226.6224063143368</v>
      </c>
      <c r="Q4">
        <v>47.177784858243726</v>
      </c>
      <c r="R4">
        <v>1.2</v>
      </c>
      <c r="S4">
        <v>840</v>
      </c>
      <c r="T4">
        <v>887.17778485824374</v>
      </c>
    </row>
    <row r="5" spans="4:21">
      <c r="D5" t="s">
        <v>121</v>
      </c>
      <c r="E5">
        <v>400</v>
      </c>
      <c r="F5">
        <v>0.4</v>
      </c>
      <c r="G5">
        <v>19</v>
      </c>
      <c r="H5">
        <v>6</v>
      </c>
      <c r="I5">
        <v>19</v>
      </c>
      <c r="J5">
        <v>2.5</v>
      </c>
      <c r="K5">
        <v>47.5</v>
      </c>
      <c r="L5">
        <v>9.4868329805051381</v>
      </c>
      <c r="M5">
        <v>19.483572899058469</v>
      </c>
      <c r="N5">
        <v>47.5</v>
      </c>
      <c r="O5">
        <v>9.5</v>
      </c>
      <c r="P5">
        <v>76.483572899058473</v>
      </c>
      <c r="Q5">
        <v>235.33407045864149</v>
      </c>
      <c r="R5">
        <v>8</v>
      </c>
      <c r="S5">
        <v>152</v>
      </c>
      <c r="T5">
        <v>387.33407045864146</v>
      </c>
    </row>
    <row r="6" spans="4:21">
      <c r="D6" t="s">
        <v>122</v>
      </c>
      <c r="E6">
        <v>400</v>
      </c>
      <c r="F6">
        <v>0.4</v>
      </c>
      <c r="G6">
        <v>14</v>
      </c>
      <c r="H6">
        <v>5</v>
      </c>
      <c r="I6">
        <v>14</v>
      </c>
      <c r="J6">
        <v>2.5</v>
      </c>
      <c r="K6">
        <v>35</v>
      </c>
      <c r="L6">
        <v>7.905694150420949</v>
      </c>
      <c r="M6">
        <v>16.236310749215392</v>
      </c>
      <c r="N6">
        <v>35</v>
      </c>
      <c r="O6">
        <v>7</v>
      </c>
      <c r="P6">
        <v>58.236310749215392</v>
      </c>
      <c r="Q6">
        <v>179.18864845912429</v>
      </c>
      <c r="R6">
        <v>8</v>
      </c>
      <c r="S6">
        <v>112</v>
      </c>
      <c r="T6">
        <v>291.18864845912429</v>
      </c>
    </row>
    <row r="8" spans="4:21">
      <c r="U8" t="s">
        <v>132</v>
      </c>
    </row>
    <row r="9" spans="4:21">
      <c r="E9" t="s">
        <v>48</v>
      </c>
      <c r="F9" t="s">
        <v>51</v>
      </c>
      <c r="G9" t="s">
        <v>49</v>
      </c>
      <c r="I9" t="s">
        <v>126</v>
      </c>
      <c r="J9" t="s">
        <v>50</v>
      </c>
      <c r="K9" t="s">
        <v>129</v>
      </c>
      <c r="M9" t="s">
        <v>16</v>
      </c>
      <c r="N9" t="s">
        <v>67</v>
      </c>
      <c r="O9" t="s">
        <v>68</v>
      </c>
      <c r="P9" t="s">
        <v>69</v>
      </c>
      <c r="Q9" t="s">
        <v>70</v>
      </c>
      <c r="R9" t="s">
        <v>62</v>
      </c>
      <c r="S9" t="s">
        <v>63</v>
      </c>
      <c r="T9" t="s">
        <v>53</v>
      </c>
      <c r="U9" t="s">
        <v>58</v>
      </c>
    </row>
    <row r="10" spans="4:21">
      <c r="D10" s="85" t="s">
        <v>64</v>
      </c>
      <c r="E10" t="s">
        <v>54</v>
      </c>
      <c r="G10" t="s">
        <v>55</v>
      </c>
      <c r="H10" t="s">
        <v>56</v>
      </c>
      <c r="I10" t="s">
        <v>24</v>
      </c>
      <c r="J10" t="s">
        <v>57</v>
      </c>
      <c r="K10" t="s">
        <v>55</v>
      </c>
      <c r="L10" t="s">
        <v>56</v>
      </c>
      <c r="M10" t="s">
        <v>24</v>
      </c>
      <c r="N10" t="s">
        <v>24</v>
      </c>
      <c r="O10" t="s">
        <v>24</v>
      </c>
      <c r="P10" t="s">
        <v>24</v>
      </c>
      <c r="Q10" t="s">
        <v>58</v>
      </c>
      <c r="R10" t="s">
        <v>59</v>
      </c>
      <c r="S10" t="s">
        <v>59</v>
      </c>
      <c r="T10" t="s">
        <v>58</v>
      </c>
      <c r="U10">
        <v>1027.3676912535377</v>
      </c>
    </row>
    <row r="11" spans="4:21">
      <c r="D11" t="s">
        <v>41</v>
      </c>
      <c r="E11">
        <v>10</v>
      </c>
      <c r="F11" s="84">
        <v>0.2</v>
      </c>
      <c r="G11">
        <v>950</v>
      </c>
      <c r="H11">
        <v>95.707888912043188</v>
      </c>
      <c r="I11">
        <v>950</v>
      </c>
      <c r="J11">
        <v>1</v>
      </c>
      <c r="K11">
        <v>950</v>
      </c>
      <c r="L11">
        <v>95.707888912043188</v>
      </c>
      <c r="M11">
        <v>196.55997259198</v>
      </c>
      <c r="N11">
        <v>950</v>
      </c>
      <c r="O11">
        <v>475</v>
      </c>
      <c r="P11">
        <v>1621.5599725919801</v>
      </c>
      <c r="Q11">
        <v>62.3676912535377</v>
      </c>
      <c r="R11">
        <v>0.5</v>
      </c>
      <c r="S11">
        <v>1.2</v>
      </c>
      <c r="T11">
        <v>965</v>
      </c>
      <c r="U11">
        <v>588.35728217065332</v>
      </c>
    </row>
    <row r="12" spans="4:21">
      <c r="D12" t="s">
        <v>40</v>
      </c>
      <c r="E12">
        <v>400</v>
      </c>
      <c r="F12" s="84">
        <v>0.4</v>
      </c>
      <c r="G12">
        <v>33</v>
      </c>
      <c r="H12">
        <v>7.810249675906654</v>
      </c>
      <c r="I12">
        <v>33</v>
      </c>
      <c r="J12">
        <v>2.5</v>
      </c>
      <c r="K12">
        <v>82.5</v>
      </c>
      <c r="L12">
        <v>3.1240998703626617</v>
      </c>
      <c r="M12">
        <v>6.4161167054623327</v>
      </c>
      <c r="N12">
        <v>82.5</v>
      </c>
      <c r="O12">
        <v>16.5</v>
      </c>
      <c r="P12">
        <v>105.41611670546233</v>
      </c>
      <c r="Q12">
        <v>324.35728217065332</v>
      </c>
      <c r="R12">
        <v>8</v>
      </c>
      <c r="S12">
        <v>8</v>
      </c>
      <c r="T12">
        <v>264</v>
      </c>
      <c r="U12">
        <v>40.26184615384615</v>
      </c>
    </row>
    <row r="13" spans="4:21">
      <c r="D13" t="s">
        <v>111</v>
      </c>
      <c r="E13">
        <v>800</v>
      </c>
      <c r="F13" s="84">
        <v>0.3</v>
      </c>
      <c r="G13">
        <v>4.18</v>
      </c>
      <c r="I13">
        <v>4.18</v>
      </c>
      <c r="J13">
        <v>1</v>
      </c>
      <c r="K13">
        <v>4.18</v>
      </c>
      <c r="M13">
        <v>1.91</v>
      </c>
      <c r="N13">
        <v>4.18</v>
      </c>
      <c r="O13">
        <v>2.09</v>
      </c>
      <c r="P13">
        <v>8.18</v>
      </c>
      <c r="Q13">
        <v>37.753846153846148</v>
      </c>
      <c r="R13">
        <v>0.9</v>
      </c>
      <c r="S13">
        <v>0.30000000000000004</v>
      </c>
      <c r="T13">
        <v>2.508</v>
      </c>
    </row>
    <row r="14" spans="4:21">
      <c r="D14" s="85" t="s">
        <v>65</v>
      </c>
      <c r="F14" s="84"/>
      <c r="U14">
        <v>232.36769125353771</v>
      </c>
    </row>
    <row r="15" spans="4:21">
      <c r="D15" t="s">
        <v>41</v>
      </c>
      <c r="E15">
        <v>10</v>
      </c>
      <c r="F15" s="84">
        <v>0.2</v>
      </c>
      <c r="G15">
        <v>950</v>
      </c>
      <c r="H15">
        <v>95.707888912043188</v>
      </c>
      <c r="I15">
        <v>950</v>
      </c>
      <c r="J15">
        <v>1</v>
      </c>
      <c r="K15">
        <v>950</v>
      </c>
      <c r="L15">
        <v>95.707888912043188</v>
      </c>
      <c r="M15">
        <v>196.55997259198014</v>
      </c>
      <c r="N15">
        <v>950</v>
      </c>
      <c r="O15">
        <v>475</v>
      </c>
      <c r="P15">
        <v>1621.5599725919801</v>
      </c>
      <c r="Q15">
        <v>62.3676912535377</v>
      </c>
      <c r="R15">
        <v>0.4</v>
      </c>
      <c r="S15">
        <v>9.9999999999999978E-2</v>
      </c>
      <c r="T15">
        <v>170</v>
      </c>
      <c r="U15">
        <v>315.43572821706533</v>
      </c>
    </row>
    <row r="16" spans="4:21">
      <c r="D16" t="s">
        <v>40</v>
      </c>
      <c r="E16">
        <v>40</v>
      </c>
      <c r="F16" s="84">
        <v>0.4</v>
      </c>
      <c r="G16">
        <v>33</v>
      </c>
      <c r="H16">
        <v>7.810249675906654</v>
      </c>
      <c r="I16">
        <v>33</v>
      </c>
      <c r="J16">
        <v>2.5</v>
      </c>
      <c r="K16">
        <v>82.5</v>
      </c>
      <c r="L16">
        <v>3.1240998703626617</v>
      </c>
      <c r="M16">
        <v>6.4161167054623327</v>
      </c>
      <c r="N16">
        <v>82.5</v>
      </c>
      <c r="O16">
        <v>16.5</v>
      </c>
      <c r="P16">
        <v>105.41611670546233</v>
      </c>
      <c r="Q16">
        <v>32.435728217065339</v>
      </c>
      <c r="R16">
        <v>9</v>
      </c>
      <c r="S16">
        <v>8</v>
      </c>
      <c r="T16">
        <v>283</v>
      </c>
      <c r="U16">
        <v>42.351846153846147</v>
      </c>
    </row>
    <row r="17" spans="3:20">
      <c r="D17" t="s">
        <v>111</v>
      </c>
      <c r="E17">
        <v>800</v>
      </c>
      <c r="F17">
        <v>0.3</v>
      </c>
      <c r="G17">
        <v>4.18</v>
      </c>
      <c r="I17">
        <v>4.18</v>
      </c>
      <c r="J17">
        <v>1</v>
      </c>
      <c r="K17">
        <v>4.18</v>
      </c>
      <c r="M17">
        <v>1.91</v>
      </c>
      <c r="N17">
        <v>4.18</v>
      </c>
      <c r="O17">
        <v>2.09</v>
      </c>
      <c r="P17">
        <v>8.18</v>
      </c>
      <c r="Q17">
        <v>37.753846153846148</v>
      </c>
      <c r="R17">
        <v>1.9</v>
      </c>
      <c r="S17">
        <v>0.30000000000000004</v>
      </c>
      <c r="T17">
        <v>4.5979999999999999</v>
      </c>
    </row>
    <row r="19" spans="3:20">
      <c r="C19" s="85" t="s">
        <v>164</v>
      </c>
      <c r="I19" s="85" t="s">
        <v>165</v>
      </c>
      <c r="M19" s="85" t="s">
        <v>167</v>
      </c>
    </row>
    <row r="22" spans="3:20">
      <c r="C22" t="s">
        <v>154</v>
      </c>
      <c r="D22">
        <f>_xlfn.NORM.S.INV(0.98)</f>
        <v>2.0537489106318221</v>
      </c>
      <c r="J22">
        <f>_xlfn.NORM.S.INV(0.98)</f>
        <v>2.0537489106318221</v>
      </c>
      <c r="M22">
        <f>_xlfn.NORM.S.INV(0.98)</f>
        <v>2.0537489106318221</v>
      </c>
    </row>
    <row r="23" spans="3:20">
      <c r="D23" t="s">
        <v>41</v>
      </c>
      <c r="E23" t="s">
        <v>40</v>
      </c>
      <c r="J23" t="s">
        <v>41</v>
      </c>
      <c r="K23" t="s">
        <v>40</v>
      </c>
      <c r="N23" t="s">
        <v>168</v>
      </c>
      <c r="O23" t="s">
        <v>169</v>
      </c>
      <c r="P23" t="s">
        <v>170</v>
      </c>
      <c r="Q23" t="s">
        <v>171</v>
      </c>
    </row>
    <row r="24" spans="3:20">
      <c r="C24" t="s">
        <v>149</v>
      </c>
      <c r="D24">
        <f>G11</f>
        <v>950</v>
      </c>
      <c r="E24">
        <f>EDN!D25</f>
        <v>33</v>
      </c>
      <c r="J24">
        <f>G15</f>
        <v>950</v>
      </c>
      <c r="K24">
        <f>G16</f>
        <v>33</v>
      </c>
      <c r="N24">
        <v>250</v>
      </c>
      <c r="O24">
        <v>700</v>
      </c>
      <c r="P24">
        <v>19</v>
      </c>
      <c r="Q24">
        <v>14</v>
      </c>
    </row>
    <row r="25" spans="3:20">
      <c r="C25" t="s">
        <v>150</v>
      </c>
      <c r="D25">
        <f>H11</f>
        <v>95.707888912043188</v>
      </c>
      <c r="E25">
        <f>EDN!E25</f>
        <v>7.810249675906654</v>
      </c>
      <c r="J25">
        <f>H15</f>
        <v>95.707888912043188</v>
      </c>
      <c r="K25">
        <f>H16</f>
        <v>7.810249675906654</v>
      </c>
      <c r="N25">
        <v>42</v>
      </c>
      <c r="O25">
        <v>86</v>
      </c>
      <c r="P25">
        <v>6</v>
      </c>
      <c r="Q25">
        <v>5</v>
      </c>
    </row>
    <row r="26" spans="3:20">
      <c r="C26" t="s">
        <v>152</v>
      </c>
      <c r="D26">
        <v>1</v>
      </c>
      <c r="E26">
        <f>EDN!G25</f>
        <v>2.5</v>
      </c>
      <c r="J26">
        <f>J15</f>
        <v>1</v>
      </c>
      <c r="K26">
        <f>J16</f>
        <v>2.5</v>
      </c>
      <c r="N26">
        <v>1</v>
      </c>
      <c r="O26">
        <v>1</v>
      </c>
      <c r="P26">
        <v>2.5</v>
      </c>
      <c r="Q26">
        <v>2.5</v>
      </c>
    </row>
    <row r="27" spans="3:20">
      <c r="C27" s="85" t="s">
        <v>148</v>
      </c>
      <c r="I27" s="85" t="s">
        <v>148</v>
      </c>
      <c r="L27" s="85" t="s">
        <v>148</v>
      </c>
    </row>
    <row r="28" spans="3:20">
      <c r="C28" t="s">
        <v>151</v>
      </c>
      <c r="D28">
        <f ca="1">RAND()</f>
        <v>9.1657680793567398E-2</v>
      </c>
      <c r="E28">
        <f ca="1">RAND()</f>
        <v>0.31231542390751921</v>
      </c>
      <c r="I28" t="s">
        <v>151</v>
      </c>
      <c r="J28">
        <f ca="1">D28</f>
        <v>9.1657680793567398E-2</v>
      </c>
      <c r="K28">
        <f ca="1">E28</f>
        <v>0.31231542390751921</v>
      </c>
      <c r="M28" t="s">
        <v>151</v>
      </c>
      <c r="N28">
        <f ca="1">D28</f>
        <v>9.1657680793567398E-2</v>
      </c>
      <c r="O28">
        <f ca="1">E28</f>
        <v>0.31231542390751921</v>
      </c>
      <c r="P28">
        <f ca="1">RAND()</f>
        <v>0.86377343646243221</v>
      </c>
      <c r="Q28">
        <f ca="1">RAND()</f>
        <v>0.70947769132704341</v>
      </c>
    </row>
    <row r="29" spans="3:20">
      <c r="C29" t="s">
        <v>125</v>
      </c>
      <c r="D29">
        <f ca="1">_xlfn.NORM.INV(D28,D24,D25)</f>
        <v>822.64954194407483</v>
      </c>
      <c r="E29">
        <f ca="1">_xlfn.NORM.INV(E28,E24,E25)</f>
        <v>29.178461678867802</v>
      </c>
      <c r="I29" t="s">
        <v>125</v>
      </c>
      <c r="J29">
        <f ca="1">_xlfn.NORM.INV(J28,J24,J25)</f>
        <v>822.64954194407483</v>
      </c>
      <c r="K29">
        <f t="shared" ref="K29" ca="1" si="0">_xlfn.NORM.INV(K28,K24,K25)</f>
        <v>29.178461678867802</v>
      </c>
      <c r="M29" t="s">
        <v>125</v>
      </c>
      <c r="N29">
        <f ca="1">_xlfn.NORM.INV(N28,N24,N25)</f>
        <v>194.11412372427941</v>
      </c>
      <c r="O29">
        <f ca="1">_xlfn.NORM.INV(O28,O24,O25)</f>
        <v>657.92038548636833</v>
      </c>
      <c r="P29">
        <f ca="1">_xlfn.NORM.INV(P28,P24,P25)</f>
        <v>25.584584642040163</v>
      </c>
      <c r="Q29">
        <f ca="1">_xlfn.NORM.INV(Q28,Q24,Q25)</f>
        <v>16.759297505414924</v>
      </c>
    </row>
    <row r="31" spans="3:20">
      <c r="C31" t="s">
        <v>129</v>
      </c>
      <c r="D31">
        <f ca="1">D29*J11</f>
        <v>822.64954194407483</v>
      </c>
      <c r="E31">
        <f ca="1">E29*J12</f>
        <v>72.946154197169506</v>
      </c>
      <c r="I31" t="s">
        <v>129</v>
      </c>
      <c r="J31">
        <f ca="1">J29*J26</f>
        <v>822.64954194407483</v>
      </c>
      <c r="K31">
        <f ca="1">K29*K26</f>
        <v>72.946154197169506</v>
      </c>
      <c r="M31" t="s">
        <v>129</v>
      </c>
      <c r="N31">
        <f ca="1">N29*N26</f>
        <v>194.11412372427941</v>
      </c>
      <c r="O31">
        <f t="shared" ref="O31:Q31" ca="1" si="1">O29*O26</f>
        <v>657.92038548636833</v>
      </c>
      <c r="P31">
        <f t="shared" ca="1" si="1"/>
        <v>63.961461605100411</v>
      </c>
      <c r="Q31">
        <f t="shared" ca="1" si="1"/>
        <v>41.898243763537309</v>
      </c>
    </row>
    <row r="32" spans="3:20">
      <c r="C32" t="s">
        <v>162</v>
      </c>
      <c r="D32">
        <f ca="1">EDN!D14*D29/950</f>
        <v>216.48672156423021</v>
      </c>
      <c r="E32">
        <f ca="1">EDN!D16*E29/EDN!D25</f>
        <v>16.799720360560247</v>
      </c>
      <c r="I32" t="s">
        <v>162</v>
      </c>
      <c r="J32">
        <f ca="1">EDN!D14*J29/950</f>
        <v>216.48672156423021</v>
      </c>
      <c r="K32">
        <f ca="1">EDN!D16*K29/EDN!D25</f>
        <v>16.799720360560247</v>
      </c>
      <c r="M32" t="s">
        <v>162</v>
      </c>
      <c r="N32">
        <f ca="1">N29</f>
        <v>194.11412372427941</v>
      </c>
      <c r="O32">
        <v>0</v>
      </c>
      <c r="P32">
        <f t="shared" ref="P32" ca="1" si="2">P29</f>
        <v>25.584584642040163</v>
      </c>
      <c r="Q32">
        <v>0</v>
      </c>
    </row>
    <row r="33" spans="3:17">
      <c r="C33" t="s">
        <v>163</v>
      </c>
      <c r="D33">
        <f ca="1">EDN!D15*D29/950</f>
        <v>606.16282037984456</v>
      </c>
      <c r="E33">
        <f ca="1">EDN!D17*E29/EDN!D25</f>
        <v>12.378741318307553</v>
      </c>
      <c r="I33" t="s">
        <v>163</v>
      </c>
      <c r="J33">
        <f ca="1">EDN!D15*J29/950</f>
        <v>606.16282037984456</v>
      </c>
      <c r="K33">
        <f ca="1">EDN!D17*K29/EDN!D25</f>
        <v>12.378741318307553</v>
      </c>
      <c r="M33" t="s">
        <v>163</v>
      </c>
      <c r="N33">
        <v>0</v>
      </c>
      <c r="O33">
        <f ca="1">O31</f>
        <v>657.92038548636833</v>
      </c>
      <c r="P33">
        <v>0</v>
      </c>
      <c r="Q33">
        <f ca="1">Q31</f>
        <v>41.898243763537309</v>
      </c>
    </row>
    <row r="34" spans="3:17">
      <c r="C34" t="s">
        <v>153</v>
      </c>
      <c r="D34">
        <f>D25*SQRT(D26)*D22</f>
        <v>196.55997259198014</v>
      </c>
      <c r="E34">
        <f>D22*E25*SQRT(E26)</f>
        <v>25.361928153395848</v>
      </c>
      <c r="I34" t="s">
        <v>153</v>
      </c>
      <c r="J34">
        <f>J25*SQRT(J26)*J22</f>
        <v>196.55997259198014</v>
      </c>
      <c r="K34">
        <f>J22*K25*SQRT(K26)</f>
        <v>25.361928153395848</v>
      </c>
      <c r="M34" t="s">
        <v>153</v>
      </c>
      <c r="N34">
        <f>$M$22*SQRT(N26)*N25</f>
        <v>86.257454246536525</v>
      </c>
      <c r="O34">
        <f>$M$22*SQRT(O26)*O25</f>
        <v>176.6224063143367</v>
      </c>
      <c r="P34">
        <f>$M$22*SQRT(P26)*P25</f>
        <v>19.483572899058473</v>
      </c>
      <c r="Q34">
        <f>$M$22*SQRT(Q26)*Q25</f>
        <v>16.236310749215392</v>
      </c>
    </row>
    <row r="35" spans="3:17">
      <c r="C35" t="s">
        <v>155</v>
      </c>
      <c r="D35">
        <f ca="1">D29*D26</f>
        <v>822.64954194407483</v>
      </c>
      <c r="E35">
        <f ca="1">E29*E26</f>
        <v>72.946154197169506</v>
      </c>
      <c r="I35" t="s">
        <v>155</v>
      </c>
      <c r="J35">
        <f ca="1">J29*J26</f>
        <v>822.64954194407483</v>
      </c>
      <c r="K35">
        <f ca="1">K29*K26</f>
        <v>72.946154197169506</v>
      </c>
      <c r="M35" t="s">
        <v>155</v>
      </c>
      <c r="N35">
        <f ca="1">N29*N26</f>
        <v>194.11412372427941</v>
      </c>
      <c r="O35">
        <f t="shared" ref="O35:Q35" ca="1" si="3">O29*O26</f>
        <v>657.92038548636833</v>
      </c>
      <c r="P35">
        <f t="shared" ca="1" si="3"/>
        <v>63.961461605100411</v>
      </c>
      <c r="Q35">
        <f t="shared" ca="1" si="3"/>
        <v>41.898243763537309</v>
      </c>
    </row>
    <row r="36" spans="3:17">
      <c r="C36" t="s">
        <v>157</v>
      </c>
      <c r="D36">
        <f ca="1">D35/2/D26</f>
        <v>411.32477097203741</v>
      </c>
      <c r="E36">
        <f ca="1">E35/2/E26</f>
        <v>14.589230839433901</v>
      </c>
      <c r="I36" t="s">
        <v>157</v>
      </c>
      <c r="J36">
        <f ca="1">J35/2/J26</f>
        <v>411.32477097203741</v>
      </c>
      <c r="K36">
        <f ca="1">K35/2/K26</f>
        <v>14.589230839433901</v>
      </c>
      <c r="M36" t="s">
        <v>157</v>
      </c>
      <c r="N36">
        <f ca="1">N35/2/N26</f>
        <v>97.057061862139705</v>
      </c>
      <c r="O36">
        <f t="shared" ref="O36:Q36" ca="1" si="4">O35/2/O26</f>
        <v>328.96019274318417</v>
      </c>
      <c r="P36">
        <f t="shared" ca="1" si="4"/>
        <v>12.792292321020081</v>
      </c>
      <c r="Q36">
        <f t="shared" ca="1" si="4"/>
        <v>8.3796487527074621</v>
      </c>
    </row>
    <row r="37" spans="3:17">
      <c r="C37" t="s">
        <v>156</v>
      </c>
      <c r="D37">
        <f ca="1">SUM(D34,D35,D36)</f>
        <v>1430.5342855080924</v>
      </c>
      <c r="E37">
        <f ca="1">SUM(E34,E35,E36)</f>
        <v>112.89731318999925</v>
      </c>
      <c r="I37" t="s">
        <v>156</v>
      </c>
      <c r="J37">
        <f ca="1">SUM(J34,J35,J36)</f>
        <v>1430.5342855080924</v>
      </c>
      <c r="K37">
        <f ca="1">SUM(K34,K35,K36)</f>
        <v>112.89731318999925</v>
      </c>
      <c r="M37" t="s">
        <v>156</v>
      </c>
      <c r="N37">
        <f ca="1">SUM(N34:N36)</f>
        <v>377.42863983295558</v>
      </c>
      <c r="O37">
        <f t="shared" ref="O37:Q37" ca="1" si="5">SUM(O34:O36)</f>
        <v>1163.5029845438892</v>
      </c>
      <c r="P37">
        <f t="shared" ca="1" si="5"/>
        <v>96.237326825178968</v>
      </c>
      <c r="Q37">
        <f t="shared" ca="1" si="5"/>
        <v>66.514203265460168</v>
      </c>
    </row>
    <row r="38" spans="3:17">
      <c r="C38" t="s">
        <v>158</v>
      </c>
      <c r="D38">
        <f ca="1">D39/52</f>
        <v>55.020549442618936</v>
      </c>
      <c r="E38">
        <f ca="1">E39/52</f>
        <v>347.37634827692085</v>
      </c>
      <c r="I38" t="s">
        <v>158</v>
      </c>
      <c r="J38">
        <f ca="1">J39/52</f>
        <v>55.020549442618936</v>
      </c>
      <c r="K38">
        <f ca="1">K39/52</f>
        <v>34.737634827692077</v>
      </c>
      <c r="M38" t="s">
        <v>158</v>
      </c>
      <c r="N38">
        <f ca="1">N39/52</f>
        <v>14.516486147421368</v>
      </c>
      <c r="O38">
        <f t="shared" ref="O38:Q38" ca="1" si="6">O39/52</f>
        <v>44.750114790149581</v>
      </c>
      <c r="P38">
        <f t="shared" ca="1" si="6"/>
        <v>296.11485176978147</v>
      </c>
      <c r="Q38">
        <f t="shared" ca="1" si="6"/>
        <v>204.65908697064668</v>
      </c>
    </row>
    <row r="39" spans="3:17">
      <c r="C39" t="s">
        <v>159</v>
      </c>
      <c r="D39">
        <f ca="1">E11*F11*D37</f>
        <v>2861.0685710161847</v>
      </c>
      <c r="E39">
        <f ca="1">E37*E12*F12</f>
        <v>18063.570110399884</v>
      </c>
      <c r="I39" t="s">
        <v>159</v>
      </c>
      <c r="J39">
        <f ca="1">E15*F15*J37</f>
        <v>2861.0685710161847</v>
      </c>
      <c r="K39">
        <f ca="1">K37*E16*F16</f>
        <v>1806.357011039988</v>
      </c>
      <c r="M39" t="s">
        <v>159</v>
      </c>
      <c r="N39">
        <f ca="1">N37*E$3*F$3</f>
        <v>754.85727966591116</v>
      </c>
      <c r="O39">
        <f ca="1">E4*F4*O37</f>
        <v>2327.0059690877783</v>
      </c>
      <c r="P39">
        <f ca="1">P37*E5*F5</f>
        <v>15397.972292028637</v>
      </c>
      <c r="Q39">
        <f ca="1">Q37*E6*F6</f>
        <v>10642.272522473628</v>
      </c>
    </row>
    <row r="40" spans="3:17">
      <c r="C40" t="s">
        <v>160</v>
      </c>
      <c r="D40">
        <f ca="1">D41/52</f>
        <v>16.069975869960164</v>
      </c>
      <c r="E40">
        <f ca="1">E41/52</f>
        <v>2.5845723631631148</v>
      </c>
      <c r="I40" t="s">
        <v>160</v>
      </c>
      <c r="J40">
        <f>J41/52</f>
        <v>3.2692307692307692</v>
      </c>
      <c r="K40">
        <f>K41/52</f>
        <v>5.4423076923076925</v>
      </c>
      <c r="M40" t="s">
        <v>160</v>
      </c>
      <c r="N40">
        <f ca="1">N41/52</f>
        <v>3.629121536855342</v>
      </c>
      <c r="O40">
        <f t="shared" ref="O40:Q40" ca="1" si="7">O41/52</f>
        <v>26.850068874089747</v>
      </c>
      <c r="P40">
        <f t="shared" ca="1" si="7"/>
        <v>14.805742588489071</v>
      </c>
      <c r="Q40">
        <f t="shared" ca="1" si="7"/>
        <v>10.232954348532333</v>
      </c>
    </row>
    <row r="41" spans="3:17">
      <c r="C41" t="s">
        <v>161</v>
      </c>
      <c r="D41">
        <f ca="1">EDN!O24*'Monte Carlo Simulation'!D32+EDN!P24*'Monte Carlo Simulation'!D33</f>
        <v>835.63874523792856</v>
      </c>
      <c r="E41">
        <f ca="1">EDN!O25*E32+'Monte Carlo Simulation'!P30*'Monte Carlo Simulation'!E33</f>
        <v>134.39776288448198</v>
      </c>
      <c r="I41" t="s">
        <v>161</v>
      </c>
      <c r="J41">
        <f>EDN!D14*EDN!O28+EDN!D15*EDN!P28</f>
        <v>170</v>
      </c>
      <c r="K41">
        <f>EDN!D16*EDN!O29+EDN!D17*EDN!P29</f>
        <v>283</v>
      </c>
      <c r="M41" t="s">
        <v>161</v>
      </c>
      <c r="N41">
        <f ca="1">N37*R3</f>
        <v>188.71431991647779</v>
      </c>
      <c r="O41">
        <f ca="1">O37*R4</f>
        <v>1396.2035814526669</v>
      </c>
      <c r="P41">
        <f ca="1">P37*R5</f>
        <v>769.89861460143175</v>
      </c>
      <c r="Q41">
        <f ca="1">Q37*R6</f>
        <v>532.11362612368134</v>
      </c>
    </row>
    <row r="43" spans="3:17">
      <c r="C43" t="s">
        <v>174</v>
      </c>
      <c r="D43">
        <f ca="1">SUM(D39:E39)</f>
        <v>20924.638681416069</v>
      </c>
      <c r="I43" t="s">
        <v>174</v>
      </c>
      <c r="J43">
        <f ca="1">SUM(J39:K39)</f>
        <v>4667.425582056173</v>
      </c>
      <c r="M43" t="s">
        <v>174</v>
      </c>
      <c r="N43">
        <f ca="1">SUM(N39:Q39)</f>
        <v>29122.108063255953</v>
      </c>
    </row>
    <row r="44" spans="3:17">
      <c r="C44" t="s">
        <v>173</v>
      </c>
      <c r="D44">
        <f ca="1">SUM(D41:E41)</f>
        <v>970.03650812241051</v>
      </c>
      <c r="I44" t="s">
        <v>173</v>
      </c>
      <c r="J44">
        <f>SUM(J41:K41)</f>
        <v>453</v>
      </c>
      <c r="M44" t="s">
        <v>173</v>
      </c>
      <c r="N44">
        <f ca="1">SUM(N41:Q41)</f>
        <v>2886.9301420942575</v>
      </c>
    </row>
    <row r="45" spans="3:17">
      <c r="C45" t="s">
        <v>175</v>
      </c>
      <c r="D45" s="87">
        <f ca="1">SUM(D43:D44)</f>
        <v>21894.67518953848</v>
      </c>
      <c r="I45" t="s">
        <v>175</v>
      </c>
      <c r="J45" s="88">
        <f ca="1">SUM(J43:J44)</f>
        <v>5120.425582056173</v>
      </c>
      <c r="M45" t="s">
        <v>175</v>
      </c>
      <c r="N45" s="86">
        <f ca="1">SUM(N43:N44)</f>
        <v>32009.038205350211</v>
      </c>
    </row>
    <row r="46" spans="3:17">
      <c r="D46" t="s">
        <v>176</v>
      </c>
      <c r="E46" t="s">
        <v>177</v>
      </c>
      <c r="F46" t="s">
        <v>167</v>
      </c>
      <c r="G46" t="s">
        <v>187</v>
      </c>
    </row>
    <row r="47" spans="3:17">
      <c r="C47" t="s">
        <v>166</v>
      </c>
      <c r="D47">
        <f ca="1">D45</f>
        <v>21894.67518953848</v>
      </c>
      <c r="E47">
        <f ca="1">J45</f>
        <v>5120.425582056173</v>
      </c>
      <c r="F47">
        <f ca="1">N45</f>
        <v>32009.038205350211</v>
      </c>
    </row>
    <row r="48" spans="3:17">
      <c r="C48">
        <v>1</v>
      </c>
      <c r="D48">
        <f t="dataTable" ref="D48:F247" dt2D="0" dtr="0" r1="H48" ca="1"/>
        <v>30883.856634347663</v>
      </c>
      <c r="E48">
        <v>6598.1134713761676</v>
      </c>
      <c r="F48">
        <v>26043.946854478691</v>
      </c>
      <c r="G48" t="str">
        <f>IF(AND(D48&lt;E48,D48&lt;F48),"France",IF(AND(E48&lt;D48,E48&lt;F48),"Germany","France and Germany"))</f>
        <v>Germany</v>
      </c>
      <c r="I48" s="85" t="s">
        <v>178</v>
      </c>
      <c r="J48" t="s">
        <v>180</v>
      </c>
      <c r="K48" t="s">
        <v>181</v>
      </c>
      <c r="L48" t="s">
        <v>182</v>
      </c>
      <c r="M48" t="s">
        <v>183</v>
      </c>
      <c r="N48" t="s">
        <v>184</v>
      </c>
      <c r="O48" t="s">
        <v>185</v>
      </c>
      <c r="P48" t="s">
        <v>186</v>
      </c>
    </row>
    <row r="49" spans="3:16">
      <c r="C49">
        <v>2</v>
      </c>
      <c r="D49">
        <v>26403.101245620044</v>
      </c>
      <c r="E49">
        <v>6128.1039540703123</v>
      </c>
      <c r="F49">
        <v>28858.051690005053</v>
      </c>
      <c r="G49" t="str">
        <f t="shared" ref="G49:G112" si="8">IF(AND(D49&lt;E49,D49&lt;F49),"France",IF(AND(E49&lt;D49,E49&lt;F49),"Germany","France and Germany"))</f>
        <v>Germany</v>
      </c>
      <c r="I49" t="s">
        <v>179</v>
      </c>
      <c r="J49">
        <f>AVERAGE(D48:D247)</f>
        <v>24041.735068767077</v>
      </c>
      <c r="K49">
        <f>_xlfn.STDEV.S(D48:D247)</f>
        <v>3547.6850409617609</v>
      </c>
      <c r="L49">
        <f>K49/SQRT(COUNT(D48:D247))</f>
        <v>250.85921499781358</v>
      </c>
      <c r="M49">
        <f>_xlfn.NORM.S.INV(0.98)</f>
        <v>2.0537489106318221</v>
      </c>
      <c r="N49">
        <f>L49*M49</f>
        <v>515.20183952371372</v>
      </c>
      <c r="O49">
        <f>J49-N49</f>
        <v>23526.533229243363</v>
      </c>
      <c r="P49">
        <f>J49+N49</f>
        <v>24556.936908290791</v>
      </c>
    </row>
    <row r="50" spans="3:16">
      <c r="C50">
        <v>3</v>
      </c>
      <c r="D50">
        <v>23244.768650888669</v>
      </c>
      <c r="E50">
        <v>5535.2850143673368</v>
      </c>
      <c r="F50">
        <v>25248.397679635753</v>
      </c>
      <c r="G50" t="str">
        <f t="shared" si="8"/>
        <v>Germany</v>
      </c>
      <c r="I50" t="s">
        <v>177</v>
      </c>
      <c r="J50">
        <f>AVERAGE(E48:E247)</f>
        <v>5668.912370314144</v>
      </c>
      <c r="K50">
        <f>_xlfn.STDEV.S(E48:E247)</f>
        <v>446.49783094975248</v>
      </c>
      <c r="L50">
        <f ca="1">K50/SQRT(COUNT(E47:E247))</f>
        <v>31.493528755078145</v>
      </c>
      <c r="M50">
        <f t="shared" ref="M50:M51" si="9">_xlfn.NORM.S.INV(0.98)</f>
        <v>2.0537489106318221</v>
      </c>
      <c r="N50">
        <f t="shared" ref="N50:N51" ca="1" si="10">L50*M50</f>
        <v>64.679800372693705</v>
      </c>
      <c r="O50">
        <f t="shared" ref="O50:O51" ca="1" si="11">J50-N50</f>
        <v>5604.2325699414505</v>
      </c>
      <c r="P50">
        <f t="shared" ref="P50:P51" ca="1" si="12">J50+N50</f>
        <v>5733.5921706868376</v>
      </c>
    </row>
    <row r="51" spans="3:16">
      <c r="C51">
        <v>4</v>
      </c>
      <c r="D51">
        <v>22880.617343806669</v>
      </c>
      <c r="E51">
        <v>5471.5550940010689</v>
      </c>
      <c r="F51">
        <v>26686.744356801111</v>
      </c>
      <c r="G51" t="str">
        <f t="shared" si="8"/>
        <v>Germany</v>
      </c>
      <c r="I51" t="s">
        <v>167</v>
      </c>
      <c r="J51">
        <f>AVERAGE(F48:F247)</f>
        <v>27432.30310371111</v>
      </c>
      <c r="K51">
        <f>_xlfn.STDEV.S(F49:F247)</f>
        <v>3606.4108978546028</v>
      </c>
      <c r="L51">
        <f>K51/SQRT(COUNT(F48:F247))</f>
        <v>255.01176016180548</v>
      </c>
      <c r="M51">
        <f t="shared" si="9"/>
        <v>2.0537489106318221</v>
      </c>
      <c r="N51">
        <f t="shared" si="10"/>
        <v>523.7301246306115</v>
      </c>
      <c r="O51">
        <f t="shared" si="11"/>
        <v>26908.572979080498</v>
      </c>
      <c r="P51">
        <f t="shared" si="12"/>
        <v>27956.033228341723</v>
      </c>
    </row>
    <row r="52" spans="3:16">
      <c r="C52">
        <v>5</v>
      </c>
      <c r="D52">
        <v>17826.479396764367</v>
      </c>
      <c r="E52">
        <v>5073.0774823535503</v>
      </c>
      <c r="F52">
        <v>33332.858848251832</v>
      </c>
      <c r="G52" t="str">
        <f t="shared" si="8"/>
        <v>Germany</v>
      </c>
    </row>
    <row r="53" spans="3:16">
      <c r="C53">
        <v>6</v>
      </c>
      <c r="D53">
        <v>22128.574810684968</v>
      </c>
      <c r="E53">
        <v>5537.6831507407642</v>
      </c>
      <c r="F53">
        <v>29413.808351705731</v>
      </c>
      <c r="G53" t="str">
        <f t="shared" si="8"/>
        <v>Germany</v>
      </c>
    </row>
    <row r="54" spans="3:16">
      <c r="C54">
        <v>7</v>
      </c>
      <c r="D54">
        <v>30348.543951375374</v>
      </c>
      <c r="E54">
        <v>5828.5772406700589</v>
      </c>
      <c r="F54">
        <v>29092.077640411488</v>
      </c>
      <c r="G54" t="str">
        <f t="shared" si="8"/>
        <v>Germany</v>
      </c>
    </row>
    <row r="55" spans="3:16">
      <c r="C55">
        <v>8</v>
      </c>
      <c r="D55">
        <v>18484.616402140484</v>
      </c>
      <c r="E55">
        <v>4996.9056727444631</v>
      </c>
      <c r="F55">
        <v>25045.035248237949</v>
      </c>
      <c r="G55" t="str">
        <f t="shared" si="8"/>
        <v>Germany</v>
      </c>
    </row>
    <row r="56" spans="3:16">
      <c r="C56">
        <v>9</v>
      </c>
      <c r="D56">
        <v>25107.818837598657</v>
      </c>
      <c r="E56">
        <v>5710.0797646990577</v>
      </c>
      <c r="F56">
        <v>21019.378345631209</v>
      </c>
      <c r="G56" t="str">
        <f t="shared" si="8"/>
        <v>Germany</v>
      </c>
    </row>
    <row r="57" spans="3:16">
      <c r="C57">
        <v>10</v>
      </c>
      <c r="D57">
        <v>23868.999928511454</v>
      </c>
      <c r="E57">
        <v>5787.4598591260537</v>
      </c>
      <c r="F57">
        <v>37610.269732057495</v>
      </c>
      <c r="G57" t="str">
        <f t="shared" si="8"/>
        <v>Germany</v>
      </c>
    </row>
    <row r="58" spans="3:16">
      <c r="C58">
        <v>11</v>
      </c>
      <c r="D58">
        <v>24866.983903615794</v>
      </c>
      <c r="E58">
        <v>6066.7627688830289</v>
      </c>
      <c r="F58">
        <v>26633.349978435144</v>
      </c>
      <c r="G58" t="str">
        <f t="shared" si="8"/>
        <v>Germany</v>
      </c>
    </row>
    <row r="59" spans="3:16">
      <c r="C59">
        <v>12</v>
      </c>
      <c r="D59">
        <v>28811.839593874112</v>
      </c>
      <c r="E59">
        <v>6480.0365645883139</v>
      </c>
      <c r="F59">
        <v>24169.263154072596</v>
      </c>
      <c r="G59" t="str">
        <f t="shared" si="8"/>
        <v>Germany</v>
      </c>
    </row>
    <row r="60" spans="3:16">
      <c r="C60">
        <v>13</v>
      </c>
      <c r="D60">
        <v>27856.665205054494</v>
      </c>
      <c r="E60">
        <v>5750.2143212820756</v>
      </c>
      <c r="F60">
        <v>31780.443787260101</v>
      </c>
      <c r="G60" t="str">
        <f t="shared" si="8"/>
        <v>Germany</v>
      </c>
    </row>
    <row r="61" spans="3:16">
      <c r="C61">
        <v>14</v>
      </c>
      <c r="D61">
        <v>21461.808658398859</v>
      </c>
      <c r="E61">
        <v>5170.1995615426931</v>
      </c>
      <c r="F61">
        <v>20394.684135921951</v>
      </c>
      <c r="G61" t="str">
        <f t="shared" si="8"/>
        <v>Germany</v>
      </c>
    </row>
    <row r="62" spans="3:16">
      <c r="C62">
        <v>15</v>
      </c>
      <c r="D62">
        <v>24361.44972934074</v>
      </c>
      <c r="E62">
        <v>5381.0841216767567</v>
      </c>
      <c r="F62">
        <v>21236.564597584831</v>
      </c>
      <c r="G62" t="str">
        <f t="shared" si="8"/>
        <v>Germany</v>
      </c>
    </row>
    <row r="63" spans="3:16">
      <c r="C63">
        <v>16</v>
      </c>
      <c r="D63">
        <v>22745.345168939861</v>
      </c>
      <c r="E63">
        <v>5204.0147070919593</v>
      </c>
      <c r="F63">
        <v>28193.276594644918</v>
      </c>
      <c r="G63" t="str">
        <f t="shared" si="8"/>
        <v>Germany</v>
      </c>
    </row>
    <row r="64" spans="3:16">
      <c r="C64">
        <v>17</v>
      </c>
      <c r="D64">
        <v>22764.960234977461</v>
      </c>
      <c r="E64">
        <v>5332.2175933397057</v>
      </c>
      <c r="F64">
        <v>27153.161976882704</v>
      </c>
      <c r="G64" t="str">
        <f t="shared" si="8"/>
        <v>Germany</v>
      </c>
    </row>
    <row r="65" spans="3:7">
      <c r="C65">
        <v>18</v>
      </c>
      <c r="D65">
        <v>22139.448249479134</v>
      </c>
      <c r="E65">
        <v>5926.6667280058409</v>
      </c>
      <c r="F65">
        <v>29869.235382924078</v>
      </c>
      <c r="G65" t="str">
        <f t="shared" si="8"/>
        <v>Germany</v>
      </c>
    </row>
    <row r="66" spans="3:7">
      <c r="C66">
        <v>19</v>
      </c>
      <c r="D66">
        <v>26519.428157649483</v>
      </c>
      <c r="E66">
        <v>5789.4597955012396</v>
      </c>
      <c r="F66">
        <v>30621.750566076294</v>
      </c>
      <c r="G66" t="str">
        <f t="shared" si="8"/>
        <v>Germany</v>
      </c>
    </row>
    <row r="67" spans="3:7">
      <c r="C67">
        <v>20</v>
      </c>
      <c r="D67">
        <v>26793.140344099291</v>
      </c>
      <c r="E67">
        <v>6057.8791086455176</v>
      </c>
      <c r="F67">
        <v>17773.774099655486</v>
      </c>
      <c r="G67" t="str">
        <f t="shared" si="8"/>
        <v>Germany</v>
      </c>
    </row>
    <row r="68" spans="3:7">
      <c r="C68">
        <v>21</v>
      </c>
      <c r="D68">
        <v>24622.823348281356</v>
      </c>
      <c r="E68">
        <v>5601.4571591163267</v>
      </c>
      <c r="F68">
        <v>34681.859291093948</v>
      </c>
      <c r="G68" t="str">
        <f t="shared" si="8"/>
        <v>Germany</v>
      </c>
    </row>
    <row r="69" spans="3:7">
      <c r="C69">
        <v>22</v>
      </c>
      <c r="D69">
        <v>22933.107108976448</v>
      </c>
      <c r="E69">
        <v>6045.0140897509455</v>
      </c>
      <c r="F69">
        <v>29176.682521205268</v>
      </c>
      <c r="G69" t="str">
        <f t="shared" si="8"/>
        <v>Germany</v>
      </c>
    </row>
    <row r="70" spans="3:7">
      <c r="C70">
        <v>23</v>
      </c>
      <c r="D70">
        <v>21810.19078146452</v>
      </c>
      <c r="E70">
        <v>5353.5878540529775</v>
      </c>
      <c r="F70">
        <v>29513.867171099624</v>
      </c>
      <c r="G70" t="str">
        <f t="shared" si="8"/>
        <v>Germany</v>
      </c>
    </row>
    <row r="71" spans="3:7">
      <c r="C71">
        <v>24</v>
      </c>
      <c r="D71">
        <v>19181.951740995864</v>
      </c>
      <c r="E71">
        <v>4998.2790974625223</v>
      </c>
      <c r="F71">
        <v>21891.80771370617</v>
      </c>
      <c r="G71" t="str">
        <f t="shared" si="8"/>
        <v>Germany</v>
      </c>
    </row>
    <row r="72" spans="3:7">
      <c r="C72">
        <v>25</v>
      </c>
      <c r="D72">
        <v>25444.751100408281</v>
      </c>
      <c r="E72">
        <v>5498.3013923683129</v>
      </c>
      <c r="F72">
        <v>31222.675983194902</v>
      </c>
      <c r="G72" t="str">
        <f t="shared" si="8"/>
        <v>Germany</v>
      </c>
    </row>
    <row r="73" spans="3:7">
      <c r="C73">
        <v>26</v>
      </c>
      <c r="D73">
        <v>25992.25855389169</v>
      </c>
      <c r="E73">
        <v>5720.1112348742154</v>
      </c>
      <c r="F73">
        <v>29067.905180411348</v>
      </c>
      <c r="G73" t="str">
        <f t="shared" si="8"/>
        <v>Germany</v>
      </c>
    </row>
    <row r="74" spans="3:7">
      <c r="C74">
        <v>27</v>
      </c>
      <c r="D74">
        <v>26056.167184015219</v>
      </c>
      <c r="E74">
        <v>5949.1713225674466</v>
      </c>
      <c r="F74">
        <v>33957.036588297895</v>
      </c>
      <c r="G74" t="str">
        <f t="shared" si="8"/>
        <v>Germany</v>
      </c>
    </row>
    <row r="75" spans="3:7">
      <c r="C75">
        <v>28</v>
      </c>
      <c r="D75">
        <v>23949.870599212249</v>
      </c>
      <c r="E75">
        <v>5846.6624087796208</v>
      </c>
      <c r="F75">
        <v>24781.609047634611</v>
      </c>
      <c r="G75" t="str">
        <f t="shared" si="8"/>
        <v>Germany</v>
      </c>
    </row>
    <row r="76" spans="3:7">
      <c r="C76">
        <v>29</v>
      </c>
      <c r="D76">
        <v>20184.581845007007</v>
      </c>
      <c r="E76">
        <v>5369.7125679327728</v>
      </c>
      <c r="F76">
        <v>24656.764099190863</v>
      </c>
      <c r="G76" t="str">
        <f t="shared" si="8"/>
        <v>Germany</v>
      </c>
    </row>
    <row r="77" spans="3:7">
      <c r="C77">
        <v>30</v>
      </c>
      <c r="D77">
        <v>20390.71532355966</v>
      </c>
      <c r="E77">
        <v>5166.1873778589434</v>
      </c>
      <c r="F77">
        <v>27185.509572571351</v>
      </c>
      <c r="G77" t="str">
        <f t="shared" si="8"/>
        <v>Germany</v>
      </c>
    </row>
    <row r="78" spans="3:7">
      <c r="C78">
        <v>31</v>
      </c>
      <c r="D78">
        <v>23725.935115609565</v>
      </c>
      <c r="E78">
        <v>5958.4772489025318</v>
      </c>
      <c r="F78">
        <v>24961.675204185194</v>
      </c>
      <c r="G78" t="str">
        <f t="shared" si="8"/>
        <v>Germany</v>
      </c>
    </row>
    <row r="79" spans="3:7">
      <c r="C79">
        <v>32</v>
      </c>
      <c r="D79">
        <v>26688.350824150832</v>
      </c>
      <c r="E79">
        <v>5751.1858337243775</v>
      </c>
      <c r="F79">
        <v>29514.25943351426</v>
      </c>
      <c r="G79" t="str">
        <f t="shared" si="8"/>
        <v>Germany</v>
      </c>
    </row>
    <row r="80" spans="3:7">
      <c r="C80">
        <v>33</v>
      </c>
      <c r="D80">
        <v>27610.038011800189</v>
      </c>
      <c r="E80">
        <v>6217.8343200473137</v>
      </c>
      <c r="F80">
        <v>24460.870475657845</v>
      </c>
      <c r="G80" t="str">
        <f t="shared" si="8"/>
        <v>Germany</v>
      </c>
    </row>
    <row r="81" spans="3:7">
      <c r="C81">
        <v>34</v>
      </c>
      <c r="D81">
        <v>23892.187258944614</v>
      </c>
      <c r="E81">
        <v>5578.7461024783743</v>
      </c>
      <c r="F81">
        <v>24907.414562691665</v>
      </c>
      <c r="G81" t="str">
        <f t="shared" si="8"/>
        <v>Germany</v>
      </c>
    </row>
    <row r="82" spans="3:7">
      <c r="C82">
        <v>35</v>
      </c>
      <c r="D82">
        <v>25500.145518171499</v>
      </c>
      <c r="E82">
        <v>6297.65355902179</v>
      </c>
      <c r="F82">
        <v>31898.935209824496</v>
      </c>
      <c r="G82" t="str">
        <f t="shared" si="8"/>
        <v>Germany</v>
      </c>
    </row>
    <row r="83" spans="3:7">
      <c r="C83">
        <v>36</v>
      </c>
      <c r="D83">
        <v>27181.078152074115</v>
      </c>
      <c r="E83">
        <v>6120.7006832779052</v>
      </c>
      <c r="F83">
        <v>26853.328384671797</v>
      </c>
      <c r="G83" t="str">
        <f t="shared" si="8"/>
        <v>Germany</v>
      </c>
    </row>
    <row r="84" spans="3:7">
      <c r="C84">
        <v>37</v>
      </c>
      <c r="D84">
        <v>20788.476663163132</v>
      </c>
      <c r="E84">
        <v>5501.1844888471542</v>
      </c>
      <c r="F84">
        <v>25131.768966480613</v>
      </c>
      <c r="G84" t="str">
        <f t="shared" si="8"/>
        <v>Germany</v>
      </c>
    </row>
    <row r="85" spans="3:7">
      <c r="C85">
        <v>38</v>
      </c>
      <c r="D85">
        <v>16530.866421446939</v>
      </c>
      <c r="E85">
        <v>5158.6496450555605</v>
      </c>
      <c r="F85">
        <v>22249.439641648576</v>
      </c>
      <c r="G85" t="str">
        <f t="shared" si="8"/>
        <v>Germany</v>
      </c>
    </row>
    <row r="86" spans="3:7">
      <c r="C86">
        <v>39</v>
      </c>
      <c r="D86">
        <v>23358.147004417406</v>
      </c>
      <c r="E86">
        <v>5840.1736340523257</v>
      </c>
      <c r="F86">
        <v>23531.925707561291</v>
      </c>
      <c r="G86" t="str">
        <f t="shared" si="8"/>
        <v>Germany</v>
      </c>
    </row>
    <row r="87" spans="3:7">
      <c r="C87">
        <v>40</v>
      </c>
      <c r="D87">
        <v>22619.117289197304</v>
      </c>
      <c r="E87">
        <v>5718.2781761984106</v>
      </c>
      <c r="F87">
        <v>26306.393485987486</v>
      </c>
      <c r="G87" t="str">
        <f t="shared" si="8"/>
        <v>Germany</v>
      </c>
    </row>
    <row r="88" spans="3:7">
      <c r="C88">
        <v>41</v>
      </c>
      <c r="D88">
        <v>27450.230529640772</v>
      </c>
      <c r="E88">
        <v>5946.7182328231484</v>
      </c>
      <c r="F88">
        <v>31681.342978307861</v>
      </c>
      <c r="G88" t="str">
        <f t="shared" si="8"/>
        <v>Germany</v>
      </c>
    </row>
    <row r="89" spans="3:7">
      <c r="C89">
        <v>42</v>
      </c>
      <c r="D89">
        <v>21098.202783468168</v>
      </c>
      <c r="E89">
        <v>5414.3915840647842</v>
      </c>
      <c r="F89">
        <v>31208.891725967038</v>
      </c>
      <c r="G89" t="str">
        <f t="shared" si="8"/>
        <v>Germany</v>
      </c>
    </row>
    <row r="90" spans="3:7">
      <c r="C90">
        <v>43</v>
      </c>
      <c r="D90">
        <v>23493.117925248051</v>
      </c>
      <c r="E90">
        <v>5326.3888606104101</v>
      </c>
      <c r="F90">
        <v>24273.889371366105</v>
      </c>
      <c r="G90" t="str">
        <f t="shared" si="8"/>
        <v>Germany</v>
      </c>
    </row>
    <row r="91" spans="3:7">
      <c r="C91">
        <v>44</v>
      </c>
      <c r="D91">
        <v>23669.642533345981</v>
      </c>
      <c r="E91">
        <v>5244.9615926565421</v>
      </c>
      <c r="F91">
        <v>26338.161882688764</v>
      </c>
      <c r="G91" t="str">
        <f t="shared" si="8"/>
        <v>Germany</v>
      </c>
    </row>
    <row r="92" spans="3:7">
      <c r="C92">
        <v>45</v>
      </c>
      <c r="D92">
        <v>23858.50268997379</v>
      </c>
      <c r="E92">
        <v>5456.4521992487853</v>
      </c>
      <c r="F92">
        <v>20429.847472632351</v>
      </c>
      <c r="G92" t="str">
        <f t="shared" si="8"/>
        <v>Germany</v>
      </c>
    </row>
    <row r="93" spans="3:7">
      <c r="C93">
        <v>46</v>
      </c>
      <c r="D93">
        <v>22200.316144274992</v>
      </c>
      <c r="E93">
        <v>5809.101807525295</v>
      </c>
      <c r="F93">
        <v>30130.23004328481</v>
      </c>
      <c r="G93" t="str">
        <f t="shared" si="8"/>
        <v>Germany</v>
      </c>
    </row>
    <row r="94" spans="3:7">
      <c r="C94">
        <v>47</v>
      </c>
      <c r="D94">
        <v>24400.759961667041</v>
      </c>
      <c r="E94">
        <v>6073.3595719888099</v>
      </c>
      <c r="F94">
        <v>33982.585219752887</v>
      </c>
      <c r="G94" t="str">
        <f t="shared" si="8"/>
        <v>Germany</v>
      </c>
    </row>
    <row r="95" spans="3:7">
      <c r="C95">
        <v>48</v>
      </c>
      <c r="D95">
        <v>23609.055396324737</v>
      </c>
      <c r="E95">
        <v>5512.8070510943726</v>
      </c>
      <c r="F95">
        <v>21851.548868771686</v>
      </c>
      <c r="G95" t="str">
        <f t="shared" si="8"/>
        <v>Germany</v>
      </c>
    </row>
    <row r="96" spans="3:7">
      <c r="C96">
        <v>49</v>
      </c>
      <c r="D96">
        <v>20168.362844459236</v>
      </c>
      <c r="E96">
        <v>5065.1473742482822</v>
      </c>
      <c r="F96">
        <v>28693.663249546324</v>
      </c>
      <c r="G96" t="str">
        <f t="shared" si="8"/>
        <v>Germany</v>
      </c>
    </row>
    <row r="97" spans="3:7">
      <c r="C97">
        <v>50</v>
      </c>
      <c r="D97">
        <v>27950.437643374691</v>
      </c>
      <c r="E97">
        <v>6199.0893397677355</v>
      </c>
      <c r="F97">
        <v>27432.889595377233</v>
      </c>
      <c r="G97" t="str">
        <f t="shared" si="8"/>
        <v>Germany</v>
      </c>
    </row>
    <row r="98" spans="3:7">
      <c r="C98">
        <v>51</v>
      </c>
      <c r="D98">
        <v>22668.989831228628</v>
      </c>
      <c r="E98">
        <v>5766.1824069207623</v>
      </c>
      <c r="F98">
        <v>26649.654833654491</v>
      </c>
      <c r="G98" t="str">
        <f t="shared" si="8"/>
        <v>Germany</v>
      </c>
    </row>
    <row r="99" spans="3:7">
      <c r="C99">
        <v>52</v>
      </c>
      <c r="D99">
        <v>27626.693666699437</v>
      </c>
      <c r="E99">
        <v>6494.1989502047691</v>
      </c>
      <c r="F99">
        <v>32473.965293368939</v>
      </c>
      <c r="G99" t="str">
        <f t="shared" si="8"/>
        <v>Germany</v>
      </c>
    </row>
    <row r="100" spans="3:7">
      <c r="C100">
        <v>53</v>
      </c>
      <c r="D100">
        <v>22855.602190914062</v>
      </c>
      <c r="E100">
        <v>5538.108570364554</v>
      </c>
      <c r="F100">
        <v>25919.333026406497</v>
      </c>
      <c r="G100" t="str">
        <f t="shared" si="8"/>
        <v>Germany</v>
      </c>
    </row>
    <row r="101" spans="3:7">
      <c r="C101">
        <v>54</v>
      </c>
      <c r="D101">
        <v>24625.643324298118</v>
      </c>
      <c r="E101">
        <v>5716.5758499560761</v>
      </c>
      <c r="F101">
        <v>26678.868965686936</v>
      </c>
      <c r="G101" t="str">
        <f t="shared" si="8"/>
        <v>Germany</v>
      </c>
    </row>
    <row r="102" spans="3:7">
      <c r="C102">
        <v>55</v>
      </c>
      <c r="D102">
        <v>17128.545745960055</v>
      </c>
      <c r="E102">
        <v>5316.0100954800837</v>
      </c>
      <c r="F102">
        <v>20485.6339989833</v>
      </c>
      <c r="G102" t="str">
        <f t="shared" si="8"/>
        <v>Germany</v>
      </c>
    </row>
    <row r="103" spans="3:7">
      <c r="C103">
        <v>56</v>
      </c>
      <c r="D103">
        <v>26527.2316507818</v>
      </c>
      <c r="E103">
        <v>5909.0676507902426</v>
      </c>
      <c r="F103">
        <v>29325.384543583768</v>
      </c>
      <c r="G103" t="str">
        <f t="shared" si="8"/>
        <v>Germany</v>
      </c>
    </row>
    <row r="104" spans="3:7">
      <c r="C104">
        <v>57</v>
      </c>
      <c r="D104">
        <v>30453.459186265074</v>
      </c>
      <c r="E104">
        <v>5969.8473313350987</v>
      </c>
      <c r="F104">
        <v>29661.126458843086</v>
      </c>
      <c r="G104" t="str">
        <f t="shared" si="8"/>
        <v>Germany</v>
      </c>
    </row>
    <row r="105" spans="3:7">
      <c r="C105">
        <v>58</v>
      </c>
      <c r="D105">
        <v>21283.82762140868</v>
      </c>
      <c r="E105">
        <v>5411.6405997705588</v>
      </c>
      <c r="F105">
        <v>29968.590015997877</v>
      </c>
      <c r="G105" t="str">
        <f t="shared" si="8"/>
        <v>Germany</v>
      </c>
    </row>
    <row r="106" spans="3:7">
      <c r="C106">
        <v>59</v>
      </c>
      <c r="D106">
        <v>25642.505204318368</v>
      </c>
      <c r="E106">
        <v>6192.3929378151233</v>
      </c>
      <c r="F106">
        <v>21962.150299388508</v>
      </c>
      <c r="G106" t="str">
        <f t="shared" si="8"/>
        <v>Germany</v>
      </c>
    </row>
    <row r="107" spans="3:7">
      <c r="C107">
        <v>60</v>
      </c>
      <c r="D107">
        <v>25730.793557414996</v>
      </c>
      <c r="E107">
        <v>5740.4201871285131</v>
      </c>
      <c r="F107">
        <v>23940.296070204702</v>
      </c>
      <c r="G107" t="str">
        <f t="shared" si="8"/>
        <v>Germany</v>
      </c>
    </row>
    <row r="108" spans="3:7">
      <c r="C108">
        <v>61</v>
      </c>
      <c r="D108">
        <v>24991.034422623376</v>
      </c>
      <c r="E108">
        <v>5646.654195677419</v>
      </c>
      <c r="F108">
        <v>26673.103697690749</v>
      </c>
      <c r="G108" t="str">
        <f t="shared" si="8"/>
        <v>Germany</v>
      </c>
    </row>
    <row r="109" spans="3:7">
      <c r="C109">
        <v>62</v>
      </c>
      <c r="D109">
        <v>28738.117643654372</v>
      </c>
      <c r="E109">
        <v>5905.9838594942121</v>
      </c>
      <c r="F109">
        <v>24147.623504290241</v>
      </c>
      <c r="G109" t="str">
        <f t="shared" si="8"/>
        <v>Germany</v>
      </c>
    </row>
    <row r="110" spans="3:7">
      <c r="C110">
        <v>63</v>
      </c>
      <c r="D110">
        <v>23502.559149404166</v>
      </c>
      <c r="E110">
        <v>5753.6719516498288</v>
      </c>
      <c r="F110">
        <v>30692.791806320278</v>
      </c>
      <c r="G110" t="str">
        <f t="shared" si="8"/>
        <v>Germany</v>
      </c>
    </row>
    <row r="111" spans="3:7">
      <c r="C111">
        <v>64</v>
      </c>
      <c r="D111">
        <v>27370.635050835117</v>
      </c>
      <c r="E111">
        <v>6182.1860350388442</v>
      </c>
      <c r="F111">
        <v>30370.463328518828</v>
      </c>
      <c r="G111" t="str">
        <f t="shared" si="8"/>
        <v>Germany</v>
      </c>
    </row>
    <row r="112" spans="3:7">
      <c r="C112">
        <v>65</v>
      </c>
      <c r="D112">
        <v>27656.069696381805</v>
      </c>
      <c r="E112">
        <v>6140.8947167211763</v>
      </c>
      <c r="F112">
        <v>25235.424778779703</v>
      </c>
      <c r="G112" t="str">
        <f t="shared" si="8"/>
        <v>Germany</v>
      </c>
    </row>
    <row r="113" spans="3:7">
      <c r="C113">
        <v>66</v>
      </c>
      <c r="D113">
        <v>20850.256940866835</v>
      </c>
      <c r="E113">
        <v>5593.4336882504995</v>
      </c>
      <c r="F113">
        <v>28915.900567218738</v>
      </c>
      <c r="G113" t="str">
        <f t="shared" ref="G113:G176" si="13">IF(AND(D113&lt;E113,D113&lt;F113),"France",IF(AND(E113&lt;D113,E113&lt;F113),"Germany","France and Germany"))</f>
        <v>Germany</v>
      </c>
    </row>
    <row r="114" spans="3:7">
      <c r="C114">
        <v>67</v>
      </c>
      <c r="D114">
        <v>24776.405127303231</v>
      </c>
      <c r="E114">
        <v>6125.2066065280178</v>
      </c>
      <c r="F114">
        <v>32012.244088723433</v>
      </c>
      <c r="G114" t="str">
        <f t="shared" si="13"/>
        <v>Germany</v>
      </c>
    </row>
    <row r="115" spans="3:7">
      <c r="C115">
        <v>68</v>
      </c>
      <c r="D115">
        <v>24971.33305221019</v>
      </c>
      <c r="E115">
        <v>5338.510476634041</v>
      </c>
      <c r="F115">
        <v>27883.427463708136</v>
      </c>
      <c r="G115" t="str">
        <f t="shared" si="13"/>
        <v>Germany</v>
      </c>
    </row>
    <row r="116" spans="3:7">
      <c r="C116">
        <v>69</v>
      </c>
      <c r="D116">
        <v>28967.376796387991</v>
      </c>
      <c r="E116">
        <v>5814.632371143176</v>
      </c>
      <c r="F116">
        <v>28172.082396476722</v>
      </c>
      <c r="G116" t="str">
        <f t="shared" si="13"/>
        <v>Germany</v>
      </c>
    </row>
    <row r="117" spans="3:7">
      <c r="C117">
        <v>70</v>
      </c>
      <c r="D117">
        <v>25534.585108942912</v>
      </c>
      <c r="E117">
        <v>5821.9267551202993</v>
      </c>
      <c r="F117">
        <v>23353.044680877814</v>
      </c>
      <c r="G117" t="str">
        <f t="shared" si="13"/>
        <v>Germany</v>
      </c>
    </row>
    <row r="118" spans="3:7">
      <c r="C118">
        <v>71</v>
      </c>
      <c r="D118">
        <v>24612.929491640702</v>
      </c>
      <c r="E118">
        <v>5534.7034774340154</v>
      </c>
      <c r="F118">
        <v>29055.282880519382</v>
      </c>
      <c r="G118" t="str">
        <f t="shared" si="13"/>
        <v>Germany</v>
      </c>
    </row>
    <row r="119" spans="3:7">
      <c r="C119">
        <v>72</v>
      </c>
      <c r="D119">
        <v>23956.223282117127</v>
      </c>
      <c r="E119">
        <v>5805.2737883981126</v>
      </c>
      <c r="F119">
        <v>29865.738494660829</v>
      </c>
      <c r="G119" t="str">
        <f t="shared" si="13"/>
        <v>Germany</v>
      </c>
    </row>
    <row r="120" spans="3:7">
      <c r="C120">
        <v>73</v>
      </c>
      <c r="D120">
        <v>24915.08671296879</v>
      </c>
      <c r="E120">
        <v>5415.2922620466852</v>
      </c>
      <c r="F120">
        <v>23057.367711261235</v>
      </c>
      <c r="G120" t="str">
        <f t="shared" si="13"/>
        <v>Germany</v>
      </c>
    </row>
    <row r="121" spans="3:7">
      <c r="C121">
        <v>74</v>
      </c>
      <c r="D121">
        <v>26501.377486502068</v>
      </c>
      <c r="E121">
        <v>5991.9659207458781</v>
      </c>
      <c r="F121">
        <v>25219.306336475678</v>
      </c>
      <c r="G121" t="str">
        <f t="shared" si="13"/>
        <v>Germany</v>
      </c>
    </row>
    <row r="122" spans="3:7">
      <c r="C122">
        <v>75</v>
      </c>
      <c r="D122">
        <v>31301.424013656684</v>
      </c>
      <c r="E122">
        <v>6509.2903400940158</v>
      </c>
      <c r="F122">
        <v>31524.743861126932</v>
      </c>
      <c r="G122" t="str">
        <f t="shared" si="13"/>
        <v>Germany</v>
      </c>
    </row>
    <row r="123" spans="3:7">
      <c r="C123">
        <v>76</v>
      </c>
      <c r="D123">
        <v>22784.678751219715</v>
      </c>
      <c r="E123">
        <v>5331.7377531915381</v>
      </c>
      <c r="F123">
        <v>25006.645445032904</v>
      </c>
      <c r="G123" t="str">
        <f t="shared" si="13"/>
        <v>Germany</v>
      </c>
    </row>
    <row r="124" spans="3:7">
      <c r="C124">
        <v>77</v>
      </c>
      <c r="D124">
        <v>30089.614568994242</v>
      </c>
      <c r="E124">
        <v>5799.409877893595</v>
      </c>
      <c r="F124">
        <v>21181.142802802751</v>
      </c>
      <c r="G124" t="str">
        <f t="shared" si="13"/>
        <v>Germany</v>
      </c>
    </row>
    <row r="125" spans="3:7">
      <c r="C125">
        <v>78</v>
      </c>
      <c r="D125">
        <v>23411.153919835178</v>
      </c>
      <c r="E125">
        <v>5486.9088990690689</v>
      </c>
      <c r="F125">
        <v>29583.172391390704</v>
      </c>
      <c r="G125" t="str">
        <f t="shared" si="13"/>
        <v>Germany</v>
      </c>
    </row>
    <row r="126" spans="3:7">
      <c r="C126">
        <v>79</v>
      </c>
      <c r="D126">
        <v>24709.788624188452</v>
      </c>
      <c r="E126">
        <v>5650.1013603248211</v>
      </c>
      <c r="F126">
        <v>30773.852296108122</v>
      </c>
      <c r="G126" t="str">
        <f t="shared" si="13"/>
        <v>Germany</v>
      </c>
    </row>
    <row r="127" spans="3:7">
      <c r="C127">
        <v>80</v>
      </c>
      <c r="D127">
        <v>26158.039723263479</v>
      </c>
      <c r="E127">
        <v>6073.0311656232079</v>
      </c>
      <c r="F127">
        <v>32502.588566599126</v>
      </c>
      <c r="G127" t="str">
        <f t="shared" si="13"/>
        <v>Germany</v>
      </c>
    </row>
    <row r="128" spans="3:7">
      <c r="C128">
        <v>81</v>
      </c>
      <c r="D128">
        <v>20680.388412639037</v>
      </c>
      <c r="E128">
        <v>5378.7593608609404</v>
      </c>
      <c r="F128">
        <v>26246.122907208173</v>
      </c>
      <c r="G128" t="str">
        <f t="shared" si="13"/>
        <v>Germany</v>
      </c>
    </row>
    <row r="129" spans="3:7">
      <c r="C129">
        <v>82</v>
      </c>
      <c r="D129">
        <v>21188.443405345963</v>
      </c>
      <c r="E129">
        <v>5594.0968069147675</v>
      </c>
      <c r="F129">
        <v>28481.660701904679</v>
      </c>
      <c r="G129" t="str">
        <f t="shared" si="13"/>
        <v>Germany</v>
      </c>
    </row>
    <row r="130" spans="3:7">
      <c r="C130">
        <v>83</v>
      </c>
      <c r="D130">
        <v>19659.691290426792</v>
      </c>
      <c r="E130">
        <v>5408.0100939271524</v>
      </c>
      <c r="F130">
        <v>28447.504140543948</v>
      </c>
      <c r="G130" t="str">
        <f t="shared" si="13"/>
        <v>Germany</v>
      </c>
    </row>
    <row r="131" spans="3:7">
      <c r="C131">
        <v>84</v>
      </c>
      <c r="D131">
        <v>25820.307785808942</v>
      </c>
      <c r="E131">
        <v>5991.595673255224</v>
      </c>
      <c r="F131">
        <v>25462.642309971277</v>
      </c>
      <c r="G131" t="str">
        <f t="shared" si="13"/>
        <v>Germany</v>
      </c>
    </row>
    <row r="132" spans="3:7">
      <c r="C132">
        <v>85</v>
      </c>
      <c r="D132">
        <v>26811.985138502154</v>
      </c>
      <c r="E132">
        <v>6015.5159554661313</v>
      </c>
      <c r="F132">
        <v>26467.430375750428</v>
      </c>
      <c r="G132" t="str">
        <f t="shared" si="13"/>
        <v>Germany</v>
      </c>
    </row>
    <row r="133" spans="3:7">
      <c r="C133">
        <v>86</v>
      </c>
      <c r="D133">
        <v>17628.899326953724</v>
      </c>
      <c r="E133">
        <v>4905.7780541981492</v>
      </c>
      <c r="F133">
        <v>26907.918205898251</v>
      </c>
      <c r="G133" t="str">
        <f t="shared" si="13"/>
        <v>Germany</v>
      </c>
    </row>
    <row r="134" spans="3:7">
      <c r="C134">
        <v>87</v>
      </c>
      <c r="D134">
        <v>23989.982130752331</v>
      </c>
      <c r="E134">
        <v>5535.7651965337645</v>
      </c>
      <c r="F134">
        <v>31063.43062583523</v>
      </c>
      <c r="G134" t="str">
        <f t="shared" si="13"/>
        <v>Germany</v>
      </c>
    </row>
    <row r="135" spans="3:7">
      <c r="C135">
        <v>88</v>
      </c>
      <c r="D135">
        <v>17729.631423125677</v>
      </c>
      <c r="E135">
        <v>5043.8775450239627</v>
      </c>
      <c r="F135">
        <v>29829.737613447258</v>
      </c>
      <c r="G135" t="str">
        <f t="shared" si="13"/>
        <v>Germany</v>
      </c>
    </row>
    <row r="136" spans="3:7">
      <c r="C136">
        <v>89</v>
      </c>
      <c r="D136">
        <v>26322.279941529068</v>
      </c>
      <c r="E136">
        <v>6429.1385335270306</v>
      </c>
      <c r="F136">
        <v>25877.593041122993</v>
      </c>
      <c r="G136" t="str">
        <f t="shared" si="13"/>
        <v>Germany</v>
      </c>
    </row>
    <row r="137" spans="3:7">
      <c r="C137">
        <v>90</v>
      </c>
      <c r="D137">
        <v>25109.059201245182</v>
      </c>
      <c r="E137">
        <v>5723.9639526566425</v>
      </c>
      <c r="F137">
        <v>25510.269229839232</v>
      </c>
      <c r="G137" t="str">
        <f t="shared" si="13"/>
        <v>Germany</v>
      </c>
    </row>
    <row r="138" spans="3:7">
      <c r="C138">
        <v>91</v>
      </c>
      <c r="D138">
        <v>21956.731196067842</v>
      </c>
      <c r="E138">
        <v>5423.2763250453718</v>
      </c>
      <c r="F138">
        <v>26752.70913407909</v>
      </c>
      <c r="G138" t="str">
        <f t="shared" si="13"/>
        <v>Germany</v>
      </c>
    </row>
    <row r="139" spans="3:7">
      <c r="C139">
        <v>92</v>
      </c>
      <c r="D139">
        <v>21583.20664982271</v>
      </c>
      <c r="E139">
        <v>5304.6537021872537</v>
      </c>
      <c r="F139">
        <v>25416.531839568779</v>
      </c>
      <c r="G139" t="str">
        <f t="shared" si="13"/>
        <v>Germany</v>
      </c>
    </row>
    <row r="140" spans="3:7">
      <c r="C140">
        <v>93</v>
      </c>
      <c r="D140">
        <v>26334.932123030278</v>
      </c>
      <c r="E140">
        <v>6128.7341459281224</v>
      </c>
      <c r="F140">
        <v>21303.638687731418</v>
      </c>
      <c r="G140" t="str">
        <f t="shared" si="13"/>
        <v>Germany</v>
      </c>
    </row>
    <row r="141" spans="3:7">
      <c r="C141">
        <v>94</v>
      </c>
      <c r="D141">
        <v>18162.577713569328</v>
      </c>
      <c r="E141">
        <v>5505.8615870370668</v>
      </c>
      <c r="F141">
        <v>27403.630125977583</v>
      </c>
      <c r="G141" t="str">
        <f t="shared" si="13"/>
        <v>Germany</v>
      </c>
    </row>
    <row r="142" spans="3:7">
      <c r="C142">
        <v>95</v>
      </c>
      <c r="D142">
        <v>21543.907984771526</v>
      </c>
      <c r="E142">
        <v>5318.2059355642195</v>
      </c>
      <c r="F142">
        <v>29304.81294259835</v>
      </c>
      <c r="G142" t="str">
        <f t="shared" si="13"/>
        <v>Germany</v>
      </c>
    </row>
    <row r="143" spans="3:7">
      <c r="C143">
        <v>96</v>
      </c>
      <c r="D143">
        <v>26307.262677614177</v>
      </c>
      <c r="E143">
        <v>6029.6362786459713</v>
      </c>
      <c r="F143">
        <v>22508.842326283171</v>
      </c>
      <c r="G143" t="str">
        <f t="shared" si="13"/>
        <v>Germany</v>
      </c>
    </row>
    <row r="144" spans="3:7">
      <c r="C144">
        <v>97</v>
      </c>
      <c r="D144">
        <v>24691.461866831341</v>
      </c>
      <c r="E144">
        <v>5942.3337313884113</v>
      </c>
      <c r="F144">
        <v>23261.082463746548</v>
      </c>
      <c r="G144" t="str">
        <f t="shared" si="13"/>
        <v>Germany</v>
      </c>
    </row>
    <row r="145" spans="3:7">
      <c r="C145">
        <v>98</v>
      </c>
      <c r="D145">
        <v>21893.739340915745</v>
      </c>
      <c r="E145">
        <v>5204.117890165252</v>
      </c>
      <c r="F145">
        <v>24503.967219746974</v>
      </c>
      <c r="G145" t="str">
        <f t="shared" si="13"/>
        <v>Germany</v>
      </c>
    </row>
    <row r="146" spans="3:7">
      <c r="C146">
        <v>99</v>
      </c>
      <c r="D146">
        <v>28142.896034732468</v>
      </c>
      <c r="E146">
        <v>6540.1758784292269</v>
      </c>
      <c r="F146">
        <v>30038.037514666412</v>
      </c>
      <c r="G146" t="str">
        <f t="shared" si="13"/>
        <v>Germany</v>
      </c>
    </row>
    <row r="147" spans="3:7">
      <c r="C147">
        <v>100</v>
      </c>
      <c r="D147">
        <v>28204.551999104558</v>
      </c>
      <c r="E147">
        <v>6037.6006764669492</v>
      </c>
      <c r="F147">
        <v>30453.853535206643</v>
      </c>
      <c r="G147" t="str">
        <f t="shared" si="13"/>
        <v>Germany</v>
      </c>
    </row>
    <row r="148" spans="3:7">
      <c r="C148">
        <v>101</v>
      </c>
      <c r="D148">
        <v>17329.52406088819</v>
      </c>
      <c r="E148">
        <v>5223.2554617475616</v>
      </c>
      <c r="F148">
        <v>22670.129070989628</v>
      </c>
      <c r="G148" t="str">
        <f t="shared" si="13"/>
        <v>Germany</v>
      </c>
    </row>
    <row r="149" spans="3:7">
      <c r="C149">
        <v>102</v>
      </c>
      <c r="D149">
        <v>21866.401159970788</v>
      </c>
      <c r="E149">
        <v>5411.8966438501557</v>
      </c>
      <c r="F149">
        <v>28665.180895050256</v>
      </c>
      <c r="G149" t="str">
        <f t="shared" si="13"/>
        <v>Germany</v>
      </c>
    </row>
    <row r="150" spans="3:7">
      <c r="C150">
        <v>103</v>
      </c>
      <c r="D150">
        <v>25809.368940478435</v>
      </c>
      <c r="E150">
        <v>5787.5827655461599</v>
      </c>
      <c r="F150">
        <v>28390.359552076734</v>
      </c>
      <c r="G150" t="str">
        <f t="shared" si="13"/>
        <v>Germany</v>
      </c>
    </row>
    <row r="151" spans="3:7">
      <c r="C151">
        <v>104</v>
      </c>
      <c r="D151">
        <v>23483.557963938925</v>
      </c>
      <c r="E151">
        <v>5488.4910977384989</v>
      </c>
      <c r="F151">
        <v>32466.476433985968</v>
      </c>
      <c r="G151" t="str">
        <f t="shared" si="13"/>
        <v>Germany</v>
      </c>
    </row>
    <row r="152" spans="3:7">
      <c r="C152">
        <v>105</v>
      </c>
      <c r="D152">
        <v>19751.840655471282</v>
      </c>
      <c r="E152">
        <v>4781.4372383056361</v>
      </c>
      <c r="F152">
        <v>29287.234775154546</v>
      </c>
      <c r="G152" t="str">
        <f t="shared" si="13"/>
        <v>Germany</v>
      </c>
    </row>
    <row r="153" spans="3:7">
      <c r="C153">
        <v>106</v>
      </c>
      <c r="D153">
        <v>23243.345759492793</v>
      </c>
      <c r="E153">
        <v>5647.9480863801127</v>
      </c>
      <c r="F153">
        <v>33960.864636189937</v>
      </c>
      <c r="G153" t="str">
        <f t="shared" si="13"/>
        <v>Germany</v>
      </c>
    </row>
    <row r="154" spans="3:7">
      <c r="C154">
        <v>107</v>
      </c>
      <c r="D154">
        <v>20163.974788145752</v>
      </c>
      <c r="E154">
        <v>5207.1258360483953</v>
      </c>
      <c r="F154">
        <v>32124.613364731795</v>
      </c>
      <c r="G154" t="str">
        <f t="shared" si="13"/>
        <v>Germany</v>
      </c>
    </row>
    <row r="155" spans="3:7">
      <c r="C155">
        <v>108</v>
      </c>
      <c r="D155">
        <v>26190.076568562228</v>
      </c>
      <c r="E155">
        <v>5399.2588115482104</v>
      </c>
      <c r="F155">
        <v>29987.182123064154</v>
      </c>
      <c r="G155" t="str">
        <f t="shared" si="13"/>
        <v>Germany</v>
      </c>
    </row>
    <row r="156" spans="3:7">
      <c r="C156">
        <v>109</v>
      </c>
      <c r="D156">
        <v>24847.581660118783</v>
      </c>
      <c r="E156">
        <v>6161.9013823185469</v>
      </c>
      <c r="F156">
        <v>26902.922442231527</v>
      </c>
      <c r="G156" t="str">
        <f t="shared" si="13"/>
        <v>Germany</v>
      </c>
    </row>
    <row r="157" spans="3:7">
      <c r="C157">
        <v>110</v>
      </c>
      <c r="D157">
        <v>23566.077108933041</v>
      </c>
      <c r="E157">
        <v>5315.350794638206</v>
      </c>
      <c r="F157">
        <v>23711.48635743255</v>
      </c>
      <c r="G157" t="str">
        <f t="shared" si="13"/>
        <v>Germany</v>
      </c>
    </row>
    <row r="158" spans="3:7">
      <c r="C158">
        <v>111</v>
      </c>
      <c r="D158">
        <v>22113.110928810696</v>
      </c>
      <c r="E158">
        <v>5067.3403053767397</v>
      </c>
      <c r="F158">
        <v>23058.230532608501</v>
      </c>
      <c r="G158" t="str">
        <f t="shared" si="13"/>
        <v>Germany</v>
      </c>
    </row>
    <row r="159" spans="3:7">
      <c r="C159">
        <v>112</v>
      </c>
      <c r="D159">
        <v>23449.617730298098</v>
      </c>
      <c r="E159">
        <v>5325.8638809083614</v>
      </c>
      <c r="F159">
        <v>27474.478138565508</v>
      </c>
      <c r="G159" t="str">
        <f t="shared" si="13"/>
        <v>Germany</v>
      </c>
    </row>
    <row r="160" spans="3:7">
      <c r="C160">
        <v>113</v>
      </c>
      <c r="D160">
        <v>25730.837209862224</v>
      </c>
      <c r="E160">
        <v>6112.4981822201717</v>
      </c>
      <c r="F160">
        <v>32094.678088278051</v>
      </c>
      <c r="G160" t="str">
        <f t="shared" si="13"/>
        <v>Germany</v>
      </c>
    </row>
    <row r="161" spans="3:7">
      <c r="C161">
        <v>114</v>
      </c>
      <c r="D161">
        <v>22395.143886080237</v>
      </c>
      <c r="E161">
        <v>5269.3219972999832</v>
      </c>
      <c r="F161">
        <v>26522.154962599558</v>
      </c>
      <c r="G161" t="str">
        <f t="shared" si="13"/>
        <v>Germany</v>
      </c>
    </row>
    <row r="162" spans="3:7">
      <c r="C162">
        <v>115</v>
      </c>
      <c r="D162">
        <v>25802.569187648583</v>
      </c>
      <c r="E162">
        <v>6214.731950658922</v>
      </c>
      <c r="F162">
        <v>28005.381373603708</v>
      </c>
      <c r="G162" t="str">
        <f t="shared" si="13"/>
        <v>Germany</v>
      </c>
    </row>
    <row r="163" spans="3:7">
      <c r="C163">
        <v>116</v>
      </c>
      <c r="D163">
        <v>22424.599770207107</v>
      </c>
      <c r="E163">
        <v>5728.0342014167809</v>
      </c>
      <c r="F163">
        <v>29442.41929103087</v>
      </c>
      <c r="G163" t="str">
        <f t="shared" si="13"/>
        <v>Germany</v>
      </c>
    </row>
    <row r="164" spans="3:7">
      <c r="C164">
        <v>117</v>
      </c>
      <c r="D164">
        <v>15903.462168301565</v>
      </c>
      <c r="E164">
        <v>4544.2970226515645</v>
      </c>
      <c r="F164">
        <v>25747.193198107685</v>
      </c>
      <c r="G164" t="str">
        <f t="shared" si="13"/>
        <v>Germany</v>
      </c>
    </row>
    <row r="165" spans="3:7">
      <c r="C165">
        <v>118</v>
      </c>
      <c r="D165">
        <v>24623.307580965393</v>
      </c>
      <c r="E165">
        <v>5773.530760820553</v>
      </c>
      <c r="F165">
        <v>30367.022805031942</v>
      </c>
      <c r="G165" t="str">
        <f t="shared" si="13"/>
        <v>Germany</v>
      </c>
    </row>
    <row r="166" spans="3:7">
      <c r="C166">
        <v>119</v>
      </c>
      <c r="D166">
        <v>21360.816016118304</v>
      </c>
      <c r="E166">
        <v>5664.5528168839919</v>
      </c>
      <c r="F166">
        <v>28569.715970111694</v>
      </c>
      <c r="G166" t="str">
        <f t="shared" si="13"/>
        <v>Germany</v>
      </c>
    </row>
    <row r="167" spans="3:7">
      <c r="C167">
        <v>120</v>
      </c>
      <c r="D167">
        <v>28171.583305974054</v>
      </c>
      <c r="E167">
        <v>5403.8377016583709</v>
      </c>
      <c r="F167">
        <v>24399.242738654528</v>
      </c>
      <c r="G167" t="str">
        <f t="shared" si="13"/>
        <v>Germany</v>
      </c>
    </row>
    <row r="168" spans="3:7">
      <c r="C168">
        <v>121</v>
      </c>
      <c r="D168">
        <v>28432.475918025826</v>
      </c>
      <c r="E168">
        <v>5943.2543464436958</v>
      </c>
      <c r="F168">
        <v>28585.514983277524</v>
      </c>
      <c r="G168" t="str">
        <f t="shared" si="13"/>
        <v>Germany</v>
      </c>
    </row>
    <row r="169" spans="3:7">
      <c r="C169">
        <v>122</v>
      </c>
      <c r="D169">
        <v>23707.243894059968</v>
      </c>
      <c r="E169">
        <v>5712.152546196301</v>
      </c>
      <c r="F169">
        <v>29185.569826617037</v>
      </c>
      <c r="G169" t="str">
        <f t="shared" si="13"/>
        <v>Germany</v>
      </c>
    </row>
    <row r="170" spans="3:7">
      <c r="C170">
        <v>123</v>
      </c>
      <c r="D170">
        <v>26008.092035371796</v>
      </c>
      <c r="E170">
        <v>6027.6037762333672</v>
      </c>
      <c r="F170">
        <v>31814.001242636743</v>
      </c>
      <c r="G170" t="str">
        <f t="shared" si="13"/>
        <v>Germany</v>
      </c>
    </row>
    <row r="171" spans="3:7">
      <c r="C171">
        <v>124</v>
      </c>
      <c r="D171">
        <v>27532.285942849005</v>
      </c>
      <c r="E171">
        <v>5639.1116407667123</v>
      </c>
      <c r="F171">
        <v>22438.873317272264</v>
      </c>
      <c r="G171" t="str">
        <f t="shared" si="13"/>
        <v>Germany</v>
      </c>
    </row>
    <row r="172" spans="3:7">
      <c r="C172">
        <v>125</v>
      </c>
      <c r="D172">
        <v>19284.599770283359</v>
      </c>
      <c r="E172">
        <v>5399.1616880166221</v>
      </c>
      <c r="F172">
        <v>27959.32375056767</v>
      </c>
      <c r="G172" t="str">
        <f t="shared" si="13"/>
        <v>Germany</v>
      </c>
    </row>
    <row r="173" spans="3:7">
      <c r="C173">
        <v>126</v>
      </c>
      <c r="D173">
        <v>24940.351410106963</v>
      </c>
      <c r="E173">
        <v>5517.7224688651677</v>
      </c>
      <c r="F173">
        <v>27231.203787450908</v>
      </c>
      <c r="G173" t="str">
        <f t="shared" si="13"/>
        <v>Germany</v>
      </c>
    </row>
    <row r="174" spans="3:7">
      <c r="C174">
        <v>127</v>
      </c>
      <c r="D174">
        <v>25824.903151851468</v>
      </c>
      <c r="E174">
        <v>6090.8245071485508</v>
      </c>
      <c r="F174">
        <v>27508.786629655409</v>
      </c>
      <c r="G174" t="str">
        <f t="shared" si="13"/>
        <v>Germany</v>
      </c>
    </row>
    <row r="175" spans="3:7">
      <c r="C175">
        <v>128</v>
      </c>
      <c r="D175">
        <v>21158.84275860506</v>
      </c>
      <c r="E175">
        <v>5671.1554209358419</v>
      </c>
      <c r="F175">
        <v>24747.506190904081</v>
      </c>
      <c r="G175" t="str">
        <f t="shared" si="13"/>
        <v>Germany</v>
      </c>
    </row>
    <row r="176" spans="3:7">
      <c r="C176">
        <v>129</v>
      </c>
      <c r="D176">
        <v>28132.691865507957</v>
      </c>
      <c r="E176">
        <v>6005.9009237950122</v>
      </c>
      <c r="F176">
        <v>29058.446954843785</v>
      </c>
      <c r="G176" t="str">
        <f t="shared" si="13"/>
        <v>Germany</v>
      </c>
    </row>
    <row r="177" spans="3:7">
      <c r="C177">
        <v>130</v>
      </c>
      <c r="D177">
        <v>22942.954641946031</v>
      </c>
      <c r="E177">
        <v>5399.1690757694269</v>
      </c>
      <c r="F177">
        <v>32152.500544698527</v>
      </c>
      <c r="G177" t="str">
        <f t="shared" ref="G177:G240" si="14">IF(AND(D177&lt;E177,D177&lt;F177),"France",IF(AND(E177&lt;D177,E177&lt;F177),"Germany","France and Germany"))</f>
        <v>Germany</v>
      </c>
    </row>
    <row r="178" spans="3:7">
      <c r="C178">
        <v>131</v>
      </c>
      <c r="D178">
        <v>22121.401446745414</v>
      </c>
      <c r="E178">
        <v>5734.7670833459551</v>
      </c>
      <c r="F178">
        <v>29160.01864308786</v>
      </c>
      <c r="G178" t="str">
        <f t="shared" si="14"/>
        <v>Germany</v>
      </c>
    </row>
    <row r="179" spans="3:7">
      <c r="C179">
        <v>132</v>
      </c>
      <c r="D179">
        <v>27791.571305161735</v>
      </c>
      <c r="E179">
        <v>6305.4905671127581</v>
      </c>
      <c r="F179">
        <v>33450.539355532434</v>
      </c>
      <c r="G179" t="str">
        <f t="shared" si="14"/>
        <v>Germany</v>
      </c>
    </row>
    <row r="180" spans="3:7">
      <c r="C180">
        <v>133</v>
      </c>
      <c r="D180">
        <v>23598.067586741508</v>
      </c>
      <c r="E180">
        <v>5885.5630143257558</v>
      </c>
      <c r="F180">
        <v>24587.329733782819</v>
      </c>
      <c r="G180" t="str">
        <f t="shared" si="14"/>
        <v>Germany</v>
      </c>
    </row>
    <row r="181" spans="3:7">
      <c r="C181">
        <v>134</v>
      </c>
      <c r="D181">
        <v>29077.382701672046</v>
      </c>
      <c r="E181">
        <v>6186.6032506846459</v>
      </c>
      <c r="F181">
        <v>34225.076636831451</v>
      </c>
      <c r="G181" t="str">
        <f t="shared" si="14"/>
        <v>Germany</v>
      </c>
    </row>
    <row r="182" spans="3:7">
      <c r="C182">
        <v>135</v>
      </c>
      <c r="D182">
        <v>19675.428175644625</v>
      </c>
      <c r="E182">
        <v>5023.494305166445</v>
      </c>
      <c r="F182">
        <v>26557.999406086725</v>
      </c>
      <c r="G182" t="str">
        <f t="shared" si="14"/>
        <v>Germany</v>
      </c>
    </row>
    <row r="183" spans="3:7">
      <c r="C183">
        <v>136</v>
      </c>
      <c r="D183">
        <v>22911.013646322644</v>
      </c>
      <c r="E183">
        <v>5623.1263544519306</v>
      </c>
      <c r="F183">
        <v>23782.500564996993</v>
      </c>
      <c r="G183" t="str">
        <f t="shared" si="14"/>
        <v>Germany</v>
      </c>
    </row>
    <row r="184" spans="3:7">
      <c r="C184">
        <v>137</v>
      </c>
      <c r="D184">
        <v>20728.878125820596</v>
      </c>
      <c r="E184">
        <v>5064.4115766486566</v>
      </c>
      <c r="F184">
        <v>26471.185798824008</v>
      </c>
      <c r="G184" t="str">
        <f t="shared" si="14"/>
        <v>Germany</v>
      </c>
    </row>
    <row r="185" spans="3:7">
      <c r="C185">
        <v>138</v>
      </c>
      <c r="D185">
        <v>23699.526816549758</v>
      </c>
      <c r="E185">
        <v>5732.6745337159191</v>
      </c>
      <c r="F185">
        <v>21287.758513244808</v>
      </c>
      <c r="G185" t="str">
        <f t="shared" si="14"/>
        <v>Germany</v>
      </c>
    </row>
    <row r="186" spans="3:7">
      <c r="C186">
        <v>139</v>
      </c>
      <c r="D186">
        <v>23917.422400749925</v>
      </c>
      <c r="E186">
        <v>5554.950446593497</v>
      </c>
      <c r="F186">
        <v>26177.407354007562</v>
      </c>
      <c r="G186" t="str">
        <f t="shared" si="14"/>
        <v>Germany</v>
      </c>
    </row>
    <row r="187" spans="3:7">
      <c r="C187">
        <v>140</v>
      </c>
      <c r="D187">
        <v>21549.394730003907</v>
      </c>
      <c r="E187">
        <v>5039.6879845725871</v>
      </c>
      <c r="F187">
        <v>20871.317711859054</v>
      </c>
      <c r="G187" t="str">
        <f t="shared" si="14"/>
        <v>Germany</v>
      </c>
    </row>
    <row r="188" spans="3:7">
      <c r="C188">
        <v>141</v>
      </c>
      <c r="D188">
        <v>20158.811293680352</v>
      </c>
      <c r="E188">
        <v>5348.4134254940691</v>
      </c>
      <c r="F188">
        <v>21452.00643280441</v>
      </c>
      <c r="G188" t="str">
        <f t="shared" si="14"/>
        <v>Germany</v>
      </c>
    </row>
    <row r="189" spans="3:7">
      <c r="C189">
        <v>142</v>
      </c>
      <c r="D189">
        <v>38219.321333980908</v>
      </c>
      <c r="E189">
        <v>7125.6678348243931</v>
      </c>
      <c r="F189">
        <v>32879.2739146924</v>
      </c>
      <c r="G189" t="str">
        <f t="shared" si="14"/>
        <v>Germany</v>
      </c>
    </row>
    <row r="190" spans="3:7">
      <c r="C190">
        <v>143</v>
      </c>
      <c r="D190">
        <v>31284.781419384359</v>
      </c>
      <c r="E190">
        <v>6269.7904915200934</v>
      </c>
      <c r="F190">
        <v>30616.435496250946</v>
      </c>
      <c r="G190" t="str">
        <f t="shared" si="14"/>
        <v>Germany</v>
      </c>
    </row>
    <row r="191" spans="3:7">
      <c r="C191">
        <v>144</v>
      </c>
      <c r="D191">
        <v>28505.959127206974</v>
      </c>
      <c r="E191">
        <v>5774.8890079633502</v>
      </c>
      <c r="F191">
        <v>24105.596722260234</v>
      </c>
      <c r="G191" t="str">
        <f t="shared" si="14"/>
        <v>Germany</v>
      </c>
    </row>
    <row r="192" spans="3:7">
      <c r="C192">
        <v>145</v>
      </c>
      <c r="D192">
        <v>21610.224185043273</v>
      </c>
      <c r="E192">
        <v>5084.3465600530408</v>
      </c>
      <c r="F192">
        <v>24280.152490786633</v>
      </c>
      <c r="G192" t="str">
        <f t="shared" si="14"/>
        <v>Germany</v>
      </c>
    </row>
    <row r="193" spans="3:7">
      <c r="C193">
        <v>146</v>
      </c>
      <c r="D193">
        <v>27467.733935372155</v>
      </c>
      <c r="E193">
        <v>5932.3592234495964</v>
      </c>
      <c r="F193">
        <v>31443.331407039968</v>
      </c>
      <c r="G193" t="str">
        <f t="shared" si="14"/>
        <v>Germany</v>
      </c>
    </row>
    <row r="194" spans="3:7">
      <c r="C194">
        <v>147</v>
      </c>
      <c r="D194">
        <v>25918.538964289441</v>
      </c>
      <c r="E194">
        <v>6305.1539785935629</v>
      </c>
      <c r="F194">
        <v>27920.961200410391</v>
      </c>
      <c r="G194" t="str">
        <f t="shared" si="14"/>
        <v>Germany</v>
      </c>
    </row>
    <row r="195" spans="3:7">
      <c r="C195">
        <v>148</v>
      </c>
      <c r="D195">
        <v>28796.42685536182</v>
      </c>
      <c r="E195">
        <v>6223.7741324725212</v>
      </c>
      <c r="F195">
        <v>28045.520983978204</v>
      </c>
      <c r="G195" t="str">
        <f t="shared" si="14"/>
        <v>Germany</v>
      </c>
    </row>
    <row r="196" spans="3:7">
      <c r="C196">
        <v>149</v>
      </c>
      <c r="D196">
        <v>22298.840502507828</v>
      </c>
      <c r="E196">
        <v>5567.5674900097238</v>
      </c>
      <c r="F196">
        <v>29814.999451261941</v>
      </c>
      <c r="G196" t="str">
        <f t="shared" si="14"/>
        <v>Germany</v>
      </c>
    </row>
    <row r="197" spans="3:7">
      <c r="C197">
        <v>150</v>
      </c>
      <c r="D197">
        <v>23678.196656190572</v>
      </c>
      <c r="E197">
        <v>5394.7412214909882</v>
      </c>
      <c r="F197">
        <v>29391.198009571643</v>
      </c>
      <c r="G197" t="str">
        <f t="shared" si="14"/>
        <v>Germany</v>
      </c>
    </row>
    <row r="198" spans="3:7">
      <c r="C198">
        <v>151</v>
      </c>
      <c r="D198">
        <v>32480.314178235352</v>
      </c>
      <c r="E198">
        <v>6568.2892947981236</v>
      </c>
      <c r="F198">
        <v>30485.64938889015</v>
      </c>
      <c r="G198" t="str">
        <f t="shared" si="14"/>
        <v>Germany</v>
      </c>
    </row>
    <row r="199" spans="3:7">
      <c r="C199">
        <v>152</v>
      </c>
      <c r="D199">
        <v>24641.661466174213</v>
      </c>
      <c r="E199">
        <v>5942.5030829105362</v>
      </c>
      <c r="F199">
        <v>28106.258568466401</v>
      </c>
      <c r="G199" t="str">
        <f t="shared" si="14"/>
        <v>Germany</v>
      </c>
    </row>
    <row r="200" spans="3:7">
      <c r="C200">
        <v>153</v>
      </c>
      <c r="D200">
        <v>23028.420313834544</v>
      </c>
      <c r="E200">
        <v>5398.2054585407768</v>
      </c>
      <c r="F200">
        <v>27548.778034418661</v>
      </c>
      <c r="G200" t="str">
        <f t="shared" si="14"/>
        <v>Germany</v>
      </c>
    </row>
    <row r="201" spans="3:7">
      <c r="C201">
        <v>154</v>
      </c>
      <c r="D201">
        <v>26781.575257850291</v>
      </c>
      <c r="E201">
        <v>5725.6280182349692</v>
      </c>
      <c r="F201">
        <v>27508.758959921593</v>
      </c>
      <c r="G201" t="str">
        <f t="shared" si="14"/>
        <v>Germany</v>
      </c>
    </row>
    <row r="202" spans="3:7">
      <c r="C202">
        <v>155</v>
      </c>
      <c r="D202">
        <v>18161.646630248932</v>
      </c>
      <c r="E202">
        <v>4964.4333651203933</v>
      </c>
      <c r="F202">
        <v>30348.367250928353</v>
      </c>
      <c r="G202" t="str">
        <f t="shared" si="14"/>
        <v>Germany</v>
      </c>
    </row>
    <row r="203" spans="3:7">
      <c r="C203">
        <v>156</v>
      </c>
      <c r="D203">
        <v>25719.629355155113</v>
      </c>
      <c r="E203">
        <v>6314.5727014318491</v>
      </c>
      <c r="F203">
        <v>24292.908835617058</v>
      </c>
      <c r="G203" t="str">
        <f t="shared" si="14"/>
        <v>Germany</v>
      </c>
    </row>
    <row r="204" spans="3:7">
      <c r="C204">
        <v>157</v>
      </c>
      <c r="D204">
        <v>17900.403143862648</v>
      </c>
      <c r="E204">
        <v>5096.6489897889733</v>
      </c>
      <c r="F204">
        <v>31350.923562426648</v>
      </c>
      <c r="G204" t="str">
        <f t="shared" si="14"/>
        <v>Germany</v>
      </c>
    </row>
    <row r="205" spans="3:7">
      <c r="C205">
        <v>158</v>
      </c>
      <c r="D205">
        <v>18951.65812882562</v>
      </c>
      <c r="E205">
        <v>5272.9221551289538</v>
      </c>
      <c r="F205">
        <v>24305.33094743469</v>
      </c>
      <c r="G205" t="str">
        <f t="shared" si="14"/>
        <v>Germany</v>
      </c>
    </row>
    <row r="206" spans="3:7">
      <c r="C206">
        <v>159</v>
      </c>
      <c r="D206">
        <v>20391.61523231749</v>
      </c>
      <c r="E206">
        <v>5017.5269684321056</v>
      </c>
      <c r="F206">
        <v>27403.550442510539</v>
      </c>
      <c r="G206" t="str">
        <f t="shared" si="14"/>
        <v>Germany</v>
      </c>
    </row>
    <row r="207" spans="3:7">
      <c r="C207">
        <v>160</v>
      </c>
      <c r="D207">
        <v>17034.314912818412</v>
      </c>
      <c r="E207">
        <v>4666.2144479545295</v>
      </c>
      <c r="F207">
        <v>27981.195985259274</v>
      </c>
      <c r="G207" t="str">
        <f t="shared" si="14"/>
        <v>Germany</v>
      </c>
    </row>
    <row r="208" spans="3:7">
      <c r="C208">
        <v>161</v>
      </c>
      <c r="D208">
        <v>30781.471660664207</v>
      </c>
      <c r="E208">
        <v>6658.5298667683182</v>
      </c>
      <c r="F208">
        <v>30882.598981932282</v>
      </c>
      <c r="G208" t="str">
        <f t="shared" si="14"/>
        <v>Germany</v>
      </c>
    </row>
    <row r="209" spans="3:7">
      <c r="C209">
        <v>162</v>
      </c>
      <c r="D209">
        <v>21761.682126548087</v>
      </c>
      <c r="E209">
        <v>5345.7789473219182</v>
      </c>
      <c r="F209">
        <v>27776.021161221051</v>
      </c>
      <c r="G209" t="str">
        <f t="shared" si="14"/>
        <v>Germany</v>
      </c>
    </row>
    <row r="210" spans="3:7">
      <c r="C210">
        <v>163</v>
      </c>
      <c r="D210">
        <v>26244.699487348331</v>
      </c>
      <c r="E210">
        <v>5781.8097548960359</v>
      </c>
      <c r="F210">
        <v>27111.743594790707</v>
      </c>
      <c r="G210" t="str">
        <f t="shared" si="14"/>
        <v>Germany</v>
      </c>
    </row>
    <row r="211" spans="3:7">
      <c r="C211">
        <v>164</v>
      </c>
      <c r="D211">
        <v>30141.352105219943</v>
      </c>
      <c r="E211">
        <v>6055.7874821390487</v>
      </c>
      <c r="F211">
        <v>31831.833019025573</v>
      </c>
      <c r="G211" t="str">
        <f t="shared" si="14"/>
        <v>Germany</v>
      </c>
    </row>
    <row r="212" spans="3:7">
      <c r="C212">
        <v>165</v>
      </c>
      <c r="D212">
        <v>22182.881544472752</v>
      </c>
      <c r="E212">
        <v>5959.4871548310084</v>
      </c>
      <c r="F212">
        <v>25161.229351739446</v>
      </c>
      <c r="G212" t="str">
        <f t="shared" si="14"/>
        <v>Germany</v>
      </c>
    </row>
    <row r="213" spans="3:7">
      <c r="C213">
        <v>166</v>
      </c>
      <c r="D213">
        <v>23419.686182123667</v>
      </c>
      <c r="E213">
        <v>5323.3972398056412</v>
      </c>
      <c r="F213">
        <v>22302.870997755483</v>
      </c>
      <c r="G213" t="str">
        <f t="shared" si="14"/>
        <v>Germany</v>
      </c>
    </row>
    <row r="214" spans="3:7">
      <c r="C214">
        <v>167</v>
      </c>
      <c r="D214">
        <v>28684.562347730011</v>
      </c>
      <c r="E214">
        <v>6100.4466780575513</v>
      </c>
      <c r="F214">
        <v>25963.610794532626</v>
      </c>
      <c r="G214" t="str">
        <f t="shared" si="14"/>
        <v>Germany</v>
      </c>
    </row>
    <row r="215" spans="3:7">
      <c r="C215">
        <v>168</v>
      </c>
      <c r="D215">
        <v>27791.866063158734</v>
      </c>
      <c r="E215">
        <v>6305.8220396855886</v>
      </c>
      <c r="F215">
        <v>23328.192628331944</v>
      </c>
      <c r="G215" t="str">
        <f t="shared" si="14"/>
        <v>Germany</v>
      </c>
    </row>
    <row r="216" spans="3:7">
      <c r="C216">
        <v>169</v>
      </c>
      <c r="D216">
        <v>19875.726569106067</v>
      </c>
      <c r="E216">
        <v>5075.1727047922141</v>
      </c>
      <c r="F216">
        <v>32023.816602153543</v>
      </c>
      <c r="G216" t="str">
        <f t="shared" si="14"/>
        <v>Germany</v>
      </c>
    </row>
    <row r="217" spans="3:7">
      <c r="C217">
        <v>170</v>
      </c>
      <c r="D217">
        <v>30059.619829020725</v>
      </c>
      <c r="E217">
        <v>6276.8779875842083</v>
      </c>
      <c r="F217">
        <v>28619.715618242903</v>
      </c>
      <c r="G217" t="str">
        <f t="shared" si="14"/>
        <v>Germany</v>
      </c>
    </row>
    <row r="218" spans="3:7">
      <c r="C218">
        <v>171</v>
      </c>
      <c r="D218">
        <v>24868.814648297815</v>
      </c>
      <c r="E218">
        <v>6071.3808170209213</v>
      </c>
      <c r="F218">
        <v>22993.892476062796</v>
      </c>
      <c r="G218" t="str">
        <f t="shared" si="14"/>
        <v>Germany</v>
      </c>
    </row>
    <row r="219" spans="3:7">
      <c r="C219">
        <v>172</v>
      </c>
      <c r="D219">
        <v>19319.408503032791</v>
      </c>
      <c r="E219">
        <v>5577.957239452845</v>
      </c>
      <c r="F219">
        <v>28712.184241445932</v>
      </c>
      <c r="G219" t="str">
        <f t="shared" si="14"/>
        <v>Germany</v>
      </c>
    </row>
    <row r="220" spans="3:7">
      <c r="C220">
        <v>173</v>
      </c>
      <c r="D220">
        <v>25132.627035341386</v>
      </c>
      <c r="E220">
        <v>5894.4916113912805</v>
      </c>
      <c r="F220">
        <v>20621.719995028012</v>
      </c>
      <c r="G220" t="str">
        <f t="shared" si="14"/>
        <v>Germany</v>
      </c>
    </row>
    <row r="221" spans="3:7">
      <c r="C221">
        <v>174</v>
      </c>
      <c r="D221">
        <v>22135.688659673786</v>
      </c>
      <c r="E221">
        <v>4884.4374462622955</v>
      </c>
      <c r="F221">
        <v>23770.543117278903</v>
      </c>
      <c r="G221" t="str">
        <f t="shared" si="14"/>
        <v>Germany</v>
      </c>
    </row>
    <row r="222" spans="3:7">
      <c r="C222">
        <v>175</v>
      </c>
      <c r="D222">
        <v>19093.480569460364</v>
      </c>
      <c r="E222">
        <v>4599.1405234189688</v>
      </c>
      <c r="F222">
        <v>23416.566251943466</v>
      </c>
      <c r="G222" t="str">
        <f t="shared" si="14"/>
        <v>Germany</v>
      </c>
    </row>
    <row r="223" spans="3:7">
      <c r="C223">
        <v>176</v>
      </c>
      <c r="D223">
        <v>26339.510157463927</v>
      </c>
      <c r="E223">
        <v>5706.1582557780348</v>
      </c>
      <c r="F223">
        <v>25514.753710994366</v>
      </c>
      <c r="G223" t="str">
        <f t="shared" si="14"/>
        <v>Germany</v>
      </c>
    </row>
    <row r="224" spans="3:7">
      <c r="C224">
        <v>177</v>
      </c>
      <c r="D224">
        <v>22542.942660344903</v>
      </c>
      <c r="E224">
        <v>5362.2682900834625</v>
      </c>
      <c r="F224">
        <v>28644.941487480584</v>
      </c>
      <c r="G224" t="str">
        <f t="shared" si="14"/>
        <v>Germany</v>
      </c>
    </row>
    <row r="225" spans="3:7">
      <c r="C225">
        <v>178</v>
      </c>
      <c r="D225">
        <v>24025.214440770909</v>
      </c>
      <c r="E225">
        <v>5416.3175487504141</v>
      </c>
      <c r="F225">
        <v>30550.620293225249</v>
      </c>
      <c r="G225" t="str">
        <f t="shared" si="14"/>
        <v>Germany</v>
      </c>
    </row>
    <row r="226" spans="3:7">
      <c r="C226">
        <v>179</v>
      </c>
      <c r="D226">
        <v>28590.851773504772</v>
      </c>
      <c r="E226">
        <v>6028.89666760416</v>
      </c>
      <c r="F226">
        <v>32641.894910871873</v>
      </c>
      <c r="G226" t="str">
        <f t="shared" si="14"/>
        <v>Germany</v>
      </c>
    </row>
    <row r="227" spans="3:7">
      <c r="C227">
        <v>180</v>
      </c>
      <c r="D227">
        <v>26194.250393579052</v>
      </c>
      <c r="E227">
        <v>6261.7999473304662</v>
      </c>
      <c r="F227">
        <v>21585.095048501371</v>
      </c>
      <c r="G227" t="str">
        <f t="shared" si="14"/>
        <v>Germany</v>
      </c>
    </row>
    <row r="228" spans="3:7">
      <c r="C228">
        <v>181</v>
      </c>
      <c r="D228">
        <v>25787.694378992561</v>
      </c>
      <c r="E228">
        <v>5948.4420819040106</v>
      </c>
      <c r="F228">
        <v>28562.851755039195</v>
      </c>
      <c r="G228" t="str">
        <f t="shared" si="14"/>
        <v>Germany</v>
      </c>
    </row>
    <row r="229" spans="3:7">
      <c r="C229">
        <v>182</v>
      </c>
      <c r="D229">
        <v>23639.539113377763</v>
      </c>
      <c r="E229">
        <v>5311.5586100039391</v>
      </c>
      <c r="F229">
        <v>26744.918357153703</v>
      </c>
      <c r="G229" t="str">
        <f t="shared" si="14"/>
        <v>Germany</v>
      </c>
    </row>
    <row r="230" spans="3:7">
      <c r="C230">
        <v>183</v>
      </c>
      <c r="D230">
        <v>22669.943554073368</v>
      </c>
      <c r="E230">
        <v>5662.2791747108167</v>
      </c>
      <c r="F230">
        <v>33063.392128226646</v>
      </c>
      <c r="G230" t="str">
        <f t="shared" si="14"/>
        <v>Germany</v>
      </c>
    </row>
    <row r="231" spans="3:7">
      <c r="C231">
        <v>184</v>
      </c>
      <c r="D231">
        <v>23277.720456189869</v>
      </c>
      <c r="E231">
        <v>5769.7932651942911</v>
      </c>
      <c r="F231">
        <v>28957.197046753296</v>
      </c>
      <c r="G231" t="str">
        <f t="shared" si="14"/>
        <v>Germany</v>
      </c>
    </row>
    <row r="232" spans="3:7">
      <c r="C232">
        <v>185</v>
      </c>
      <c r="D232">
        <v>16598.982340708084</v>
      </c>
      <c r="E232">
        <v>4941.8300953118433</v>
      </c>
      <c r="F232">
        <v>19905.889109358275</v>
      </c>
      <c r="G232" t="str">
        <f t="shared" si="14"/>
        <v>Germany</v>
      </c>
    </row>
    <row r="233" spans="3:7">
      <c r="C233">
        <v>186</v>
      </c>
      <c r="D233">
        <v>25398.590950055259</v>
      </c>
      <c r="E233">
        <v>5975.6230902090947</v>
      </c>
      <c r="F233">
        <v>28186.883596580108</v>
      </c>
      <c r="G233" t="str">
        <f t="shared" si="14"/>
        <v>Germany</v>
      </c>
    </row>
    <row r="234" spans="3:7">
      <c r="C234">
        <v>187</v>
      </c>
      <c r="D234">
        <v>24316.987795577901</v>
      </c>
      <c r="E234">
        <v>5106.9910692407229</v>
      </c>
      <c r="F234">
        <v>28696.291868313496</v>
      </c>
      <c r="G234" t="str">
        <f t="shared" si="14"/>
        <v>Germany</v>
      </c>
    </row>
    <row r="235" spans="3:7">
      <c r="C235">
        <v>188</v>
      </c>
      <c r="D235">
        <v>26311.42279734373</v>
      </c>
      <c r="E235">
        <v>5697.0444895833443</v>
      </c>
      <c r="F235">
        <v>32771.267671497233</v>
      </c>
      <c r="G235" t="str">
        <f t="shared" si="14"/>
        <v>Germany</v>
      </c>
    </row>
    <row r="236" spans="3:7">
      <c r="C236">
        <v>189</v>
      </c>
      <c r="D236">
        <v>27381.726690072821</v>
      </c>
      <c r="E236">
        <v>5705.2235254570223</v>
      </c>
      <c r="F236">
        <v>22305.337600746789</v>
      </c>
      <c r="G236" t="str">
        <f t="shared" si="14"/>
        <v>Germany</v>
      </c>
    </row>
    <row r="237" spans="3:7">
      <c r="C237">
        <v>190</v>
      </c>
      <c r="D237">
        <v>27362.942651082034</v>
      </c>
      <c r="E237">
        <v>6740.1721006382022</v>
      </c>
      <c r="F237">
        <v>23769.867029077977</v>
      </c>
      <c r="G237" t="str">
        <f t="shared" si="14"/>
        <v>Germany</v>
      </c>
    </row>
    <row r="238" spans="3:7">
      <c r="C238">
        <v>191</v>
      </c>
      <c r="D238">
        <v>25838.617521941556</v>
      </c>
      <c r="E238">
        <v>5752.1800406919247</v>
      </c>
      <c r="F238">
        <v>25302.703191074717</v>
      </c>
      <c r="G238" t="str">
        <f t="shared" si="14"/>
        <v>Germany</v>
      </c>
    </row>
    <row r="239" spans="3:7">
      <c r="C239">
        <v>192</v>
      </c>
      <c r="D239">
        <v>20852.157805666306</v>
      </c>
      <c r="E239">
        <v>5065.3841965069105</v>
      </c>
      <c r="F239">
        <v>28091.578685634791</v>
      </c>
      <c r="G239" t="str">
        <f t="shared" si="14"/>
        <v>Germany</v>
      </c>
    </row>
    <row r="240" spans="3:7">
      <c r="C240">
        <v>193</v>
      </c>
      <c r="D240">
        <v>26494.852435550489</v>
      </c>
      <c r="E240">
        <v>6260.6121394907741</v>
      </c>
      <c r="F240">
        <v>27533.026164346727</v>
      </c>
      <c r="G240" t="str">
        <f t="shared" si="14"/>
        <v>Germany</v>
      </c>
    </row>
    <row r="241" spans="3:7">
      <c r="C241">
        <v>194</v>
      </c>
      <c r="D241">
        <v>19532.349939717456</v>
      </c>
      <c r="E241">
        <v>5886.3684413211813</v>
      </c>
      <c r="F241">
        <v>36215.133143962179</v>
      </c>
      <c r="G241" t="str">
        <f t="shared" ref="G241:G247" si="15">IF(AND(D241&lt;E241,D241&lt;F241),"France",IF(AND(E241&lt;D241,E241&lt;F241),"Germany","France and Germany"))</f>
        <v>Germany</v>
      </c>
    </row>
    <row r="242" spans="3:7">
      <c r="C242">
        <v>195</v>
      </c>
      <c r="D242">
        <v>19650.55069181342</v>
      </c>
      <c r="E242">
        <v>4865.7197803412009</v>
      </c>
      <c r="F242">
        <v>30705.192901701987</v>
      </c>
      <c r="G242" t="str">
        <f t="shared" si="15"/>
        <v>Germany</v>
      </c>
    </row>
    <row r="243" spans="3:7">
      <c r="C243">
        <v>196</v>
      </c>
      <c r="D243">
        <v>25842.817567829745</v>
      </c>
      <c r="E243">
        <v>5742.5393444471465</v>
      </c>
      <c r="F243">
        <v>32353.554948945501</v>
      </c>
      <c r="G243" t="str">
        <f t="shared" si="15"/>
        <v>Germany</v>
      </c>
    </row>
    <row r="244" spans="3:7">
      <c r="C244">
        <v>197</v>
      </c>
      <c r="D244">
        <v>19524.895892553061</v>
      </c>
      <c r="E244">
        <v>5495.9967690711301</v>
      </c>
      <c r="F244">
        <v>26122.276607238618</v>
      </c>
      <c r="G244" t="str">
        <f t="shared" si="15"/>
        <v>Germany</v>
      </c>
    </row>
    <row r="245" spans="3:7">
      <c r="C245">
        <v>198</v>
      </c>
      <c r="D245">
        <v>18279.008280253271</v>
      </c>
      <c r="E245">
        <v>5120.1771855328425</v>
      </c>
      <c r="F245">
        <v>27658.866681964471</v>
      </c>
      <c r="G245" t="str">
        <f t="shared" si="15"/>
        <v>Germany</v>
      </c>
    </row>
    <row r="246" spans="3:7">
      <c r="C246">
        <v>199</v>
      </c>
      <c r="D246">
        <v>18115.908294436769</v>
      </c>
      <c r="E246">
        <v>4886.5440592864925</v>
      </c>
      <c r="F246">
        <v>26306.415173932037</v>
      </c>
      <c r="G246" t="str">
        <f t="shared" si="15"/>
        <v>Germany</v>
      </c>
    </row>
    <row r="247" spans="3:7">
      <c r="C247">
        <v>200</v>
      </c>
      <c r="D247">
        <v>18030.818243883437</v>
      </c>
      <c r="E247">
        <v>5081.7869147224574</v>
      </c>
      <c r="F247">
        <v>29689.889802686164</v>
      </c>
      <c r="G247" t="str">
        <f t="shared" si="15"/>
        <v>Germany</v>
      </c>
    </row>
  </sheetData>
  <mergeCells count="2">
    <mergeCell ref="G2:H2"/>
    <mergeCell ref="K2:L2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Drop Ship</vt:lpstr>
      <vt:lpstr>LT Demand</vt:lpstr>
      <vt:lpstr>LT Demand (2)</vt:lpstr>
      <vt:lpstr>EDN</vt:lpstr>
      <vt:lpstr>Ring</vt:lpstr>
      <vt:lpstr>Monte Carlo Simulation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Pan, James</cp:lastModifiedBy>
  <cp:lastPrinted>2010-10-08T02:25:21Z</cp:lastPrinted>
  <dcterms:created xsi:type="dcterms:W3CDTF">1996-10-14T23:33:28Z</dcterms:created>
  <dcterms:modified xsi:type="dcterms:W3CDTF">2025-05-17T02:09:08Z</dcterms:modified>
</cp:coreProperties>
</file>