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924F5A15-4C60-47FD-91C4-AFC7B1BE33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chMandess2025KenPom" sheetId="9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KenPomTable">MarchMandess2025KenPom!$A$5:$C$72</definedName>
    <definedName name="LowSeed_Tallies">#REF!</definedName>
    <definedName name="LTable">#REF!</definedName>
    <definedName name="Pal_Workbook_GUID" hidden="1">"4W4Z8NYY91IEXC4TVH1AIK2J"</definedName>
    <definedName name="Rating_Table">MarchMandess2025KenPom!$A$3:$E$72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ExternalFilePath" hidden="1">"C:\Users\James\Downloads\March Madness 2015.RSK5"</definedName>
    <definedName name="RiskSimulationResultsStorageLocation" hidden="1">"3"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Win_Tallies">#REF!</definedName>
    <definedName name="Winners">#REF!,#REF!,#REF!,#REF!,#REF!,#REF!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9" l="1"/>
  <c r="N51" i="9" s="1"/>
  <c r="M41" i="9"/>
  <c r="P41" i="9" s="1"/>
  <c r="M21" i="9"/>
  <c r="N21" i="9" s="1"/>
  <c r="W88" i="9"/>
  <c r="U5" i="9"/>
  <c r="U71" i="9"/>
  <c r="U72" i="9"/>
  <c r="U64" i="9"/>
  <c r="U65" i="9"/>
  <c r="U66" i="9"/>
  <c r="U67" i="9"/>
  <c r="U68" i="9"/>
  <c r="U69" i="9"/>
  <c r="U70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L35" i="9"/>
  <c r="M35" i="9" s="1"/>
  <c r="L37" i="9"/>
  <c r="M37" i="9" s="1"/>
  <c r="L39" i="9"/>
  <c r="Q39" i="9" s="1"/>
  <c r="R39" i="9" s="1"/>
  <c r="L41" i="9"/>
  <c r="Q41" i="9" s="1"/>
  <c r="R41" i="9" s="1"/>
  <c r="L43" i="9"/>
  <c r="M43" i="9" s="1"/>
  <c r="L45" i="9"/>
  <c r="Q45" i="9" s="1"/>
  <c r="R45" i="9" s="1"/>
  <c r="L47" i="9"/>
  <c r="Q47" i="9" s="1"/>
  <c r="R47" i="9" s="1"/>
  <c r="L49" i="9"/>
  <c r="Q49" i="9" s="1"/>
  <c r="R49" i="9" s="1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L21" i="9"/>
  <c r="L23" i="9"/>
  <c r="L25" i="9"/>
  <c r="Q25" i="9" s="1"/>
  <c r="R25" i="9" s="1"/>
  <c r="L27" i="9"/>
  <c r="M27" i="9" s="1"/>
  <c r="L29" i="9"/>
  <c r="M29" i="9" s="1"/>
  <c r="Q29" i="9"/>
  <c r="R29" i="9" s="1"/>
  <c r="L31" i="9"/>
  <c r="M31" i="9" s="1"/>
  <c r="L33" i="9"/>
  <c r="M33" i="9" s="1"/>
  <c r="L51" i="9"/>
  <c r="Q51" i="9"/>
  <c r="R51" i="9" s="1"/>
  <c r="L53" i="9"/>
  <c r="M53" i="9" s="1"/>
  <c r="Q53" i="9"/>
  <c r="R53" i="9"/>
  <c r="L55" i="9"/>
  <c r="M55" i="9" s="1"/>
  <c r="L57" i="9"/>
  <c r="M57" i="9" s="1"/>
  <c r="L59" i="9"/>
  <c r="M59" i="9" s="1"/>
  <c r="L61" i="9"/>
  <c r="M61" i="9" s="1"/>
  <c r="L63" i="9"/>
  <c r="M63" i="9" s="1"/>
  <c r="L65" i="9"/>
  <c r="M65" i="9" s="1"/>
  <c r="L67" i="9"/>
  <c r="M67" i="9" s="1"/>
  <c r="L69" i="9"/>
  <c r="M69" i="9" s="1"/>
  <c r="L71" i="9"/>
  <c r="Q71" i="9" s="1"/>
  <c r="R71" i="9" s="1"/>
  <c r="L73" i="9"/>
  <c r="M73" i="9" s="1"/>
  <c r="L75" i="9"/>
  <c r="M75" i="9" s="1"/>
  <c r="L77" i="9"/>
  <c r="M77" i="9" s="1"/>
  <c r="L79" i="9"/>
  <c r="M79" i="9" s="1"/>
  <c r="L81" i="9"/>
  <c r="M81" i="9" s="1"/>
  <c r="L19" i="9"/>
  <c r="M19" i="9" s="1"/>
  <c r="Q19" i="9"/>
  <c r="R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19" i="9"/>
  <c r="L13" i="9"/>
  <c r="M13" i="9" s="1"/>
  <c r="Q13" i="9"/>
  <c r="R13" i="9" s="1"/>
  <c r="L11" i="9"/>
  <c r="Q11" i="9" s="1"/>
  <c r="R11" i="9" s="1"/>
  <c r="L9" i="9"/>
  <c r="Q9" i="9" s="1"/>
  <c r="R9" i="9" s="1"/>
  <c r="L7" i="9"/>
  <c r="M7" i="9" s="1"/>
  <c r="K7" i="9"/>
  <c r="K8" i="9"/>
  <c r="K9" i="9"/>
  <c r="K10" i="9"/>
  <c r="K11" i="9"/>
  <c r="K12" i="9"/>
  <c r="K13" i="9"/>
  <c r="K14" i="9"/>
  <c r="Q43" i="9"/>
  <c r="R43" i="9" s="1"/>
  <c r="Q33" i="9"/>
  <c r="R33" i="9"/>
  <c r="Q61" i="9"/>
  <c r="R61" i="9" s="1"/>
  <c r="Q7" i="9"/>
  <c r="R7" i="9" s="1"/>
  <c r="P16" i="9" s="1"/>
  <c r="Q21" i="9"/>
  <c r="R21" i="9" s="1"/>
  <c r="Q63" i="9"/>
  <c r="R63" i="9"/>
  <c r="Q31" i="9"/>
  <c r="R31" i="9" s="1"/>
  <c r="Q57" i="9"/>
  <c r="R57" i="9" s="1"/>
  <c r="Q55" i="9"/>
  <c r="R55" i="9"/>
  <c r="Q79" i="9"/>
  <c r="R79" i="9" s="1"/>
  <c r="Q23" i="9"/>
  <c r="R23" i="9" s="1"/>
  <c r="Q65" i="9"/>
  <c r="R65" i="9"/>
  <c r="Q69" i="9"/>
  <c r="R69" i="9" s="1"/>
  <c r="Q67" i="9"/>
  <c r="R67" i="9"/>
  <c r="Q77" i="9"/>
  <c r="R77" i="9" s="1"/>
  <c r="Q27" i="9"/>
  <c r="R27" i="9" s="1"/>
  <c r="Q75" i="9"/>
  <c r="R75" i="9"/>
  <c r="Q35" i="9"/>
  <c r="R35" i="9"/>
  <c r="Q81" i="9"/>
  <c r="R81" i="9"/>
  <c r="Q59" i="9"/>
  <c r="R59" i="9"/>
  <c r="P21" i="9" l="1"/>
  <c r="N41" i="9"/>
  <c r="P73" i="9"/>
  <c r="N73" i="9"/>
  <c r="N53" i="9"/>
  <c r="P53" i="9"/>
  <c r="P7" i="9"/>
  <c r="N7" i="9"/>
  <c r="O7" i="9" s="1"/>
  <c r="P69" i="9"/>
  <c r="N69" i="9"/>
  <c r="N67" i="9"/>
  <c r="O67" i="9" s="1"/>
  <c r="P67" i="9"/>
  <c r="N33" i="9"/>
  <c r="P33" i="9"/>
  <c r="N35" i="9"/>
  <c r="P35" i="9"/>
  <c r="J104" i="9"/>
  <c r="K104" i="9" s="1"/>
  <c r="O51" i="9"/>
  <c r="N65" i="9"/>
  <c r="P65" i="9"/>
  <c r="P31" i="9"/>
  <c r="N31" i="9"/>
  <c r="J94" i="9" s="1"/>
  <c r="N13" i="9"/>
  <c r="O13" i="9" s="1"/>
  <c r="P13" i="9"/>
  <c r="P63" i="9"/>
  <c r="N63" i="9"/>
  <c r="P29" i="9"/>
  <c r="N29" i="9"/>
  <c r="N27" i="9"/>
  <c r="P27" i="9"/>
  <c r="P57" i="9"/>
  <c r="N57" i="9"/>
  <c r="P55" i="9"/>
  <c r="N55" i="9"/>
  <c r="N61" i="9"/>
  <c r="J109" i="9" s="1"/>
  <c r="K109" i="9" s="1"/>
  <c r="P61" i="9"/>
  <c r="P59" i="9"/>
  <c r="N59" i="9"/>
  <c r="P81" i="9"/>
  <c r="N81" i="9"/>
  <c r="P79" i="9"/>
  <c r="N79" i="9"/>
  <c r="O79" i="9" s="1"/>
  <c r="N77" i="9"/>
  <c r="P77" i="9"/>
  <c r="P19" i="9"/>
  <c r="N19" i="9"/>
  <c r="P75" i="9"/>
  <c r="N75" i="9"/>
  <c r="O75" i="9" s="1"/>
  <c r="M39" i="9"/>
  <c r="Q37" i="9"/>
  <c r="R37" i="9" s="1"/>
  <c r="P84" i="9" s="1"/>
  <c r="M23" i="9"/>
  <c r="N23" i="9" s="1"/>
  <c r="J90" i="9" s="1"/>
  <c r="K90" i="9" s="1"/>
  <c r="M45" i="9"/>
  <c r="N45" i="9" s="1"/>
  <c r="O45" i="9" s="1"/>
  <c r="Q73" i="9"/>
  <c r="R73" i="9" s="1"/>
  <c r="M25" i="9"/>
  <c r="N25" i="9" s="1"/>
  <c r="J91" i="9" s="1"/>
  <c r="K91" i="9" s="1"/>
  <c r="M47" i="9"/>
  <c r="N47" i="9" s="1"/>
  <c r="P51" i="9"/>
  <c r="M9" i="9"/>
  <c r="M11" i="9"/>
  <c r="N11" i="9" s="1"/>
  <c r="O11" i="9" s="1"/>
  <c r="M49" i="9"/>
  <c r="N49" i="9" s="1"/>
  <c r="M71" i="9"/>
  <c r="N71" i="9" s="1"/>
  <c r="O71" i="9" s="1"/>
  <c r="O31" i="9"/>
  <c r="O21" i="9"/>
  <c r="J89" i="9"/>
  <c r="O73" i="9"/>
  <c r="J115" i="9"/>
  <c r="K115" i="9" s="1"/>
  <c r="J118" i="9"/>
  <c r="N43" i="9"/>
  <c r="P43" i="9"/>
  <c r="P37" i="9"/>
  <c r="N37" i="9"/>
  <c r="O61" i="9" l="1"/>
  <c r="J112" i="9"/>
  <c r="J116" i="9"/>
  <c r="O23" i="9"/>
  <c r="J99" i="9"/>
  <c r="K99" i="9" s="1"/>
  <c r="O41" i="9"/>
  <c r="J93" i="9"/>
  <c r="K93" i="9" s="1"/>
  <c r="O29" i="9"/>
  <c r="P49" i="9"/>
  <c r="P47" i="9"/>
  <c r="P25" i="9"/>
  <c r="J114" i="9"/>
  <c r="K114" i="9" s="1"/>
  <c r="O49" i="9"/>
  <c r="J103" i="9"/>
  <c r="K103" i="9" s="1"/>
  <c r="O63" i="9"/>
  <c r="J110" i="9"/>
  <c r="J113" i="9"/>
  <c r="K113" i="9" s="1"/>
  <c r="O69" i="9"/>
  <c r="N39" i="9"/>
  <c r="P39" i="9"/>
  <c r="O77" i="9"/>
  <c r="J117" i="9"/>
  <c r="K117" i="9" s="1"/>
  <c r="J119" i="9"/>
  <c r="K119" i="9" s="1"/>
  <c r="O81" i="9"/>
  <c r="P23" i="9"/>
  <c r="O55" i="9"/>
  <c r="J106" i="9"/>
  <c r="P9" i="9"/>
  <c r="N9" i="9"/>
  <c r="O9" i="9" s="1"/>
  <c r="O59" i="9"/>
  <c r="J108" i="9"/>
  <c r="J96" i="9"/>
  <c r="K96" i="9" s="1"/>
  <c r="O35" i="9"/>
  <c r="O53" i="9"/>
  <c r="J105" i="9"/>
  <c r="P45" i="9"/>
  <c r="J107" i="9"/>
  <c r="K107" i="9" s="1"/>
  <c r="O57" i="9"/>
  <c r="O47" i="9"/>
  <c r="J102" i="9"/>
  <c r="O19" i="9"/>
  <c r="J88" i="9"/>
  <c r="K88" i="9" s="1"/>
  <c r="O33" i="9"/>
  <c r="J95" i="9"/>
  <c r="K95" i="9" s="1"/>
  <c r="J101" i="9"/>
  <c r="K101" i="9" s="1"/>
  <c r="P11" i="9"/>
  <c r="O25" i="9"/>
  <c r="L90" i="9"/>
  <c r="Q90" i="9" s="1"/>
  <c r="R90" i="9" s="1"/>
  <c r="P71" i="9"/>
  <c r="O27" i="9"/>
  <c r="J92" i="9"/>
  <c r="J111" i="9"/>
  <c r="K111" i="9" s="1"/>
  <c r="O65" i="9"/>
  <c r="M90" i="9"/>
  <c r="N90" i="9" s="1"/>
  <c r="K89" i="9"/>
  <c r="K94" i="9"/>
  <c r="K112" i="9"/>
  <c r="O43" i="9"/>
  <c r="J100" i="9"/>
  <c r="K116" i="9"/>
  <c r="K118" i="9"/>
  <c r="O37" i="9"/>
  <c r="J97" i="9"/>
  <c r="L112" i="9" l="1"/>
  <c r="L114" i="9"/>
  <c r="L118" i="9"/>
  <c r="L88" i="9"/>
  <c r="L94" i="9"/>
  <c r="M94" i="9" s="1"/>
  <c r="N94" i="9" s="1"/>
  <c r="P15" i="9"/>
  <c r="P83" i="9"/>
  <c r="L92" i="9"/>
  <c r="K92" i="9"/>
  <c r="L110" i="9"/>
  <c r="K110" i="9"/>
  <c r="K102" i="9"/>
  <c r="L102" i="9"/>
  <c r="K106" i="9"/>
  <c r="L106" i="9"/>
  <c r="K108" i="9"/>
  <c r="L108" i="9"/>
  <c r="J98" i="9"/>
  <c r="O39" i="9"/>
  <c r="K105" i="9"/>
  <c r="L104" i="9"/>
  <c r="L116" i="9"/>
  <c r="M116" i="9" s="1"/>
  <c r="N116" i="9" s="1"/>
  <c r="K100" i="9"/>
  <c r="L100" i="9"/>
  <c r="J128" i="9"/>
  <c r="K128" i="9" s="1"/>
  <c r="O90" i="9"/>
  <c r="Q112" i="9"/>
  <c r="R112" i="9" s="1"/>
  <c r="M112" i="9"/>
  <c r="N112" i="9" s="1"/>
  <c r="Q114" i="9"/>
  <c r="R114" i="9" s="1"/>
  <c r="M114" i="9"/>
  <c r="N114" i="9" s="1"/>
  <c r="M88" i="9"/>
  <c r="N88" i="9" s="1"/>
  <c r="Q88" i="9"/>
  <c r="R88" i="9" s="1"/>
  <c r="K97" i="9"/>
  <c r="L96" i="9"/>
  <c r="M118" i="9"/>
  <c r="N118" i="9" s="1"/>
  <c r="Q118" i="9"/>
  <c r="R118" i="9" s="1"/>
  <c r="P90" i="9"/>
  <c r="Q94" i="9" l="1"/>
  <c r="R94" i="9" s="1"/>
  <c r="Q116" i="9"/>
  <c r="R116" i="9" s="1"/>
  <c r="Q104" i="9"/>
  <c r="R104" i="9" s="1"/>
  <c r="M104" i="9"/>
  <c r="K98" i="9"/>
  <c r="L98" i="9"/>
  <c r="M102" i="9"/>
  <c r="Q102" i="9"/>
  <c r="R102" i="9" s="1"/>
  <c r="M108" i="9"/>
  <c r="N108" i="9" s="1"/>
  <c r="Q108" i="9"/>
  <c r="R108" i="9" s="1"/>
  <c r="Q106" i="9"/>
  <c r="R106" i="9" s="1"/>
  <c r="M106" i="9"/>
  <c r="M110" i="9"/>
  <c r="N110" i="9" s="1"/>
  <c r="Q110" i="9"/>
  <c r="R110" i="9" s="1"/>
  <c r="M92" i="9"/>
  <c r="N92" i="9" s="1"/>
  <c r="Q92" i="9"/>
  <c r="R92" i="9" s="1"/>
  <c r="J142" i="9"/>
  <c r="K142" i="9" s="1"/>
  <c r="O118" i="9"/>
  <c r="P114" i="9"/>
  <c r="P118" i="9"/>
  <c r="P116" i="9"/>
  <c r="J141" i="9"/>
  <c r="O116" i="9"/>
  <c r="O114" i="9"/>
  <c r="J140" i="9"/>
  <c r="K140" i="9" s="1"/>
  <c r="Q96" i="9"/>
  <c r="R96" i="9" s="1"/>
  <c r="M96" i="9"/>
  <c r="N96" i="9" s="1"/>
  <c r="P94" i="9"/>
  <c r="O94" i="9"/>
  <c r="J130" i="9"/>
  <c r="Q100" i="9"/>
  <c r="R100" i="9" s="1"/>
  <c r="M100" i="9"/>
  <c r="N100" i="9" s="1"/>
  <c r="J127" i="9"/>
  <c r="O88" i="9"/>
  <c r="P112" i="9"/>
  <c r="J139" i="9"/>
  <c r="O112" i="9"/>
  <c r="P88" i="9"/>
  <c r="P110" i="9" l="1"/>
  <c r="N102" i="9"/>
  <c r="P102" i="9"/>
  <c r="P92" i="9"/>
  <c r="Q98" i="9"/>
  <c r="R98" i="9" s="1"/>
  <c r="M98" i="9"/>
  <c r="N98" i="9" s="1"/>
  <c r="J129" i="9"/>
  <c r="K129" i="9" s="1"/>
  <c r="O92" i="9"/>
  <c r="N106" i="9"/>
  <c r="P106" i="9"/>
  <c r="P108" i="9"/>
  <c r="P121" i="9"/>
  <c r="O110" i="9"/>
  <c r="J138" i="9"/>
  <c r="K138" i="9" s="1"/>
  <c r="O108" i="9"/>
  <c r="J137" i="9"/>
  <c r="N104" i="9"/>
  <c r="P104" i="9"/>
  <c r="P100" i="9"/>
  <c r="O96" i="9"/>
  <c r="J131" i="9"/>
  <c r="L141" i="9"/>
  <c r="K141" i="9"/>
  <c r="J133" i="9"/>
  <c r="O100" i="9"/>
  <c r="K127" i="9"/>
  <c r="L127" i="9"/>
  <c r="P96" i="9"/>
  <c r="K139" i="9"/>
  <c r="L139" i="9"/>
  <c r="K130" i="9"/>
  <c r="L129" i="9"/>
  <c r="W58" i="9"/>
  <c r="AC58" i="9" s="1"/>
  <c r="W30" i="9"/>
  <c r="AC30" i="9" s="1"/>
  <c r="W9" i="9"/>
  <c r="AC9" i="9" s="1"/>
  <c r="W32" i="9"/>
  <c r="AC32" i="9" s="1"/>
  <c r="W64" i="9"/>
  <c r="AC64" i="9" s="1"/>
  <c r="W69" i="9"/>
  <c r="AC69" i="9" s="1"/>
  <c r="W24" i="9"/>
  <c r="AC24" i="9" s="1"/>
  <c r="W55" i="9"/>
  <c r="AC55" i="9" s="1"/>
  <c r="W63" i="9"/>
  <c r="AC63" i="9" s="1"/>
  <c r="W10" i="9"/>
  <c r="AC10" i="9" s="1"/>
  <c r="W6" i="9"/>
  <c r="AC6" i="9" s="1"/>
  <c r="W18" i="9"/>
  <c r="AC18" i="9" s="1"/>
  <c r="W47" i="9"/>
  <c r="AC47" i="9" s="1"/>
  <c r="W5" i="9"/>
  <c r="AC5" i="9" s="1"/>
  <c r="W15" i="9"/>
  <c r="AC15" i="9" s="1"/>
  <c r="W26" i="9"/>
  <c r="AC26" i="9" s="1"/>
  <c r="W33" i="9"/>
  <c r="AC33" i="9" s="1"/>
  <c r="W14" i="9"/>
  <c r="AC14" i="9" s="1"/>
  <c r="W25" i="9"/>
  <c r="AC25" i="9" s="1"/>
  <c r="W8" i="9"/>
  <c r="AC8" i="9" s="1"/>
  <c r="W42" i="9"/>
  <c r="AC42" i="9" s="1"/>
  <c r="W45" i="9"/>
  <c r="AC45" i="9" s="1"/>
  <c r="W50" i="9"/>
  <c r="AC50" i="9" s="1"/>
  <c r="W7" i="9"/>
  <c r="AC7" i="9" s="1"/>
  <c r="W41" i="9"/>
  <c r="AC41" i="9" s="1"/>
  <c r="W27" i="9"/>
  <c r="AC27" i="9" s="1"/>
  <c r="W35" i="9"/>
  <c r="AC35" i="9" s="1"/>
  <c r="W65" i="9"/>
  <c r="AC65" i="9" s="1"/>
  <c r="W52" i="9"/>
  <c r="AC52" i="9" s="1"/>
  <c r="W60" i="9"/>
  <c r="AC60" i="9" s="1"/>
  <c r="W20" i="9"/>
  <c r="AC20" i="9" s="1"/>
  <c r="W21" i="9"/>
  <c r="AC21" i="9" s="1"/>
  <c r="W51" i="9"/>
  <c r="AC51" i="9" s="1"/>
  <c r="W38" i="9"/>
  <c r="AC38" i="9" s="1"/>
  <c r="W43" i="9"/>
  <c r="AC43" i="9" s="1"/>
  <c r="W40" i="9"/>
  <c r="AC40" i="9" s="1"/>
  <c r="W23" i="9"/>
  <c r="AC23" i="9" s="1"/>
  <c r="W29" i="9"/>
  <c r="AC29" i="9" s="1"/>
  <c r="W37" i="9"/>
  <c r="AC37" i="9" s="1"/>
  <c r="W46" i="9"/>
  <c r="AC46" i="9" s="1"/>
  <c r="W22" i="9"/>
  <c r="AC22" i="9" s="1"/>
  <c r="W54" i="9"/>
  <c r="AC54" i="9" s="1"/>
  <c r="W61" i="9"/>
  <c r="AC61" i="9" s="1"/>
  <c r="W70" i="9"/>
  <c r="AC70" i="9" s="1"/>
  <c r="W67" i="9"/>
  <c r="AC67" i="9" s="1"/>
  <c r="W48" i="9"/>
  <c r="AC48" i="9" s="1"/>
  <c r="W56" i="9"/>
  <c r="AC56" i="9" s="1"/>
  <c r="W62" i="9"/>
  <c r="AC62" i="9" s="1"/>
  <c r="W44" i="9"/>
  <c r="AC44" i="9" s="1"/>
  <c r="W66" i="9"/>
  <c r="AC66" i="9" s="1"/>
  <c r="W11" i="9"/>
  <c r="AC11" i="9" s="1"/>
  <c r="W49" i="9"/>
  <c r="AC49" i="9" s="1"/>
  <c r="W57" i="9"/>
  <c r="AC57" i="9" s="1"/>
  <c r="W16" i="9"/>
  <c r="AC16" i="9" s="1"/>
  <c r="W71" i="9"/>
  <c r="AC71" i="9" s="1"/>
  <c r="W31" i="9"/>
  <c r="AC31" i="9" s="1"/>
  <c r="W59" i="9"/>
  <c r="AC59" i="9" s="1"/>
  <c r="W13" i="9"/>
  <c r="AC13" i="9" s="1"/>
  <c r="W12" i="9"/>
  <c r="AC12" i="9" s="1"/>
  <c r="W28" i="9"/>
  <c r="AC28" i="9" s="1"/>
  <c r="W34" i="9"/>
  <c r="AC34" i="9" s="1"/>
  <c r="W39" i="9"/>
  <c r="AC39" i="9" s="1"/>
  <c r="W19" i="9"/>
  <c r="AC19" i="9" s="1"/>
  <c r="W72" i="9"/>
  <c r="AC72" i="9" s="1"/>
  <c r="W53" i="9"/>
  <c r="AC53" i="9" s="1"/>
  <c r="W36" i="9"/>
  <c r="AC36" i="9" s="1"/>
  <c r="W17" i="9"/>
  <c r="AC17" i="9" s="1"/>
  <c r="W68" i="9"/>
  <c r="AC68" i="9" s="1"/>
  <c r="J132" i="9" l="1"/>
  <c r="K132" i="9" s="1"/>
  <c r="O98" i="9"/>
  <c r="O106" i="9"/>
  <c r="J136" i="9"/>
  <c r="K136" i="9" s="1"/>
  <c r="J135" i="9"/>
  <c r="O104" i="9"/>
  <c r="K137" i="9"/>
  <c r="L137" i="9"/>
  <c r="P98" i="9"/>
  <c r="P120" i="9" s="1"/>
  <c r="J134" i="9"/>
  <c r="K134" i="9" s="1"/>
  <c r="O102" i="9"/>
  <c r="K133" i="9"/>
  <c r="Q129" i="9"/>
  <c r="R129" i="9" s="1"/>
  <c r="M129" i="9"/>
  <c r="N129" i="9" s="1"/>
  <c r="Q141" i="9"/>
  <c r="R141" i="9" s="1"/>
  <c r="M141" i="9"/>
  <c r="N141" i="9" s="1"/>
  <c r="K131" i="9"/>
  <c r="L131" i="9"/>
  <c r="M139" i="9"/>
  <c r="N139" i="9" s="1"/>
  <c r="Q139" i="9"/>
  <c r="R139" i="9" s="1"/>
  <c r="M127" i="9"/>
  <c r="N127" i="9" s="1"/>
  <c r="Q127" i="9"/>
  <c r="R127" i="9" s="1"/>
  <c r="M137" i="9" l="1"/>
  <c r="Q137" i="9"/>
  <c r="R137" i="9" s="1"/>
  <c r="L133" i="9"/>
  <c r="K135" i="9"/>
  <c r="L135" i="9"/>
  <c r="P129" i="9"/>
  <c r="O129" i="9"/>
  <c r="J149" i="9"/>
  <c r="K149" i="9" s="1"/>
  <c r="M131" i="9"/>
  <c r="N131" i="9" s="1"/>
  <c r="Q131" i="9"/>
  <c r="R131" i="9" s="1"/>
  <c r="P127" i="9"/>
  <c r="Q133" i="9"/>
  <c r="R133" i="9" s="1"/>
  <c r="M133" i="9"/>
  <c r="N133" i="9" s="1"/>
  <c r="J148" i="9"/>
  <c r="O127" i="9"/>
  <c r="O141" i="9"/>
  <c r="J155" i="9"/>
  <c r="K155" i="9" s="1"/>
  <c r="P141" i="9"/>
  <c r="O139" i="9"/>
  <c r="J154" i="9"/>
  <c r="P139" i="9"/>
  <c r="Q135" i="9" l="1"/>
  <c r="R135" i="9" s="1"/>
  <c r="P144" i="9" s="1"/>
  <c r="M135" i="9"/>
  <c r="N135" i="9" s="1"/>
  <c r="N137" i="9"/>
  <c r="P137" i="9"/>
  <c r="K154" i="9"/>
  <c r="L154" i="9"/>
  <c r="P133" i="9"/>
  <c r="P131" i="9"/>
  <c r="J151" i="9"/>
  <c r="K151" i="9" s="1"/>
  <c r="O133" i="9"/>
  <c r="J150" i="9"/>
  <c r="O131" i="9"/>
  <c r="L148" i="9"/>
  <c r="K148" i="9"/>
  <c r="X5" i="9"/>
  <c r="AD5" i="9" s="1"/>
  <c r="O137" i="9" l="1"/>
  <c r="J153" i="9"/>
  <c r="K153" i="9" s="1"/>
  <c r="P135" i="9"/>
  <c r="P143" i="9" s="1"/>
  <c r="J152" i="9"/>
  <c r="O135" i="9"/>
  <c r="Q148" i="9"/>
  <c r="R148" i="9" s="1"/>
  <c r="M148" i="9"/>
  <c r="M154" i="9"/>
  <c r="N154" i="9" s="1"/>
  <c r="Q154" i="9"/>
  <c r="R154" i="9" s="1"/>
  <c r="L150" i="9"/>
  <c r="K150" i="9"/>
  <c r="N148" i="9" l="1"/>
  <c r="O148" i="9" s="1"/>
  <c r="L152" i="9"/>
  <c r="K152" i="9"/>
  <c r="J161" i="9"/>
  <c r="P148" i="9"/>
  <c r="M150" i="9"/>
  <c r="N150" i="9" s="1"/>
  <c r="Q150" i="9"/>
  <c r="R150" i="9" s="1"/>
  <c r="O154" i="9"/>
  <c r="J164" i="9"/>
  <c r="K164" i="9" s="1"/>
  <c r="P154" i="9"/>
  <c r="Q152" i="9" l="1"/>
  <c r="R152" i="9" s="1"/>
  <c r="P157" i="9" s="1"/>
  <c r="M152" i="9"/>
  <c r="N152" i="9" s="1"/>
  <c r="O150" i="9"/>
  <c r="J162" i="9"/>
  <c r="K162" i="9" s="1"/>
  <c r="P150" i="9"/>
  <c r="L161" i="9"/>
  <c r="K161" i="9"/>
  <c r="Y28" i="9"/>
  <c r="AE28" i="9" s="1"/>
  <c r="Y62" i="9"/>
  <c r="AE62" i="9" s="1"/>
  <c r="Y40" i="9"/>
  <c r="AE40" i="9" s="1"/>
  <c r="Y7" i="9"/>
  <c r="AE7" i="9" s="1"/>
  <c r="Y18" i="9"/>
  <c r="AE18" i="9" s="1"/>
  <c r="Y12" i="9"/>
  <c r="AE12" i="9" s="1"/>
  <c r="Y56" i="9"/>
  <c r="AE56" i="9" s="1"/>
  <c r="Y43" i="9"/>
  <c r="AE43" i="9" s="1"/>
  <c r="Y50" i="9"/>
  <c r="AE50" i="9" s="1"/>
  <c r="Y6" i="9"/>
  <c r="AE6" i="9" s="1"/>
  <c r="Y48" i="9"/>
  <c r="AE48" i="9" s="1"/>
  <c r="Y38" i="9"/>
  <c r="AE38" i="9" s="1"/>
  <c r="Y45" i="9"/>
  <c r="AE45" i="9" s="1"/>
  <c r="Y10" i="9"/>
  <c r="AE10" i="9" s="1"/>
  <c r="Y53" i="9"/>
  <c r="AE53" i="9" s="1"/>
  <c r="Y52" i="9"/>
  <c r="AE52" i="9" s="1"/>
  <c r="Y13" i="9"/>
  <c r="AE13" i="9" s="1"/>
  <c r="Y59" i="9"/>
  <c r="AE59" i="9" s="1"/>
  <c r="Y67" i="9"/>
  <c r="AE67" i="9" s="1"/>
  <c r="Y51" i="9"/>
  <c r="AE51" i="9" s="1"/>
  <c r="Y42" i="9"/>
  <c r="AE42" i="9" s="1"/>
  <c r="Y63" i="9"/>
  <c r="AE63" i="9" s="1"/>
  <c r="Y31" i="9"/>
  <c r="AE31" i="9" s="1"/>
  <c r="Y70" i="9"/>
  <c r="AE70" i="9" s="1"/>
  <c r="Y21" i="9"/>
  <c r="AE21" i="9" s="1"/>
  <c r="Y8" i="9"/>
  <c r="AE8" i="9" s="1"/>
  <c r="Y55" i="9"/>
  <c r="AE55" i="9" s="1"/>
  <c r="Y68" i="9"/>
  <c r="AE68" i="9" s="1"/>
  <c r="Y17" i="9"/>
  <c r="AE17" i="9" s="1"/>
  <c r="Y71" i="9"/>
  <c r="AE71" i="9" s="1"/>
  <c r="Y61" i="9"/>
  <c r="AE61" i="9" s="1"/>
  <c r="Y20" i="9"/>
  <c r="AE20" i="9" s="1"/>
  <c r="Y25" i="9"/>
  <c r="AE25" i="9" s="1"/>
  <c r="Y24" i="9"/>
  <c r="AE24" i="9" s="1"/>
  <c r="Y36" i="9"/>
  <c r="AE36" i="9" s="1"/>
  <c r="Y16" i="9"/>
  <c r="AE16" i="9" s="1"/>
  <c r="Y54" i="9"/>
  <c r="AE54" i="9" s="1"/>
  <c r="Y60" i="9"/>
  <c r="AE60" i="9" s="1"/>
  <c r="Y14" i="9"/>
  <c r="AE14" i="9" s="1"/>
  <c r="Y69" i="9"/>
  <c r="AE69" i="9" s="1"/>
  <c r="Y33" i="9"/>
  <c r="AE33" i="9" s="1"/>
  <c r="Y64" i="9"/>
  <c r="AE64" i="9" s="1"/>
  <c r="Y49" i="9"/>
  <c r="AE49" i="9" s="1"/>
  <c r="Y46" i="9"/>
  <c r="AE46" i="9" s="1"/>
  <c r="Y65" i="9"/>
  <c r="AE65" i="9" s="1"/>
  <c r="Y26" i="9"/>
  <c r="AE26" i="9" s="1"/>
  <c r="Y32" i="9"/>
  <c r="AE32" i="9" s="1"/>
  <c r="Y19" i="9"/>
  <c r="AE19" i="9" s="1"/>
  <c r="Y11" i="9"/>
  <c r="AE11" i="9" s="1"/>
  <c r="Y37" i="9"/>
  <c r="AE37" i="9" s="1"/>
  <c r="Y35" i="9"/>
  <c r="AE35" i="9" s="1"/>
  <c r="Y15" i="9"/>
  <c r="AE15" i="9" s="1"/>
  <c r="Y9" i="9"/>
  <c r="AE9" i="9" s="1"/>
  <c r="Y57" i="9"/>
  <c r="AE57" i="9" s="1"/>
  <c r="Y22" i="9"/>
  <c r="AE22" i="9" s="1"/>
  <c r="Y72" i="9"/>
  <c r="AE72" i="9" s="1"/>
  <c r="Y39" i="9"/>
  <c r="AE39" i="9" s="1"/>
  <c r="Y66" i="9"/>
  <c r="AE66" i="9" s="1"/>
  <c r="Y29" i="9"/>
  <c r="AE29" i="9" s="1"/>
  <c r="Y27" i="9"/>
  <c r="AE27" i="9" s="1"/>
  <c r="Y5" i="9"/>
  <c r="AE5" i="9" s="1"/>
  <c r="Y30" i="9"/>
  <c r="AE30" i="9" s="1"/>
  <c r="Y34" i="9"/>
  <c r="AE34" i="9" s="1"/>
  <c r="Y44" i="9"/>
  <c r="AE44" i="9" s="1"/>
  <c r="Y23" i="9"/>
  <c r="AE23" i="9" s="1"/>
  <c r="Y41" i="9"/>
  <c r="AE41" i="9" s="1"/>
  <c r="Y47" i="9"/>
  <c r="AE47" i="9" s="1"/>
  <c r="Y58" i="9"/>
  <c r="AE58" i="9" s="1"/>
  <c r="P152" i="9" l="1"/>
  <c r="P156" i="9" s="1"/>
  <c r="O152" i="9"/>
  <c r="J163" i="9"/>
  <c r="M161" i="9"/>
  <c r="N161" i="9" s="1"/>
  <c r="Q161" i="9"/>
  <c r="R161" i="9" s="1"/>
  <c r="K163" i="9" l="1"/>
  <c r="L163" i="9"/>
  <c r="P161" i="9"/>
  <c r="O161" i="9"/>
  <c r="J169" i="9"/>
  <c r="M163" i="9" l="1"/>
  <c r="N163" i="9" s="1"/>
  <c r="Q163" i="9"/>
  <c r="R163" i="9" s="1"/>
  <c r="P166" i="9" s="1"/>
  <c r="K169" i="9"/>
  <c r="Z5" i="9"/>
  <c r="AF5" i="9" s="1"/>
  <c r="P163" i="9" l="1"/>
  <c r="P165" i="9" s="1"/>
  <c r="O163" i="9"/>
  <c r="J170" i="9"/>
  <c r="K170" i="9" l="1"/>
  <c r="L169" i="9"/>
  <c r="Q169" i="9" l="1"/>
  <c r="R169" i="9" s="1"/>
  <c r="P173" i="9" s="1"/>
  <c r="M169" i="9"/>
  <c r="N169" i="9" s="1"/>
  <c r="W116" i="9"/>
  <c r="W117" i="9" s="1"/>
  <c r="AA28" i="9"/>
  <c r="AG28" i="9" s="1"/>
  <c r="AA45" i="9"/>
  <c r="AG45" i="9" s="1"/>
  <c r="AA21" i="9"/>
  <c r="AG21" i="9" s="1"/>
  <c r="AA54" i="9"/>
  <c r="AG54" i="9" s="1"/>
  <c r="AA11" i="9"/>
  <c r="AG11" i="9" s="1"/>
  <c r="AA5" i="9"/>
  <c r="AG5" i="9" s="1"/>
  <c r="AA62" i="9"/>
  <c r="AG62" i="9" s="1"/>
  <c r="AA10" i="9"/>
  <c r="AG10" i="9" s="1"/>
  <c r="AA8" i="9"/>
  <c r="AG8" i="9" s="1"/>
  <c r="AA60" i="9"/>
  <c r="AG60" i="9" s="1"/>
  <c r="AA37" i="9"/>
  <c r="AG37" i="9" s="1"/>
  <c r="AA40" i="9"/>
  <c r="AG40" i="9" s="1"/>
  <c r="AA53" i="9"/>
  <c r="AG53" i="9" s="1"/>
  <c r="AA55" i="9"/>
  <c r="AG55" i="9" s="1"/>
  <c r="AA14" i="9"/>
  <c r="AG14" i="9" s="1"/>
  <c r="AA35" i="9"/>
  <c r="AG35" i="9" s="1"/>
  <c r="AA34" i="9"/>
  <c r="AG34" i="9" s="1"/>
  <c r="AA68" i="9"/>
  <c r="AG68" i="9" s="1"/>
  <c r="AA7" i="9"/>
  <c r="AG7" i="9" s="1"/>
  <c r="AA52" i="9"/>
  <c r="AG52" i="9" s="1"/>
  <c r="AA69" i="9"/>
  <c r="AG69" i="9" s="1"/>
  <c r="AA15" i="9"/>
  <c r="AG15" i="9" s="1"/>
  <c r="AA44" i="9"/>
  <c r="AG44" i="9" s="1"/>
  <c r="AA18" i="9"/>
  <c r="AG18" i="9" s="1"/>
  <c r="AA13" i="9"/>
  <c r="AG13" i="9" s="1"/>
  <c r="AA17" i="9"/>
  <c r="AG17" i="9" s="1"/>
  <c r="AA33" i="9"/>
  <c r="AG33" i="9" s="1"/>
  <c r="AA9" i="9"/>
  <c r="AG9" i="9" s="1"/>
  <c r="AA23" i="9"/>
  <c r="AG23" i="9" s="1"/>
  <c r="AA12" i="9"/>
  <c r="AG12" i="9" s="1"/>
  <c r="AA59" i="9"/>
  <c r="AG59" i="9" s="1"/>
  <c r="AA71" i="9"/>
  <c r="AG71" i="9" s="1"/>
  <c r="AA64" i="9"/>
  <c r="AG64" i="9" s="1"/>
  <c r="AA57" i="9"/>
  <c r="AG57" i="9" s="1"/>
  <c r="AA41" i="9"/>
  <c r="AG41" i="9" s="1"/>
  <c r="AA47" i="9"/>
  <c r="AG47" i="9" s="1"/>
  <c r="AA56" i="9"/>
  <c r="AG56" i="9" s="1"/>
  <c r="AA67" i="9"/>
  <c r="AG67" i="9" s="1"/>
  <c r="AA61" i="9"/>
  <c r="AG61" i="9" s="1"/>
  <c r="AA49" i="9"/>
  <c r="AG49" i="9" s="1"/>
  <c r="AA22" i="9"/>
  <c r="AG22" i="9" s="1"/>
  <c r="AA43" i="9"/>
  <c r="AG43" i="9" s="1"/>
  <c r="AA51" i="9"/>
  <c r="AG51" i="9" s="1"/>
  <c r="AA20" i="9"/>
  <c r="AG20" i="9" s="1"/>
  <c r="AA46" i="9"/>
  <c r="AG46" i="9" s="1"/>
  <c r="AA72" i="9"/>
  <c r="AG72" i="9" s="1"/>
  <c r="AA58" i="9"/>
  <c r="AG58" i="9" s="1"/>
  <c r="AA39" i="9"/>
  <c r="AG39" i="9" s="1"/>
  <c r="AA50" i="9"/>
  <c r="AG50" i="9" s="1"/>
  <c r="AA42" i="9"/>
  <c r="AG42" i="9" s="1"/>
  <c r="AA25" i="9"/>
  <c r="AG25" i="9" s="1"/>
  <c r="AA65" i="9"/>
  <c r="AG65" i="9" s="1"/>
  <c r="AA6" i="9"/>
  <c r="AG6" i="9" s="1"/>
  <c r="AA63" i="9"/>
  <c r="AG63" i="9" s="1"/>
  <c r="AA24" i="9"/>
  <c r="AG24" i="9" s="1"/>
  <c r="AA26" i="9"/>
  <c r="AG26" i="9" s="1"/>
  <c r="AA66" i="9"/>
  <c r="AG66" i="9" s="1"/>
  <c r="AA48" i="9"/>
  <c r="AG48" i="9" s="1"/>
  <c r="AA31" i="9"/>
  <c r="AG31" i="9" s="1"/>
  <c r="AA36" i="9"/>
  <c r="AG36" i="9" s="1"/>
  <c r="AA32" i="9"/>
  <c r="AG32" i="9" s="1"/>
  <c r="AA29" i="9"/>
  <c r="AG29" i="9" s="1"/>
  <c r="AA27" i="9"/>
  <c r="AG27" i="9" s="1"/>
  <c r="AA30" i="9"/>
  <c r="AG30" i="9" s="1"/>
  <c r="AA38" i="9"/>
  <c r="AG38" i="9" s="1"/>
  <c r="AA70" i="9"/>
  <c r="AG70" i="9" s="1"/>
  <c r="AA16" i="9"/>
  <c r="AG16" i="9" s="1"/>
  <c r="AA19" i="9"/>
  <c r="AG19" i="9" s="1"/>
  <c r="V46" i="9"/>
  <c r="V71" i="9"/>
  <c r="V53" i="9"/>
  <c r="V36" i="9"/>
  <c r="V64" i="9"/>
  <c r="V44" i="9"/>
  <c r="V9" i="9"/>
  <c r="V26" i="9"/>
  <c r="V45" i="9"/>
  <c r="V25" i="9"/>
  <c r="V31" i="9"/>
  <c r="V60" i="9"/>
  <c r="V18" i="9"/>
  <c r="V68" i="9"/>
  <c r="V10" i="9"/>
  <c r="V50" i="9"/>
  <c r="V56" i="9"/>
  <c r="V59" i="9"/>
  <c r="V17" i="9"/>
  <c r="V67" i="9"/>
  <c r="V70" i="9"/>
  <c r="V28" i="9"/>
  <c r="V6" i="9"/>
  <c r="V37" i="9"/>
  <c r="V15" i="9"/>
  <c r="V69" i="9"/>
  <c r="V27" i="9"/>
  <c r="V5" i="9"/>
  <c r="AB5" i="9" s="1"/>
  <c r="V62" i="9"/>
  <c r="V14" i="9"/>
  <c r="V21" i="9"/>
  <c r="V8" i="9"/>
  <c r="V48" i="9"/>
  <c r="V30" i="9"/>
  <c r="V33" i="9"/>
  <c r="V11" i="9"/>
  <c r="V20" i="9"/>
  <c r="V47" i="9"/>
  <c r="V29" i="9"/>
  <c r="V58" i="9"/>
  <c r="V40" i="9"/>
  <c r="V66" i="9"/>
  <c r="V24" i="9"/>
  <c r="V35" i="9"/>
  <c r="V23" i="9"/>
  <c r="V38" i="9"/>
  <c r="V72" i="9"/>
  <c r="V61" i="9"/>
  <c r="V49" i="9"/>
  <c r="V12" i="9"/>
  <c r="V52" i="9"/>
  <c r="V39" i="9"/>
  <c r="V51" i="9"/>
  <c r="V63" i="9"/>
  <c r="V54" i="9"/>
  <c r="V16" i="9"/>
  <c r="V32" i="9"/>
  <c r="V13" i="9"/>
  <c r="V55" i="9"/>
  <c r="V42" i="9"/>
  <c r="V7" i="9"/>
  <c r="V41" i="9"/>
  <c r="V22" i="9"/>
  <c r="V34" i="9"/>
  <c r="V65" i="9"/>
  <c r="V19" i="9"/>
  <c r="V57" i="9"/>
  <c r="V43" i="9"/>
  <c r="X46" i="9"/>
  <c r="AB46" i="9"/>
  <c r="X71" i="9"/>
  <c r="AB71" i="9"/>
  <c r="X53" i="9"/>
  <c r="AB53" i="9"/>
  <c r="X36" i="9"/>
  <c r="AB36" i="9"/>
  <c r="X64" i="9"/>
  <c r="AB64" i="9"/>
  <c r="X44" i="9"/>
  <c r="AB44" i="9"/>
  <c r="X9" i="9"/>
  <c r="AB9" i="9"/>
  <c r="X26" i="9"/>
  <c r="AB26" i="9"/>
  <c r="X45" i="9"/>
  <c r="AB45" i="9"/>
  <c r="X25" i="9"/>
  <c r="AB25" i="9"/>
  <c r="X31" i="9"/>
  <c r="AB31" i="9"/>
  <c r="X60" i="9"/>
  <c r="AB60" i="9"/>
  <c r="X18" i="9"/>
  <c r="AB18" i="9"/>
  <c r="X68" i="9"/>
  <c r="AB68" i="9"/>
  <c r="X10" i="9"/>
  <c r="AB10" i="9"/>
  <c r="X50" i="9"/>
  <c r="AB50" i="9"/>
  <c r="X56" i="9"/>
  <c r="AB56" i="9"/>
  <c r="X59" i="9"/>
  <c r="AB59" i="9"/>
  <c r="X17" i="9"/>
  <c r="AB17" i="9"/>
  <c r="X67" i="9"/>
  <c r="AB67" i="9"/>
  <c r="X70" i="9"/>
  <c r="AB70" i="9"/>
  <c r="X28" i="9"/>
  <c r="AB28" i="9"/>
  <c r="X6" i="9"/>
  <c r="AB6" i="9"/>
  <c r="X37" i="9"/>
  <c r="AB37" i="9"/>
  <c r="X15" i="9"/>
  <c r="AB15" i="9"/>
  <c r="X69" i="9"/>
  <c r="AB69" i="9"/>
  <c r="X27" i="9"/>
  <c r="AB27" i="9"/>
  <c r="X62" i="9"/>
  <c r="AB62" i="9"/>
  <c r="X14" i="9"/>
  <c r="AB14" i="9"/>
  <c r="X21" i="9"/>
  <c r="AB21" i="9"/>
  <c r="X8" i="9"/>
  <c r="AB8" i="9"/>
  <c r="X48" i="9"/>
  <c r="AB48" i="9"/>
  <c r="X30" i="9"/>
  <c r="AB30" i="9"/>
  <c r="X33" i="9"/>
  <c r="AB33" i="9"/>
  <c r="X11" i="9"/>
  <c r="AB11" i="9"/>
  <c r="X20" i="9"/>
  <c r="AB20" i="9"/>
  <c r="X47" i="9"/>
  <c r="AB47" i="9"/>
  <c r="X29" i="9"/>
  <c r="AB29" i="9"/>
  <c r="X58" i="9"/>
  <c r="AB58" i="9"/>
  <c r="X40" i="9"/>
  <c r="AB40" i="9"/>
  <c r="X66" i="9"/>
  <c r="AB66" i="9"/>
  <c r="X24" i="9"/>
  <c r="AB24" i="9"/>
  <c r="X35" i="9"/>
  <c r="AB35" i="9"/>
  <c r="X23" i="9"/>
  <c r="AB23" i="9"/>
  <c r="X38" i="9"/>
  <c r="AB38" i="9"/>
  <c r="X72" i="9"/>
  <c r="AB72" i="9"/>
  <c r="X61" i="9"/>
  <c r="AB61" i="9"/>
  <c r="X49" i="9"/>
  <c r="AB49" i="9"/>
  <c r="X12" i="9"/>
  <c r="AB12" i="9"/>
  <c r="X52" i="9"/>
  <c r="AB52" i="9"/>
  <c r="X39" i="9"/>
  <c r="AB39" i="9"/>
  <c r="X51" i="9"/>
  <c r="AB51" i="9"/>
  <c r="X63" i="9"/>
  <c r="AB63" i="9"/>
  <c r="X54" i="9"/>
  <c r="AB54" i="9"/>
  <c r="X16" i="9"/>
  <c r="AB16" i="9"/>
  <c r="X32" i="9"/>
  <c r="AB32" i="9"/>
  <c r="X13" i="9"/>
  <c r="AB13" i="9"/>
  <c r="X55" i="9"/>
  <c r="AB55" i="9"/>
  <c r="X42" i="9"/>
  <c r="AB42" i="9"/>
  <c r="X7" i="9"/>
  <c r="AB7" i="9"/>
  <c r="X41" i="9"/>
  <c r="AB41" i="9"/>
  <c r="X22" i="9"/>
  <c r="AB22" i="9"/>
  <c r="X34" i="9"/>
  <c r="AB34" i="9"/>
  <c r="X65" i="9"/>
  <c r="AB65" i="9"/>
  <c r="X19" i="9"/>
  <c r="AB19" i="9"/>
  <c r="X57" i="9"/>
  <c r="AB57" i="9"/>
  <c r="X43" i="9"/>
  <c r="AB43" i="9"/>
  <c r="Z46" i="9"/>
  <c r="AF46" i="9" s="1"/>
  <c r="AD46" i="9"/>
  <c r="Z71" i="9"/>
  <c r="AF71" i="9" s="1"/>
  <c r="AD71" i="9"/>
  <c r="Z53" i="9"/>
  <c r="AF53" i="9" s="1"/>
  <c r="AD53" i="9"/>
  <c r="Z36" i="9"/>
  <c r="AF36" i="9" s="1"/>
  <c r="AD36" i="9"/>
  <c r="Z64" i="9"/>
  <c r="AF64" i="9" s="1"/>
  <c r="AD64" i="9"/>
  <c r="Z44" i="9"/>
  <c r="AF44" i="9" s="1"/>
  <c r="AD44" i="9"/>
  <c r="Z9" i="9"/>
  <c r="AF9" i="9" s="1"/>
  <c r="AD9" i="9"/>
  <c r="Z26" i="9"/>
  <c r="AF26" i="9" s="1"/>
  <c r="AD26" i="9"/>
  <c r="Z45" i="9"/>
  <c r="AF45" i="9" s="1"/>
  <c r="AD45" i="9"/>
  <c r="Z25" i="9"/>
  <c r="AF25" i="9" s="1"/>
  <c r="AD25" i="9"/>
  <c r="Z31" i="9"/>
  <c r="AF31" i="9" s="1"/>
  <c r="AD31" i="9"/>
  <c r="Z60" i="9"/>
  <c r="AF60" i="9" s="1"/>
  <c r="AD60" i="9"/>
  <c r="Z18" i="9"/>
  <c r="AF18" i="9" s="1"/>
  <c r="AD18" i="9"/>
  <c r="Z68" i="9"/>
  <c r="AF68" i="9" s="1"/>
  <c r="AD68" i="9"/>
  <c r="Z10" i="9"/>
  <c r="AF10" i="9" s="1"/>
  <c r="AD10" i="9"/>
  <c r="Z50" i="9"/>
  <c r="AF50" i="9" s="1"/>
  <c r="AD50" i="9"/>
  <c r="Z56" i="9"/>
  <c r="AF56" i="9" s="1"/>
  <c r="AD56" i="9"/>
  <c r="Z59" i="9"/>
  <c r="AF59" i="9" s="1"/>
  <c r="AD59" i="9"/>
  <c r="Z17" i="9"/>
  <c r="AF17" i="9" s="1"/>
  <c r="AD17" i="9"/>
  <c r="Z67" i="9"/>
  <c r="AF67" i="9" s="1"/>
  <c r="AD67" i="9"/>
  <c r="Z70" i="9"/>
  <c r="AF70" i="9" s="1"/>
  <c r="AD70" i="9"/>
  <c r="Z28" i="9"/>
  <c r="AF28" i="9" s="1"/>
  <c r="AD28" i="9"/>
  <c r="Z6" i="9"/>
  <c r="AF6" i="9" s="1"/>
  <c r="AD6" i="9"/>
  <c r="Z37" i="9"/>
  <c r="AF37" i="9" s="1"/>
  <c r="AD37" i="9"/>
  <c r="Z15" i="9"/>
  <c r="AF15" i="9" s="1"/>
  <c r="AD15" i="9"/>
  <c r="Z69" i="9"/>
  <c r="AF69" i="9" s="1"/>
  <c r="AD69" i="9"/>
  <c r="Z27" i="9"/>
  <c r="AF27" i="9" s="1"/>
  <c r="AD27" i="9"/>
  <c r="Z62" i="9"/>
  <c r="AF62" i="9" s="1"/>
  <c r="AD62" i="9"/>
  <c r="Z14" i="9"/>
  <c r="AF14" i="9" s="1"/>
  <c r="AD14" i="9"/>
  <c r="Z21" i="9"/>
  <c r="AF21" i="9" s="1"/>
  <c r="AD21" i="9"/>
  <c r="Z8" i="9"/>
  <c r="AF8" i="9" s="1"/>
  <c r="AD8" i="9"/>
  <c r="Z48" i="9"/>
  <c r="AF48" i="9" s="1"/>
  <c r="AD48" i="9"/>
  <c r="Z30" i="9"/>
  <c r="AF30" i="9" s="1"/>
  <c r="AD30" i="9"/>
  <c r="Z33" i="9"/>
  <c r="AF33" i="9" s="1"/>
  <c r="AD33" i="9"/>
  <c r="Z11" i="9"/>
  <c r="AF11" i="9" s="1"/>
  <c r="AD11" i="9"/>
  <c r="Z20" i="9"/>
  <c r="AF20" i="9" s="1"/>
  <c r="AD20" i="9"/>
  <c r="Z47" i="9"/>
  <c r="AF47" i="9" s="1"/>
  <c r="AD47" i="9"/>
  <c r="Z29" i="9"/>
  <c r="AF29" i="9" s="1"/>
  <c r="AD29" i="9"/>
  <c r="Z58" i="9"/>
  <c r="AF58" i="9" s="1"/>
  <c r="AD58" i="9"/>
  <c r="Z40" i="9"/>
  <c r="AF40" i="9" s="1"/>
  <c r="AD40" i="9"/>
  <c r="Z66" i="9"/>
  <c r="AF66" i="9" s="1"/>
  <c r="AD66" i="9"/>
  <c r="Z24" i="9"/>
  <c r="AF24" i="9" s="1"/>
  <c r="AD24" i="9"/>
  <c r="Z35" i="9"/>
  <c r="AF35" i="9" s="1"/>
  <c r="AD35" i="9"/>
  <c r="Z23" i="9"/>
  <c r="AF23" i="9" s="1"/>
  <c r="AD23" i="9"/>
  <c r="Z38" i="9"/>
  <c r="AF38" i="9" s="1"/>
  <c r="AD38" i="9"/>
  <c r="Z72" i="9"/>
  <c r="AF72" i="9" s="1"/>
  <c r="AD72" i="9"/>
  <c r="Z61" i="9"/>
  <c r="AF61" i="9" s="1"/>
  <c r="AD61" i="9"/>
  <c r="Z49" i="9"/>
  <c r="AF49" i="9" s="1"/>
  <c r="AD49" i="9"/>
  <c r="Z12" i="9"/>
  <c r="AF12" i="9" s="1"/>
  <c r="AD12" i="9"/>
  <c r="Z52" i="9"/>
  <c r="AF52" i="9" s="1"/>
  <c r="AD52" i="9"/>
  <c r="Z39" i="9"/>
  <c r="AF39" i="9" s="1"/>
  <c r="AD39" i="9"/>
  <c r="Z51" i="9"/>
  <c r="AF51" i="9" s="1"/>
  <c r="AD51" i="9"/>
  <c r="Z63" i="9"/>
  <c r="AF63" i="9" s="1"/>
  <c r="AD63" i="9"/>
  <c r="Z54" i="9"/>
  <c r="AF54" i="9" s="1"/>
  <c r="AD54" i="9"/>
  <c r="Z16" i="9"/>
  <c r="AF16" i="9" s="1"/>
  <c r="AD16" i="9"/>
  <c r="Z32" i="9"/>
  <c r="AF32" i="9" s="1"/>
  <c r="AD32" i="9"/>
  <c r="Z13" i="9"/>
  <c r="AF13" i="9" s="1"/>
  <c r="AD13" i="9"/>
  <c r="Z55" i="9"/>
  <c r="AF55" i="9" s="1"/>
  <c r="AD55" i="9"/>
  <c r="Z42" i="9"/>
  <c r="AF42" i="9" s="1"/>
  <c r="AD42" i="9"/>
  <c r="Z7" i="9"/>
  <c r="AF7" i="9" s="1"/>
  <c r="AD7" i="9"/>
  <c r="Z41" i="9"/>
  <c r="AF41" i="9" s="1"/>
  <c r="AD41" i="9"/>
  <c r="Z22" i="9"/>
  <c r="AF22" i="9" s="1"/>
  <c r="AD22" i="9"/>
  <c r="Z34" i="9"/>
  <c r="AF34" i="9" s="1"/>
  <c r="AD34" i="9"/>
  <c r="Z65" i="9"/>
  <c r="AF65" i="9" s="1"/>
  <c r="AD65" i="9"/>
  <c r="Z19" i="9"/>
  <c r="AF19" i="9" s="1"/>
  <c r="AD19" i="9"/>
  <c r="Z57" i="9"/>
  <c r="AF57" i="9" s="1"/>
  <c r="AD57" i="9"/>
  <c r="Z43" i="9"/>
  <c r="AF43" i="9" s="1"/>
  <c r="AD43" i="9"/>
  <c r="O169" i="9" l="1"/>
  <c r="Y2" i="9"/>
  <c r="P169" i="9"/>
  <c r="P172" i="9" s="1"/>
  <c r="W89" i="9"/>
  <c r="W90" i="9" l="1"/>
  <c r="W99" i="9"/>
  <c r="X99" i="9" s="1"/>
  <c r="W102" i="9"/>
  <c r="X102" i="9" s="1"/>
  <c r="W106" i="9"/>
  <c r="X106" i="9" s="1"/>
  <c r="W105" i="9"/>
  <c r="X105" i="9" s="1"/>
  <c r="W110" i="9"/>
  <c r="X110" i="9" s="1"/>
  <c r="W100" i="9"/>
  <c r="X100" i="9" s="1"/>
  <c r="W108" i="9"/>
  <c r="X108" i="9" s="1"/>
  <c r="W112" i="9"/>
  <c r="X112" i="9" s="1"/>
  <c r="W109" i="9"/>
  <c r="X109" i="9" s="1"/>
  <c r="W103" i="9"/>
  <c r="X103" i="9" s="1"/>
  <c r="W104" i="9"/>
  <c r="X104" i="9" s="1"/>
  <c r="W111" i="9"/>
  <c r="X111" i="9" s="1"/>
  <c r="W101" i="9"/>
  <c r="X101" i="9" s="1"/>
  <c r="W107" i="9"/>
  <c r="X107" i="9" s="1"/>
  <c r="W98" i="9"/>
  <c r="X98" i="9" s="1"/>
</calcChain>
</file>

<file path=xl/sharedStrings.xml><?xml version="1.0" encoding="utf-8"?>
<sst xmlns="http://schemas.openxmlformats.org/spreadsheetml/2006/main" count="195" uniqueCount="124">
  <si>
    <t>Index</t>
  </si>
  <si>
    <t>Team</t>
  </si>
  <si>
    <t>Game</t>
  </si>
  <si>
    <t>Indexes</t>
  </si>
  <si>
    <t>Teams</t>
  </si>
  <si>
    <t>Predicted</t>
  </si>
  <si>
    <t>Simulated</t>
  </si>
  <si>
    <t>Winner</t>
  </si>
  <si>
    <t>Semis</t>
  </si>
  <si>
    <t>Wins</t>
  </si>
  <si>
    <t>Sweet 16</t>
  </si>
  <si>
    <t>Final 8</t>
  </si>
  <si>
    <t>Final 4</t>
  </si>
  <si>
    <t>Upset?</t>
  </si>
  <si>
    <t>Probability</t>
  </si>
  <si>
    <t>P(Upset)</t>
  </si>
  <si>
    <t>NCAA men's 2025 basketball tournament</t>
  </si>
  <si>
    <t>Seed</t>
  </si>
  <si>
    <t>N/A</t>
  </si>
  <si>
    <t xml:space="preserve">  `</t>
  </si>
  <si>
    <t>Other Rating</t>
  </si>
  <si>
    <t>Simulation Area</t>
  </si>
  <si>
    <t>First Four</t>
  </si>
  <si>
    <t xml:space="preserve">Game </t>
  </si>
  <si>
    <t>KenPom</t>
  </si>
  <si>
    <t>Auburn </t>
  </si>
  <si>
    <t>Michigan St. </t>
  </si>
  <si>
    <t>Iowa St. </t>
  </si>
  <si>
    <t>Texas A&amp;M </t>
  </si>
  <si>
    <t>Michigan </t>
  </si>
  <si>
    <t>Mississippi </t>
  </si>
  <si>
    <t>Marquette </t>
  </si>
  <si>
    <t>Louisville </t>
  </si>
  <si>
    <t>Creighton </t>
  </si>
  <si>
    <t>New Mexico </t>
  </si>
  <si>
    <t>North Carolina </t>
  </si>
  <si>
    <t>UC San Diego </t>
  </si>
  <si>
    <t>Yale </t>
  </si>
  <si>
    <t>Lipscomb </t>
  </si>
  <si>
    <t>Bryant </t>
  </si>
  <si>
    <t>Alabama St. </t>
  </si>
  <si>
    <t>Saint Francis </t>
  </si>
  <si>
    <t>San Diego St. </t>
  </si>
  <si>
    <t>Duke </t>
  </si>
  <si>
    <t>Alabama </t>
  </si>
  <si>
    <t>Wisconsin </t>
  </si>
  <si>
    <t>Arizona </t>
  </si>
  <si>
    <t>Oregon </t>
  </si>
  <si>
    <t>BYU </t>
  </si>
  <si>
    <t>Saint Mary's </t>
  </si>
  <si>
    <t>Mississippi St. </t>
  </si>
  <si>
    <t>Baylor </t>
  </si>
  <si>
    <t>Vanderbilt </t>
  </si>
  <si>
    <t>VCU </t>
  </si>
  <si>
    <t>Liberty </t>
  </si>
  <si>
    <t>Akron </t>
  </si>
  <si>
    <t>Montana </t>
  </si>
  <si>
    <t>Robert Morris </t>
  </si>
  <si>
    <t>Mount St. Mary's </t>
  </si>
  <si>
    <t>American </t>
  </si>
  <si>
    <t>Florida </t>
  </si>
  <si>
    <t>St. John's </t>
  </si>
  <si>
    <t>Texas Tech </t>
  </si>
  <si>
    <t>Maryland </t>
  </si>
  <si>
    <t>Memphis </t>
  </si>
  <si>
    <t>Missouri </t>
  </si>
  <si>
    <t>Kansas </t>
  </si>
  <si>
    <t>Connecticut </t>
  </si>
  <si>
    <t>Oklahoma </t>
  </si>
  <si>
    <t>Arkansas </t>
  </si>
  <si>
    <t>Drake </t>
  </si>
  <si>
    <t>Colorado St. </t>
  </si>
  <si>
    <t>Grand Canyon </t>
  </si>
  <si>
    <t>UNC Wilmington </t>
  </si>
  <si>
    <t>Nebraska Omaha </t>
  </si>
  <si>
    <t>Norfolk St. </t>
  </si>
  <si>
    <t>Houston </t>
  </si>
  <si>
    <t>Tennessee </t>
  </si>
  <si>
    <t>Kentucky </t>
  </si>
  <si>
    <t>Purdue </t>
  </si>
  <si>
    <t>Clemson </t>
  </si>
  <si>
    <t>Illinois </t>
  </si>
  <si>
    <t>UCLA </t>
  </si>
  <si>
    <t>Gonzaga </t>
  </si>
  <si>
    <t>Georgia </t>
  </si>
  <si>
    <t>Utah St. </t>
  </si>
  <si>
    <t>Xavier </t>
  </si>
  <si>
    <t>McNeese </t>
  </si>
  <si>
    <t>High Point </t>
  </si>
  <si>
    <t>Troy </t>
  </si>
  <si>
    <t>Wofford </t>
  </si>
  <si>
    <t>SIUE </t>
  </si>
  <si>
    <t>Texas </t>
  </si>
  <si>
    <t>Point Spread</t>
  </si>
  <si>
    <t>Index of Winner</t>
  </si>
  <si>
    <t>Winner Name</t>
  </si>
  <si>
    <t>Final KenPom ratings of teams</t>
  </si>
  <si>
    <t>South</t>
  </si>
  <si>
    <t>Number of Upsets (Round 1)</t>
  </si>
  <si>
    <t>Number of Upsets (First Four)</t>
  </si>
  <si>
    <t>P(No upset)</t>
  </si>
  <si>
    <t>P(No Upsets)</t>
  </si>
  <si>
    <t>Predicted Spread</t>
  </si>
  <si>
    <t>Simulated Spread</t>
  </si>
  <si>
    <t>Number of Upsets (Round 2)</t>
  </si>
  <si>
    <t>South plays west</t>
  </si>
  <si>
    <t>Results Section</t>
  </si>
  <si>
    <t>Team Names</t>
  </si>
  <si>
    <t>Counts</t>
  </si>
  <si>
    <t>Results of Round of 64</t>
  </si>
  <si>
    <t>Results of Round of 32</t>
  </si>
  <si>
    <t>Results of Sweet 16</t>
  </si>
  <si>
    <t>Results of Elite 8</t>
  </si>
  <si>
    <t>Results of Final Four</t>
  </si>
  <si>
    <t>Results of Finals</t>
  </si>
  <si>
    <t>Means of Simulation</t>
  </si>
  <si>
    <t>Number of Games</t>
  </si>
  <si>
    <t>Number of Upsets</t>
  </si>
  <si>
    <t>Number of Non upsets</t>
  </si>
  <si>
    <t>Probability Greater than or equal x teams</t>
  </si>
  <si>
    <t>x</t>
  </si>
  <si>
    <t>Fullfils &gt;= x?</t>
  </si>
  <si>
    <t>Probability of No Upsets</t>
  </si>
  <si>
    <t>Average over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</si>
</sst>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000%"/>
  </numFmts>
  <fonts count="12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0" borderId="6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7" applyNumberFormat="0" applyFont="0" applyFill="0" applyAlignment="0" applyProtection="0"/>
    <xf numFmtId="0" fontId="2" fillId="0" borderId="8" applyNumberFormat="0" applyFont="0" applyFill="0" applyAlignment="0" applyProtection="0"/>
    <xf numFmtId="46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64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</cellStyleXfs>
  <cellXfs count="69">
    <xf numFmtId="0" fontId="0" fillId="0" borderId="0" xfId="0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0" fontId="9" fillId="0" borderId="0" xfId="0" applyFont="1" applyAlignment="1">
      <alignment horizontal="center"/>
    </xf>
    <xf numFmtId="2" fontId="8" fillId="0" borderId="0" xfId="0" applyNumberFormat="1" applyFont="1"/>
    <xf numFmtId="2" fontId="9" fillId="0" borderId="0" xfId="0" applyNumberFormat="1" applyFont="1" applyAlignment="1">
      <alignment horizontal="right"/>
    </xf>
    <xf numFmtId="0" fontId="10" fillId="7" borderId="0" xfId="0" applyFont="1" applyFill="1" applyAlignment="1">
      <alignment horizontal="center"/>
    </xf>
    <xf numFmtId="0" fontId="10" fillId="7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10" fillId="7" borderId="0" xfId="1" applyFont="1" applyFill="1"/>
    <xf numFmtId="2" fontId="10" fillId="7" borderId="0" xfId="0" applyNumberFormat="1" applyFont="1" applyFill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right"/>
    </xf>
    <xf numFmtId="0" fontId="10" fillId="8" borderId="0" xfId="1" applyFont="1" applyFill="1" applyAlignment="1">
      <alignment horizontal="left"/>
    </xf>
    <xf numFmtId="2" fontId="10" fillId="8" borderId="0" xfId="1" applyNumberFormat="1" applyFont="1" applyFill="1" applyAlignment="1">
      <alignment horizontal="right"/>
    </xf>
    <xf numFmtId="0" fontId="10" fillId="9" borderId="0" xfId="1" applyFont="1" applyFill="1" applyAlignment="1">
      <alignment horizontal="left"/>
    </xf>
    <xf numFmtId="2" fontId="10" fillId="9" borderId="0" xfId="1" applyNumberFormat="1" applyFont="1" applyFill="1" applyAlignment="1">
      <alignment horizontal="right"/>
    </xf>
    <xf numFmtId="0" fontId="10" fillId="10" borderId="0" xfId="1" applyFont="1" applyFill="1" applyAlignment="1">
      <alignment horizontal="left"/>
    </xf>
    <xf numFmtId="2" fontId="10" fillId="10" borderId="0" xfId="1" applyNumberFormat="1" applyFont="1" applyFill="1" applyAlignment="1">
      <alignment horizontal="right"/>
    </xf>
    <xf numFmtId="0" fontId="10" fillId="11" borderId="0" xfId="1" applyFont="1" applyFill="1" applyAlignment="1">
      <alignment horizontal="left"/>
    </xf>
    <xf numFmtId="2" fontId="10" fillId="11" borderId="0" xfId="1" applyNumberFormat="1" applyFont="1" applyFill="1" applyAlignment="1">
      <alignment horizontal="right"/>
    </xf>
    <xf numFmtId="0" fontId="10" fillId="13" borderId="0" xfId="1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15" borderId="0" xfId="1" applyFont="1" applyFill="1" applyAlignment="1">
      <alignment horizontal="center"/>
    </xf>
    <xf numFmtId="0" fontId="10" fillId="15" borderId="0" xfId="1" applyFont="1" applyFill="1"/>
    <xf numFmtId="2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0" fontId="10" fillId="16" borderId="0" xfId="1" applyFont="1" applyFill="1"/>
    <xf numFmtId="2" fontId="10" fillId="16" borderId="0" xfId="0" applyNumberFormat="1" applyFont="1" applyFill="1"/>
    <xf numFmtId="0" fontId="10" fillId="16" borderId="0" xfId="1" applyFont="1" applyFill="1" applyAlignment="1">
      <alignment horizontal="left"/>
    </xf>
    <xf numFmtId="2" fontId="10" fillId="16" borderId="0" xfId="1" applyNumberFormat="1" applyFont="1" applyFill="1" applyAlignment="1">
      <alignment horizontal="right"/>
    </xf>
    <xf numFmtId="0" fontId="10" fillId="17" borderId="0" xfId="1" applyFont="1" applyFill="1" applyAlignment="1">
      <alignment horizontal="center"/>
    </xf>
    <xf numFmtId="0" fontId="10" fillId="17" borderId="0" xfId="1" applyFont="1" applyFill="1" applyAlignment="1">
      <alignment horizontal="left"/>
    </xf>
    <xf numFmtId="2" fontId="10" fillId="17" borderId="0" xfId="1" applyNumberFormat="1" applyFont="1" applyFill="1" applyAlignment="1">
      <alignment horizontal="right"/>
    </xf>
    <xf numFmtId="0" fontId="10" fillId="13" borderId="0" xfId="1" applyFont="1" applyFill="1" applyAlignment="1">
      <alignment horizontal="left"/>
    </xf>
    <xf numFmtId="2" fontId="10" fillId="13" borderId="0" xfId="1" applyNumberFormat="1" applyFont="1" applyFill="1" applyAlignment="1">
      <alignment horizontal="right"/>
    </xf>
    <xf numFmtId="0" fontId="10" fillId="11" borderId="0" xfId="0" applyFont="1" applyFill="1" applyAlignment="1">
      <alignment horizontal="center"/>
    </xf>
    <xf numFmtId="0" fontId="10" fillId="11" borderId="0" xfId="1" applyFont="1" applyFill="1" applyAlignment="1">
      <alignment horizontal="center"/>
    </xf>
    <xf numFmtId="0" fontId="10" fillId="14" borderId="0" xfId="1" applyFont="1" applyFill="1" applyAlignment="1">
      <alignment horizontal="left"/>
    </xf>
    <xf numFmtId="2" fontId="10" fillId="14" borderId="0" xfId="1" applyNumberFormat="1" applyFont="1" applyFill="1" applyAlignment="1">
      <alignment horizontal="right"/>
    </xf>
    <xf numFmtId="0" fontId="10" fillId="18" borderId="0" xfId="0" applyFont="1" applyFill="1" applyAlignment="1">
      <alignment horizontal="center"/>
    </xf>
    <xf numFmtId="0" fontId="10" fillId="18" borderId="0" xfId="1" applyFont="1" applyFill="1"/>
    <xf numFmtId="2" fontId="10" fillId="18" borderId="0" xfId="0" applyNumberFormat="1" applyFont="1" applyFill="1"/>
    <xf numFmtId="0" fontId="2" fillId="0" borderId="0" xfId="0" applyFont="1"/>
    <xf numFmtId="0" fontId="10" fillId="1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20" borderId="0" xfId="1" applyFont="1" applyFill="1" applyAlignment="1">
      <alignment horizontal="left"/>
    </xf>
    <xf numFmtId="0" fontId="0" fillId="21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1" fillId="0" borderId="0" xfId="0" applyFont="1"/>
    <xf numFmtId="0" fontId="0" fillId="19" borderId="0" xfId="0" applyFill="1"/>
    <xf numFmtId="0" fontId="0" fillId="12" borderId="0" xfId="0" applyFill="1"/>
    <xf numFmtId="0" fontId="0" fillId="3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0" xfId="0" applyNumberFormat="1" applyBorder="1"/>
    <xf numFmtId="10" fontId="0" fillId="0" borderId="23" xfId="0" applyNumberFormat="1" applyBorder="1"/>
    <xf numFmtId="10" fontId="0" fillId="0" borderId="25" xfId="0" applyNumberFormat="1" applyBorder="1"/>
    <xf numFmtId="10" fontId="0" fillId="0" borderId="26" xfId="0" applyNumberFormat="1" applyBorder="1"/>
  </cellXfs>
  <cellStyles count="34">
    <cellStyle name="Normal" xfId="0" builtinId="0"/>
    <cellStyle name="Normal 2" xfId="1" xr:uid="{00000000-0005-0000-0000-000001000000}"/>
    <cellStyle name="RISKbigPercent" xfId="2" xr:uid="{00000000-0005-0000-0000-000002000000}"/>
    <cellStyle name="RISKblandrEdge" xfId="3" xr:uid="{00000000-0005-0000-0000-000003000000}"/>
    <cellStyle name="RISKblCorner" xfId="4" xr:uid="{00000000-0005-0000-0000-000004000000}"/>
    <cellStyle name="RISKbottomEdge" xfId="5" xr:uid="{00000000-0005-0000-0000-000005000000}"/>
    <cellStyle name="RISKbrCorner" xfId="6" xr:uid="{00000000-0005-0000-0000-000006000000}"/>
    <cellStyle name="RISKdarkBoxed" xfId="7" xr:uid="{00000000-0005-0000-0000-000007000000}"/>
    <cellStyle name="RISKdarkShade" xfId="8" xr:uid="{00000000-0005-0000-0000-000008000000}"/>
    <cellStyle name="RISKdbottomEdge" xfId="9" xr:uid="{00000000-0005-0000-0000-000009000000}"/>
    <cellStyle name="RISKdrightEdge" xfId="10" xr:uid="{00000000-0005-0000-0000-00000A000000}"/>
    <cellStyle name="RISKdurationTime" xfId="11" xr:uid="{00000000-0005-0000-0000-00000B000000}"/>
    <cellStyle name="RISKinNumber" xfId="12" xr:uid="{00000000-0005-0000-0000-00000C000000}"/>
    <cellStyle name="RISKlandrEdge" xfId="13" xr:uid="{00000000-0005-0000-0000-00000D000000}"/>
    <cellStyle name="RISKleftEdge" xfId="14" xr:uid="{00000000-0005-0000-0000-00000E000000}"/>
    <cellStyle name="RISKlightBoxed" xfId="15" xr:uid="{00000000-0005-0000-0000-00000F000000}"/>
    <cellStyle name="RISKltandbEdge" xfId="16" xr:uid="{00000000-0005-0000-0000-000010000000}"/>
    <cellStyle name="RISKnormBoxed" xfId="17" xr:uid="{00000000-0005-0000-0000-000011000000}"/>
    <cellStyle name="RISKnormCenter" xfId="18" xr:uid="{00000000-0005-0000-0000-000012000000}"/>
    <cellStyle name="RISKnormHeading" xfId="19" xr:uid="{00000000-0005-0000-0000-000013000000}"/>
    <cellStyle name="RISKnormItal" xfId="20" xr:uid="{00000000-0005-0000-0000-000014000000}"/>
    <cellStyle name="RISKnormItal 2" xfId="21" xr:uid="{00000000-0005-0000-0000-000015000000}"/>
    <cellStyle name="RISKnormLabel" xfId="22" xr:uid="{00000000-0005-0000-0000-000016000000}"/>
    <cellStyle name="RISKnormShade" xfId="23" xr:uid="{00000000-0005-0000-0000-000017000000}"/>
    <cellStyle name="RISKnormTitle" xfId="24" xr:uid="{00000000-0005-0000-0000-000018000000}"/>
    <cellStyle name="RISKoutNumber" xfId="25" xr:uid="{00000000-0005-0000-0000-000019000000}"/>
    <cellStyle name="RISKrightEdge" xfId="26" xr:uid="{00000000-0005-0000-0000-00001A000000}"/>
    <cellStyle name="RISKrtandbEdge" xfId="27" xr:uid="{00000000-0005-0000-0000-00001B000000}"/>
    <cellStyle name="RISKssTime" xfId="28" xr:uid="{00000000-0005-0000-0000-00001C000000}"/>
    <cellStyle name="RISKtandbEdge" xfId="29" xr:uid="{00000000-0005-0000-0000-00001D000000}"/>
    <cellStyle name="RISKtlandrEdge" xfId="30" xr:uid="{00000000-0005-0000-0000-00001E000000}"/>
    <cellStyle name="RISKtlCorner" xfId="31" xr:uid="{00000000-0005-0000-0000-00001F000000}"/>
    <cellStyle name="RISKtopEdge" xfId="32" xr:uid="{00000000-0005-0000-0000-000020000000}"/>
    <cellStyle name="RISKtrCorner" xfId="33" xr:uid="{00000000-0005-0000-0000-000021000000}"/>
  </cellStyles>
  <dxfs count="4">
    <dxf>
      <fill>
        <patternFill>
          <bgColor theme="3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CCFFCC"/>
      <color rgb="FFCC99FF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1038225</xdr:colOff>
      <xdr:row>6</xdr:row>
      <xdr:rowOff>5716</xdr:rowOff>
    </xdr:from>
    <xdr:ext cx="1057276" cy="23793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58CF32-E5EE-4C94-81E2-90C4E8A09B22}"/>
            </a:ext>
          </a:extLst>
        </xdr:cNvPr>
        <xdr:cNvSpPr/>
      </xdr:nvSpPr>
      <xdr:spPr>
        <a:xfrm>
          <a:off x="1647825" y="1158241"/>
          <a:ext cx="1057276" cy="2379344"/>
        </a:xfrm>
        <a:prstGeom prst="rect">
          <a:avLst/>
        </a:prstGeom>
        <a:noFill/>
      </xdr:spPr>
      <xdr:txBody>
        <a:bodyPr vert="vert"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South</a:t>
          </a:r>
        </a:p>
      </xdr:txBody>
    </xdr:sp>
    <xdr:clientData/>
  </xdr:oneCellAnchor>
  <xdr:oneCellAnchor>
    <xdr:from>
      <xdr:col>1</xdr:col>
      <xdr:colOff>824865</xdr:colOff>
      <xdr:row>22</xdr:row>
      <xdr:rowOff>169545</xdr:rowOff>
    </xdr:from>
    <xdr:ext cx="1057276" cy="168973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C4325F-2737-4662-A8F4-E5222DD246A7}"/>
            </a:ext>
          </a:extLst>
        </xdr:cNvPr>
        <xdr:cNvSpPr/>
      </xdr:nvSpPr>
      <xdr:spPr>
        <a:xfrm>
          <a:off x="1434465" y="4560570"/>
          <a:ext cx="1057276" cy="1689735"/>
        </a:xfrm>
        <a:prstGeom prst="rect">
          <a:avLst/>
        </a:prstGeom>
        <a:noFill/>
      </xdr:spPr>
      <xdr:txBody>
        <a:bodyPr vert="vert"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East</a:t>
          </a:r>
        </a:p>
      </xdr:txBody>
    </xdr:sp>
    <xdr:clientData/>
  </xdr:oneCellAnchor>
  <xdr:oneCellAnchor>
    <xdr:from>
      <xdr:col>1</xdr:col>
      <xdr:colOff>862965</xdr:colOff>
      <xdr:row>38</xdr:row>
      <xdr:rowOff>121919</xdr:rowOff>
    </xdr:from>
    <xdr:ext cx="1057276" cy="2072641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24CE3A-5758-4675-8B72-A6BBADEDAB79}"/>
            </a:ext>
          </a:extLst>
        </xdr:cNvPr>
        <xdr:cNvSpPr/>
      </xdr:nvSpPr>
      <xdr:spPr>
        <a:xfrm>
          <a:off x="1472565" y="7560944"/>
          <a:ext cx="1057276" cy="2072641"/>
        </a:xfrm>
        <a:prstGeom prst="rect">
          <a:avLst/>
        </a:prstGeom>
        <a:noFill/>
      </xdr:spPr>
      <xdr:txBody>
        <a:bodyPr vert="vert"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West</a:t>
          </a:r>
        </a:p>
      </xdr:txBody>
    </xdr:sp>
    <xdr:clientData/>
  </xdr:oneCellAnchor>
  <xdr:oneCellAnchor>
    <xdr:from>
      <xdr:col>1</xdr:col>
      <xdr:colOff>750570</xdr:colOff>
      <xdr:row>54</xdr:row>
      <xdr:rowOff>15239</xdr:rowOff>
    </xdr:from>
    <xdr:ext cx="1057276" cy="281178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871494B-9AF6-49E0-9416-7463A4546C43}"/>
            </a:ext>
          </a:extLst>
        </xdr:cNvPr>
        <xdr:cNvSpPr/>
      </xdr:nvSpPr>
      <xdr:spPr>
        <a:xfrm>
          <a:off x="1360170" y="10502264"/>
          <a:ext cx="1057276" cy="2811781"/>
        </a:xfrm>
        <a:prstGeom prst="rect">
          <a:avLst/>
        </a:prstGeom>
        <a:noFill/>
      </xdr:spPr>
      <xdr:txBody>
        <a:bodyPr vert="vert"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Midwest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67D8-A9EB-4CAF-9C9C-C074C7DA287A}">
  <dimension ref="A1:AG173"/>
  <sheetViews>
    <sheetView tabSelected="1" topLeftCell="L87" workbookViewId="0">
      <selection activeCell="V116" sqref="V116"/>
    </sheetView>
  </sheetViews>
  <sheetFormatPr defaultRowHeight="12.75" x14ac:dyDescent="0.2"/>
  <cols>
    <col min="3" max="3" width="13.140625" bestFit="1" customWidth="1"/>
    <col min="6" max="6" width="11.42578125" bestFit="1" customWidth="1"/>
    <col min="10" max="10" width="14.28515625" bestFit="1" customWidth="1"/>
    <col min="11" max="11" width="14" bestFit="1" customWidth="1"/>
    <col min="12" max="12" width="15.42578125" bestFit="1" customWidth="1"/>
    <col min="13" max="13" width="9.28515625" bestFit="1" customWidth="1"/>
    <col min="14" max="14" width="14" bestFit="1" customWidth="1"/>
    <col min="15" max="15" width="24.85546875" bestFit="1" customWidth="1"/>
    <col min="16" max="16" width="12" bestFit="1" customWidth="1"/>
    <col min="17" max="17" width="12.42578125" bestFit="1" customWidth="1"/>
    <col min="21" max="21" width="16.140625" bestFit="1" customWidth="1"/>
    <col min="22" max="22" width="35.85546875" bestFit="1" customWidth="1"/>
    <col min="23" max="23" width="12.42578125" bestFit="1" customWidth="1"/>
    <col min="28" max="28" width="18.140625" bestFit="1" customWidth="1"/>
    <col min="29" max="33" width="16.42578125" bestFit="1" customWidth="1"/>
  </cols>
  <sheetData>
    <row r="1" spans="1:33" ht="15" x14ac:dyDescent="0.25">
      <c r="A1" s="1" t="s">
        <v>16</v>
      </c>
      <c r="B1" s="2"/>
      <c r="C1" s="3"/>
      <c r="J1" s="44" t="s">
        <v>21</v>
      </c>
      <c r="L1">
        <v>10</v>
      </c>
      <c r="T1" t="s">
        <v>106</v>
      </c>
    </row>
    <row r="2" spans="1:33" ht="15" x14ac:dyDescent="0.25">
      <c r="A2" s="2"/>
      <c r="B2" s="2"/>
      <c r="C2" s="3"/>
      <c r="Y2">
        <f ca="1">COUNTIF($N$88:$N$169,A5)</f>
        <v>2</v>
      </c>
    </row>
    <row r="3" spans="1:33" ht="15.75" thickBot="1" x14ac:dyDescent="0.3">
      <c r="A3" s="1" t="s">
        <v>96</v>
      </c>
      <c r="B3" s="1"/>
      <c r="C3" s="5"/>
      <c r="D3" s="44" t="s">
        <v>17</v>
      </c>
      <c r="E3" s="44" t="s">
        <v>20</v>
      </c>
      <c r="V3" s="52" t="s">
        <v>108</v>
      </c>
      <c r="AB3" t="s">
        <v>115</v>
      </c>
    </row>
    <row r="4" spans="1:33" ht="15" x14ac:dyDescent="0.25">
      <c r="A4" s="4" t="s">
        <v>0</v>
      </c>
      <c r="B4" s="2" t="s">
        <v>1</v>
      </c>
      <c r="C4" s="6" t="s">
        <v>24</v>
      </c>
      <c r="I4" s="44" t="s">
        <v>22</v>
      </c>
      <c r="L4" s="44"/>
      <c r="U4" s="56" t="s">
        <v>107</v>
      </c>
      <c r="V4" s="57" t="s">
        <v>9</v>
      </c>
      <c r="W4" s="57" t="s">
        <v>10</v>
      </c>
      <c r="X4" s="57" t="s">
        <v>11</v>
      </c>
      <c r="Y4" s="57" t="s">
        <v>12</v>
      </c>
      <c r="Z4" s="57" t="s">
        <v>8</v>
      </c>
      <c r="AA4" s="58" t="s">
        <v>7</v>
      </c>
      <c r="AB4" s="56" t="s">
        <v>9</v>
      </c>
      <c r="AC4" s="57" t="s">
        <v>10</v>
      </c>
      <c r="AD4" s="57" t="s">
        <v>11</v>
      </c>
      <c r="AE4" s="57" t="s">
        <v>12</v>
      </c>
      <c r="AF4" s="57" t="s">
        <v>8</v>
      </c>
      <c r="AG4" s="58" t="s">
        <v>7</v>
      </c>
    </row>
    <row r="5" spans="1:33" ht="15" x14ac:dyDescent="0.25">
      <c r="A5" s="27">
        <v>1</v>
      </c>
      <c r="B5" s="25" t="s">
        <v>25</v>
      </c>
      <c r="C5" s="26">
        <v>35.049999999999997</v>
      </c>
      <c r="D5">
        <v>1</v>
      </c>
      <c r="K5" s="44"/>
      <c r="L5" s="44" t="s">
        <v>93</v>
      </c>
      <c r="U5" s="59" t="str">
        <f>B5</f>
        <v>Auburn </v>
      </c>
      <c r="V5" s="60">
        <f ca="1">_xll.RiskOutput($V$4&amp;"-"&amp;U5)+COUNTIF($N$7:$N$169,A5)</f>
        <v>3</v>
      </c>
      <c r="W5" s="60">
        <f ca="1">_xll.RiskOutput($W$4&amp;"-"&amp;U5)+COUNTIF($N$88:$N$119,A5)</f>
        <v>1</v>
      </c>
      <c r="X5" s="60">
        <f ca="1">_xll.RiskOutput($X$4&amp;"-"&amp;U5)+COUNTIF($N$127:$N$141,A5)</f>
        <v>1</v>
      </c>
      <c r="Y5" s="60">
        <f ca="1">_xll.RiskOutput($Y$4&amp;"-"&amp;W5)+COUNTIF($N$148:$N$154,A5)</f>
        <v>0</v>
      </c>
      <c r="Z5" s="60">
        <f ca="1">_xll.RiskOutput($Z$4&amp;"-"&amp;X5)+COUNTIF($N$161:$N$164,A5)</f>
        <v>0</v>
      </c>
      <c r="AA5" s="61">
        <f ca="1">_xll.RiskOutput($AA$4&amp;"-"&amp;Y5)+IF($N$169=A5,1,0)</f>
        <v>0</v>
      </c>
      <c r="AB5" s="59">
        <f ca="1">_xll.RiskMean(V5)</f>
        <v>3.8938999999999999</v>
      </c>
      <c r="AC5" s="65">
        <f ca="1">_xll.RiskMean(W5)</f>
        <v>0.9224</v>
      </c>
      <c r="AD5" s="65">
        <f ca="1">_xll.RiskMean(X5)</f>
        <v>0.81779999999999997</v>
      </c>
      <c r="AE5" s="65">
        <f ca="1">_xll.RiskMean(Y5)</f>
        <v>0.64690000000000003</v>
      </c>
      <c r="AF5" s="65">
        <f ca="1">_xll.RiskMean(Z5)</f>
        <v>0.35360000000000003</v>
      </c>
      <c r="AG5" s="66">
        <f ca="1">_xll.RiskMean(AA5)</f>
        <v>0.1532</v>
      </c>
    </row>
    <row r="6" spans="1:33" ht="15" x14ac:dyDescent="0.25">
      <c r="A6" s="27">
        <v>2</v>
      </c>
      <c r="B6" s="25" t="s">
        <v>26</v>
      </c>
      <c r="C6" s="26">
        <v>28.48</v>
      </c>
      <c r="D6">
        <v>2</v>
      </c>
      <c r="I6" s="44" t="s">
        <v>23</v>
      </c>
      <c r="J6" s="44" t="s">
        <v>0</v>
      </c>
      <c r="K6" s="44" t="s">
        <v>4</v>
      </c>
      <c r="L6" s="44" t="s">
        <v>5</v>
      </c>
      <c r="M6" s="44" t="s">
        <v>6</v>
      </c>
      <c r="N6" s="44" t="s">
        <v>94</v>
      </c>
      <c r="O6" s="44" t="s">
        <v>95</v>
      </c>
      <c r="P6" s="44" t="s">
        <v>13</v>
      </c>
      <c r="Q6" s="44" t="s">
        <v>15</v>
      </c>
      <c r="R6" s="44" t="s">
        <v>100</v>
      </c>
      <c r="U6" s="59" t="str">
        <f t="shared" ref="U6:U69" si="0">B6</f>
        <v>Michigan St. </v>
      </c>
      <c r="V6" s="60">
        <f ca="1">_xll.RiskOutput($V$4&amp;"-"&amp;U6)+COUNTIF($N$7:$N$169,A6)</f>
        <v>1</v>
      </c>
      <c r="W6" s="60">
        <f ca="1">_xll.RiskOutput($W$4&amp;"-"&amp;U6)+COUNTIF($N$88:$N$119,A6)</f>
        <v>0</v>
      </c>
      <c r="X6" s="60">
        <f ca="1">_xll.RiskOutput($X$4&amp;"-"&amp;V6)+COUNTIF($N$127:$N$141,A6)</f>
        <v>0</v>
      </c>
      <c r="Y6" s="60">
        <f ca="1">_xll.RiskOutput($Y$4&amp;"-"&amp;W6)+COUNTIF($N$148:$N$154,A6)</f>
        <v>0</v>
      </c>
      <c r="Z6" s="60">
        <f ca="1">_xll.RiskOutput($Z$4&amp;"-"&amp;X6)+COUNTIF($N$161:$N$164,A6)</f>
        <v>0</v>
      </c>
      <c r="AA6" s="61">
        <f ca="1">_xll.RiskOutput($AA$4&amp;"-"&amp;Y6)+IF($N$169=A6,1,0)</f>
        <v>0</v>
      </c>
      <c r="AB6" s="59">
        <f ca="1">_xll.RiskMean(V6)</f>
        <v>2.5407000000000002</v>
      </c>
      <c r="AC6" s="65">
        <f ca="1">_xll.RiskMean(W6)</f>
        <v>0.79990000000000006</v>
      </c>
      <c r="AD6" s="65">
        <f ca="1">_xll.RiskMean(X6)</f>
        <v>0.50229999999999997</v>
      </c>
      <c r="AE6" s="65">
        <f ca="1">_xll.RiskMean(Y6)</f>
        <v>0.17100000000000001</v>
      </c>
      <c r="AF6" s="65">
        <f ca="1">_xll.RiskMean(Z6)</f>
        <v>5.5899999999999998E-2</v>
      </c>
      <c r="AG6" s="66">
        <f ca="1">_xll.RiskMean(AA6)</f>
        <v>1.4500000000000001E-2</v>
      </c>
    </row>
    <row r="7" spans="1:33" ht="15" x14ac:dyDescent="0.25">
      <c r="A7" s="24">
        <v>3</v>
      </c>
      <c r="B7" s="25" t="s">
        <v>27</v>
      </c>
      <c r="C7" s="26">
        <v>26.65</v>
      </c>
      <c r="D7">
        <v>3</v>
      </c>
      <c r="F7" t="s">
        <v>105</v>
      </c>
      <c r="I7">
        <v>1</v>
      </c>
      <c r="J7" s="53">
        <v>16</v>
      </c>
      <c r="K7" t="str">
        <f t="shared" ref="K7:K14" si="1">VLOOKUP(J7,Rating_Table,2)</f>
        <v>Alabama St. </v>
      </c>
      <c r="L7">
        <f>VLOOKUP(J7,KenPomTable,3,FALSE)-VLOOKUP(J8,KenPomTable,3,FALSE)</f>
        <v>3.8900000000000006</v>
      </c>
      <c r="M7">
        <f ca="1">_xll.RiskNormal(L7,$L$1)</f>
        <v>-3.9648951337069986</v>
      </c>
      <c r="N7">
        <f ca="1">IF(M7&gt;0,J7,J8)</f>
        <v>17</v>
      </c>
      <c r="O7" t="str">
        <f ca="1">VLOOKUP(N7,KenPomTable,2)</f>
        <v>Saint Francis </v>
      </c>
      <c r="P7">
        <f ca="1">IF(L7*M7&lt;0,1,0)</f>
        <v>1</v>
      </c>
      <c r="Q7">
        <f>_xlfn.NORM.DIST(0,ABS(L7),$L$1,TRUE)</f>
        <v>0.34863807319276163</v>
      </c>
      <c r="R7">
        <f>1-Q7</f>
        <v>0.65136192680723837</v>
      </c>
      <c r="U7" s="59" t="str">
        <f t="shared" si="0"/>
        <v>Iowa St. </v>
      </c>
      <c r="V7" s="60">
        <f ca="1">_xll.RiskOutput($V$4&amp;"-"&amp;U7)+COUNTIF($N$7:$N$169,A7)</f>
        <v>1</v>
      </c>
      <c r="W7" s="60">
        <f ca="1">_xll.RiskOutput($W$4&amp;"-"&amp;U7)+COUNTIF($N$88:$N$119,A7)</f>
        <v>0</v>
      </c>
      <c r="X7" s="60">
        <f ca="1">_xll.RiskOutput($X$4&amp;"-"&amp;V7)+COUNTIF($N$127:$N$141,A7)</f>
        <v>0</v>
      </c>
      <c r="Y7" s="60">
        <f ca="1">_xll.RiskOutput($Y$4&amp;"-"&amp;W7)+COUNTIF($N$148:$N$154,A7)</f>
        <v>0</v>
      </c>
      <c r="Z7" s="60">
        <f ca="1">_xll.RiskOutput($Z$4&amp;"-"&amp;X7)+COUNTIF($N$161:$N$164,A7)</f>
        <v>0</v>
      </c>
      <c r="AA7" s="61">
        <f ca="1">_xll.RiskOutput($AA$4&amp;"-"&amp;Y7)+IF($N$169=A7,1,0)</f>
        <v>0</v>
      </c>
      <c r="AB7" s="59">
        <f ca="1">_xll.RiskMean(V7)</f>
        <v>2.0550000000000002</v>
      </c>
      <c r="AC7" s="65">
        <f ca="1">_xll.RiskMean(W7)</f>
        <v>0.64890000000000003</v>
      </c>
      <c r="AD7" s="65">
        <f ca="1">_xll.RiskMean(X7)</f>
        <v>0.32200000000000001</v>
      </c>
      <c r="AE7" s="65">
        <f ca="1">_xll.RiskMean(Y7)</f>
        <v>8.8499999999999995E-2</v>
      </c>
      <c r="AF7" s="65">
        <f ca="1">_xll.RiskMean(Z7)</f>
        <v>2.6700000000000002E-2</v>
      </c>
      <c r="AG7" s="66">
        <f ca="1">_xll.RiskMean(AA7)</f>
        <v>4.0000000000000001E-3</v>
      </c>
    </row>
    <row r="8" spans="1:33" ht="15" x14ac:dyDescent="0.25">
      <c r="A8" s="7">
        <v>4</v>
      </c>
      <c r="B8" s="10" t="s">
        <v>28</v>
      </c>
      <c r="C8" s="11">
        <v>23.66</v>
      </c>
      <c r="D8">
        <v>4</v>
      </c>
      <c r="J8" s="53">
        <v>17</v>
      </c>
      <c r="K8" t="str">
        <f t="shared" si="1"/>
        <v>Saint Francis </v>
      </c>
      <c r="U8" s="59" t="str">
        <f t="shared" si="0"/>
        <v>Texas A&amp;M </v>
      </c>
      <c r="V8" s="60">
        <f ca="1">_xll.RiskOutput($V$4&amp;"-"&amp;U8)+COUNTIF($N$7:$N$169,A8)</f>
        <v>2</v>
      </c>
      <c r="W8" s="60">
        <f ca="1">_xll.RiskOutput($W$4&amp;"-"&amp;U8)+COUNTIF($N$88:$N$119,A8)</f>
        <v>1</v>
      </c>
      <c r="X8" s="60">
        <f ca="1">_xll.RiskOutput($X$4&amp;"-"&amp;V8)+COUNTIF($N$127:$N$141,A8)</f>
        <v>0</v>
      </c>
      <c r="Y8" s="60">
        <f ca="1">_xll.RiskOutput($Y$4&amp;"-"&amp;W8)+COUNTIF($N$148:$N$154,A8)</f>
        <v>0</v>
      </c>
      <c r="Z8" s="60">
        <f ca="1">_xll.RiskOutput($Z$4&amp;"-"&amp;X8)+COUNTIF($N$161:$N$164,A8)</f>
        <v>0</v>
      </c>
      <c r="AA8" s="61">
        <f ca="1">_xll.RiskOutput($AA$4&amp;"-"&amp;Y8)+IF($N$169=A8,1,0)</f>
        <v>0</v>
      </c>
      <c r="AB8" s="59">
        <f ca="1">_xll.RiskMean(V8)</f>
        <v>1.5282</v>
      </c>
      <c r="AC8" s="65">
        <f ca="1">_xll.RiskMean(W8)</f>
        <v>0.51060000000000005</v>
      </c>
      <c r="AD8" s="65">
        <f ca="1">_xll.RiskMean(X8)</f>
        <v>8.2500000000000004E-2</v>
      </c>
      <c r="AE8" s="65">
        <f ca="1">_xll.RiskMean(Y8)</f>
        <v>3.2099999999999997E-2</v>
      </c>
      <c r="AF8" s="65">
        <f ca="1">_xll.RiskMean(Z8)</f>
        <v>5.3E-3</v>
      </c>
      <c r="AG8" s="66">
        <f ca="1">_xll.RiskMean(AA8)</f>
        <v>8.0000000000000004E-4</v>
      </c>
    </row>
    <row r="9" spans="1:33" ht="15" x14ac:dyDescent="0.25">
      <c r="A9" s="8">
        <v>5</v>
      </c>
      <c r="B9" s="10" t="s">
        <v>29</v>
      </c>
      <c r="C9" s="11">
        <v>23.45</v>
      </c>
      <c r="D9">
        <v>5</v>
      </c>
      <c r="I9">
        <v>2</v>
      </c>
      <c r="J9" s="53">
        <v>11</v>
      </c>
      <c r="K9" t="str">
        <f t="shared" si="1"/>
        <v>North Carolina </v>
      </c>
      <c r="L9">
        <f>VLOOKUP(J9,KenPomTable,3,FALSE)-VLOOKUP(J10,KenPomTable,3,FALSE)</f>
        <v>5.1999999999999975</v>
      </c>
      <c r="M9">
        <f ca="1">_xll.RiskNormal(L9,$L$1)</f>
        <v>-0.26012800187326501</v>
      </c>
      <c r="N9">
        <f t="shared" ref="N9" ca="1" si="2">IF(M9&gt;0,J9,J10)</f>
        <v>18</v>
      </c>
      <c r="O9" t="str">
        <f ca="1">VLOOKUP(N9,KenPomTable,2)</f>
        <v>San Diego St. </v>
      </c>
      <c r="P9">
        <f t="shared" ref="P9" ca="1" si="3">IF(L9*M9&lt;0,1,0)</f>
        <v>1</v>
      </c>
      <c r="Q9">
        <f t="shared" ref="Q9" si="4">_xlfn.NORM.DIST(0,ABS(L9),$L$1,TRUE)</f>
        <v>0.30153178754696625</v>
      </c>
      <c r="R9">
        <f t="shared" ref="R9" si="5">1-Q9</f>
        <v>0.6984682124530337</v>
      </c>
      <c r="U9" s="59" t="str">
        <f t="shared" si="0"/>
        <v>Michigan </v>
      </c>
      <c r="V9" s="60">
        <f ca="1">_xll.RiskOutput($V$4&amp;"-"&amp;U9)+COUNTIF($N$7:$N$169,A9)</f>
        <v>0</v>
      </c>
      <c r="W9" s="60">
        <f ca="1">_xll.RiskOutput($W$4&amp;"-"&amp;U9)+COUNTIF($N$88:$N$119,A9)</f>
        <v>0</v>
      </c>
      <c r="X9" s="60">
        <f ca="1">_xll.RiskOutput($X$4&amp;"-"&amp;V9)+COUNTIF($N$127:$N$141,A9)</f>
        <v>0</v>
      </c>
      <c r="Y9" s="60">
        <f ca="1">_xll.RiskOutput($Y$4&amp;"-"&amp;W9)+COUNTIF($N$148:$N$154,A9)</f>
        <v>0</v>
      </c>
      <c r="Z9" s="60">
        <f ca="1">_xll.RiskOutput($Z$4&amp;"-"&amp;X9)+COUNTIF($N$161:$N$164,A9)</f>
        <v>0</v>
      </c>
      <c r="AA9" s="61">
        <f ca="1">_xll.RiskOutput($AA$4&amp;"-"&amp;Y9)+IF($N$169=A9,1,0)</f>
        <v>0</v>
      </c>
      <c r="AB9" s="59">
        <f ca="1">_xll.RiskMean(V9)</f>
        <v>1.1581999999999999</v>
      </c>
      <c r="AC9" s="65">
        <f ca="1">_xll.RiskMean(W9)</f>
        <v>0.37190000000000001</v>
      </c>
      <c r="AD9" s="65">
        <f ca="1">_xll.RiskMean(X9)</f>
        <v>6.0199999999999997E-2</v>
      </c>
      <c r="AE9" s="65">
        <f ca="1">_xll.RiskMean(Y9)</f>
        <v>2.2599999999999999E-2</v>
      </c>
      <c r="AF9" s="65">
        <f ca="1">_xll.RiskMean(Z9)</f>
        <v>4.7999999999999996E-3</v>
      </c>
      <c r="AG9" s="66">
        <f ca="1">_xll.RiskMean(AA9)</f>
        <v>2.0000000000000001E-4</v>
      </c>
    </row>
    <row r="10" spans="1:33" ht="15" x14ac:dyDescent="0.25">
      <c r="A10" s="7">
        <v>6</v>
      </c>
      <c r="B10" s="10" t="s">
        <v>30</v>
      </c>
      <c r="C10" s="11">
        <v>23.34</v>
      </c>
      <c r="D10">
        <v>6</v>
      </c>
      <c r="J10" s="53">
        <v>18</v>
      </c>
      <c r="K10" t="str">
        <f t="shared" si="1"/>
        <v>San Diego St. </v>
      </c>
      <c r="U10" s="59" t="str">
        <f t="shared" si="0"/>
        <v>Mississippi </v>
      </c>
      <c r="V10" s="60">
        <f ca="1">_xll.RiskOutput($V$4&amp;"-"&amp;U10)+COUNTIF($N$7:$N$169,A10)</f>
        <v>4</v>
      </c>
      <c r="W10" s="60">
        <f ca="1">_xll.RiskOutput($W$4&amp;"-"&amp;U10)+COUNTIF($N$88:$N$119,A10)</f>
        <v>1</v>
      </c>
      <c r="X10" s="60">
        <f ca="1">_xll.RiskOutput($X$4&amp;"-"&amp;V10)+COUNTIF($N$127:$N$141,A10)</f>
        <v>1</v>
      </c>
      <c r="Y10" s="60">
        <f ca="1">_xll.RiskOutput($Y$4&amp;"-"&amp;W10)+COUNTIF($N$148:$N$154,A10)</f>
        <v>1</v>
      </c>
      <c r="Z10" s="60">
        <f ca="1">_xll.RiskOutput($Z$4&amp;"-"&amp;X10)+COUNTIF($N$161:$N$164,A10)</f>
        <v>0</v>
      </c>
      <c r="AA10" s="61">
        <f ca="1">_xll.RiskOutput($AA$4&amp;"-"&amp;Y10)+IF($N$169=A10,1,0)</f>
        <v>0</v>
      </c>
      <c r="AB10" s="59">
        <f ca="1">_xll.RiskMean(V10)</f>
        <v>0.96099999999999997</v>
      </c>
      <c r="AC10" s="65">
        <f ca="1">_xll.RiskMean(W10)</f>
        <v>0.24030000000000001</v>
      </c>
      <c r="AD10" s="65">
        <f ca="1">_xll.RiskMean(X10)</f>
        <v>8.5000000000000006E-2</v>
      </c>
      <c r="AE10" s="65">
        <f ca="1">_xll.RiskMean(Y10)</f>
        <v>1.4200000000000001E-2</v>
      </c>
      <c r="AF10" s="65">
        <f ca="1">_xll.RiskMean(Z10)</f>
        <v>3.0000000000000001E-3</v>
      </c>
      <c r="AG10" s="66">
        <f ca="1">_xll.RiskMean(AA10)</f>
        <v>2.0000000000000001E-4</v>
      </c>
    </row>
    <row r="11" spans="1:33" ht="15" x14ac:dyDescent="0.25">
      <c r="A11" s="8">
        <v>7</v>
      </c>
      <c r="B11" s="47" t="s">
        <v>31</v>
      </c>
      <c r="C11" s="13">
        <v>21.01</v>
      </c>
      <c r="D11">
        <v>7</v>
      </c>
      <c r="I11">
        <v>3</v>
      </c>
      <c r="J11" s="54">
        <v>34</v>
      </c>
      <c r="K11" t="str">
        <f t="shared" si="1"/>
        <v>Mount St. Mary's </v>
      </c>
      <c r="L11">
        <f>VLOOKUP(J11,KenPomTable,3,FALSE)-VLOOKUP(J12,KenPomTable,3,FALSE)</f>
        <v>0.3100000000000005</v>
      </c>
      <c r="M11">
        <f ca="1">_xll.RiskNormal(L11,$L$1)</f>
        <v>-3.7676156880993945</v>
      </c>
      <c r="N11">
        <f t="shared" ref="N11" ca="1" si="6">IF(M11&gt;0,J11,J12)</f>
        <v>35</v>
      </c>
      <c r="O11" t="str">
        <f ca="1">VLOOKUP(N11,KenPomTable,2)</f>
        <v>American </v>
      </c>
      <c r="P11">
        <f t="shared" ref="P11" ca="1" si="7">IF(L11*M11&lt;0,1,0)</f>
        <v>1</v>
      </c>
      <c r="Q11">
        <f t="shared" ref="Q11" si="8">_xlfn.NORM.DIST(0,ABS(L11),$L$1,TRUE)</f>
        <v>0.48763476983696635</v>
      </c>
      <c r="R11">
        <f t="shared" ref="R11" si="9">1-Q11</f>
        <v>0.5123652301630337</v>
      </c>
      <c r="U11" s="59" t="str">
        <f t="shared" si="0"/>
        <v>Marquette </v>
      </c>
      <c r="V11" s="60">
        <f ca="1">_xll.RiskOutput($V$4&amp;"-"&amp;U11)+COUNTIF($N$7:$N$169,A11)</f>
        <v>2</v>
      </c>
      <c r="W11" s="60">
        <f ca="1">_xll.RiskOutput($W$4&amp;"-"&amp;U11)+COUNTIF($N$88:$N$119,A11)</f>
        <v>1</v>
      </c>
      <c r="X11" s="60">
        <f ca="1">_xll.RiskOutput($X$4&amp;"-"&amp;V11)+COUNTIF($N$127:$N$141,A11)</f>
        <v>0</v>
      </c>
      <c r="Y11" s="60">
        <f ca="1">_xll.RiskOutput($Y$4&amp;"-"&amp;W11)+COUNTIF($N$148:$N$154,A11)</f>
        <v>0</v>
      </c>
      <c r="Z11" s="60">
        <f ca="1">_xll.RiskOutput($Z$4&amp;"-"&amp;X11)+COUNTIF($N$161:$N$164,A11)</f>
        <v>0</v>
      </c>
      <c r="AA11" s="61">
        <f ca="1">_xll.RiskOutput($AA$4&amp;"-"&amp;Y11)+IF($N$169=A11,1,0)</f>
        <v>0</v>
      </c>
      <c r="AB11" s="59">
        <f ca="1">_xll.RiskMean(V11)</f>
        <v>0.83160000000000001</v>
      </c>
      <c r="AC11" s="65">
        <f ca="1">_xll.RiskMean(W11)</f>
        <v>0.14610000000000001</v>
      </c>
      <c r="AD11" s="65">
        <f ca="1">_xll.RiskMean(X11)</f>
        <v>4.9500000000000002E-2</v>
      </c>
      <c r="AE11" s="65">
        <f ca="1">_xll.RiskMean(Y11)</f>
        <v>8.0000000000000002E-3</v>
      </c>
      <c r="AF11" s="65">
        <f ca="1">_xll.RiskMean(Z11)</f>
        <v>1.1999999999999999E-3</v>
      </c>
      <c r="AG11" s="66">
        <f ca="1">_xll.RiskMean(AA11)</f>
        <v>1E-4</v>
      </c>
    </row>
    <row r="12" spans="1:33" ht="15" x14ac:dyDescent="0.25">
      <c r="A12" s="8">
        <v>8</v>
      </c>
      <c r="B12" s="12" t="s">
        <v>32</v>
      </c>
      <c r="C12" s="13">
        <v>21.73</v>
      </c>
      <c r="D12">
        <v>8</v>
      </c>
      <c r="J12" s="54">
        <v>35</v>
      </c>
      <c r="K12" t="str">
        <f t="shared" si="1"/>
        <v>American </v>
      </c>
      <c r="U12" s="59" t="str">
        <f t="shared" si="0"/>
        <v>Louisville </v>
      </c>
      <c r="V12" s="60">
        <f ca="1">_xll.RiskOutput($V$4&amp;"-"&amp;U12)+COUNTIF($N$7:$N$169,A12)</f>
        <v>1</v>
      </c>
      <c r="W12" s="60">
        <f ca="1">_xll.RiskOutput($W$4&amp;"-"&amp;U12)+COUNTIF($N$88:$N$119,A12)</f>
        <v>0</v>
      </c>
      <c r="X12" s="60">
        <f ca="1">_xll.RiskOutput($X$4&amp;"-"&amp;V12)+COUNTIF($N$127:$N$141,A12)</f>
        <v>0</v>
      </c>
      <c r="Y12" s="60">
        <f ca="1">_xll.RiskOutput($Y$4&amp;"-"&amp;W12)+COUNTIF($N$148:$N$154,A12)</f>
        <v>0</v>
      </c>
      <c r="Z12" s="60">
        <f ca="1">_xll.RiskOutput($Z$4&amp;"-"&amp;X12)+COUNTIF($N$161:$N$164,A12)</f>
        <v>0</v>
      </c>
      <c r="AA12" s="61">
        <f ca="1">_xll.RiskOutput($AA$4&amp;"-"&amp;Y12)+IF($N$169=A12,1,0)</f>
        <v>0</v>
      </c>
      <c r="AB12" s="59">
        <f ca="1">_xll.RiskMean(V12)</f>
        <v>0.67649999999999999</v>
      </c>
      <c r="AC12" s="65">
        <f ca="1">_xll.RiskMean(W12)</f>
        <v>5.3999999999999999E-2</v>
      </c>
      <c r="AD12" s="65">
        <f ca="1">_xll.RiskMean(X12)</f>
        <v>2.3E-2</v>
      </c>
      <c r="AE12" s="65">
        <f ca="1">_xll.RiskMean(Y12)</f>
        <v>7.7999999999999996E-3</v>
      </c>
      <c r="AF12" s="65">
        <f ca="1">_xll.RiskMean(Z12)</f>
        <v>1E-3</v>
      </c>
      <c r="AG12" s="66">
        <f ca="1">_xll.RiskMean(AA12)</f>
        <v>2.0000000000000001E-4</v>
      </c>
    </row>
    <row r="13" spans="1:33" ht="15" x14ac:dyDescent="0.25">
      <c r="A13" s="8">
        <v>9</v>
      </c>
      <c r="B13" s="10" t="s">
        <v>33</v>
      </c>
      <c r="C13" s="11">
        <v>19.440000000000001</v>
      </c>
      <c r="D13">
        <v>9</v>
      </c>
      <c r="I13">
        <v>4</v>
      </c>
      <c r="J13" s="55">
        <v>62</v>
      </c>
      <c r="K13" t="str">
        <f t="shared" si="1"/>
        <v>Xavier </v>
      </c>
      <c r="L13">
        <f>VLOOKUP(J13,KenPomTable,3,FALSE)-VLOOKUP(J14,KenPomTable,3,FALSE)</f>
        <v>0.2900000000000027</v>
      </c>
      <c r="M13">
        <f ca="1">_xll.RiskNormal(L13,$L$1)</f>
        <v>-7.6542960446858963</v>
      </c>
      <c r="N13">
        <f t="shared" ref="N13" ca="1" si="10">IF(M13&gt;0,J13,J14)</f>
        <v>68</v>
      </c>
      <c r="O13" t="str">
        <f ca="1">VLOOKUP(N13,KenPomTable,2)</f>
        <v>Texas </v>
      </c>
      <c r="P13">
        <f t="shared" ref="P13" ca="1" si="11">IF(L13*M13&lt;0,1,0)</f>
        <v>1</v>
      </c>
      <c r="Q13">
        <f>_xlfn.NORM.DIST(0,ABS(L13),$L$1,TRUE)</f>
        <v>0.48843229529768917</v>
      </c>
      <c r="R13">
        <f t="shared" ref="R13" si="12">1-Q13</f>
        <v>0.51156770470231083</v>
      </c>
      <c r="U13" s="59" t="str">
        <f t="shared" si="0"/>
        <v>Creighton </v>
      </c>
      <c r="V13" s="60">
        <f ca="1">_xll.RiskOutput($V$4&amp;"-"&amp;U13)+COUNTIF($N$7:$N$169,A13)</f>
        <v>0</v>
      </c>
      <c r="W13" s="60">
        <f ca="1">_xll.RiskOutput($W$4&amp;"-"&amp;U13)+COUNTIF($N$88:$N$119,A13)</f>
        <v>0</v>
      </c>
      <c r="X13" s="60">
        <f ca="1">_xll.RiskOutput($X$4&amp;"-"&amp;V13)+COUNTIF($N$127:$N$141,A13)</f>
        <v>0</v>
      </c>
      <c r="Y13" s="60">
        <f ca="1">_xll.RiskOutput($Y$4&amp;"-"&amp;W13)+COUNTIF($N$148:$N$154,A13)</f>
        <v>0</v>
      </c>
      <c r="Z13" s="60">
        <f ca="1">_xll.RiskOutput($Z$4&amp;"-"&amp;X13)+COUNTIF($N$161:$N$164,A13)</f>
        <v>0</v>
      </c>
      <c r="AA13" s="61">
        <f ca="1">_xll.RiskOutput($AA$4&amp;"-"&amp;Y13)+IF($N$169=A13,1,0)</f>
        <v>0</v>
      </c>
      <c r="AB13" s="59">
        <f ca="1">_xll.RiskMean(V13)</f>
        <v>0.44500000000000001</v>
      </c>
      <c r="AC13" s="65">
        <f ca="1">_xll.RiskMean(W13)</f>
        <v>2.3599999999999999E-2</v>
      </c>
      <c r="AD13" s="65">
        <f ca="1">_xll.RiskMean(X13)</f>
        <v>9.4000000000000004E-3</v>
      </c>
      <c r="AE13" s="65">
        <f ca="1">_xll.RiskMean(Y13)</f>
        <v>2.2000000000000001E-3</v>
      </c>
      <c r="AF13" s="65">
        <f ca="1">_xll.RiskMean(Z13)</f>
        <v>2.9999999999999997E-4</v>
      </c>
      <c r="AG13" s="66">
        <f ca="1">_xll.RiskMean(AA13)</f>
        <v>0</v>
      </c>
    </row>
    <row r="14" spans="1:33" ht="15" x14ac:dyDescent="0.25">
      <c r="A14" s="7">
        <v>10</v>
      </c>
      <c r="B14" s="10" t="s">
        <v>34</v>
      </c>
      <c r="C14" s="11">
        <v>17.78</v>
      </c>
      <c r="D14">
        <v>10</v>
      </c>
      <c r="J14" s="55">
        <v>68</v>
      </c>
      <c r="K14" t="str">
        <f t="shared" si="1"/>
        <v>Texas </v>
      </c>
      <c r="U14" s="59" t="str">
        <f t="shared" si="0"/>
        <v>New Mexico </v>
      </c>
      <c r="V14" s="60">
        <f ca="1">_xll.RiskOutput($V$4&amp;"-"&amp;U14)+COUNTIF($N$7:$N$169,A14)</f>
        <v>0</v>
      </c>
      <c r="W14" s="60">
        <f ca="1">_xll.RiskOutput($W$4&amp;"-"&amp;U14)+COUNTIF($N$88:$N$119,A14)</f>
        <v>0</v>
      </c>
      <c r="X14" s="60">
        <f ca="1">_xll.RiskOutput($X$4&amp;"-"&amp;V14)+COUNTIF($N$127:$N$141,A14)</f>
        <v>0</v>
      </c>
      <c r="Y14" s="60">
        <f ca="1">_xll.RiskOutput($Y$4&amp;"-"&amp;W14)+COUNTIF($N$148:$N$154,A14)</f>
        <v>0</v>
      </c>
      <c r="Z14" s="60">
        <f ca="1">_xll.RiskOutput($Z$4&amp;"-"&amp;X14)+COUNTIF($N$161:$N$164,A14)</f>
        <v>0</v>
      </c>
      <c r="AA14" s="61">
        <f ca="1">_xll.RiskOutput($AA$4&amp;"-"&amp;Y14)+IF($N$169=A14,1,0)</f>
        <v>0</v>
      </c>
      <c r="AB14" s="59">
        <f ca="1">_xll.RiskMean(V14)</f>
        <v>0.4405</v>
      </c>
      <c r="AC14" s="65">
        <f ca="1">_xll.RiskMean(W14)</f>
        <v>5.3900000000000003E-2</v>
      </c>
      <c r="AD14" s="65">
        <f ca="1">_xll.RiskMean(X14)</f>
        <v>1.23E-2</v>
      </c>
      <c r="AE14" s="65">
        <f ca="1">_xll.RiskMean(Y14)</f>
        <v>8.0000000000000004E-4</v>
      </c>
      <c r="AF14" s="65">
        <f ca="1">_xll.RiskMean(Z14)</f>
        <v>2.0000000000000001E-4</v>
      </c>
      <c r="AG14" s="66">
        <f ca="1">_xll.RiskMean(AA14)</f>
        <v>0</v>
      </c>
    </row>
    <row r="15" spans="1:33" ht="15" x14ac:dyDescent="0.25">
      <c r="A15" s="41">
        <v>11</v>
      </c>
      <c r="B15" s="42" t="s">
        <v>35</v>
      </c>
      <c r="C15" s="43">
        <v>20.329999999999998</v>
      </c>
      <c r="D15">
        <v>11</v>
      </c>
      <c r="O15" t="s">
        <v>99</v>
      </c>
      <c r="P15">
        <f ca="1">SUM(P7:P13)</f>
        <v>4</v>
      </c>
      <c r="U15" s="59" t="str">
        <f t="shared" si="0"/>
        <v>North Carolina </v>
      </c>
      <c r="V15" s="60">
        <f ca="1">_xll.RiskOutput($V$4&amp;"-"&amp;U15)+COUNTIF($N$7:$N$169,A15)</f>
        <v>0</v>
      </c>
      <c r="W15" s="60">
        <f ca="1">_xll.RiskOutput($W$4&amp;"-"&amp;U15)+COUNTIF($N$88:$N$119,A15)</f>
        <v>0</v>
      </c>
      <c r="X15" s="60">
        <f ca="1">_xll.RiskOutput($X$4&amp;"-"&amp;V15)+COUNTIF($N$127:$N$141,A15)</f>
        <v>0</v>
      </c>
      <c r="Y15" s="60">
        <f ca="1">_xll.RiskOutput($Y$4&amp;"-"&amp;W15)+COUNTIF($N$148:$N$154,A15)</f>
        <v>0</v>
      </c>
      <c r="Z15" s="60">
        <f ca="1">_xll.RiskOutput($Z$4&amp;"-"&amp;X15)+COUNTIF($N$161:$N$164,A15)</f>
        <v>0</v>
      </c>
      <c r="AA15" s="61">
        <f ca="1">_xll.RiskOutput($AA$4&amp;"-"&amp;Y15)+IF($N$169=A15,1,0)</f>
        <v>0</v>
      </c>
      <c r="AB15" s="59">
        <f ca="1">_xll.RiskMean(V15)</f>
        <v>1.2205999999999999</v>
      </c>
      <c r="AC15" s="65">
        <f ca="1">_xll.RiskMean(W15)</f>
        <v>0.1069</v>
      </c>
      <c r="AD15" s="65">
        <f ca="1">_xll.RiskMean(X15)</f>
        <v>2.87E-2</v>
      </c>
      <c r="AE15" s="65">
        <f ca="1">_xll.RiskMean(Y15)</f>
        <v>4.1999999999999997E-3</v>
      </c>
      <c r="AF15" s="65">
        <f ca="1">_xll.RiskMean(Z15)</f>
        <v>6.9999999999999999E-4</v>
      </c>
      <c r="AG15" s="66">
        <f ca="1">_xll.RiskMean(AA15)</f>
        <v>0</v>
      </c>
    </row>
    <row r="16" spans="1:33" ht="15" x14ac:dyDescent="0.25">
      <c r="A16" s="7">
        <v>12</v>
      </c>
      <c r="B16" s="10" t="s">
        <v>36</v>
      </c>
      <c r="C16" s="11">
        <v>18.25</v>
      </c>
      <c r="D16">
        <v>12</v>
      </c>
      <c r="O16" t="s">
        <v>101</v>
      </c>
      <c r="P16">
        <f>PRODUCT(R7:R13)</f>
        <v>0.11924818718295803</v>
      </c>
      <c r="U16" s="59" t="str">
        <f t="shared" si="0"/>
        <v>UC San Diego </v>
      </c>
      <c r="V16" s="60">
        <f ca="1">_xll.RiskOutput($V$4&amp;"-"&amp;U16)+COUNTIF($N$7:$N$169,A16)</f>
        <v>1</v>
      </c>
      <c r="W16" s="60">
        <f ca="1">_xll.RiskOutput($W$4&amp;"-"&amp;U16)+COUNTIF($N$88:$N$119,A16)</f>
        <v>0</v>
      </c>
      <c r="X16" s="60">
        <f ca="1">_xll.RiskOutput($X$4&amp;"-"&amp;V16)+COUNTIF($N$127:$N$141,A16)</f>
        <v>0</v>
      </c>
      <c r="Y16" s="60">
        <f ca="1">_xll.RiskOutput($Y$4&amp;"-"&amp;W16)+COUNTIF($N$148:$N$154,A16)</f>
        <v>0</v>
      </c>
      <c r="Z16" s="60">
        <f ca="1">_xll.RiskOutput($Z$4&amp;"-"&amp;X16)+COUNTIF($N$161:$N$164,A16)</f>
        <v>0</v>
      </c>
      <c r="AA16" s="61">
        <f ca="1">_xll.RiskOutput($AA$4&amp;"-"&amp;Y16)+IF($N$169=A16,1,0)</f>
        <v>0</v>
      </c>
      <c r="AB16" s="59">
        <f ca="1">_xll.RiskMean(V16)</f>
        <v>0.41149999999999998</v>
      </c>
      <c r="AC16" s="65">
        <f ca="1">_xll.RiskMean(W16)</f>
        <v>0.1012</v>
      </c>
      <c r="AD16" s="65">
        <f ca="1">_xll.RiskMean(X16)</f>
        <v>7.0000000000000001E-3</v>
      </c>
      <c r="AE16" s="65">
        <f ca="1">_xll.RiskMean(Y16)</f>
        <v>1.6999999999999999E-3</v>
      </c>
      <c r="AF16" s="65">
        <f ca="1">_xll.RiskMean(Z16)</f>
        <v>1E-4</v>
      </c>
      <c r="AG16" s="66">
        <f ca="1">_xll.RiskMean(AA16)</f>
        <v>0</v>
      </c>
    </row>
    <row r="17" spans="1:33" ht="15" x14ac:dyDescent="0.25">
      <c r="A17" s="7">
        <v>13</v>
      </c>
      <c r="B17" s="10" t="s">
        <v>37</v>
      </c>
      <c r="C17" s="11">
        <v>11.02</v>
      </c>
      <c r="D17">
        <v>13</v>
      </c>
      <c r="I17" s="44" t="s">
        <v>109</v>
      </c>
      <c r="U17" s="59" t="str">
        <f t="shared" si="0"/>
        <v>Yale </v>
      </c>
      <c r="V17" s="60">
        <f ca="1">_xll.RiskOutput($V$4&amp;"-"&amp;U17)+COUNTIF($N$7:$N$169,A17)</f>
        <v>0</v>
      </c>
      <c r="W17" s="60">
        <f ca="1">_xll.RiskOutput($W$4&amp;"-"&amp;U17)+COUNTIF($N$88:$N$119,A17)</f>
        <v>0</v>
      </c>
      <c r="X17" s="60">
        <f ca="1">_xll.RiskOutput($X$4&amp;"-"&amp;V17)+COUNTIF($N$127:$N$141,A17)</f>
        <v>0</v>
      </c>
      <c r="Y17" s="60">
        <f ca="1">_xll.RiskOutput($Y$4&amp;"-"&amp;W17)+COUNTIF($N$148:$N$154,A17)</f>
        <v>0</v>
      </c>
      <c r="Z17" s="60">
        <f ca="1">_xll.RiskOutput($Z$4&amp;"-"&amp;X17)+COUNTIF($N$161:$N$164,A17)</f>
        <v>0</v>
      </c>
      <c r="AA17" s="61">
        <f ca="1">_xll.RiskOutput($AA$4&amp;"-"&amp;Y17)+IF($N$169=A17,1,0)</f>
        <v>0</v>
      </c>
      <c r="AB17" s="59">
        <f ca="1">_xll.RiskMean(V17)</f>
        <v>0.1195</v>
      </c>
      <c r="AC17" s="65">
        <f ca="1">_xll.RiskMean(W17)</f>
        <v>1.6299999999999999E-2</v>
      </c>
      <c r="AD17" s="65">
        <f ca="1">_xll.RiskMean(X17)</f>
        <v>1E-4</v>
      </c>
      <c r="AE17" s="65">
        <f ca="1">_xll.RiskMean(Y17)</f>
        <v>0</v>
      </c>
      <c r="AF17" s="65">
        <f ca="1">_xll.RiskMean(Z17)</f>
        <v>0</v>
      </c>
      <c r="AG17" s="66">
        <f ca="1">_xll.RiskMean(AA17)</f>
        <v>0</v>
      </c>
    </row>
    <row r="18" spans="1:33" ht="15" x14ac:dyDescent="0.25">
      <c r="A18" s="7">
        <v>14</v>
      </c>
      <c r="B18" s="10" t="s">
        <v>38</v>
      </c>
      <c r="C18" s="11">
        <v>8.5500000000000007</v>
      </c>
      <c r="D18">
        <v>14</v>
      </c>
      <c r="G18" s="44" t="s">
        <v>97</v>
      </c>
      <c r="I18" s="44" t="s">
        <v>2</v>
      </c>
      <c r="J18" s="44" t="s">
        <v>3</v>
      </c>
      <c r="K18" s="44" t="s">
        <v>4</v>
      </c>
      <c r="L18" s="44" t="s">
        <v>5</v>
      </c>
      <c r="U18" s="59" t="str">
        <f t="shared" si="0"/>
        <v>Lipscomb </v>
      </c>
      <c r="V18" s="60">
        <f ca="1">_xll.RiskOutput($V$4&amp;"-"&amp;U18)+COUNTIF($N$7:$N$169,A18)</f>
        <v>0</v>
      </c>
      <c r="W18" s="60">
        <f ca="1">_xll.RiskOutput($W$4&amp;"-"&amp;U18)+COUNTIF($N$88:$N$119,A18)</f>
        <v>0</v>
      </c>
      <c r="X18" s="60">
        <f ca="1">_xll.RiskOutput($X$4&amp;"-"&amp;V18)+COUNTIF($N$127:$N$141,A18)</f>
        <v>0</v>
      </c>
      <c r="Y18" s="60">
        <f ca="1">_xll.RiskOutput($Y$4&amp;"-"&amp;W18)+COUNTIF($N$148:$N$154,A18)</f>
        <v>0</v>
      </c>
      <c r="Z18" s="60">
        <f ca="1">_xll.RiskOutput($Z$4&amp;"-"&amp;X18)+COUNTIF($N$161:$N$164,A18)</f>
        <v>0</v>
      </c>
      <c r="AA18" s="61">
        <f ca="1">_xll.RiskOutput($AA$4&amp;"-"&amp;Y18)+IF($N$169=A18,1,0)</f>
        <v>0</v>
      </c>
      <c r="AB18" s="59">
        <f ca="1">_xll.RiskMean(V18)</f>
        <v>3.9199999999999999E-2</v>
      </c>
      <c r="AC18" s="65">
        <f ca="1">_xll.RiskMean(W18)</f>
        <v>3.8999999999999998E-3</v>
      </c>
      <c r="AD18" s="65">
        <f ca="1">_xll.RiskMean(X18)</f>
        <v>2.0000000000000001E-4</v>
      </c>
      <c r="AE18" s="65">
        <f ca="1">_xll.RiskMean(Y18)</f>
        <v>0</v>
      </c>
      <c r="AF18" s="65">
        <f ca="1">_xll.RiskMean(Z18)</f>
        <v>0</v>
      </c>
      <c r="AG18" s="66">
        <f ca="1">_xll.RiskMean(AA18)</f>
        <v>0</v>
      </c>
    </row>
    <row r="19" spans="1:33" ht="15" x14ac:dyDescent="0.25">
      <c r="A19" s="7">
        <v>15</v>
      </c>
      <c r="B19" s="10" t="s">
        <v>39</v>
      </c>
      <c r="C19" s="11">
        <v>0.92</v>
      </c>
      <c r="D19">
        <v>15</v>
      </c>
      <c r="I19">
        <v>1</v>
      </c>
      <c r="J19" s="48">
        <v>1</v>
      </c>
      <c r="K19" t="str">
        <f t="shared" ref="K19:K50" si="13">VLOOKUP(J19,KenPomTable,2)</f>
        <v>Auburn </v>
      </c>
      <c r="L19">
        <f>VLOOKUP(J19,KenPomTable,3)-VLOOKUP(J20,KenPomTable,3)</f>
        <v>43.919999999999995</v>
      </c>
      <c r="M19">
        <f ca="1">_xll.RiskNormal(L19,$L$1)</f>
        <v>47.363063395770851</v>
      </c>
      <c r="N19">
        <f t="shared" ref="N19:N33" ca="1" si="14">IF(M19&gt;0,J19,J20)</f>
        <v>1</v>
      </c>
      <c r="O19" t="str">
        <f ca="1">VLOOKUP(N19,KenPomTable,2)</f>
        <v>Auburn </v>
      </c>
      <c r="P19">
        <f t="shared" ref="P19:P81" ca="1" si="15">IF(L19*M19&lt;0,1,0)</f>
        <v>0</v>
      </c>
      <c r="Q19">
        <f>_xlfn.NORM.DIST(0,ABS(L19),$L$1,TRUE)</f>
        <v>5.6156349640654802E-6</v>
      </c>
      <c r="R19">
        <f>1-Q19</f>
        <v>0.99999438436503596</v>
      </c>
      <c r="U19" s="59" t="str">
        <f t="shared" si="0"/>
        <v>Bryant </v>
      </c>
      <c r="V19" s="60">
        <f ca="1">_xll.RiskOutput($V$4&amp;"-"&amp;U19)+COUNTIF($N$7:$N$169,A19)</f>
        <v>0</v>
      </c>
      <c r="W19" s="60">
        <f ca="1">_xll.RiskOutput($W$4&amp;"-"&amp;U19)+COUNTIF($N$88:$N$119,A19)</f>
        <v>0</v>
      </c>
      <c r="X19" s="60">
        <f ca="1">_xll.RiskOutput($X$4&amp;"-"&amp;V19)+COUNTIF($N$127:$N$141,A19)</f>
        <v>0</v>
      </c>
      <c r="Y19" s="60">
        <f ca="1">_xll.RiskOutput($Y$4&amp;"-"&amp;W19)+COUNTIF($N$148:$N$154,A19)</f>
        <v>0</v>
      </c>
      <c r="Z19" s="60">
        <f ca="1">_xll.RiskOutput($Z$4&amp;"-"&amp;X19)+COUNTIF($N$161:$N$164,A19)</f>
        <v>0</v>
      </c>
      <c r="AA19" s="61">
        <f ca="1">_xll.RiskOutput($AA$4&amp;"-"&amp;Y19)+IF($N$169=A19,1,0)</f>
        <v>0</v>
      </c>
      <c r="AB19" s="59">
        <f ca="1">_xll.RiskMean(V19)</f>
        <v>3.0000000000000001E-3</v>
      </c>
      <c r="AC19" s="65">
        <f ca="1">_xll.RiskMean(W19)</f>
        <v>1E-4</v>
      </c>
      <c r="AD19" s="65">
        <f ca="1">_xll.RiskMean(X19)</f>
        <v>0</v>
      </c>
      <c r="AE19" s="65">
        <f ca="1">_xll.RiskMean(Y19)</f>
        <v>0</v>
      </c>
      <c r="AF19" s="65">
        <f ca="1">_xll.RiskMean(Z19)</f>
        <v>0</v>
      </c>
      <c r="AG19" s="66">
        <f ca="1">_xll.RiskMean(AA19)</f>
        <v>0</v>
      </c>
    </row>
    <row r="20" spans="1:33" ht="15" x14ac:dyDescent="0.25">
      <c r="A20" s="27">
        <v>16</v>
      </c>
      <c r="B20" s="28" t="s">
        <v>40</v>
      </c>
      <c r="C20" s="29">
        <v>-8.8699999999999992</v>
      </c>
      <c r="D20">
        <v>16</v>
      </c>
      <c r="G20" s="44"/>
      <c r="J20" s="48">
        <v>16</v>
      </c>
      <c r="K20" t="str">
        <f t="shared" si="13"/>
        <v>Alabama St. </v>
      </c>
      <c r="U20" s="59" t="str">
        <f t="shared" si="0"/>
        <v>Alabama St. </v>
      </c>
      <c r="V20" s="60">
        <f ca="1">_xll.RiskOutput($V$4&amp;"-"&amp;U20)+COUNTIF($N$7:$N$169,A20)</f>
        <v>0</v>
      </c>
      <c r="W20" s="60">
        <f ca="1">_xll.RiskOutput($W$4&amp;"-"&amp;U20)+COUNTIF($N$88:$N$119,A20)</f>
        <v>0</v>
      </c>
      <c r="X20" s="60">
        <f ca="1">_xll.RiskOutput($X$4&amp;"-"&amp;V20)+COUNTIF($N$127:$N$141,A20)</f>
        <v>0</v>
      </c>
      <c r="Y20" s="60">
        <f ca="1">_xll.RiskOutput($Y$4&amp;"-"&amp;W20)+COUNTIF($N$148:$N$154,A20)</f>
        <v>0</v>
      </c>
      <c r="Z20" s="60">
        <f ca="1">_xll.RiskOutput($Z$4&amp;"-"&amp;X20)+COUNTIF($N$161:$N$164,A20)</f>
        <v>0</v>
      </c>
      <c r="AA20" s="61">
        <f ca="1">_xll.RiskOutput($AA$4&amp;"-"&amp;Y20)+IF($N$169=A20,1,0)</f>
        <v>0</v>
      </c>
      <c r="AB20" s="59">
        <f ca="1">_xll.RiskMean(V20)</f>
        <v>0.65129999999999999</v>
      </c>
      <c r="AC20" s="65">
        <f ca="1">_xll.RiskMean(W20)</f>
        <v>0</v>
      </c>
      <c r="AD20" s="65">
        <f ca="1">_xll.RiskMean(X20)</f>
        <v>0</v>
      </c>
      <c r="AE20" s="65">
        <f ca="1">_xll.RiskMean(Y20)</f>
        <v>0</v>
      </c>
      <c r="AF20" s="65">
        <f ca="1">_xll.RiskMean(Z20)</f>
        <v>0</v>
      </c>
      <c r="AG20" s="66">
        <f ca="1">_xll.RiskMean(AA20)</f>
        <v>0</v>
      </c>
    </row>
    <row r="21" spans="1:33" ht="15" x14ac:dyDescent="0.25">
      <c r="A21" s="24">
        <v>17</v>
      </c>
      <c r="B21" s="28" t="s">
        <v>41</v>
      </c>
      <c r="C21" s="29">
        <v>-12.76</v>
      </c>
      <c r="D21" s="44" t="s">
        <v>18</v>
      </c>
      <c r="I21">
        <v>2</v>
      </c>
      <c r="J21" s="48">
        <v>8</v>
      </c>
      <c r="K21" t="str">
        <f t="shared" si="13"/>
        <v>Louisville </v>
      </c>
      <c r="L21">
        <f>VLOOKUP(J21,KenPomTable,3)-VLOOKUP(J22,KenPomTable,3)</f>
        <v>2.2899999999999991</v>
      </c>
      <c r="M21">
        <f ca="1">_xll.RiskNormal(L21,$L$1)</f>
        <v>20.719761596327103</v>
      </c>
      <c r="N21">
        <f t="shared" ca="1" si="14"/>
        <v>8</v>
      </c>
      <c r="O21" t="str">
        <f ca="1">VLOOKUP(N21,KenPomTable,2)</f>
        <v>Louisville </v>
      </c>
      <c r="P21">
        <f t="shared" ca="1" si="15"/>
        <v>0</v>
      </c>
      <c r="Q21">
        <f t="shared" ref="Q21" si="16">_xlfn.NORM.DIST(0,ABS(L21),$L$1,TRUE)</f>
        <v>0.40943445806275713</v>
      </c>
      <c r="R21">
        <f t="shared" ref="R21" si="17">1-Q21</f>
        <v>0.59056554193724287</v>
      </c>
      <c r="U21" s="59" t="str">
        <f t="shared" si="0"/>
        <v>Saint Francis </v>
      </c>
      <c r="V21" s="60">
        <f ca="1">_xll.RiskOutput($V$4&amp;"-"&amp;U21)+COUNTIF($N$7:$N$169,A21)</f>
        <v>1</v>
      </c>
      <c r="W21" s="60">
        <f ca="1">_xll.RiskOutput($W$4&amp;"-"&amp;U21)+COUNTIF($N$88:$N$119,A21)</f>
        <v>0</v>
      </c>
      <c r="X21" s="60">
        <f ca="1">_xll.RiskOutput($X$4&amp;"-"&amp;V21)+COUNTIF($N$127:$N$141,A21)</f>
        <v>0</v>
      </c>
      <c r="Y21" s="60">
        <f ca="1">_xll.RiskOutput($Y$4&amp;"-"&amp;W21)+COUNTIF($N$148:$N$154,A21)</f>
        <v>0</v>
      </c>
      <c r="Z21" s="60">
        <f ca="1">_xll.RiskOutput($Z$4&amp;"-"&amp;X21)+COUNTIF($N$161:$N$164,A21)</f>
        <v>0</v>
      </c>
      <c r="AA21" s="61">
        <f ca="1">_xll.RiskOutput($AA$4&amp;"-"&amp;Y21)+IF($N$169=A21,1,0)</f>
        <v>0</v>
      </c>
      <c r="AB21" s="59">
        <f ca="1">_xll.RiskMean(V21)</f>
        <v>0.34870000000000001</v>
      </c>
      <c r="AC21" s="65">
        <f ca="1">_xll.RiskMean(W21)</f>
        <v>0</v>
      </c>
      <c r="AD21" s="65">
        <f ca="1">_xll.RiskMean(X21)</f>
        <v>0</v>
      </c>
      <c r="AE21" s="65">
        <f ca="1">_xll.RiskMean(Y21)</f>
        <v>0</v>
      </c>
      <c r="AF21" s="65">
        <f ca="1">_xll.RiskMean(Z21)</f>
        <v>0</v>
      </c>
      <c r="AG21" s="66">
        <f ca="1">_xll.RiskMean(AA21)</f>
        <v>0</v>
      </c>
    </row>
    <row r="22" spans="1:33" ht="15" x14ac:dyDescent="0.25">
      <c r="A22" s="7">
        <v>18</v>
      </c>
      <c r="B22" s="30" t="s">
        <v>42</v>
      </c>
      <c r="C22" s="31">
        <v>15.13</v>
      </c>
      <c r="D22" s="44" t="s">
        <v>18</v>
      </c>
      <c r="J22" s="48">
        <v>9</v>
      </c>
      <c r="K22" t="str">
        <f t="shared" si="13"/>
        <v>Creighton </v>
      </c>
      <c r="U22" s="59" t="str">
        <f t="shared" si="0"/>
        <v>San Diego St. </v>
      </c>
      <c r="V22" s="60">
        <f ca="1">_xll.RiskOutput($V$4&amp;"-"&amp;U22)+COUNTIF($N$7:$N$169,A22)</f>
        <v>1</v>
      </c>
      <c r="W22" s="60">
        <f ca="1">_xll.RiskOutput($W$4&amp;"-"&amp;U22)+COUNTIF($N$88:$N$119,A22)</f>
        <v>0</v>
      </c>
      <c r="X22" s="60">
        <f ca="1">_xll.RiskOutput($X$4&amp;"-"&amp;V22)+COUNTIF($N$127:$N$141,A22)</f>
        <v>0</v>
      </c>
      <c r="Y22" s="60">
        <f ca="1">_xll.RiskOutput($Y$4&amp;"-"&amp;W22)+COUNTIF($N$148:$N$154,A22)</f>
        <v>0</v>
      </c>
      <c r="Z22" s="60">
        <f ca="1">_xll.RiskOutput($Z$4&amp;"-"&amp;X22)+COUNTIF($N$161:$N$164,A22)</f>
        <v>0</v>
      </c>
      <c r="AA22" s="61">
        <f ca="1">_xll.RiskOutput($AA$4&amp;"-"&amp;Y22)+IF($N$169=A22,1,0)</f>
        <v>0</v>
      </c>
      <c r="AB22" s="59">
        <f ca="1">_xll.RiskMean(V22)</f>
        <v>0.30159999999999998</v>
      </c>
      <c r="AC22" s="65">
        <f ca="1">_xll.RiskMean(W22)</f>
        <v>0</v>
      </c>
      <c r="AD22" s="65">
        <f ca="1">_xll.RiskMean(X22)</f>
        <v>0</v>
      </c>
      <c r="AE22" s="65">
        <f ca="1">_xll.RiskMean(Y22)</f>
        <v>0</v>
      </c>
      <c r="AF22" s="65">
        <f ca="1">_xll.RiskMean(Z22)</f>
        <v>0</v>
      </c>
      <c r="AG22" s="66">
        <f ca="1">_xll.RiskMean(AA22)</f>
        <v>0</v>
      </c>
    </row>
    <row r="23" spans="1:33" ht="15" x14ac:dyDescent="0.25">
      <c r="A23" s="32">
        <v>19</v>
      </c>
      <c r="B23" s="33" t="s">
        <v>43</v>
      </c>
      <c r="C23" s="34">
        <v>39.29</v>
      </c>
      <c r="D23">
        <v>1</v>
      </c>
      <c r="I23">
        <v>3</v>
      </c>
      <c r="J23" s="48">
        <v>5</v>
      </c>
      <c r="K23" t="str">
        <f t="shared" si="13"/>
        <v>Michigan </v>
      </c>
      <c r="L23">
        <f>VLOOKUP(J23,KenPomTable,3)-VLOOKUP(J24,KenPomTable,3)</f>
        <v>5.1999999999999993</v>
      </c>
      <c r="M23">
        <f ca="1">_xll.RiskNormal(L23,$L$1)</f>
        <v>-4.2303538174054545</v>
      </c>
      <c r="N23">
        <f t="shared" ca="1" si="14"/>
        <v>12</v>
      </c>
      <c r="O23" t="str">
        <f ca="1">VLOOKUP(N23,KenPomTable,2)</f>
        <v>UC San Diego </v>
      </c>
      <c r="P23">
        <f t="shared" ca="1" si="15"/>
        <v>1</v>
      </c>
      <c r="Q23">
        <f t="shared" ref="Q23" si="18">_xlfn.NORM.DIST(0,ABS(L23),$L$1,TRUE)</f>
        <v>0.30153178754696619</v>
      </c>
      <c r="R23">
        <f t="shared" ref="R23" si="19">1-Q23</f>
        <v>0.69846821245303381</v>
      </c>
      <c r="U23" s="59" t="str">
        <f t="shared" si="0"/>
        <v>Duke </v>
      </c>
      <c r="V23" s="60">
        <f ca="1">_xll.RiskOutput($V$4&amp;"-"&amp;U23)+COUNTIF($N$7:$N$169,A23)</f>
        <v>6</v>
      </c>
      <c r="W23" s="60">
        <f ca="1">_xll.RiskOutput($W$4&amp;"-"&amp;U23)+COUNTIF($N$88:$N$119,A23)</f>
        <v>1</v>
      </c>
      <c r="X23" s="60">
        <f ca="1">_xll.RiskOutput($X$4&amp;"-"&amp;V23)+COUNTIF($N$127:$N$141,A23)</f>
        <v>1</v>
      </c>
      <c r="Y23" s="60">
        <f ca="1">_xll.RiskOutput($Y$4&amp;"-"&amp;W23)+COUNTIF($N$148:$N$154,A23)</f>
        <v>1</v>
      </c>
      <c r="Z23" s="60">
        <f ca="1">_xll.RiskOutput($Z$4&amp;"-"&amp;X23)+COUNTIF($N$161:$N$164,A23)</f>
        <v>1</v>
      </c>
      <c r="AA23" s="61">
        <f ca="1">_xll.RiskOutput($AA$4&amp;"-"&amp;Y23)+IF($N$169=A23,1,0)</f>
        <v>1</v>
      </c>
      <c r="AB23" s="59">
        <f ca="1">_xll.RiskMean(V23)</f>
        <v>4.5336999999999996</v>
      </c>
      <c r="AC23" s="65">
        <f ca="1">_xll.RiskMean(W23)</f>
        <v>0.96960000000000002</v>
      </c>
      <c r="AD23" s="65">
        <f ca="1">_xll.RiskMean(X23)</f>
        <v>0.89119999999999999</v>
      </c>
      <c r="AE23" s="65">
        <f ca="1">_xll.RiskMean(Y23)</f>
        <v>0.76559999999999995</v>
      </c>
      <c r="AF23" s="65">
        <f ca="1">_xll.RiskMean(Z23)</f>
        <v>0.53669999999999995</v>
      </c>
      <c r="AG23" s="66">
        <f ca="1">_xll.RiskMean(AA23)</f>
        <v>0.37059999999999998</v>
      </c>
    </row>
    <row r="24" spans="1:33" ht="15" x14ac:dyDescent="0.25">
      <c r="A24" s="45">
        <v>20</v>
      </c>
      <c r="B24" s="33" t="s">
        <v>44</v>
      </c>
      <c r="C24" s="34">
        <v>30.34</v>
      </c>
      <c r="D24">
        <v>2</v>
      </c>
      <c r="J24" s="48">
        <v>12</v>
      </c>
      <c r="K24" t="str">
        <f t="shared" si="13"/>
        <v>UC San Diego </v>
      </c>
      <c r="U24" s="59" t="str">
        <f t="shared" si="0"/>
        <v>Alabama </v>
      </c>
      <c r="V24" s="60">
        <f ca="1">_xll.RiskOutput($V$4&amp;"-"&amp;U24)+COUNTIF($N$7:$N$169,A24)</f>
        <v>1</v>
      </c>
      <c r="W24" s="60">
        <f ca="1">_xll.RiskOutput($W$4&amp;"-"&amp;U24)+COUNTIF($N$88:$N$119,A24)</f>
        <v>0</v>
      </c>
      <c r="X24" s="60">
        <f ca="1">_xll.RiskOutput($X$4&amp;"-"&amp;V24)+COUNTIF($N$127:$N$141,A24)</f>
        <v>0</v>
      </c>
      <c r="Y24" s="60">
        <f ca="1">_xll.RiskOutput($Y$4&amp;"-"&amp;W24)+COUNTIF($N$148:$N$154,A24)</f>
        <v>0</v>
      </c>
      <c r="Z24" s="60">
        <f ca="1">_xll.RiskOutput($Z$4&amp;"-"&amp;X24)+COUNTIF($N$161:$N$164,A24)</f>
        <v>0</v>
      </c>
      <c r="AA24" s="61">
        <f ca="1">_xll.RiskOutput($AA$4&amp;"-"&amp;Y24)+IF($N$169=A24,1,0)</f>
        <v>0</v>
      </c>
      <c r="AB24" s="59">
        <f ca="1">_xll.RiskMean(V24)</f>
        <v>2.5886999999999998</v>
      </c>
      <c r="AC24" s="65">
        <f ca="1">_xll.RiskMean(W24)</f>
        <v>0.81240000000000001</v>
      </c>
      <c r="AD24" s="65">
        <f ca="1">_xll.RiskMean(X24)</f>
        <v>0.56759999999999999</v>
      </c>
      <c r="AE24" s="65">
        <f ca="1">_xll.RiskMean(Y24)</f>
        <v>0.13619999999999999</v>
      </c>
      <c r="AF24" s="65">
        <f ca="1">_xll.RiskMean(Z24)</f>
        <v>5.7099999999999998E-2</v>
      </c>
      <c r="AG24" s="66">
        <f ca="1">_xll.RiskMean(AA24)</f>
        <v>1.8499999999999999E-2</v>
      </c>
    </row>
    <row r="25" spans="1:33" ht="15" x14ac:dyDescent="0.25">
      <c r="A25" s="32">
        <v>21</v>
      </c>
      <c r="B25" s="33" t="s">
        <v>45</v>
      </c>
      <c r="C25" s="34">
        <v>26.57</v>
      </c>
      <c r="D25">
        <v>3</v>
      </c>
      <c r="I25">
        <v>4</v>
      </c>
      <c r="J25" s="48">
        <v>4</v>
      </c>
      <c r="K25" t="str">
        <f t="shared" si="13"/>
        <v>Texas A&amp;M </v>
      </c>
      <c r="L25">
        <f>VLOOKUP(J25,KenPomTable,3)-VLOOKUP(J26,KenPomTable,3)</f>
        <v>12.64</v>
      </c>
      <c r="M25">
        <f ca="1">_xll.RiskNormal(L25,$L$1)</f>
        <v>17.358120178947051</v>
      </c>
      <c r="N25">
        <f t="shared" ca="1" si="14"/>
        <v>4</v>
      </c>
      <c r="O25" t="str">
        <f ca="1">VLOOKUP(N25,KenPomTable,2)</f>
        <v>Texas A&amp;M </v>
      </c>
      <c r="P25">
        <f t="shared" ca="1" si="15"/>
        <v>0</v>
      </c>
      <c r="Q25">
        <f t="shared" ref="Q25" si="20">_xlfn.NORM.DIST(0,ABS(L25),$L$1,TRUE)</f>
        <v>0.10311501347578128</v>
      </c>
      <c r="R25">
        <f t="shared" ref="R25" si="21">1-Q25</f>
        <v>0.89688498652421877</v>
      </c>
      <c r="U25" s="59" t="str">
        <f t="shared" si="0"/>
        <v>Wisconsin </v>
      </c>
      <c r="V25" s="60">
        <f ca="1">_xll.RiskOutput($V$4&amp;"-"&amp;U25)+COUNTIF($N$7:$N$169,A25)</f>
        <v>3</v>
      </c>
      <c r="W25" s="60">
        <f ca="1">_xll.RiskOutput($W$4&amp;"-"&amp;U25)+COUNTIF($N$88:$N$119,A25)</f>
        <v>1</v>
      </c>
      <c r="X25" s="60">
        <f ca="1">_xll.RiskOutput($X$4&amp;"-"&amp;V25)+COUNTIF($N$127:$N$141,A25)</f>
        <v>1</v>
      </c>
      <c r="Y25" s="60">
        <f ca="1">_xll.RiskOutput($Y$4&amp;"-"&amp;W25)+COUNTIF($N$148:$N$154,A25)</f>
        <v>0</v>
      </c>
      <c r="Z25" s="60">
        <f ca="1">_xll.RiskOutput($Z$4&amp;"-"&amp;X25)+COUNTIF($N$161:$N$164,A25)</f>
        <v>0</v>
      </c>
      <c r="AA25" s="61">
        <f ca="1">_xll.RiskOutput($AA$4&amp;"-"&amp;Y25)+IF($N$169=A25,1,0)</f>
        <v>0</v>
      </c>
      <c r="AB25" s="59">
        <f ca="1">_xll.RiskMean(V25)</f>
        <v>2.0373000000000001</v>
      </c>
      <c r="AC25" s="65">
        <f ca="1">_xll.RiskMean(W25)</f>
        <v>0.6986</v>
      </c>
      <c r="AD25" s="65">
        <f ca="1">_xll.RiskMean(X25)</f>
        <v>0.28389999999999999</v>
      </c>
      <c r="AE25" s="65">
        <f ca="1">_xll.RiskMean(Y25)</f>
        <v>4.3400000000000001E-2</v>
      </c>
      <c r="AF25" s="65">
        <f ca="1">_xll.RiskMean(Z25)</f>
        <v>1.18E-2</v>
      </c>
      <c r="AG25" s="66">
        <f ca="1">_xll.RiskMean(AA25)</f>
        <v>3.7000000000000002E-3</v>
      </c>
    </row>
    <row r="26" spans="1:33" ht="15" x14ac:dyDescent="0.25">
      <c r="A26" s="32">
        <v>22</v>
      </c>
      <c r="B26" s="33" t="s">
        <v>46</v>
      </c>
      <c r="C26" s="34">
        <v>26.35</v>
      </c>
      <c r="D26">
        <v>4</v>
      </c>
      <c r="I26" s="44" t="s">
        <v>19</v>
      </c>
      <c r="J26" s="48">
        <v>13</v>
      </c>
      <c r="K26" t="str">
        <f t="shared" si="13"/>
        <v>Yale </v>
      </c>
      <c r="U26" s="59" t="str">
        <f t="shared" si="0"/>
        <v>Arizona </v>
      </c>
      <c r="V26" s="60">
        <f ca="1">_xll.RiskOutput($V$4&amp;"-"&amp;U26)+COUNTIF($N$7:$N$169,A26)</f>
        <v>1</v>
      </c>
      <c r="W26" s="60">
        <f ca="1">_xll.RiskOutput($W$4&amp;"-"&amp;U26)+COUNTIF($N$88:$N$119,A26)</f>
        <v>0</v>
      </c>
      <c r="X26" s="60">
        <f ca="1">_xll.RiskOutput($X$4&amp;"-"&amp;V26)+COUNTIF($N$127:$N$141,A26)</f>
        <v>0</v>
      </c>
      <c r="Y26" s="60">
        <f ca="1">_xll.RiskOutput($Y$4&amp;"-"&amp;W26)+COUNTIF($N$148:$N$154,A26)</f>
        <v>0</v>
      </c>
      <c r="Z26" s="60">
        <f ca="1">_xll.RiskOutput($Z$4&amp;"-"&amp;X26)+COUNTIF($N$161:$N$164,A26)</f>
        <v>0</v>
      </c>
      <c r="AA26" s="61">
        <f ca="1">_xll.RiskOutput($AA$4&amp;"-"&amp;Y26)+IF($N$169=A26,1,0)</f>
        <v>0</v>
      </c>
      <c r="AB26" s="59">
        <f ca="1">_xll.RiskMean(V26)</f>
        <v>1.8075000000000001</v>
      </c>
      <c r="AC26" s="65">
        <f ca="1">_xll.RiskMean(W26)</f>
        <v>0.70020000000000004</v>
      </c>
      <c r="AD26" s="65">
        <f ca="1">_xll.RiskMean(X26)</f>
        <v>8.3000000000000004E-2</v>
      </c>
      <c r="AE26" s="65">
        <f ca="1">_xll.RiskMean(Y26)</f>
        <v>3.6700000000000003E-2</v>
      </c>
      <c r="AF26" s="65">
        <f ca="1">_xll.RiskMean(Z26)</f>
        <v>9.2999999999999992E-3</v>
      </c>
      <c r="AG26" s="66">
        <f ca="1">_xll.RiskMean(AA26)</f>
        <v>1.6999999999999999E-3</v>
      </c>
    </row>
    <row r="27" spans="1:33" ht="15" x14ac:dyDescent="0.25">
      <c r="A27" s="32">
        <v>23</v>
      </c>
      <c r="B27" s="33" t="s">
        <v>47</v>
      </c>
      <c r="C27" s="34">
        <v>21.85</v>
      </c>
      <c r="D27">
        <v>5</v>
      </c>
      <c r="I27">
        <v>5</v>
      </c>
      <c r="J27" s="48">
        <v>6</v>
      </c>
      <c r="K27" t="str">
        <f t="shared" si="13"/>
        <v>Mississippi </v>
      </c>
      <c r="L27">
        <f>VLOOKUP(J27,KenPomTable,3)-VLOOKUP(J28,KenPomTable,3)</f>
        <v>3.0100000000000016</v>
      </c>
      <c r="M27">
        <f ca="1">_xll.RiskNormal(L27,$L$1)</f>
        <v>3.7238874236704747</v>
      </c>
      <c r="N27">
        <f t="shared" ca="1" si="14"/>
        <v>6</v>
      </c>
      <c r="O27" t="str">
        <f ca="1">VLOOKUP(N27,KenPomTable,2)</f>
        <v>Mississippi </v>
      </c>
      <c r="P27">
        <f t="shared" ca="1" si="15"/>
        <v>0</v>
      </c>
      <c r="Q27">
        <f t="shared" ref="Q27" si="22">_xlfn.NORM.DIST(0,ABS(L27),$L$1,TRUE)</f>
        <v>0.381707247261589</v>
      </c>
      <c r="R27">
        <f t="shared" ref="R27" si="23">1-Q27</f>
        <v>0.618292752738411</v>
      </c>
      <c r="U27" s="59" t="str">
        <f t="shared" si="0"/>
        <v>Oregon </v>
      </c>
      <c r="V27" s="60">
        <f ca="1">_xll.RiskOutput($V$4&amp;"-"&amp;U27)+COUNTIF($N$7:$N$169,A27)</f>
        <v>2</v>
      </c>
      <c r="W27" s="60">
        <f ca="1">_xll.RiskOutput($W$4&amp;"-"&amp;U27)+COUNTIF($N$88:$N$119,A27)</f>
        <v>1</v>
      </c>
      <c r="X27" s="60">
        <f ca="1">_xll.RiskOutput($X$4&amp;"-"&amp;V27)+COUNTIF($N$127:$N$141,A27)</f>
        <v>0</v>
      </c>
      <c r="Y27" s="60">
        <f ca="1">_xll.RiskOutput($Y$4&amp;"-"&amp;W27)+COUNTIF($N$148:$N$154,A27)</f>
        <v>0</v>
      </c>
      <c r="Z27" s="60">
        <f ca="1">_xll.RiskOutput($Z$4&amp;"-"&amp;X27)+COUNTIF($N$161:$N$164,A27)</f>
        <v>0</v>
      </c>
      <c r="AA27" s="61">
        <f ca="1">_xll.RiskOutput($AA$4&amp;"-"&amp;Y27)+IF($N$169=A27,1,0)</f>
        <v>0</v>
      </c>
      <c r="AB27" s="59">
        <f ca="1">_xll.RiskMean(V27)</f>
        <v>1.1292</v>
      </c>
      <c r="AC27" s="65">
        <f ca="1">_xll.RiskMean(W27)</f>
        <v>0.28160000000000002</v>
      </c>
      <c r="AD27" s="65">
        <f ca="1">_xll.RiskMean(X27)</f>
        <v>1.5800000000000002E-2</v>
      </c>
      <c r="AE27" s="65">
        <f ca="1">_xll.RiskMean(Y27)</f>
        <v>4.3E-3</v>
      </c>
      <c r="AF27" s="65">
        <f ca="1">_xll.RiskMean(Z27)</f>
        <v>1.1000000000000001E-3</v>
      </c>
      <c r="AG27" s="66">
        <f ca="1">_xll.RiskMean(AA27)</f>
        <v>2.9999999999999997E-4</v>
      </c>
    </row>
    <row r="28" spans="1:33" ht="15" x14ac:dyDescent="0.25">
      <c r="A28" s="45">
        <v>24</v>
      </c>
      <c r="B28" s="33" t="s">
        <v>48</v>
      </c>
      <c r="C28" s="34">
        <v>22.31</v>
      </c>
      <c r="D28">
        <v>6</v>
      </c>
      <c r="J28" s="48">
        <v>11</v>
      </c>
      <c r="K28" t="str">
        <f t="shared" si="13"/>
        <v>North Carolina </v>
      </c>
      <c r="U28" s="59" t="str">
        <f t="shared" si="0"/>
        <v>BYU </v>
      </c>
      <c r="V28" s="60">
        <f ca="1">_xll.RiskOutput($V$4&amp;"-"&amp;U28)+COUNTIF($N$7:$N$169,A28)</f>
        <v>1</v>
      </c>
      <c r="W28" s="60">
        <f ca="1">_xll.RiskOutput($W$4&amp;"-"&amp;U28)+COUNTIF($N$88:$N$119,A28)</f>
        <v>0</v>
      </c>
      <c r="X28" s="60">
        <f ca="1">_xll.RiskOutput($X$4&amp;"-"&amp;V28)+COUNTIF($N$127:$N$141,A28)</f>
        <v>0</v>
      </c>
      <c r="Y28" s="60">
        <f ca="1">_xll.RiskOutput($Y$4&amp;"-"&amp;W28)+COUNTIF($N$148:$N$154,A28)</f>
        <v>0</v>
      </c>
      <c r="Z28" s="60">
        <f ca="1">_xll.RiskOutput($Z$4&amp;"-"&amp;X28)+COUNTIF($N$161:$N$164,A28)</f>
        <v>0</v>
      </c>
      <c r="AA28" s="61">
        <f ca="1">_xll.RiskOutput($AA$4&amp;"-"&amp;Y28)+IF($N$169=A28,1,0)</f>
        <v>0</v>
      </c>
      <c r="AB28" s="59">
        <f ca="1">_xll.RiskMean(V28)</f>
        <v>0.88109999999999999</v>
      </c>
      <c r="AC28" s="65">
        <f ca="1">_xll.RiskMean(W28)</f>
        <v>0.20830000000000001</v>
      </c>
      <c r="AD28" s="65">
        <f ca="1">_xll.RiskMean(X28)</f>
        <v>5.7599999999999998E-2</v>
      </c>
      <c r="AE28" s="65">
        <f ca="1">_xll.RiskMean(Y28)</f>
        <v>5.0000000000000001E-3</v>
      </c>
      <c r="AF28" s="65">
        <f ca="1">_xll.RiskMean(Z28)</f>
        <v>5.9999999999999995E-4</v>
      </c>
      <c r="AG28" s="66">
        <f ca="1">_xll.RiskMean(AA28)</f>
        <v>1E-4</v>
      </c>
    </row>
    <row r="29" spans="1:33" ht="15" x14ac:dyDescent="0.25">
      <c r="A29" s="45">
        <v>25</v>
      </c>
      <c r="B29" s="33" t="s">
        <v>49</v>
      </c>
      <c r="C29" s="34">
        <v>22.73</v>
      </c>
      <c r="D29">
        <v>7</v>
      </c>
      <c r="I29">
        <v>6</v>
      </c>
      <c r="J29" s="48">
        <v>3</v>
      </c>
      <c r="K29" t="str">
        <f t="shared" si="13"/>
        <v>Iowa St. </v>
      </c>
      <c r="L29">
        <f>VLOOKUP(J29,KenPomTable,3)-VLOOKUP(J30,KenPomTable,3)</f>
        <v>18.099999999999998</v>
      </c>
      <c r="M29">
        <f ca="1">_xll.RiskNormal(L29,$L$1)</f>
        <v>10.830150667124016</v>
      </c>
      <c r="N29">
        <f t="shared" ca="1" si="14"/>
        <v>3</v>
      </c>
      <c r="O29" t="str">
        <f ca="1">VLOOKUP(N29,KenPomTable,2)</f>
        <v>Iowa St. </v>
      </c>
      <c r="P29">
        <f t="shared" ca="1" si="15"/>
        <v>0</v>
      </c>
      <c r="Q29">
        <f t="shared" ref="Q29" si="24">_xlfn.NORM.DIST(0,ABS(L29),$L$1,TRUE)</f>
        <v>3.5147893584038817E-2</v>
      </c>
      <c r="R29">
        <f t="shared" ref="R29" si="25">1-Q29</f>
        <v>0.9648521064159612</v>
      </c>
      <c r="U29" s="59" t="str">
        <f t="shared" si="0"/>
        <v>Saint Mary's </v>
      </c>
      <c r="V29" s="60">
        <f ca="1">_xll.RiskOutput($V$4&amp;"-"&amp;U29)+COUNTIF($N$7:$N$169,A29)</f>
        <v>2</v>
      </c>
      <c r="W29" s="60">
        <f ca="1">_xll.RiskOutput($W$4&amp;"-"&amp;U29)+COUNTIF($N$88:$N$119,A29)</f>
        <v>1</v>
      </c>
      <c r="X29" s="60">
        <f ca="1">_xll.RiskOutput($X$4&amp;"-"&amp;V29)+COUNTIF($N$127:$N$141,A29)</f>
        <v>0</v>
      </c>
      <c r="Y29" s="60">
        <f ca="1">_xll.RiskOutput($Y$4&amp;"-"&amp;W29)+COUNTIF($N$148:$N$154,A29)</f>
        <v>0</v>
      </c>
      <c r="Z29" s="60">
        <f ca="1">_xll.RiskOutput($Z$4&amp;"-"&amp;X29)+COUNTIF($N$161:$N$164,A29)</f>
        <v>0</v>
      </c>
      <c r="AA29" s="61">
        <f ca="1">_xll.RiskOutput($AA$4&amp;"-"&amp;Y29)+IF($N$169=A29,1,0)</f>
        <v>0</v>
      </c>
      <c r="AB29" s="59">
        <f ca="1">_xll.RiskMean(V29)</f>
        <v>0.98319999999999996</v>
      </c>
      <c r="AC29" s="65">
        <f ca="1">_xll.RiskMean(W29)</f>
        <v>0.16589999999999999</v>
      </c>
      <c r="AD29" s="65">
        <f ca="1">_xll.RiskMean(X29)</f>
        <v>6.8500000000000005E-2</v>
      </c>
      <c r="AE29" s="65">
        <f ca="1">_xll.RiskMean(Y29)</f>
        <v>6.1000000000000004E-3</v>
      </c>
      <c r="AF29" s="65">
        <f ca="1">_xll.RiskMean(Z29)</f>
        <v>4.0000000000000002E-4</v>
      </c>
      <c r="AG29" s="66">
        <f ca="1">_xll.RiskMean(AA29)</f>
        <v>1E-4</v>
      </c>
    </row>
    <row r="30" spans="1:33" ht="15" x14ac:dyDescent="0.25">
      <c r="A30" s="45">
        <v>26</v>
      </c>
      <c r="B30" s="33" t="s">
        <v>50</v>
      </c>
      <c r="C30" s="34">
        <v>20.02</v>
      </c>
      <c r="D30">
        <v>8</v>
      </c>
      <c r="J30" s="48">
        <v>14</v>
      </c>
      <c r="K30" t="str">
        <f t="shared" si="13"/>
        <v>Lipscomb </v>
      </c>
      <c r="U30" s="59" t="str">
        <f t="shared" si="0"/>
        <v>Mississippi St. </v>
      </c>
      <c r="V30" s="60">
        <f ca="1">_xll.RiskOutput($V$4&amp;"-"&amp;U30)+COUNTIF($N$7:$N$169,A30)</f>
        <v>1</v>
      </c>
      <c r="W30" s="60">
        <f ca="1">_xll.RiskOutput($W$4&amp;"-"&amp;U30)+COUNTIF($N$88:$N$119,A30)</f>
        <v>0</v>
      </c>
      <c r="X30" s="60">
        <f ca="1">_xll.RiskOutput($X$4&amp;"-"&amp;V30)+COUNTIF($N$127:$N$141,A30)</f>
        <v>0</v>
      </c>
      <c r="Y30" s="60">
        <f ca="1">_xll.RiskOutput($Y$4&amp;"-"&amp;W30)+COUNTIF($N$148:$N$154,A30)</f>
        <v>0</v>
      </c>
      <c r="Z30" s="60">
        <f ca="1">_xll.RiskOutput($Z$4&amp;"-"&amp;X30)+COUNTIF($N$161:$N$164,A30)</f>
        <v>0</v>
      </c>
      <c r="AA30" s="61">
        <f ca="1">_xll.RiskOutput($AA$4&amp;"-"&amp;Y30)+IF($N$169=A30,1,0)</f>
        <v>0</v>
      </c>
      <c r="AB30" s="59">
        <f ca="1">_xll.RiskMean(V30)</f>
        <v>0.48409999999999997</v>
      </c>
      <c r="AC30" s="65">
        <f ca="1">_xll.RiskMean(W30)</f>
        <v>1.2500000000000001E-2</v>
      </c>
      <c r="AD30" s="65">
        <f ca="1">_xll.RiskMean(X30)</f>
        <v>3.5000000000000001E-3</v>
      </c>
      <c r="AE30" s="65">
        <f ca="1">_xll.RiskMean(Y30)</f>
        <v>4.0000000000000002E-4</v>
      </c>
      <c r="AF30" s="65">
        <f ca="1">_xll.RiskMean(Z30)</f>
        <v>0</v>
      </c>
      <c r="AG30" s="66">
        <f ca="1">_xll.RiskMean(AA30)</f>
        <v>0</v>
      </c>
    </row>
    <row r="31" spans="1:33" ht="15" x14ac:dyDescent="0.25">
      <c r="A31" s="45">
        <v>27</v>
      </c>
      <c r="B31" s="33" t="s">
        <v>51</v>
      </c>
      <c r="C31" s="34">
        <v>20.83</v>
      </c>
      <c r="D31">
        <v>9</v>
      </c>
      <c r="I31">
        <v>7</v>
      </c>
      <c r="J31" s="48">
        <v>7</v>
      </c>
      <c r="K31" t="str">
        <f t="shared" si="13"/>
        <v>Marquette </v>
      </c>
      <c r="L31">
        <f>VLOOKUP(J31,KenPomTable,3)-VLOOKUP(J32,KenPomTable,3)</f>
        <v>3.2300000000000004</v>
      </c>
      <c r="M31">
        <f ca="1">_xll.RiskNormal(L31,$L$1)</f>
        <v>2.6808774350930618</v>
      </c>
      <c r="N31">
        <f t="shared" ca="1" si="14"/>
        <v>7</v>
      </c>
      <c r="O31" t="str">
        <f ca="1">VLOOKUP(N31,KenPomTable,2)</f>
        <v>Marquette </v>
      </c>
      <c r="P31">
        <f t="shared" ca="1" si="15"/>
        <v>0</v>
      </c>
      <c r="Q31">
        <f t="shared" ref="Q31" si="26">_xlfn.NORM.DIST(0,ABS(L31),$L$1,TRUE)</f>
        <v>0.37334762103197161</v>
      </c>
      <c r="R31">
        <f t="shared" ref="R31" si="27">1-Q31</f>
        <v>0.62665237896802839</v>
      </c>
      <c r="U31" s="59" t="str">
        <f t="shared" si="0"/>
        <v>Baylor </v>
      </c>
      <c r="V31" s="60">
        <f ca="1">_xll.RiskOutput($V$4&amp;"-"&amp;U31)+COUNTIF($N$7:$N$169,A31)</f>
        <v>0</v>
      </c>
      <c r="W31" s="60">
        <f ca="1">_xll.RiskOutput($W$4&amp;"-"&amp;U31)+COUNTIF($N$88:$N$119,A31)</f>
        <v>0</v>
      </c>
      <c r="X31" s="60">
        <f ca="1">_xll.RiskOutput($X$4&amp;"-"&amp;V31)+COUNTIF($N$127:$N$141,A31)</f>
        <v>0</v>
      </c>
      <c r="Y31" s="60">
        <f ca="1">_xll.RiskOutput($Y$4&amp;"-"&amp;W31)+COUNTIF($N$148:$N$154,A31)</f>
        <v>0</v>
      </c>
      <c r="Z31" s="60">
        <f ca="1">_xll.RiskOutput($Z$4&amp;"-"&amp;X31)+COUNTIF($N$161:$N$164,A31)</f>
        <v>0</v>
      </c>
      <c r="AA31" s="61">
        <f ca="1">_xll.RiskOutput($AA$4&amp;"-"&amp;Y31)+IF($N$169=A31,1,0)</f>
        <v>0</v>
      </c>
      <c r="AB31" s="59">
        <f ca="1">_xll.RiskMean(V31)</f>
        <v>0.55820000000000003</v>
      </c>
      <c r="AC31" s="65">
        <f ca="1">_xll.RiskMean(W31)</f>
        <v>1.7899999999999999E-2</v>
      </c>
      <c r="AD31" s="65">
        <f ca="1">_xll.RiskMean(X31)</f>
        <v>6.4000000000000003E-3</v>
      </c>
      <c r="AE31" s="65">
        <f ca="1">_xll.RiskMean(Y31)</f>
        <v>1.2999999999999999E-3</v>
      </c>
      <c r="AF31" s="65">
        <f ca="1">_xll.RiskMean(Z31)</f>
        <v>2.9999999999999997E-4</v>
      </c>
      <c r="AG31" s="66">
        <f ca="1">_xll.RiskMean(AA31)</f>
        <v>0</v>
      </c>
    </row>
    <row r="32" spans="1:33" ht="15" x14ac:dyDescent="0.25">
      <c r="A32" s="45">
        <v>28</v>
      </c>
      <c r="B32" s="33" t="s">
        <v>52</v>
      </c>
      <c r="C32" s="34">
        <v>16.23</v>
      </c>
      <c r="D32">
        <v>10</v>
      </c>
      <c r="J32" s="48">
        <v>10</v>
      </c>
      <c r="K32" t="str">
        <f t="shared" si="13"/>
        <v>New Mexico </v>
      </c>
      <c r="U32" s="59" t="str">
        <f t="shared" si="0"/>
        <v>Vanderbilt </v>
      </c>
      <c r="V32" s="60">
        <f ca="1">_xll.RiskOutput($V$4&amp;"-"&amp;U32)+COUNTIF($N$7:$N$169,A32)</f>
        <v>0</v>
      </c>
      <c r="W32" s="60">
        <f ca="1">_xll.RiskOutput($W$4&amp;"-"&amp;U32)+COUNTIF($N$88:$N$119,A32)</f>
        <v>0</v>
      </c>
      <c r="X32" s="60">
        <f ca="1">_xll.RiskOutput($X$4&amp;"-"&amp;V32)+COUNTIF($N$127:$N$141,A32)</f>
        <v>0</v>
      </c>
      <c r="Y32" s="60">
        <f ca="1">_xll.RiskOutput($Y$4&amp;"-"&amp;W32)+COUNTIF($N$148:$N$154,A32)</f>
        <v>0</v>
      </c>
      <c r="Z32" s="60">
        <f ca="1">_xll.RiskOutput($Z$4&amp;"-"&amp;X32)+COUNTIF($N$161:$N$164,A32)</f>
        <v>0</v>
      </c>
      <c r="AA32" s="61">
        <f ca="1">_xll.RiskOutput($AA$4&amp;"-"&amp;Y32)+IF($N$169=A32,1,0)</f>
        <v>0</v>
      </c>
      <c r="AB32" s="59">
        <f ca="1">_xll.RiskMean(V32)</f>
        <v>0.28410000000000002</v>
      </c>
      <c r="AC32" s="65">
        <f ca="1">_xll.RiskMean(W32)</f>
        <v>2.1600000000000001E-2</v>
      </c>
      <c r="AD32" s="65">
        <f ca="1">_xll.RiskMean(X32)</f>
        <v>4.5999999999999999E-3</v>
      </c>
      <c r="AE32" s="65">
        <f ca="1">_xll.RiskMean(Y32)</f>
        <v>1E-4</v>
      </c>
      <c r="AF32" s="65">
        <f ca="1">_xll.RiskMean(Z32)</f>
        <v>0</v>
      </c>
      <c r="AG32" s="66">
        <f ca="1">_xll.RiskMean(AA32)</f>
        <v>0</v>
      </c>
    </row>
    <row r="33" spans="1:33" ht="15" x14ac:dyDescent="0.25">
      <c r="A33" s="45">
        <v>29</v>
      </c>
      <c r="B33" s="33" t="s">
        <v>53</v>
      </c>
      <c r="C33" s="34">
        <v>19.53</v>
      </c>
      <c r="D33">
        <v>11</v>
      </c>
      <c r="I33">
        <v>8</v>
      </c>
      <c r="J33" s="48">
        <v>2</v>
      </c>
      <c r="K33" t="str">
        <f t="shared" si="13"/>
        <v>Michigan St. </v>
      </c>
      <c r="L33">
        <f>VLOOKUP(J33,KenPomTable,3)-VLOOKUP(J34,KenPomTable,3)</f>
        <v>27.56</v>
      </c>
      <c r="M33">
        <f ca="1">_xll.RiskNormal(L33,$L$1)</f>
        <v>26.288816493289467</v>
      </c>
      <c r="N33">
        <f t="shared" ca="1" si="14"/>
        <v>2</v>
      </c>
      <c r="O33" t="str">
        <f ca="1">VLOOKUP(N33,KenPomTable,2)</f>
        <v>Michigan St. </v>
      </c>
      <c r="P33">
        <f t="shared" ca="1" si="15"/>
        <v>0</v>
      </c>
      <c r="Q33">
        <f t="shared" ref="Q33" si="28">_xlfn.NORM.DIST(0,ABS(L33),$L$1,TRUE)</f>
        <v>2.925649849187131E-3</v>
      </c>
      <c r="R33">
        <f t="shared" ref="R33" si="29">1-Q33</f>
        <v>0.99707435015081292</v>
      </c>
      <c r="U33" s="59" t="str">
        <f t="shared" si="0"/>
        <v>VCU </v>
      </c>
      <c r="V33" s="60">
        <f ca="1">_xll.RiskOutput($V$4&amp;"-"&amp;U33)+COUNTIF($N$7:$N$169,A33)</f>
        <v>0</v>
      </c>
      <c r="W33" s="60">
        <f ca="1">_xll.RiskOutput($W$4&amp;"-"&amp;U33)+COUNTIF($N$88:$N$119,A33)</f>
        <v>0</v>
      </c>
      <c r="X33" s="60">
        <f ca="1">_xll.RiskOutput($X$4&amp;"-"&amp;V33)+COUNTIF($N$127:$N$141,A33)</f>
        <v>0</v>
      </c>
      <c r="Y33" s="60">
        <f ca="1">_xll.RiskOutput($Y$4&amp;"-"&amp;W33)+COUNTIF($N$148:$N$154,A33)</f>
        <v>0</v>
      </c>
      <c r="Z33" s="60">
        <f ca="1">_xll.RiskOutput($Z$4&amp;"-"&amp;X33)+COUNTIF($N$161:$N$164,A33)</f>
        <v>0</v>
      </c>
      <c r="AA33" s="61">
        <f ca="1">_xll.RiskOutput($AA$4&amp;"-"&amp;Y33)+IF($N$169=A33,1,0)</f>
        <v>0</v>
      </c>
      <c r="AB33" s="59">
        <f ca="1">_xll.RiskMean(V33)</f>
        <v>0.50229999999999997</v>
      </c>
      <c r="AC33" s="65">
        <f ca="1">_xll.RiskMean(W33)</f>
        <v>9.2999999999999999E-2</v>
      </c>
      <c r="AD33" s="65">
        <f ca="1">_xll.RiskMean(X33)</f>
        <v>1.78E-2</v>
      </c>
      <c r="AE33" s="65">
        <f ca="1">_xll.RiskMean(Y33)</f>
        <v>8.0000000000000004E-4</v>
      </c>
      <c r="AF33" s="65">
        <f ca="1">_xll.RiskMean(Z33)</f>
        <v>1E-4</v>
      </c>
      <c r="AG33" s="66">
        <f ca="1">_xll.RiskMean(AA33)</f>
        <v>1E-4</v>
      </c>
    </row>
    <row r="34" spans="1:33" ht="15" x14ac:dyDescent="0.25">
      <c r="A34" s="45">
        <v>30</v>
      </c>
      <c r="B34" s="33" t="s">
        <v>54</v>
      </c>
      <c r="C34" s="34">
        <v>12.46</v>
      </c>
      <c r="D34">
        <v>12</v>
      </c>
      <c r="J34" s="48">
        <v>15</v>
      </c>
      <c r="K34" t="str">
        <f t="shared" si="13"/>
        <v>Bryant </v>
      </c>
      <c r="U34" s="59" t="str">
        <f t="shared" si="0"/>
        <v>Liberty </v>
      </c>
      <c r="V34" s="60">
        <f ca="1">_xll.RiskOutput($V$4&amp;"-"&amp;U34)+COUNTIF($N$7:$N$169,A34)</f>
        <v>0</v>
      </c>
      <c r="W34" s="60">
        <f ca="1">_xll.RiskOutput($W$4&amp;"-"&amp;U34)+COUNTIF($N$88:$N$119,A34)</f>
        <v>0</v>
      </c>
      <c r="X34" s="60">
        <f ca="1">_xll.RiskOutput($X$4&amp;"-"&amp;V34)+COUNTIF($N$127:$N$141,A34)</f>
        <v>0</v>
      </c>
      <c r="Y34" s="60">
        <f ca="1">_xll.RiskOutput($Y$4&amp;"-"&amp;W34)+COUNTIF($N$148:$N$154,A34)</f>
        <v>0</v>
      </c>
      <c r="Z34" s="60">
        <f ca="1">_xll.RiskOutput($Z$4&amp;"-"&amp;X34)+COUNTIF($N$161:$N$164,A34)</f>
        <v>0</v>
      </c>
      <c r="AA34" s="61">
        <f ca="1">_xll.RiskOutput($AA$4&amp;"-"&amp;Y34)+IF($N$169=A34,1,0)</f>
        <v>0</v>
      </c>
      <c r="AB34" s="59">
        <f ca="1">_xll.RiskMean(V34)</f>
        <v>0.19</v>
      </c>
      <c r="AC34" s="65">
        <f ca="1">_xll.RiskMean(W34)</f>
        <v>1.5900000000000001E-2</v>
      </c>
      <c r="AD34" s="65">
        <f ca="1">_xll.RiskMean(X34)</f>
        <v>1E-4</v>
      </c>
      <c r="AE34" s="65">
        <f ca="1">_xll.RiskMean(Y34)</f>
        <v>1E-4</v>
      </c>
      <c r="AF34" s="65">
        <f ca="1">_xll.RiskMean(Z34)</f>
        <v>0</v>
      </c>
      <c r="AG34" s="66">
        <f ca="1">_xll.RiskMean(AA34)</f>
        <v>0</v>
      </c>
    </row>
    <row r="35" spans="1:33" ht="15" x14ac:dyDescent="0.25">
      <c r="A35" s="32">
        <v>31</v>
      </c>
      <c r="B35" s="33" t="s">
        <v>55</v>
      </c>
      <c r="C35" s="34">
        <v>6.47</v>
      </c>
      <c r="D35">
        <v>13</v>
      </c>
      <c r="I35">
        <v>1</v>
      </c>
      <c r="J35" s="50">
        <v>36</v>
      </c>
      <c r="K35" t="str">
        <f t="shared" si="13"/>
        <v>Florida </v>
      </c>
      <c r="L35">
        <f>VLOOKUP(J35,KenPomTable,3)-VLOOKUP(J36,KenPomTable,3)</f>
        <v>38.090000000000003</v>
      </c>
      <c r="M35">
        <f ca="1">_xll.RiskNormal(L35,$L$1)</f>
        <v>39.807612062213344</v>
      </c>
      <c r="N35">
        <f t="shared" ref="N35" ca="1" si="30">IF(M35&gt;0,J35,J36)</f>
        <v>36</v>
      </c>
      <c r="O35" t="str">
        <f ca="1">VLOOKUP(N35,KenPomTable,2)</f>
        <v>Florida </v>
      </c>
      <c r="P35">
        <f t="shared" ref="P35" ca="1" si="31">IF(L35*M35&lt;0,1,0)</f>
        <v>0</v>
      </c>
      <c r="Q35">
        <f t="shared" ref="Q35" si="32">_xlfn.NORM.DIST(0,ABS(L35),$L$1,TRUE)</f>
        <v>6.9764978938892722E-5</v>
      </c>
      <c r="R35">
        <f t="shared" ref="R35" si="33">1-Q35</f>
        <v>0.99993023502106115</v>
      </c>
      <c r="U35" s="59" t="str">
        <f t="shared" si="0"/>
        <v>Akron </v>
      </c>
      <c r="V35" s="60">
        <f ca="1">_xll.RiskOutput($V$4&amp;"-"&amp;U35)+COUNTIF($N$7:$N$169,A35)</f>
        <v>0</v>
      </c>
      <c r="W35" s="60">
        <f ca="1">_xll.RiskOutput($W$4&amp;"-"&amp;U35)+COUNTIF($N$88:$N$119,A35)</f>
        <v>0</v>
      </c>
      <c r="X35" s="60">
        <f ca="1">_xll.RiskOutput($X$4&amp;"-"&amp;V35)+COUNTIF($N$127:$N$141,A35)</f>
        <v>0</v>
      </c>
      <c r="Y35" s="60">
        <f ca="1">_xll.RiskOutput($Y$4&amp;"-"&amp;W35)+COUNTIF($N$148:$N$154,A35)</f>
        <v>0</v>
      </c>
      <c r="Z35" s="60">
        <f ca="1">_xll.RiskOutput($Z$4&amp;"-"&amp;X35)+COUNTIF($N$161:$N$164,A35)</f>
        <v>0</v>
      </c>
      <c r="AA35" s="61">
        <f ca="1">_xll.RiskOutput($AA$4&amp;"-"&amp;Y35)+IF($N$169=A35,1,0)</f>
        <v>0</v>
      </c>
      <c r="AB35" s="59">
        <f ca="1">_xll.RiskMean(V35)</f>
        <v>2.5700000000000001E-2</v>
      </c>
      <c r="AC35" s="65">
        <f ca="1">_xll.RiskMean(W35)</f>
        <v>2.3E-3</v>
      </c>
      <c r="AD35" s="65">
        <f ca="1">_xll.RiskMean(X35)</f>
        <v>0</v>
      </c>
      <c r="AE35" s="65">
        <f ca="1">_xll.RiskMean(Y35)</f>
        <v>0</v>
      </c>
      <c r="AF35" s="65">
        <f ca="1">_xll.RiskMean(Z35)</f>
        <v>0</v>
      </c>
      <c r="AG35" s="66">
        <f ca="1">_xll.RiskMean(AA35)</f>
        <v>0</v>
      </c>
    </row>
    <row r="36" spans="1:33" ht="15" x14ac:dyDescent="0.25">
      <c r="A36" s="45">
        <v>32</v>
      </c>
      <c r="B36" s="33" t="s">
        <v>56</v>
      </c>
      <c r="C36" s="34">
        <v>7.0000000000000007E-2</v>
      </c>
      <c r="D36">
        <v>14</v>
      </c>
      <c r="J36" s="50">
        <v>51</v>
      </c>
      <c r="K36" t="str">
        <f t="shared" si="13"/>
        <v>Norfolk St. </v>
      </c>
      <c r="U36" s="59" t="str">
        <f t="shared" si="0"/>
        <v>Montana </v>
      </c>
      <c r="V36" s="60">
        <f ca="1">_xll.RiskOutput($V$4&amp;"-"&amp;U36)+COUNTIF($N$7:$N$169,A36)</f>
        <v>0</v>
      </c>
      <c r="W36" s="60">
        <f ca="1">_xll.RiskOutput($W$4&amp;"-"&amp;U36)+COUNTIF($N$88:$N$119,A36)</f>
        <v>0</v>
      </c>
      <c r="X36" s="60">
        <f ca="1">_xll.RiskOutput($X$4&amp;"-"&amp;V36)+COUNTIF($N$127:$N$141,A36)</f>
        <v>0</v>
      </c>
      <c r="Y36" s="60">
        <f ca="1">_xll.RiskOutput($Y$4&amp;"-"&amp;W36)+COUNTIF($N$148:$N$154,A36)</f>
        <v>0</v>
      </c>
      <c r="Z36" s="60">
        <f ca="1">_xll.RiskOutput($Z$4&amp;"-"&amp;X36)+COUNTIF($N$161:$N$164,A36)</f>
        <v>0</v>
      </c>
      <c r="AA36" s="61">
        <f ca="1">_xll.RiskOutput($AA$4&amp;"-"&amp;Y36)+IF($N$169=A36,1,0)</f>
        <v>0</v>
      </c>
      <c r="AB36" s="59">
        <f ca="1">_xll.RiskMean(V36)</f>
        <v>4.1999999999999997E-3</v>
      </c>
      <c r="AC36" s="65">
        <f ca="1">_xll.RiskMean(W36)</f>
        <v>1E-4</v>
      </c>
      <c r="AD36" s="65">
        <f ca="1">_xll.RiskMean(X36)</f>
        <v>0</v>
      </c>
      <c r="AE36" s="65">
        <f ca="1">_xll.RiskMean(Y36)</f>
        <v>0</v>
      </c>
      <c r="AF36" s="65">
        <f ca="1">_xll.RiskMean(Z36)</f>
        <v>0</v>
      </c>
      <c r="AG36" s="66">
        <f ca="1">_xll.RiskMean(AA36)</f>
        <v>0</v>
      </c>
    </row>
    <row r="37" spans="1:33" ht="15" x14ac:dyDescent="0.25">
      <c r="A37" s="32">
        <v>33</v>
      </c>
      <c r="B37" s="33" t="s">
        <v>57</v>
      </c>
      <c r="C37" s="34">
        <v>2.9</v>
      </c>
      <c r="D37">
        <v>15</v>
      </c>
      <c r="I37">
        <v>2</v>
      </c>
      <c r="J37" s="50">
        <v>43</v>
      </c>
      <c r="K37" t="str">
        <f t="shared" si="13"/>
        <v>Connecticut </v>
      </c>
      <c r="L37">
        <f>VLOOKUP(J37,KenPomTable,3)-VLOOKUP(J38,KenPomTable,3)</f>
        <v>2.2300000000000004</v>
      </c>
      <c r="M37">
        <f ca="1">_xll.RiskNormal(L37,$L$1)</f>
        <v>-1.5063255326784697</v>
      </c>
      <c r="N37">
        <f t="shared" ref="N37" ca="1" si="34">IF(M37&gt;0,J37,J38)</f>
        <v>44</v>
      </c>
      <c r="O37" t="str">
        <f ca="1">VLOOKUP(N37,KenPomTable,2)</f>
        <v>Oklahoma </v>
      </c>
      <c r="P37">
        <f t="shared" ref="P37" ca="1" si="35">IF(L37*M37&lt;0,1,0)</f>
        <v>1</v>
      </c>
      <c r="Q37">
        <f t="shared" ref="Q37" si="36">_xlfn.NORM.DIST(0,ABS(L37),$L$1,TRUE)</f>
        <v>0.41176775325165449</v>
      </c>
      <c r="R37">
        <f t="shared" ref="R37" si="37">1-Q37</f>
        <v>0.58823224674834551</v>
      </c>
      <c r="U37" s="59" t="str">
        <f t="shared" si="0"/>
        <v>Robert Morris </v>
      </c>
      <c r="V37" s="60">
        <f ca="1">_xll.RiskOutput($V$4&amp;"-"&amp;U37)+COUNTIF($N$7:$N$169,A37)</f>
        <v>0</v>
      </c>
      <c r="W37" s="60">
        <f ca="1">_xll.RiskOutput($W$4&amp;"-"&amp;U37)+COUNTIF($N$88:$N$119,A37)</f>
        <v>0</v>
      </c>
      <c r="X37" s="60">
        <f ca="1">_xll.RiskOutput($X$4&amp;"-"&amp;V37)+COUNTIF($N$127:$N$141,A37)</f>
        <v>0</v>
      </c>
      <c r="Y37" s="60">
        <f ca="1">_xll.RiskOutput($Y$4&amp;"-"&amp;W37)+COUNTIF($N$148:$N$154,A37)</f>
        <v>0</v>
      </c>
      <c r="Z37" s="60">
        <f ca="1">_xll.RiskOutput($Z$4&amp;"-"&amp;X37)+COUNTIF($N$161:$N$164,A37)</f>
        <v>0</v>
      </c>
      <c r="AA37" s="61">
        <f ca="1">_xll.RiskOutput($AA$4&amp;"-"&amp;Y37)+IF($N$169=A37,1,0)</f>
        <v>0</v>
      </c>
      <c r="AB37" s="59">
        <f ca="1">_xll.RiskMean(V37)</f>
        <v>3.2000000000000002E-3</v>
      </c>
      <c r="AC37" s="65">
        <f ca="1">_xll.RiskMean(W37)</f>
        <v>1E-4</v>
      </c>
      <c r="AD37" s="65">
        <f ca="1">_xll.RiskMean(X37)</f>
        <v>0</v>
      </c>
      <c r="AE37" s="65">
        <f ca="1">_xll.RiskMean(Y37)</f>
        <v>0</v>
      </c>
      <c r="AF37" s="65">
        <f ca="1">_xll.RiskMean(Z37)</f>
        <v>0</v>
      </c>
      <c r="AG37" s="66">
        <f ca="1">_xll.RiskMean(AA37)</f>
        <v>0</v>
      </c>
    </row>
    <row r="38" spans="1:33" ht="15" x14ac:dyDescent="0.25">
      <c r="A38" s="46">
        <v>34</v>
      </c>
      <c r="B38" s="14" t="s">
        <v>58</v>
      </c>
      <c r="C38" s="15">
        <v>-6.34</v>
      </c>
      <c r="D38" s="44">
        <v>16</v>
      </c>
      <c r="J38" s="50">
        <v>44</v>
      </c>
      <c r="K38" t="str">
        <f t="shared" si="13"/>
        <v>Oklahoma </v>
      </c>
      <c r="U38" s="59" t="str">
        <f t="shared" si="0"/>
        <v>Mount St. Mary's </v>
      </c>
      <c r="V38" s="60">
        <f ca="1">_xll.RiskOutput($V$4&amp;"-"&amp;U38)+COUNTIF($N$7:$N$169,A38)</f>
        <v>0</v>
      </c>
      <c r="W38" s="60">
        <f ca="1">_xll.RiskOutput($W$4&amp;"-"&amp;U38)+COUNTIF($N$88:$N$119,A38)</f>
        <v>0</v>
      </c>
      <c r="X38" s="60">
        <f ca="1">_xll.RiskOutput($X$4&amp;"-"&amp;V38)+COUNTIF($N$127:$N$141,A38)</f>
        <v>0</v>
      </c>
      <c r="Y38" s="60">
        <f ca="1">_xll.RiskOutput($Y$4&amp;"-"&amp;W38)+COUNTIF($N$148:$N$154,A38)</f>
        <v>0</v>
      </c>
      <c r="Z38" s="60">
        <f ca="1">_xll.RiskOutput($Z$4&amp;"-"&amp;X38)+COUNTIF($N$161:$N$164,A38)</f>
        <v>0</v>
      </c>
      <c r="AA38" s="61">
        <f ca="1">_xll.RiskOutput($AA$4&amp;"-"&amp;Y38)+IF($N$169=A38,1,0)</f>
        <v>0</v>
      </c>
      <c r="AB38" s="59">
        <f ca="1">_xll.RiskMean(V38)</f>
        <v>0.51239999999999997</v>
      </c>
      <c r="AC38" s="65">
        <f ca="1">_xll.RiskMean(W38)</f>
        <v>0</v>
      </c>
      <c r="AD38" s="65">
        <f ca="1">_xll.RiskMean(X38)</f>
        <v>0</v>
      </c>
      <c r="AE38" s="65">
        <f ca="1">_xll.RiskMean(Y38)</f>
        <v>0</v>
      </c>
      <c r="AF38" s="65">
        <f ca="1">_xll.RiskMean(Z38)</f>
        <v>0</v>
      </c>
      <c r="AG38" s="66">
        <f ca="1">_xll.RiskMean(AA38)</f>
        <v>0</v>
      </c>
    </row>
    <row r="39" spans="1:33" ht="15" x14ac:dyDescent="0.25">
      <c r="A39" s="9">
        <v>35</v>
      </c>
      <c r="B39" s="14" t="s">
        <v>59</v>
      </c>
      <c r="C39" s="15">
        <v>-6.65</v>
      </c>
      <c r="D39" s="44" t="s">
        <v>18</v>
      </c>
      <c r="I39">
        <v>3</v>
      </c>
      <c r="J39" s="50">
        <v>40</v>
      </c>
      <c r="K39" t="str">
        <f t="shared" si="13"/>
        <v>Memphis </v>
      </c>
      <c r="L39">
        <f>VLOOKUP(J39,KenPomTable,3)-VLOOKUP(J40,KenPomTable,3)</f>
        <v>-2.5099999999999998</v>
      </c>
      <c r="M39">
        <f ca="1">_xll.RiskNormal(L39,$L$1)</f>
        <v>-35.39342277769299</v>
      </c>
      <c r="N39">
        <f t="shared" ref="N39" ca="1" si="38">IF(M39&gt;0,J39,J40)</f>
        <v>47</v>
      </c>
      <c r="O39" t="str">
        <f ca="1">VLOOKUP(N39,KenPomTable,2)</f>
        <v>Colorado St. </v>
      </c>
      <c r="P39">
        <f t="shared" ref="P39" ca="1" si="39">IF(L39*M39&lt;0,1,0)</f>
        <v>0</v>
      </c>
      <c r="Q39">
        <f t="shared" ref="Q39" si="40">_xlfn.NORM.DIST(0,ABS(L39),$L$1,TRUE)</f>
        <v>0.40090705459419307</v>
      </c>
      <c r="R39">
        <f t="shared" ref="R39" si="41">1-Q39</f>
        <v>0.59909294540580693</v>
      </c>
      <c r="U39" s="59" t="str">
        <f t="shared" si="0"/>
        <v>American </v>
      </c>
      <c r="V39" s="60">
        <f ca="1">_xll.RiskOutput($V$4&amp;"-"&amp;U39)+COUNTIF($N$7:$N$169,A39)</f>
        <v>1</v>
      </c>
      <c r="W39" s="60">
        <f ca="1">_xll.RiskOutput($W$4&amp;"-"&amp;U39)+COUNTIF($N$88:$N$119,A39)</f>
        <v>0</v>
      </c>
      <c r="X39" s="60">
        <f ca="1">_xll.RiskOutput($X$4&amp;"-"&amp;V39)+COUNTIF($N$127:$N$141,A39)</f>
        <v>0</v>
      </c>
      <c r="Y39" s="60">
        <f ca="1">_xll.RiskOutput($Y$4&amp;"-"&amp;W39)+COUNTIF($N$148:$N$154,A39)</f>
        <v>0</v>
      </c>
      <c r="Z39" s="60">
        <f ca="1">_xll.RiskOutput($Z$4&amp;"-"&amp;X39)+COUNTIF($N$161:$N$164,A39)</f>
        <v>0</v>
      </c>
      <c r="AA39" s="61">
        <f ca="1">_xll.RiskOutput($AA$4&amp;"-"&amp;Y39)+IF($N$169=A39,1,0)</f>
        <v>0</v>
      </c>
      <c r="AB39" s="59">
        <f ca="1">_xll.RiskMean(V39)</f>
        <v>0.48759999999999998</v>
      </c>
      <c r="AC39" s="65">
        <f ca="1">_xll.RiskMean(W39)</f>
        <v>0</v>
      </c>
      <c r="AD39" s="65">
        <f ca="1">_xll.RiskMean(X39)</f>
        <v>0</v>
      </c>
      <c r="AE39" s="65">
        <f ca="1">_xll.RiskMean(Y39)</f>
        <v>0</v>
      </c>
      <c r="AF39" s="65">
        <f ca="1">_xll.RiskMean(Z39)</f>
        <v>0</v>
      </c>
      <c r="AG39" s="66">
        <f ca="1">_xll.RiskMean(AA39)</f>
        <v>0</v>
      </c>
    </row>
    <row r="40" spans="1:33" ht="15" x14ac:dyDescent="0.25">
      <c r="A40" s="22">
        <v>36</v>
      </c>
      <c r="B40" s="16" t="s">
        <v>60</v>
      </c>
      <c r="C40" s="17">
        <v>36.46</v>
      </c>
      <c r="D40">
        <v>1</v>
      </c>
      <c r="J40" s="50">
        <v>47</v>
      </c>
      <c r="K40" t="str">
        <f t="shared" si="13"/>
        <v>Colorado St. </v>
      </c>
      <c r="U40" s="59" t="str">
        <f t="shared" si="0"/>
        <v>Florida </v>
      </c>
      <c r="V40" s="60">
        <f ca="1">_xll.RiskOutput($V$4&amp;"-"&amp;U40)+COUNTIF($N$7:$N$169,A40)</f>
        <v>5</v>
      </c>
      <c r="W40" s="60">
        <f ca="1">_xll.RiskOutput($W$4&amp;"-"&amp;U40)+COUNTIF($N$88:$N$119,A40)</f>
        <v>1</v>
      </c>
      <c r="X40" s="60">
        <f ca="1">_xll.RiskOutput($X$4&amp;"-"&amp;V40)+COUNTIF($N$127:$N$141,A40)</f>
        <v>1</v>
      </c>
      <c r="Y40" s="60">
        <f ca="1">_xll.RiskOutput($Y$4&amp;"-"&amp;W40)+COUNTIF($N$148:$N$154,A40)</f>
        <v>1</v>
      </c>
      <c r="Z40" s="60">
        <f ca="1">_xll.RiskOutput($Z$4&amp;"-"&amp;X40)+COUNTIF($N$161:$N$164,A40)</f>
        <v>1</v>
      </c>
      <c r="AA40" s="61">
        <f ca="1">_xll.RiskOutput($AA$4&amp;"-"&amp;Y40)+IF($N$169=A40,1,0)</f>
        <v>0</v>
      </c>
      <c r="AB40" s="59">
        <f ca="1">_xll.RiskMean(V40)</f>
        <v>4.1208</v>
      </c>
      <c r="AC40" s="65">
        <f ca="1">_xll.RiskMean(W40)</f>
        <v>0.95650000000000002</v>
      </c>
      <c r="AD40" s="65">
        <f ca="1">_xll.RiskMean(X40)</f>
        <v>0.81640000000000001</v>
      </c>
      <c r="AE40" s="65">
        <f ca="1">_xll.RiskMean(Y40)</f>
        <v>0.68910000000000005</v>
      </c>
      <c r="AF40" s="65">
        <f ca="1">_xll.RiskMean(Z40)</f>
        <v>0.44540000000000002</v>
      </c>
      <c r="AG40" s="66">
        <f ca="1">_xll.RiskMean(AA40)</f>
        <v>0.2135</v>
      </c>
    </row>
    <row r="41" spans="1:33" ht="15" x14ac:dyDescent="0.25">
      <c r="A41" s="22">
        <v>37</v>
      </c>
      <c r="B41" s="35" t="s">
        <v>61</v>
      </c>
      <c r="C41" s="17">
        <v>26.06</v>
      </c>
      <c r="D41">
        <v>2</v>
      </c>
      <c r="I41">
        <v>4</v>
      </c>
      <c r="J41" s="50">
        <v>39</v>
      </c>
      <c r="K41" t="str">
        <f t="shared" si="13"/>
        <v>Maryland </v>
      </c>
      <c r="L41">
        <f>VLOOKUP(J41,KenPomTable,3)-VLOOKUP(J42,KenPomTable,3)</f>
        <v>20.78</v>
      </c>
      <c r="M41">
        <f ca="1">_xll.RiskNormal(L41,$L$1)</f>
        <v>9.2018574476590853</v>
      </c>
      <c r="N41">
        <f t="shared" ref="N41" ca="1" si="42">IF(M41&gt;0,J41,J42)</f>
        <v>39</v>
      </c>
      <c r="O41" t="str">
        <f ca="1">VLOOKUP(N41,KenPomTable,2)</f>
        <v>Maryland </v>
      </c>
      <c r="P41">
        <f t="shared" ref="P41" ca="1" si="43">IF(L41*M41&lt;0,1,0)</f>
        <v>0</v>
      </c>
      <c r="Q41">
        <f t="shared" ref="Q41" si="44">_xlfn.NORM.DIST(0,ABS(L41),$L$1,TRUE)</f>
        <v>1.8854679573044483E-2</v>
      </c>
      <c r="R41">
        <f t="shared" ref="R41" si="45">1-Q41</f>
        <v>0.98114532042695557</v>
      </c>
      <c r="U41" s="59" t="str">
        <f t="shared" si="0"/>
        <v>St. John's </v>
      </c>
      <c r="V41" s="60">
        <f ca="1">_xll.RiskOutput($V$4&amp;"-"&amp;U41)+COUNTIF($N$7:$N$169,A41)</f>
        <v>1</v>
      </c>
      <c r="W41" s="60">
        <f ca="1">_xll.RiskOutput($W$4&amp;"-"&amp;U41)+COUNTIF($N$88:$N$119,A41)</f>
        <v>0</v>
      </c>
      <c r="X41" s="60">
        <f ca="1">_xll.RiskOutput($X$4&amp;"-"&amp;V41)+COUNTIF($N$127:$N$141,A41)</f>
        <v>0</v>
      </c>
      <c r="Y41" s="60">
        <f ca="1">_xll.RiskOutput($Y$4&amp;"-"&amp;W41)+COUNTIF($N$148:$N$154,A41)</f>
        <v>0</v>
      </c>
      <c r="Z41" s="60">
        <f ca="1">_xll.RiskOutput($Z$4&amp;"-"&amp;X41)+COUNTIF($N$161:$N$164,A41)</f>
        <v>0</v>
      </c>
      <c r="AA41" s="61">
        <f ca="1">_xll.RiskOutput($AA$4&amp;"-"&amp;Y41)+IF($N$169=A41,1,0)</f>
        <v>0</v>
      </c>
      <c r="AB41" s="59">
        <f ca="1">_xll.RiskMean(V41)</f>
        <v>2.0855000000000001</v>
      </c>
      <c r="AC41" s="65">
        <f ca="1">_xll.RiskMean(W41)</f>
        <v>0.66579999999999995</v>
      </c>
      <c r="AD41" s="65">
        <f ca="1">_xll.RiskMean(X41)</f>
        <v>0.32369999999999999</v>
      </c>
      <c r="AE41" s="65">
        <f ca="1">_xll.RiskMean(Y41)</f>
        <v>7.3400000000000007E-2</v>
      </c>
      <c r="AF41" s="65">
        <f ca="1">_xll.RiskMean(Z41)</f>
        <v>2.3199999999999998E-2</v>
      </c>
      <c r="AG41" s="66">
        <f ca="1">_xll.RiskMean(AA41)</f>
        <v>3.8999999999999998E-3</v>
      </c>
    </row>
    <row r="42" spans="1:33" ht="15" x14ac:dyDescent="0.25">
      <c r="A42" s="22">
        <v>38</v>
      </c>
      <c r="B42" s="16" t="s">
        <v>62</v>
      </c>
      <c r="C42" s="17">
        <v>27.92</v>
      </c>
      <c r="D42">
        <v>3</v>
      </c>
      <c r="J42" s="50">
        <v>48</v>
      </c>
      <c r="K42" t="str">
        <f t="shared" si="13"/>
        <v>Grand Canyon </v>
      </c>
      <c r="U42" s="59" t="str">
        <f t="shared" si="0"/>
        <v>Texas Tech </v>
      </c>
      <c r="V42" s="60">
        <f ca="1">_xll.RiskOutput($V$4&amp;"-"&amp;U42)+COUNTIF($N$7:$N$169,A42)</f>
        <v>1</v>
      </c>
      <c r="W42" s="60">
        <f ca="1">_xll.RiskOutput($W$4&amp;"-"&amp;U42)+COUNTIF($N$88:$N$119,A42)</f>
        <v>0</v>
      </c>
      <c r="X42" s="60">
        <f ca="1">_xll.RiskOutput($X$4&amp;"-"&amp;V42)+COUNTIF($N$127:$N$141,A42)</f>
        <v>0</v>
      </c>
      <c r="Y42" s="60">
        <f ca="1">_xll.RiskOutput($Y$4&amp;"-"&amp;W42)+COUNTIF($N$148:$N$154,A42)</f>
        <v>0</v>
      </c>
      <c r="Z42" s="60">
        <f ca="1">_xll.RiskOutput($Z$4&amp;"-"&amp;X42)+COUNTIF($N$161:$N$164,A42)</f>
        <v>0</v>
      </c>
      <c r="AA42" s="61">
        <f ca="1">_xll.RiskOutput($AA$4&amp;"-"&amp;Y42)+IF($N$169=A42,1,0)</f>
        <v>0</v>
      </c>
      <c r="AB42" s="59">
        <f ca="1">_xll.RiskMean(V42)</f>
        <v>2.2986</v>
      </c>
      <c r="AC42" s="65">
        <f ca="1">_xll.RiskMean(W42)</f>
        <v>0.70620000000000005</v>
      </c>
      <c r="AD42" s="65">
        <f ca="1">_xll.RiskMean(X42)</f>
        <v>0.43930000000000002</v>
      </c>
      <c r="AE42" s="65">
        <f ca="1">_xll.RiskMean(Y42)</f>
        <v>0.1139</v>
      </c>
      <c r="AF42" s="65">
        <f ca="1">_xll.RiskMean(Z42)</f>
        <v>4.1200000000000001E-2</v>
      </c>
      <c r="AG42" s="66">
        <f ca="1">_xll.RiskMean(AA42)</f>
        <v>9.7999999999999997E-3</v>
      </c>
    </row>
    <row r="43" spans="1:33" ht="15" x14ac:dyDescent="0.25">
      <c r="A43" s="22">
        <v>39</v>
      </c>
      <c r="B43" s="16" t="s">
        <v>63</v>
      </c>
      <c r="C43" s="17">
        <v>27.07</v>
      </c>
      <c r="D43">
        <v>4</v>
      </c>
      <c r="I43">
        <v>5</v>
      </c>
      <c r="J43" s="50">
        <v>41</v>
      </c>
      <c r="K43" t="str">
        <f t="shared" si="13"/>
        <v>Missouri </v>
      </c>
      <c r="L43">
        <f>VLOOKUP(J43,KenPomTable,3)-VLOOKUP(J44,KenPomTable,3)</f>
        <v>8.4500000000000011</v>
      </c>
      <c r="M43">
        <f ca="1">_xll.RiskNormal(L43,$L$1)</f>
        <v>8.6461448340862948</v>
      </c>
      <c r="N43">
        <f t="shared" ref="N43" ca="1" si="46">IF(M43&gt;0,J43,J44)</f>
        <v>41</v>
      </c>
      <c r="O43" t="str">
        <f ca="1">VLOOKUP(N43,KenPomTable,2)</f>
        <v>Missouri </v>
      </c>
      <c r="P43">
        <f t="shared" ref="P43" ca="1" si="47">IF(L43*M43&lt;0,1,0)</f>
        <v>0</v>
      </c>
      <c r="Q43">
        <f t="shared" ref="Q43" si="48">_xlfn.NORM.DIST(0,ABS(L43),$L$1,TRUE)</f>
        <v>0.19905541952164232</v>
      </c>
      <c r="R43">
        <f t="shared" ref="R43" si="49">1-Q43</f>
        <v>0.8009445804783577</v>
      </c>
      <c r="U43" s="59" t="str">
        <f t="shared" si="0"/>
        <v>Maryland </v>
      </c>
      <c r="V43" s="60">
        <f ca="1">_xll.RiskOutput($V$4&amp;"-"&amp;U43)+COUNTIF($N$7:$N$169,A43)</f>
        <v>1</v>
      </c>
      <c r="W43" s="60">
        <f ca="1">_xll.RiskOutput($W$4&amp;"-"&amp;U43)+COUNTIF($N$88:$N$119,A43)</f>
        <v>0</v>
      </c>
      <c r="X43" s="60">
        <f ca="1">_xll.RiskOutput($X$4&amp;"-"&amp;V43)+COUNTIF($N$127:$N$141,A43)</f>
        <v>0</v>
      </c>
      <c r="Y43" s="60">
        <f ca="1">_xll.RiskOutput($Y$4&amp;"-"&amp;W43)+COUNTIF($N$148:$N$154,A43)</f>
        <v>0</v>
      </c>
      <c r="Z43" s="60">
        <f ca="1">_xll.RiskOutput($Z$4&amp;"-"&amp;X43)+COUNTIF($N$161:$N$164,A43)</f>
        <v>0</v>
      </c>
      <c r="AA43" s="61">
        <f ca="1">_xll.RiskOutput($AA$4&amp;"-"&amp;Y43)+IF($N$169=A43,1,0)</f>
        <v>0</v>
      </c>
      <c r="AB43" s="59">
        <f ca="1">_xll.RiskMean(V43)</f>
        <v>2.1030000000000002</v>
      </c>
      <c r="AC43" s="65">
        <f ca="1">_xll.RiskMean(W43)</f>
        <v>0.83460000000000001</v>
      </c>
      <c r="AD43" s="65">
        <f ca="1">_xll.RiskMean(X43)</f>
        <v>0.16500000000000001</v>
      </c>
      <c r="AE43" s="65">
        <f ca="1">_xll.RiskMean(Y43)</f>
        <v>8.72E-2</v>
      </c>
      <c r="AF43" s="65">
        <f ca="1">_xll.RiskMean(Z43)</f>
        <v>2.98E-2</v>
      </c>
      <c r="AG43" s="66">
        <f ca="1">_xll.RiskMean(AA43)</f>
        <v>5.3E-3</v>
      </c>
    </row>
    <row r="44" spans="1:33" ht="15" x14ac:dyDescent="0.25">
      <c r="A44" s="22">
        <v>40</v>
      </c>
      <c r="B44" s="16" t="s">
        <v>64</v>
      </c>
      <c r="C44" s="17">
        <v>15.1</v>
      </c>
      <c r="D44">
        <v>5</v>
      </c>
      <c r="J44" s="50">
        <v>46</v>
      </c>
      <c r="K44" t="str">
        <f t="shared" si="13"/>
        <v>Drake </v>
      </c>
      <c r="U44" s="59" t="str">
        <f t="shared" si="0"/>
        <v>Memphis </v>
      </c>
      <c r="V44" s="60">
        <f ca="1">_xll.RiskOutput($V$4&amp;"-"&amp;U44)+COUNTIF($N$7:$N$169,A44)</f>
        <v>0</v>
      </c>
      <c r="W44" s="60">
        <f ca="1">_xll.RiskOutput($W$4&amp;"-"&amp;U44)+COUNTIF($N$88:$N$119,A44)</f>
        <v>0</v>
      </c>
      <c r="X44" s="60">
        <f ca="1">_xll.RiskOutput($X$4&amp;"-"&amp;V44)+COUNTIF($N$127:$N$141,A44)</f>
        <v>0</v>
      </c>
      <c r="Y44" s="60">
        <f ca="1">_xll.RiskOutput($Y$4&amp;"-"&amp;W44)+COUNTIF($N$148:$N$154,A44)</f>
        <v>0</v>
      </c>
      <c r="Z44" s="60">
        <f ca="1">_xll.RiskOutput($Z$4&amp;"-"&amp;X44)+COUNTIF($N$161:$N$164,A44)</f>
        <v>0</v>
      </c>
      <c r="AA44" s="61">
        <f ca="1">_xll.RiskOutput($AA$4&amp;"-"&amp;Y44)+IF($N$169=A44,1,0)</f>
        <v>0</v>
      </c>
      <c r="AB44" s="59">
        <f ca="1">_xll.RiskMean(V44)</f>
        <v>0.45350000000000001</v>
      </c>
      <c r="AC44" s="65">
        <f ca="1">_xll.RiskMean(W44)</f>
        <v>5.0700000000000002E-2</v>
      </c>
      <c r="AD44" s="65">
        <f ca="1">_xll.RiskMean(X44)</f>
        <v>1.6000000000000001E-3</v>
      </c>
      <c r="AE44" s="65">
        <f ca="1">_xll.RiskMean(Y44)</f>
        <v>2.0000000000000001E-4</v>
      </c>
      <c r="AF44" s="65">
        <f ca="1">_xll.RiskMean(Z44)</f>
        <v>1E-4</v>
      </c>
      <c r="AG44" s="66">
        <f ca="1">_xll.RiskMean(AA44)</f>
        <v>0</v>
      </c>
    </row>
    <row r="45" spans="1:33" ht="15" x14ac:dyDescent="0.25">
      <c r="A45" s="22">
        <v>41</v>
      </c>
      <c r="B45" s="16" t="s">
        <v>65</v>
      </c>
      <c r="C45" s="17">
        <v>23.57</v>
      </c>
      <c r="D45">
        <v>6</v>
      </c>
      <c r="I45">
        <v>6</v>
      </c>
      <c r="J45" s="50">
        <v>38</v>
      </c>
      <c r="K45" t="str">
        <f t="shared" si="13"/>
        <v>Texas Tech </v>
      </c>
      <c r="L45">
        <f>VLOOKUP(J45,KenPomTable,3)-VLOOKUP(J46,KenPomTable,3)</f>
        <v>22.64</v>
      </c>
      <c r="M45">
        <f ca="1">_xll.RiskNormal(L45,$L$1)</f>
        <v>23.694412300992482</v>
      </c>
      <c r="N45">
        <f t="shared" ref="N45" ca="1" si="50">IF(M45&gt;0,J45,J46)</f>
        <v>38</v>
      </c>
      <c r="O45" t="str">
        <f ca="1">VLOOKUP(N45,KenPomTable,2)</f>
        <v>Texas Tech </v>
      </c>
      <c r="P45">
        <f t="shared" ref="P45" ca="1" si="51">IF(L45*M45&lt;0,1,0)</f>
        <v>0</v>
      </c>
      <c r="Q45">
        <f t="shared" ref="Q45" si="52">_xlfn.NORM.DIST(0,ABS(L45),$L$1,TRUE)</f>
        <v>1.1787057388953028E-2</v>
      </c>
      <c r="R45">
        <f t="shared" ref="R45" si="53">1-Q45</f>
        <v>0.98821294261104697</v>
      </c>
      <c r="U45" s="59" t="str">
        <f t="shared" si="0"/>
        <v>Missouri </v>
      </c>
      <c r="V45" s="60">
        <f ca="1">_xll.RiskOutput($V$4&amp;"-"&amp;U45)+COUNTIF($N$7:$N$169,A45)</f>
        <v>3</v>
      </c>
      <c r="W45" s="60">
        <f ca="1">_xll.RiskOutput($W$4&amp;"-"&amp;U45)+COUNTIF($N$88:$N$119,A45)</f>
        <v>1</v>
      </c>
      <c r="X45" s="60">
        <f ca="1">_xll.RiskOutput($X$4&amp;"-"&amp;V45)+COUNTIF($N$127:$N$141,A45)</f>
        <v>1</v>
      </c>
      <c r="Y45" s="60">
        <f ca="1">_xll.RiskOutput($Y$4&amp;"-"&amp;W45)+COUNTIF($N$148:$N$154,A45)</f>
        <v>0</v>
      </c>
      <c r="Z45" s="60">
        <f ca="1">_xll.RiskOutput($Z$4&amp;"-"&amp;X45)+COUNTIF($N$161:$N$164,A45)</f>
        <v>0</v>
      </c>
      <c r="AA45" s="61">
        <f ca="1">_xll.RiskOutput($AA$4&amp;"-"&amp;Y45)+IF($N$169=A45,1,0)</f>
        <v>0</v>
      </c>
      <c r="AB45" s="59">
        <f ca="1">_xll.RiskMean(V45)</f>
        <v>1.2154</v>
      </c>
      <c r="AC45" s="65">
        <f ca="1">_xll.RiskMean(W45)</f>
        <v>0.27110000000000001</v>
      </c>
      <c r="AD45" s="65">
        <f ca="1">_xll.RiskMean(X45)</f>
        <v>0.1212</v>
      </c>
      <c r="AE45" s="65">
        <f ca="1">_xll.RiskMean(Y45)</f>
        <v>1.7999999999999999E-2</v>
      </c>
      <c r="AF45" s="65">
        <f ca="1">_xll.RiskMean(Z45)</f>
        <v>4.0000000000000001E-3</v>
      </c>
      <c r="AG45" s="66">
        <f ca="1">_xll.RiskMean(AA45)</f>
        <v>1E-4</v>
      </c>
    </row>
    <row r="46" spans="1:33" ht="15" x14ac:dyDescent="0.25">
      <c r="A46" s="22">
        <v>42</v>
      </c>
      <c r="B46" s="16" t="s">
        <v>66</v>
      </c>
      <c r="C46" s="17">
        <v>22.94</v>
      </c>
      <c r="D46">
        <v>7</v>
      </c>
      <c r="J46" s="50">
        <v>49</v>
      </c>
      <c r="K46" t="str">
        <f t="shared" si="13"/>
        <v>UNC Wilmington </v>
      </c>
      <c r="U46" s="59" t="str">
        <f t="shared" si="0"/>
        <v>Kansas </v>
      </c>
      <c r="V46" s="60">
        <f ca="1">_xll.RiskOutput($V$4&amp;"-"&amp;U46)+COUNTIF($N$7:$N$169,A46)</f>
        <v>2</v>
      </c>
      <c r="W46" s="60">
        <f ca="1">_xll.RiskOutput($W$4&amp;"-"&amp;U46)+COUNTIF($N$88:$N$119,A46)</f>
        <v>1</v>
      </c>
      <c r="X46" s="60">
        <f ca="1">_xll.RiskOutput($X$4&amp;"-"&amp;V46)+COUNTIF($N$127:$N$141,A46)</f>
        <v>0</v>
      </c>
      <c r="Y46" s="60">
        <f ca="1">_xll.RiskOutput($Y$4&amp;"-"&amp;W46)+COUNTIF($N$148:$N$154,A46)</f>
        <v>0</v>
      </c>
      <c r="Z46" s="60">
        <f ca="1">_xll.RiskOutput($Z$4&amp;"-"&amp;X46)+COUNTIF($N$161:$N$164,A46)</f>
        <v>0</v>
      </c>
      <c r="AA46" s="61">
        <f ca="1">_xll.RiskOutput($AA$4&amp;"-"&amp;Y46)+IF($N$169=A46,1,0)</f>
        <v>0</v>
      </c>
      <c r="AB46" s="59">
        <f ca="1">_xll.RiskMean(V46)</f>
        <v>0.99490000000000001</v>
      </c>
      <c r="AC46" s="65">
        <f ca="1">_xll.RiskMean(W46)</f>
        <v>0.24529999999999999</v>
      </c>
      <c r="AD46" s="65">
        <f ca="1">_xll.RiskMean(X46)</f>
        <v>9.2700000000000005E-2</v>
      </c>
      <c r="AE46" s="65">
        <f ca="1">_xll.RiskMean(Y46)</f>
        <v>1.2800000000000001E-2</v>
      </c>
      <c r="AF46" s="65">
        <f ca="1">_xll.RiskMean(Z46)</f>
        <v>2.8E-3</v>
      </c>
      <c r="AG46" s="66">
        <f ca="1">_xll.RiskMean(AA46)</f>
        <v>2.9999999999999997E-4</v>
      </c>
    </row>
    <row r="47" spans="1:33" ht="15" x14ac:dyDescent="0.25">
      <c r="A47" s="22">
        <v>43</v>
      </c>
      <c r="B47" s="35" t="s">
        <v>67</v>
      </c>
      <c r="C47" s="36">
        <v>20.18</v>
      </c>
      <c r="D47">
        <v>8</v>
      </c>
      <c r="I47">
        <v>7</v>
      </c>
      <c r="J47" s="50">
        <v>42</v>
      </c>
      <c r="K47" t="str">
        <f t="shared" si="13"/>
        <v>Kansas </v>
      </c>
      <c r="L47">
        <f>VLOOKUP(J47,KenPomTable,3)-VLOOKUP(J48,KenPomTable,3)</f>
        <v>3.610000000000003</v>
      </c>
      <c r="M47">
        <f ca="1">_xll.RiskNormal(L47,$L$1)</f>
        <v>3.7819113509153834</v>
      </c>
      <c r="N47">
        <f t="shared" ref="N47" ca="1" si="54">IF(M47&gt;0,J47,J48)</f>
        <v>42</v>
      </c>
      <c r="O47" t="str">
        <f ca="1">VLOOKUP(N47,KenPomTable,2)</f>
        <v>Kansas </v>
      </c>
      <c r="P47">
        <f t="shared" ref="P47" ca="1" si="55">IF(L47*M47&lt;0,1,0)</f>
        <v>0</v>
      </c>
      <c r="Q47">
        <f t="shared" ref="Q47" si="56">_xlfn.NORM.DIST(0,ABS(L47),$L$1,TRUE)</f>
        <v>0.35904972353477033</v>
      </c>
      <c r="R47">
        <f t="shared" ref="R47" si="57">1-Q47</f>
        <v>0.64095027646522973</v>
      </c>
      <c r="U47" s="59" t="str">
        <f t="shared" si="0"/>
        <v>Connecticut </v>
      </c>
      <c r="V47" s="60">
        <f ca="1">_xll.RiskOutput($V$4&amp;"-"&amp;U47)+COUNTIF($N$7:$N$169,A47)</f>
        <v>0</v>
      </c>
      <c r="W47" s="60">
        <f ca="1">_xll.RiskOutput($W$4&amp;"-"&amp;U47)+COUNTIF($N$88:$N$119,A47)</f>
        <v>0</v>
      </c>
      <c r="X47" s="60">
        <f ca="1">_xll.RiskOutput($X$4&amp;"-"&amp;V47)+COUNTIF($N$127:$N$141,A47)</f>
        <v>0</v>
      </c>
      <c r="Y47" s="60">
        <f ca="1">_xll.RiskOutput($Y$4&amp;"-"&amp;W47)+COUNTIF($N$148:$N$154,A47)</f>
        <v>0</v>
      </c>
      <c r="Z47" s="60">
        <f ca="1">_xll.RiskOutput($Z$4&amp;"-"&amp;X47)+COUNTIF($N$161:$N$164,A47)</f>
        <v>0</v>
      </c>
      <c r="AA47" s="61">
        <f ca="1">_xll.RiskOutput($AA$4&amp;"-"&amp;Y47)+IF($N$169=A47,1,0)</f>
        <v>0</v>
      </c>
      <c r="AB47" s="59">
        <f ca="1">_xll.RiskMean(V47)</f>
        <v>0.62929999999999997</v>
      </c>
      <c r="AC47" s="65">
        <f ca="1">_xll.RiskMean(W47)</f>
        <v>3.0099999999999998E-2</v>
      </c>
      <c r="AD47" s="65">
        <f ca="1">_xll.RiskMean(X47)</f>
        <v>8.3000000000000001E-3</v>
      </c>
      <c r="AE47" s="65">
        <f ca="1">_xll.RiskMean(Y47)</f>
        <v>2.3E-3</v>
      </c>
      <c r="AF47" s="65">
        <f ca="1">_xll.RiskMean(Z47)</f>
        <v>2.9999999999999997E-4</v>
      </c>
      <c r="AG47" s="66">
        <f ca="1">_xll.RiskMean(AA47)</f>
        <v>0</v>
      </c>
    </row>
    <row r="48" spans="1:33" ht="15" x14ac:dyDescent="0.25">
      <c r="A48" s="22">
        <v>44</v>
      </c>
      <c r="B48" s="35" t="s">
        <v>68</v>
      </c>
      <c r="C48" s="36">
        <v>17.95</v>
      </c>
      <c r="D48">
        <v>9</v>
      </c>
      <c r="J48" s="50">
        <v>45</v>
      </c>
      <c r="K48" t="str">
        <f t="shared" si="13"/>
        <v>Arkansas </v>
      </c>
      <c r="U48" s="59" t="str">
        <f t="shared" si="0"/>
        <v>Oklahoma </v>
      </c>
      <c r="V48" s="60">
        <f ca="1">_xll.RiskOutput($V$4&amp;"-"&amp;U48)+COUNTIF($N$7:$N$169,A48)</f>
        <v>1</v>
      </c>
      <c r="W48" s="60">
        <f ca="1">_xll.RiskOutput($W$4&amp;"-"&amp;U48)+COUNTIF($N$88:$N$119,A48)</f>
        <v>0</v>
      </c>
      <c r="X48" s="60">
        <f ca="1">_xll.RiskOutput($X$4&amp;"-"&amp;V48)+COUNTIF($N$127:$N$141,A48)</f>
        <v>0</v>
      </c>
      <c r="Y48" s="60">
        <f ca="1">_xll.RiskOutput($Y$4&amp;"-"&amp;W48)+COUNTIF($N$148:$N$154,A48)</f>
        <v>0</v>
      </c>
      <c r="Z48" s="60">
        <f ca="1">_xll.RiskOutput($Z$4&amp;"-"&amp;X48)+COUNTIF($N$161:$N$164,A48)</f>
        <v>0</v>
      </c>
      <c r="AA48" s="61">
        <f ca="1">_xll.RiskOutput($AA$4&amp;"-"&amp;Y48)+IF($N$169=A48,1,0)</f>
        <v>0</v>
      </c>
      <c r="AB48" s="59">
        <f ca="1">_xll.RiskMean(V48)</f>
        <v>0.42949999999999999</v>
      </c>
      <c r="AC48" s="65">
        <f ca="1">_xll.RiskMean(W48)</f>
        <v>1.34E-2</v>
      </c>
      <c r="AD48" s="65">
        <f ca="1">_xll.RiskMean(X48)</f>
        <v>3.3999999999999998E-3</v>
      </c>
      <c r="AE48" s="65">
        <f ca="1">_xll.RiskMean(Y48)</f>
        <v>8.9999999999999998E-4</v>
      </c>
      <c r="AF48" s="65">
        <f ca="1">_xll.RiskMean(Z48)</f>
        <v>1E-4</v>
      </c>
      <c r="AG48" s="66">
        <f ca="1">_xll.RiskMean(AA48)</f>
        <v>0</v>
      </c>
    </row>
    <row r="49" spans="1:33" ht="15" x14ac:dyDescent="0.25">
      <c r="A49" s="22">
        <v>45</v>
      </c>
      <c r="B49" s="16" t="s">
        <v>69</v>
      </c>
      <c r="C49" s="17">
        <v>19.329999999999998</v>
      </c>
      <c r="D49">
        <v>10</v>
      </c>
      <c r="I49">
        <v>8</v>
      </c>
      <c r="J49" s="50">
        <v>37</v>
      </c>
      <c r="K49" t="str">
        <f t="shared" si="13"/>
        <v>St. John's </v>
      </c>
      <c r="L49">
        <f>VLOOKUP(J49,KenPomTable,3)-VLOOKUP(J50,KenPomTable,3)</f>
        <v>26.119999999999997</v>
      </c>
      <c r="M49">
        <f ca="1">_xll.RiskNormal(L49,$L$1)</f>
        <v>15.193601821890795</v>
      </c>
      <c r="N49">
        <f t="shared" ref="N49" ca="1" si="58">IF(M49&gt;0,J49,J50)</f>
        <v>37</v>
      </c>
      <c r="O49" t="str">
        <f ca="1">VLOOKUP(N49,KenPomTable,2)</f>
        <v>St. John's </v>
      </c>
      <c r="P49">
        <f t="shared" ref="P49" ca="1" si="59">IF(L49*M49&lt;0,1,0)</f>
        <v>0</v>
      </c>
      <c r="Q49">
        <f t="shared" ref="Q49" si="60">_xlfn.NORM.DIST(0,ABS(L49),$L$1,TRUE)</f>
        <v>4.5007127067369264E-3</v>
      </c>
      <c r="R49">
        <f t="shared" ref="R49" si="61">1-Q49</f>
        <v>0.99549928729326309</v>
      </c>
      <c r="U49" s="59" t="str">
        <f t="shared" si="0"/>
        <v>Arkansas </v>
      </c>
      <c r="V49" s="60">
        <f ca="1">_xll.RiskOutput($V$4&amp;"-"&amp;U49)+COUNTIF($N$7:$N$169,A49)</f>
        <v>0</v>
      </c>
      <c r="W49" s="60">
        <f ca="1">_xll.RiskOutput($W$4&amp;"-"&amp;U49)+COUNTIF($N$88:$N$119,A49)</f>
        <v>0</v>
      </c>
      <c r="X49" s="60">
        <f ca="1">_xll.RiskOutput($X$4&amp;"-"&amp;V49)+COUNTIF($N$127:$N$141,A49)</f>
        <v>0</v>
      </c>
      <c r="Y49" s="60">
        <f ca="1">_xll.RiskOutput($Y$4&amp;"-"&amp;W49)+COUNTIF($N$148:$N$154,A49)</f>
        <v>0</v>
      </c>
      <c r="Z49" s="60">
        <f ca="1">_xll.RiskOutput($Z$4&amp;"-"&amp;X49)+COUNTIF($N$161:$N$164,A49)</f>
        <v>0</v>
      </c>
      <c r="AA49" s="61">
        <f ca="1">_xll.RiskOutput($AA$4&amp;"-"&amp;Y49)+IF($N$169=A49,1,0)</f>
        <v>0</v>
      </c>
      <c r="AB49" s="59">
        <f ca="1">_xll.RiskMean(V49)</f>
        <v>0.46939999999999998</v>
      </c>
      <c r="AC49" s="65">
        <f ca="1">_xll.RiskMean(W49)</f>
        <v>8.8800000000000004E-2</v>
      </c>
      <c r="AD49" s="65">
        <f ca="1">_xll.RiskMean(X49)</f>
        <v>2.01E-2</v>
      </c>
      <c r="AE49" s="65">
        <f ca="1">_xll.RiskMean(Y49)</f>
        <v>1.4E-3</v>
      </c>
      <c r="AF49" s="65">
        <f ca="1">_xll.RiskMean(Z49)</f>
        <v>1E-4</v>
      </c>
      <c r="AG49" s="66">
        <f ca="1">_xll.RiskMean(AA49)</f>
        <v>0</v>
      </c>
    </row>
    <row r="50" spans="1:33" ht="15" x14ac:dyDescent="0.25">
      <c r="A50" s="22">
        <v>46</v>
      </c>
      <c r="B50" s="16" t="s">
        <v>70</v>
      </c>
      <c r="C50" s="17">
        <v>15.12</v>
      </c>
      <c r="D50">
        <v>11</v>
      </c>
      <c r="J50" s="50">
        <v>50</v>
      </c>
      <c r="K50" t="str">
        <f t="shared" si="13"/>
        <v>Nebraska Omaha </v>
      </c>
      <c r="U50" s="59" t="str">
        <f t="shared" si="0"/>
        <v>Drake </v>
      </c>
      <c r="V50" s="60">
        <f ca="1">_xll.RiskOutput($V$4&amp;"-"&amp;U50)+COUNTIF($N$7:$N$169,A50)</f>
        <v>0</v>
      </c>
      <c r="W50" s="60">
        <f ca="1">_xll.RiskOutput($W$4&amp;"-"&amp;U50)+COUNTIF($N$88:$N$119,A50)</f>
        <v>0</v>
      </c>
      <c r="X50" s="60">
        <f ca="1">_xll.RiskOutput($X$4&amp;"-"&amp;V50)+COUNTIF($N$127:$N$141,A50)</f>
        <v>0</v>
      </c>
      <c r="Y50" s="60">
        <f ca="1">_xll.RiskOutput($Y$4&amp;"-"&amp;W50)+COUNTIF($N$148:$N$154,A50)</f>
        <v>0</v>
      </c>
      <c r="Z50" s="60">
        <f ca="1">_xll.RiskOutput($Z$4&amp;"-"&amp;X50)+COUNTIF($N$161:$N$164,A50)</f>
        <v>0</v>
      </c>
      <c r="AA50" s="61">
        <f ca="1">_xll.RiskOutput($AA$4&amp;"-"&amp;Y50)+IF($N$169=A50,1,0)</f>
        <v>0</v>
      </c>
      <c r="AB50" s="59">
        <f ca="1">_xll.RiskMean(V50)</f>
        <v>0.22450000000000001</v>
      </c>
      <c r="AC50" s="65">
        <f ca="1">_xll.RiskMean(W50)</f>
        <v>2.2200000000000001E-2</v>
      </c>
      <c r="AD50" s="65">
        <f ca="1">_xll.RiskMean(X50)</f>
        <v>3.0000000000000001E-3</v>
      </c>
      <c r="AE50" s="65">
        <f ca="1">_xll.RiskMean(Y50)</f>
        <v>2.0000000000000001E-4</v>
      </c>
      <c r="AF50" s="65">
        <f ca="1">_xll.RiskMean(Z50)</f>
        <v>1E-4</v>
      </c>
      <c r="AG50" s="66">
        <f ca="1">_xll.RiskMean(AA50)</f>
        <v>0</v>
      </c>
    </row>
    <row r="51" spans="1:33" ht="15" x14ac:dyDescent="0.25">
      <c r="A51" s="22">
        <v>47</v>
      </c>
      <c r="B51" s="16" t="s">
        <v>71</v>
      </c>
      <c r="C51" s="17">
        <v>17.61</v>
      </c>
      <c r="D51">
        <v>12</v>
      </c>
      <c r="I51">
        <v>1</v>
      </c>
      <c r="J51" s="49">
        <v>19</v>
      </c>
      <c r="K51" t="str">
        <f t="shared" ref="K51:K82" si="62">VLOOKUP(J51,KenPomTable,2)</f>
        <v>Duke </v>
      </c>
      <c r="L51">
        <f>VLOOKUP(J51,KenPomTable,3)-VLOOKUP(J52,KenPomTable,3)</f>
        <v>45.629999999999995</v>
      </c>
      <c r="M51">
        <f ca="1">_xll.RiskNormal(L51,$L$1)</f>
        <v>48.954393646320455</v>
      </c>
      <c r="N51">
        <f ca="1">IF(M51&gt;0,J51,J52)</f>
        <v>19</v>
      </c>
      <c r="O51" t="str">
        <f ca="1">VLOOKUP(N51,KenPomTable,2)</f>
        <v>Duke </v>
      </c>
      <c r="P51">
        <f t="shared" ca="1" si="15"/>
        <v>0</v>
      </c>
      <c r="Q51">
        <f t="shared" ref="Q51" si="63">_xlfn.NORM.DIST(0,ABS(L51),$L$1,TRUE)</f>
        <v>2.5213907347986345E-6</v>
      </c>
      <c r="R51">
        <f t="shared" ref="R51" si="64">1-Q51</f>
        <v>0.99999747860926524</v>
      </c>
      <c r="U51" s="59" t="str">
        <f t="shared" si="0"/>
        <v>Colorado St. </v>
      </c>
      <c r="V51" s="60">
        <f ca="1">_xll.RiskOutput($V$4&amp;"-"&amp;U51)+COUNTIF($N$7:$N$169,A51)</f>
        <v>2</v>
      </c>
      <c r="W51" s="60">
        <f ca="1">_xll.RiskOutput($W$4&amp;"-"&amp;U51)+COUNTIF($N$88:$N$119,A51)</f>
        <v>1</v>
      </c>
      <c r="X51" s="60">
        <f ca="1">_xll.RiskOutput($X$4&amp;"-"&amp;V51)+COUNTIF($N$127:$N$141,A51)</f>
        <v>0</v>
      </c>
      <c r="Y51" s="60">
        <f ca="1">_xll.RiskOutput($Y$4&amp;"-"&amp;W51)+COUNTIF($N$148:$N$154,A51)</f>
        <v>0</v>
      </c>
      <c r="Z51" s="60">
        <f ca="1">_xll.RiskOutput($Z$4&amp;"-"&amp;X51)+COUNTIF($N$161:$N$164,A51)</f>
        <v>0</v>
      </c>
      <c r="AA51" s="61">
        <f ca="1">_xll.RiskOutput($AA$4&amp;"-"&amp;Y51)+IF($N$169=A51,1,0)</f>
        <v>0</v>
      </c>
      <c r="AB51" s="59">
        <f ca="1">_xll.RiskMean(V51)</f>
        <v>0.71689999999999998</v>
      </c>
      <c r="AC51" s="65">
        <f ca="1">_xll.RiskMean(W51)</f>
        <v>0.1118</v>
      </c>
      <c r="AD51" s="65">
        <f ca="1">_xll.RiskMean(X51)</f>
        <v>5.3E-3</v>
      </c>
      <c r="AE51" s="65">
        <f ca="1">_xll.RiskMean(Y51)</f>
        <v>5.9999999999999995E-4</v>
      </c>
      <c r="AF51" s="65">
        <f ca="1">_xll.RiskMean(Z51)</f>
        <v>1E-4</v>
      </c>
      <c r="AG51" s="66">
        <f ca="1">_xll.RiskMean(AA51)</f>
        <v>0</v>
      </c>
    </row>
    <row r="52" spans="1:33" ht="15" x14ac:dyDescent="0.25">
      <c r="A52" s="22">
        <v>48</v>
      </c>
      <c r="B52" s="16" t="s">
        <v>72</v>
      </c>
      <c r="C52" s="17">
        <v>6.29</v>
      </c>
      <c r="D52">
        <v>13</v>
      </c>
      <c r="J52" s="49">
        <v>34</v>
      </c>
      <c r="K52" t="str">
        <f t="shared" si="62"/>
        <v>Mount St. Mary's </v>
      </c>
      <c r="U52" s="59" t="str">
        <f t="shared" si="0"/>
        <v>Grand Canyon </v>
      </c>
      <c r="V52" s="60">
        <f ca="1">_xll.RiskOutput($V$4&amp;"-"&amp;U52)+COUNTIF($N$7:$N$169,A52)</f>
        <v>0</v>
      </c>
      <c r="W52" s="60">
        <f ca="1">_xll.RiskOutput($W$4&amp;"-"&amp;U52)+COUNTIF($N$88:$N$119,A52)</f>
        <v>0</v>
      </c>
      <c r="X52" s="60">
        <f ca="1">_xll.RiskOutput($X$4&amp;"-"&amp;V52)+COUNTIF($N$127:$N$141,A52)</f>
        <v>0</v>
      </c>
      <c r="Y52" s="60">
        <f ca="1">_xll.RiskOutput($Y$4&amp;"-"&amp;W52)+COUNTIF($N$148:$N$154,A52)</f>
        <v>0</v>
      </c>
      <c r="Z52" s="60">
        <f ca="1">_xll.RiskOutput($Z$4&amp;"-"&amp;X52)+COUNTIF($N$161:$N$164,A52)</f>
        <v>0</v>
      </c>
      <c r="AA52" s="61">
        <f ca="1">_xll.RiskOutput($AA$4&amp;"-"&amp;Y52)+IF($N$169=A52,1,0)</f>
        <v>0</v>
      </c>
      <c r="AB52" s="59">
        <f ca="1">_xll.RiskMean(V52)</f>
        <v>2.18E-2</v>
      </c>
      <c r="AC52" s="65">
        <f ca="1">_xll.RiskMean(W52)</f>
        <v>2.8999999999999998E-3</v>
      </c>
      <c r="AD52" s="65">
        <f ca="1">_xll.RiskMean(X52)</f>
        <v>0</v>
      </c>
      <c r="AE52" s="65">
        <f ca="1">_xll.RiskMean(Y52)</f>
        <v>0</v>
      </c>
      <c r="AF52" s="65">
        <f ca="1">_xll.RiskMean(Z52)</f>
        <v>0</v>
      </c>
      <c r="AG52" s="66">
        <f ca="1">_xll.RiskMean(AA52)</f>
        <v>0</v>
      </c>
    </row>
    <row r="53" spans="1:33" ht="15" x14ac:dyDescent="0.25">
      <c r="A53" s="22">
        <v>49</v>
      </c>
      <c r="B53" s="16" t="s">
        <v>73</v>
      </c>
      <c r="C53" s="17">
        <v>5.28</v>
      </c>
      <c r="D53">
        <v>14</v>
      </c>
      <c r="I53">
        <v>2</v>
      </c>
      <c r="J53" s="49">
        <v>26</v>
      </c>
      <c r="K53" t="str">
        <f t="shared" si="62"/>
        <v>Mississippi St. </v>
      </c>
      <c r="L53">
        <f>VLOOKUP(J53,KenPomTable,3)-VLOOKUP(J54,KenPomTable,3)</f>
        <v>-0.80999999999999872</v>
      </c>
      <c r="M53">
        <f ca="1">_xll.RiskNormal(L53,$L$1)</f>
        <v>1.8059321400282586</v>
      </c>
      <c r="N53">
        <f ca="1">IF(M53&gt;0,J53,J54)</f>
        <v>26</v>
      </c>
      <c r="O53" t="str">
        <f ca="1">VLOOKUP(N53,KenPomTable,2)</f>
        <v>Mississippi St. </v>
      </c>
      <c r="P53">
        <f t="shared" ca="1" si="15"/>
        <v>1</v>
      </c>
      <c r="Q53">
        <f t="shared" ref="Q53" si="65">_xlfn.NORM.DIST(0,ABS(L53),$L$1,TRUE)</f>
        <v>0.46772097625305908</v>
      </c>
      <c r="R53">
        <f t="shared" ref="R53" si="66">1-Q53</f>
        <v>0.53227902374694092</v>
      </c>
      <c r="U53" s="59" t="str">
        <f t="shared" si="0"/>
        <v>UNC Wilmington </v>
      </c>
      <c r="V53" s="60">
        <f ca="1">_xll.RiskOutput($V$4&amp;"-"&amp;U53)+COUNTIF($N$7:$N$169,A53)</f>
        <v>0</v>
      </c>
      <c r="W53" s="60">
        <f ca="1">_xll.RiskOutput($W$4&amp;"-"&amp;U53)+COUNTIF($N$88:$N$119,A53)</f>
        <v>0</v>
      </c>
      <c r="X53" s="60">
        <f ca="1">_xll.RiskOutput($X$4&amp;"-"&amp;V53)+COUNTIF($N$127:$N$141,A53)</f>
        <v>0</v>
      </c>
      <c r="Y53" s="60">
        <f ca="1">_xll.RiskOutput($Y$4&amp;"-"&amp;W53)+COUNTIF($N$148:$N$154,A53)</f>
        <v>0</v>
      </c>
      <c r="Z53" s="60">
        <f ca="1">_xll.RiskOutput($Z$4&amp;"-"&amp;X53)+COUNTIF($N$161:$N$164,A53)</f>
        <v>0</v>
      </c>
      <c r="AA53" s="61">
        <f ca="1">_xll.RiskOutput($AA$4&amp;"-"&amp;Y53)+IF($N$169=A53,1,0)</f>
        <v>0</v>
      </c>
      <c r="AB53" s="59">
        <f ca="1">_xll.RiskMean(V53)</f>
        <v>1.23E-2</v>
      </c>
      <c r="AC53" s="65">
        <f ca="1">_xll.RiskMean(W53)</f>
        <v>5.0000000000000001E-4</v>
      </c>
      <c r="AD53" s="65">
        <f ca="1">_xll.RiskMean(X53)</f>
        <v>0</v>
      </c>
      <c r="AE53" s="65">
        <f ca="1">_xll.RiskMean(Y53)</f>
        <v>0</v>
      </c>
      <c r="AF53" s="65">
        <f ca="1">_xll.RiskMean(Z53)</f>
        <v>0</v>
      </c>
      <c r="AG53" s="66">
        <f ca="1">_xll.RiskMean(AA53)</f>
        <v>0</v>
      </c>
    </row>
    <row r="54" spans="1:33" ht="15" x14ac:dyDescent="0.25">
      <c r="A54" s="22">
        <v>50</v>
      </c>
      <c r="B54" s="16" t="s">
        <v>74</v>
      </c>
      <c r="C54" s="17">
        <v>-0.06</v>
      </c>
      <c r="D54">
        <v>15</v>
      </c>
      <c r="J54" s="49">
        <v>27</v>
      </c>
      <c r="K54" t="str">
        <f t="shared" si="62"/>
        <v>Baylor </v>
      </c>
      <c r="U54" s="59" t="str">
        <f t="shared" si="0"/>
        <v>Nebraska Omaha </v>
      </c>
      <c r="V54" s="60">
        <f ca="1">_xll.RiskOutput($V$4&amp;"-"&amp;U54)+COUNTIF($N$7:$N$169,A54)</f>
        <v>0</v>
      </c>
      <c r="W54" s="60">
        <f ca="1">_xll.RiskOutput($W$4&amp;"-"&amp;U54)+COUNTIF($N$88:$N$119,A54)</f>
        <v>0</v>
      </c>
      <c r="X54" s="60">
        <f ca="1">_xll.RiskOutput($X$4&amp;"-"&amp;V54)+COUNTIF($N$127:$N$141,A54)</f>
        <v>0</v>
      </c>
      <c r="Y54" s="60">
        <f ca="1">_xll.RiskOutput($Y$4&amp;"-"&amp;W54)+COUNTIF($N$148:$N$154,A54)</f>
        <v>0</v>
      </c>
      <c r="Z54" s="60">
        <f ca="1">_xll.RiskOutput($Z$4&amp;"-"&amp;X54)+COUNTIF($N$161:$N$164,A54)</f>
        <v>0</v>
      </c>
      <c r="AA54" s="61">
        <f ca="1">_xll.RiskOutput($AA$4&amp;"-"&amp;Y54)+IF($N$169=A54,1,0)</f>
        <v>0</v>
      </c>
      <c r="AB54" s="59">
        <f ca="1">_xll.RiskMean(V54)</f>
        <v>4.5999999999999999E-3</v>
      </c>
      <c r="AC54" s="65">
        <f ca="1">_xll.RiskMean(W54)</f>
        <v>1E-4</v>
      </c>
      <c r="AD54" s="65">
        <f ca="1">_xll.RiskMean(X54)</f>
        <v>0</v>
      </c>
      <c r="AE54" s="65">
        <f ca="1">_xll.RiskMean(Y54)</f>
        <v>0</v>
      </c>
      <c r="AF54" s="65">
        <f ca="1">_xll.RiskMean(Z54)</f>
        <v>0</v>
      </c>
      <c r="AG54" s="66">
        <f ca="1">_xll.RiskMean(AA54)</f>
        <v>0</v>
      </c>
    </row>
    <row r="55" spans="1:33" ht="15" x14ac:dyDescent="0.25">
      <c r="A55" s="22">
        <v>51</v>
      </c>
      <c r="B55" s="16" t="s">
        <v>75</v>
      </c>
      <c r="C55" s="17">
        <v>-1.63</v>
      </c>
      <c r="D55">
        <v>16</v>
      </c>
      <c r="I55">
        <v>3</v>
      </c>
      <c r="J55" s="49">
        <v>23</v>
      </c>
      <c r="K55" t="str">
        <f t="shared" si="62"/>
        <v>Oregon </v>
      </c>
      <c r="L55">
        <f>VLOOKUP(J55,KenPomTable,3)-VLOOKUP(J56,KenPomTable,3)</f>
        <v>9.39</v>
      </c>
      <c r="M55">
        <f ca="1">_xll.RiskNormal(L55,$L$1)</f>
        <v>22.523653436648274</v>
      </c>
      <c r="N55">
        <f ca="1">IF(M55&gt;0,J55,J56)</f>
        <v>23</v>
      </c>
      <c r="O55" t="str">
        <f ca="1">VLOOKUP(N55,KenPomTable,2)</f>
        <v>Oregon </v>
      </c>
      <c r="P55">
        <f t="shared" ca="1" si="15"/>
        <v>0</v>
      </c>
      <c r="Q55">
        <f t="shared" ref="Q55" si="67">_xlfn.NORM.DIST(0,ABS(L55),$L$1,TRUE)</f>
        <v>0.17386537216956172</v>
      </c>
      <c r="R55">
        <f t="shared" ref="R55" si="68">1-Q55</f>
        <v>0.82613462783043823</v>
      </c>
      <c r="U55" s="59" t="str">
        <f t="shared" si="0"/>
        <v>Norfolk St. </v>
      </c>
      <c r="V55" s="60">
        <f ca="1">_xll.RiskOutput($V$4&amp;"-"&amp;U55)+COUNTIF($N$7:$N$169,A55)</f>
        <v>0</v>
      </c>
      <c r="W55" s="60">
        <f ca="1">_xll.RiskOutput($W$4&amp;"-"&amp;U55)+COUNTIF($N$88:$N$119,A55)</f>
        <v>0</v>
      </c>
      <c r="X55" s="60">
        <f ca="1">_xll.RiskOutput($X$4&amp;"-"&amp;V55)+COUNTIF($N$127:$N$141,A55)</f>
        <v>0</v>
      </c>
      <c r="Y55" s="60">
        <f ca="1">_xll.RiskOutput($Y$4&amp;"-"&amp;W55)+COUNTIF($N$148:$N$154,A55)</f>
        <v>0</v>
      </c>
      <c r="Z55" s="60">
        <f ca="1">_xll.RiskOutput($Z$4&amp;"-"&amp;X55)+COUNTIF($N$161:$N$164,A55)</f>
        <v>0</v>
      </c>
      <c r="AA55" s="61">
        <f ca="1">_xll.RiskOutput($AA$4&amp;"-"&amp;Y55)+IF($N$169=A55,1,0)</f>
        <v>0</v>
      </c>
      <c r="AB55" s="59">
        <f ca="1">_xll.RiskMean(V55)</f>
        <v>1E-4</v>
      </c>
      <c r="AC55" s="65">
        <f ca="1">_xll.RiskMean(W55)</f>
        <v>0</v>
      </c>
      <c r="AD55" s="65">
        <f ca="1">_xll.RiskMean(X55)</f>
        <v>0</v>
      </c>
      <c r="AE55" s="65">
        <f ca="1">_xll.RiskMean(Y55)</f>
        <v>0</v>
      </c>
      <c r="AF55" s="65">
        <f ca="1">_xll.RiskMean(Z55)</f>
        <v>0</v>
      </c>
      <c r="AG55" s="66">
        <f ca="1">_xll.RiskMean(AA55)</f>
        <v>0</v>
      </c>
    </row>
    <row r="56" spans="1:33" ht="15" x14ac:dyDescent="0.25">
      <c r="A56" s="37">
        <v>52</v>
      </c>
      <c r="B56" s="20" t="s">
        <v>76</v>
      </c>
      <c r="C56" s="21">
        <v>36.590000000000003</v>
      </c>
      <c r="D56">
        <v>1</v>
      </c>
      <c r="J56" s="49">
        <v>30</v>
      </c>
      <c r="K56" t="str">
        <f t="shared" si="62"/>
        <v>Liberty </v>
      </c>
      <c r="U56" s="59" t="str">
        <f t="shared" si="0"/>
        <v>Houston </v>
      </c>
      <c r="V56" s="60">
        <f ca="1">_xll.RiskOutput($V$4&amp;"-"&amp;U56)+COUNTIF($N$7:$N$169,A56)</f>
        <v>4</v>
      </c>
      <c r="W56" s="60">
        <f ca="1">_xll.RiskOutput($W$4&amp;"-"&amp;U56)+COUNTIF($N$88:$N$119,A56)</f>
        <v>1</v>
      </c>
      <c r="X56" s="60">
        <f ca="1">_xll.RiskOutput($X$4&amp;"-"&amp;V56)+COUNTIF($N$127:$N$141,A56)</f>
        <v>1</v>
      </c>
      <c r="Y56" s="60">
        <f ca="1">_xll.RiskOutput($Y$4&amp;"-"&amp;W56)+COUNTIF($N$148:$N$154,A56)</f>
        <v>1</v>
      </c>
      <c r="Z56" s="60">
        <f ca="1">_xll.RiskOutput($Z$4&amp;"-"&amp;X56)+COUNTIF($N$161:$N$164,A56)</f>
        <v>0</v>
      </c>
      <c r="AA56" s="61">
        <f ca="1">_xll.RiskOutput($AA$4&amp;"-"&amp;Y56)+IF($N$169=A56,1,0)</f>
        <v>0</v>
      </c>
      <c r="AB56" s="59">
        <f ca="1">_xll.RiskMean(V56)</f>
        <v>3.6048</v>
      </c>
      <c r="AC56" s="65">
        <f ca="1">_xll.RiskMean(W56)</f>
        <v>0.83189999999999997</v>
      </c>
      <c r="AD56" s="65">
        <f ca="1">_xll.RiskMean(X56)</f>
        <v>0.73880000000000001</v>
      </c>
      <c r="AE56" s="65">
        <f ca="1">_xll.RiskMean(Y56)</f>
        <v>0.58240000000000003</v>
      </c>
      <c r="AF56" s="65">
        <f ca="1">_xll.RiskMean(Z56)</f>
        <v>0.28560000000000002</v>
      </c>
      <c r="AG56" s="66">
        <f ca="1">_xll.RiskMean(AA56)</f>
        <v>0.1661</v>
      </c>
    </row>
    <row r="57" spans="1:33" ht="15" x14ac:dyDescent="0.25">
      <c r="A57" s="37">
        <v>53</v>
      </c>
      <c r="B57" s="20" t="s">
        <v>77</v>
      </c>
      <c r="C57" s="21">
        <v>30.93</v>
      </c>
      <c r="D57">
        <v>2</v>
      </c>
      <c r="I57">
        <v>4</v>
      </c>
      <c r="J57" s="49">
        <v>22</v>
      </c>
      <c r="K57" t="str">
        <f t="shared" si="62"/>
        <v>Arizona </v>
      </c>
      <c r="L57">
        <f>VLOOKUP(J57,KenPomTable,3)-VLOOKUP(J58,KenPomTable,3)</f>
        <v>19.880000000000003</v>
      </c>
      <c r="M57">
        <f ca="1">_xll.RiskNormal(L57,$L$1)</f>
        <v>30.313130368344787</v>
      </c>
      <c r="N57">
        <f ca="1">IF(M57&gt;0,J57,J58)</f>
        <v>22</v>
      </c>
      <c r="O57" t="str">
        <f ca="1">VLOOKUP(N57,KenPomTable,2)</f>
        <v>Arizona </v>
      </c>
      <c r="P57">
        <f t="shared" ca="1" si="15"/>
        <v>0</v>
      </c>
      <c r="Q57">
        <f t="shared" ref="Q57" si="69">_xlfn.NORM.DIST(0,ABS(L57),$L$1,TRUE)</f>
        <v>2.3405844986442985E-2</v>
      </c>
      <c r="R57">
        <f t="shared" ref="R57" si="70">1-Q57</f>
        <v>0.97659415501355706</v>
      </c>
      <c r="U57" s="59" t="str">
        <f t="shared" si="0"/>
        <v>Tennessee </v>
      </c>
      <c r="V57" s="60">
        <f ca="1">_xll.RiskOutput($V$4&amp;"-"&amp;U57)+COUNTIF($N$7:$N$169,A57)</f>
        <v>2</v>
      </c>
      <c r="W57" s="60">
        <f ca="1">_xll.RiskOutput($W$4&amp;"-"&amp;U57)+COUNTIF($N$88:$N$119,A57)</f>
        <v>1</v>
      </c>
      <c r="X57" s="60">
        <f ca="1">_xll.RiskOutput($X$4&amp;"-"&amp;V57)+COUNTIF($N$127:$N$141,A57)</f>
        <v>0</v>
      </c>
      <c r="Y57" s="60">
        <f ca="1">_xll.RiskOutput($Y$4&amp;"-"&amp;W57)+COUNTIF($N$148:$N$154,A57)</f>
        <v>0</v>
      </c>
      <c r="Z57" s="60">
        <f ca="1">_xll.RiskOutput($Z$4&amp;"-"&amp;X57)+COUNTIF($N$161:$N$164,A57)</f>
        <v>0</v>
      </c>
      <c r="AA57" s="61">
        <f ca="1">_xll.RiskOutput($AA$4&amp;"-"&amp;Y57)+IF($N$169=A57,1,0)</f>
        <v>0</v>
      </c>
      <c r="AB57" s="59">
        <f ca="1">_xll.RiskMean(V57)</f>
        <v>2.7323</v>
      </c>
      <c r="AC57" s="65">
        <f ca="1">_xll.RiskMean(W57)</f>
        <v>0.80100000000000005</v>
      </c>
      <c r="AD57" s="65">
        <f ca="1">_xll.RiskMean(X57)</f>
        <v>0.60650000000000004</v>
      </c>
      <c r="AE57" s="65">
        <f ca="1">_xll.RiskMean(Y57)</f>
        <v>0.23499999999999999</v>
      </c>
      <c r="AF57" s="65">
        <f ca="1">_xll.RiskMean(Z57)</f>
        <v>6.7900000000000002E-2</v>
      </c>
      <c r="AG57" s="66">
        <f ca="1">_xll.RiskMean(AA57)</f>
        <v>2.5700000000000001E-2</v>
      </c>
    </row>
    <row r="58" spans="1:33" ht="15" x14ac:dyDescent="0.25">
      <c r="A58" s="37">
        <v>54</v>
      </c>
      <c r="B58" s="18" t="s">
        <v>78</v>
      </c>
      <c r="C58" s="19">
        <v>24.54</v>
      </c>
      <c r="D58">
        <v>3</v>
      </c>
      <c r="J58" s="49">
        <v>31</v>
      </c>
      <c r="K58" t="str">
        <f t="shared" si="62"/>
        <v>Akron </v>
      </c>
      <c r="U58" s="59" t="str">
        <f t="shared" si="0"/>
        <v>Kentucky </v>
      </c>
      <c r="V58" s="60">
        <f ca="1">_xll.RiskOutput($V$4&amp;"-"&amp;U58)+COUNTIF($N$7:$N$169,A58)</f>
        <v>3</v>
      </c>
      <c r="W58" s="60">
        <f ca="1">_xll.RiskOutput($W$4&amp;"-"&amp;U58)+COUNTIF($N$88:$N$119,A58)</f>
        <v>1</v>
      </c>
      <c r="X58" s="60">
        <f ca="1">_xll.RiskOutput($X$4&amp;"-"&amp;V58)+COUNTIF($N$127:$N$141,A58)</f>
        <v>1</v>
      </c>
      <c r="Y58" s="60">
        <f ca="1">_xll.RiskOutput($Y$4&amp;"-"&amp;W58)+COUNTIF($N$148:$N$154,A58)</f>
        <v>0</v>
      </c>
      <c r="Z58" s="60">
        <f ca="1">_xll.RiskOutput($Z$4&amp;"-"&amp;X58)+COUNTIF($N$161:$N$164,A58)</f>
        <v>0</v>
      </c>
      <c r="AA58" s="61">
        <f ca="1">_xll.RiskOutput($AA$4&amp;"-"&amp;Y58)+IF($N$169=A58,1,0)</f>
        <v>0</v>
      </c>
      <c r="AB58" s="59">
        <f ca="1">_xll.RiskMean(V58)</f>
        <v>1.7209000000000001</v>
      </c>
      <c r="AC58" s="65">
        <f ca="1">_xll.RiskMean(W58)</f>
        <v>0.5444</v>
      </c>
      <c r="AD58" s="65">
        <f ca="1">_xll.RiskMean(X58)</f>
        <v>0.17480000000000001</v>
      </c>
      <c r="AE58" s="65">
        <f ca="1">_xll.RiskMean(Y58)</f>
        <v>3.5000000000000003E-2</v>
      </c>
      <c r="AF58" s="65">
        <f ca="1">_xll.RiskMean(Z58)</f>
        <v>5.1000000000000004E-3</v>
      </c>
      <c r="AG58" s="66">
        <f ca="1">_xll.RiskMean(AA58)</f>
        <v>8.9999999999999998E-4</v>
      </c>
    </row>
    <row r="59" spans="1:33" ht="15" x14ac:dyDescent="0.25">
      <c r="A59" s="37">
        <v>55</v>
      </c>
      <c r="B59" s="18" t="s">
        <v>79</v>
      </c>
      <c r="C59" s="19">
        <v>25.36</v>
      </c>
      <c r="D59">
        <v>4</v>
      </c>
      <c r="I59">
        <v>5</v>
      </c>
      <c r="J59" s="49">
        <v>24</v>
      </c>
      <c r="K59" t="str">
        <f t="shared" si="62"/>
        <v>BYU </v>
      </c>
      <c r="L59">
        <f>VLOOKUP(J59,KenPomTable,3)-VLOOKUP(J60,KenPomTable,3)</f>
        <v>2.7799999999999976</v>
      </c>
      <c r="M59">
        <f ca="1">_xll.RiskNormal(L59,$L$1)</f>
        <v>4.481329158106961</v>
      </c>
      <c r="N59">
        <f ca="1">IF(M59&gt;0,J59,J60)</f>
        <v>24</v>
      </c>
      <c r="O59" t="str">
        <f ca="1">VLOOKUP(N59,KenPomTable,2)</f>
        <v>BYU </v>
      </c>
      <c r="P59">
        <f t="shared" ca="1" si="15"/>
        <v>0</v>
      </c>
      <c r="Q59">
        <f t="shared" ref="Q59" si="71">_xlfn.NORM.DIST(0,ABS(L59),$L$1,TRUE)</f>
        <v>0.39050617937644905</v>
      </c>
      <c r="R59">
        <f t="shared" ref="R59" si="72">1-Q59</f>
        <v>0.60949382062355095</v>
      </c>
      <c r="U59" s="59" t="str">
        <f t="shared" si="0"/>
        <v>Purdue </v>
      </c>
      <c r="V59" s="60">
        <f ca="1">_xll.RiskOutput($V$4&amp;"-"&amp;U59)+COUNTIF($N$7:$N$169,A59)</f>
        <v>1</v>
      </c>
      <c r="W59" s="60">
        <f ca="1">_xll.RiskOutput($W$4&amp;"-"&amp;U59)+COUNTIF($N$88:$N$119,A59)</f>
        <v>0</v>
      </c>
      <c r="X59" s="60">
        <f ca="1">_xll.RiskOutput($X$4&amp;"-"&amp;V59)+COUNTIF($N$127:$N$141,A59)</f>
        <v>0</v>
      </c>
      <c r="Y59" s="60">
        <f ca="1">_xll.RiskOutput($Y$4&amp;"-"&amp;W59)+COUNTIF($N$148:$N$154,A59)</f>
        <v>0</v>
      </c>
      <c r="Z59" s="60">
        <f ca="1">_xll.RiskOutput($Z$4&amp;"-"&amp;X59)+COUNTIF($N$161:$N$164,A59)</f>
        <v>0</v>
      </c>
      <c r="AA59" s="61">
        <f ca="1">_xll.RiskOutput($AA$4&amp;"-"&amp;Y59)+IF($N$169=A59,1,0)</f>
        <v>0</v>
      </c>
      <c r="AB59" s="59">
        <f ca="1">_xll.RiskMean(V59)</f>
        <v>1.7073</v>
      </c>
      <c r="AC59" s="65">
        <f ca="1">_xll.RiskMean(W59)</f>
        <v>0.60389999999999999</v>
      </c>
      <c r="AD59" s="65">
        <f ca="1">_xll.RiskMean(X59)</f>
        <v>0.10929999999999999</v>
      </c>
      <c r="AE59" s="65">
        <f ca="1">_xll.RiskMean(Y59)</f>
        <v>4.0500000000000001E-2</v>
      </c>
      <c r="AF59" s="65">
        <f ca="1">_xll.RiskMean(Z59)</f>
        <v>5.1999999999999998E-3</v>
      </c>
      <c r="AG59" s="66">
        <f ca="1">_xll.RiskMean(AA59)</f>
        <v>8.9999999999999998E-4</v>
      </c>
    </row>
    <row r="60" spans="1:33" ht="15" x14ac:dyDescent="0.25">
      <c r="A60" s="37">
        <v>56</v>
      </c>
      <c r="B60" s="18" t="s">
        <v>80</v>
      </c>
      <c r="C60" s="19">
        <v>23.22</v>
      </c>
      <c r="D60">
        <v>5</v>
      </c>
      <c r="J60" s="49">
        <v>29</v>
      </c>
      <c r="K60" t="str">
        <f t="shared" si="62"/>
        <v>VCU </v>
      </c>
      <c r="U60" s="59" t="str">
        <f t="shared" si="0"/>
        <v>Clemson </v>
      </c>
      <c r="V60" s="60">
        <f ca="1">_xll.RiskOutput($V$4&amp;"-"&amp;U60)+COUNTIF($N$7:$N$169,A60)</f>
        <v>2</v>
      </c>
      <c r="W60" s="60">
        <f ca="1">_xll.RiskOutput($W$4&amp;"-"&amp;U60)+COUNTIF($N$88:$N$119,A60)</f>
        <v>1</v>
      </c>
      <c r="X60" s="60">
        <f ca="1">_xll.RiskOutput($X$4&amp;"-"&amp;V60)+COUNTIF($N$127:$N$141,A60)</f>
        <v>0</v>
      </c>
      <c r="Y60" s="60">
        <f ca="1">_xll.RiskOutput($Y$4&amp;"-"&amp;W60)+COUNTIF($N$148:$N$154,A60)</f>
        <v>0</v>
      </c>
      <c r="Z60" s="60">
        <f ca="1">_xll.RiskOutput($Z$4&amp;"-"&amp;X60)+COUNTIF($N$161:$N$164,A60)</f>
        <v>0</v>
      </c>
      <c r="AA60" s="61">
        <f ca="1">_xll.RiskOutput($AA$4&amp;"-"&amp;Y60)+IF($N$169=A60,1,0)</f>
        <v>0</v>
      </c>
      <c r="AB60" s="59">
        <f ca="1">_xll.RiskMean(V60)</f>
        <v>1.2379</v>
      </c>
      <c r="AC60" s="65">
        <f ca="1">_xll.RiskMean(W60)</f>
        <v>0.35899999999999999</v>
      </c>
      <c r="AD60" s="65">
        <f ca="1">_xll.RiskMean(X60)</f>
        <v>4.6300000000000001E-2</v>
      </c>
      <c r="AE60" s="65">
        <f ca="1">_xll.RiskMean(Y60)</f>
        <v>1.5699999999999999E-2</v>
      </c>
      <c r="AF60" s="65">
        <f ca="1">_xll.RiskMean(Z60)</f>
        <v>1.4E-3</v>
      </c>
      <c r="AG60" s="66">
        <f ca="1">_xll.RiskMean(AA60)</f>
        <v>1E-4</v>
      </c>
    </row>
    <row r="61" spans="1:33" ht="15" x14ac:dyDescent="0.25">
      <c r="A61" s="37">
        <v>57</v>
      </c>
      <c r="B61" s="20" t="s">
        <v>81</v>
      </c>
      <c r="C61" s="21">
        <v>24.32</v>
      </c>
      <c r="D61">
        <v>6</v>
      </c>
      <c r="I61">
        <v>6</v>
      </c>
      <c r="J61" s="49">
        <v>21</v>
      </c>
      <c r="K61" t="str">
        <f t="shared" si="62"/>
        <v>Wisconsin </v>
      </c>
      <c r="L61">
        <f>VLOOKUP(J61,KenPomTable,3)-VLOOKUP(J62,KenPomTable,3)</f>
        <v>26.5</v>
      </c>
      <c r="M61">
        <f ca="1">_xll.RiskNormal(L61,$L$1)</f>
        <v>27.931887517690193</v>
      </c>
      <c r="N61">
        <f ca="1">IF(M61&gt;0,J61,J62)</f>
        <v>21</v>
      </c>
      <c r="O61" t="str">
        <f ca="1">VLOOKUP(N61,KenPomTable,2)</f>
        <v>Wisconsin </v>
      </c>
      <c r="P61">
        <f t="shared" ca="1" si="15"/>
        <v>0</v>
      </c>
      <c r="Q61">
        <f t="shared" ref="Q61" si="73">_xlfn.NORM.DIST(0,ABS(L61),$L$1,TRUE)</f>
        <v>4.0245885427583044E-3</v>
      </c>
      <c r="R61">
        <f t="shared" ref="R61" si="74">1-Q61</f>
        <v>0.99597541145724167</v>
      </c>
      <c r="U61" s="59" t="str">
        <f t="shared" si="0"/>
        <v>Illinois </v>
      </c>
      <c r="V61" s="60">
        <f ca="1">_xll.RiskOutput($V$4&amp;"-"&amp;U61)+COUNTIF($N$7:$N$169,A61)</f>
        <v>1</v>
      </c>
      <c r="W61" s="60">
        <f ca="1">_xll.RiskOutput($W$4&amp;"-"&amp;U61)+COUNTIF($N$88:$N$119,A61)</f>
        <v>0</v>
      </c>
      <c r="X61" s="60">
        <f ca="1">_xll.RiskOutput($X$4&amp;"-"&amp;V61)+COUNTIF($N$127:$N$141,A61)</f>
        <v>0</v>
      </c>
      <c r="Y61" s="60">
        <f ca="1">_xll.RiskOutput($Y$4&amp;"-"&amp;W61)+COUNTIF($N$148:$N$154,A61)</f>
        <v>0</v>
      </c>
      <c r="Z61" s="60">
        <f ca="1">_xll.RiskOutput($Z$4&amp;"-"&amp;X61)+COUNTIF($N$161:$N$164,A61)</f>
        <v>0</v>
      </c>
      <c r="AA61" s="61">
        <f ca="1">_xll.RiskOutput($AA$4&amp;"-"&amp;Y61)+IF($N$169=A61,1,0)</f>
        <v>0</v>
      </c>
      <c r="AB61" s="59">
        <f ca="1">_xll.RiskMean(V61)</f>
        <v>1.2936000000000001</v>
      </c>
      <c r="AC61" s="65">
        <f ca="1">_xll.RiskMean(W61)</f>
        <v>0.3866</v>
      </c>
      <c r="AD61" s="65">
        <f ca="1">_xll.RiskMean(X61)</f>
        <v>0.11890000000000001</v>
      </c>
      <c r="AE61" s="65">
        <f ca="1">_xll.RiskMean(Y61)</f>
        <v>2.2599999999999999E-2</v>
      </c>
      <c r="AF61" s="65">
        <f ca="1">_xll.RiskMean(Z61)</f>
        <v>2.8E-3</v>
      </c>
      <c r="AG61" s="66">
        <f ca="1">_xll.RiskMean(AA61)</f>
        <v>5.9999999999999995E-4</v>
      </c>
    </row>
    <row r="62" spans="1:33" ht="15" x14ac:dyDescent="0.25">
      <c r="A62" s="37">
        <v>58</v>
      </c>
      <c r="B62" s="18" t="s">
        <v>82</v>
      </c>
      <c r="C62" s="19">
        <v>23.46</v>
      </c>
      <c r="D62">
        <v>7</v>
      </c>
      <c r="J62" s="49">
        <v>32</v>
      </c>
      <c r="K62" t="str">
        <f t="shared" si="62"/>
        <v>Montana </v>
      </c>
      <c r="U62" s="59" t="str">
        <f t="shared" si="0"/>
        <v>UCLA </v>
      </c>
      <c r="V62" s="60">
        <f ca="1">_xll.RiskOutput($V$4&amp;"-"&amp;U62)+COUNTIF($N$7:$N$169,A62)</f>
        <v>1</v>
      </c>
      <c r="W62" s="60">
        <f ca="1">_xll.RiskOutput($W$4&amp;"-"&amp;U62)+COUNTIF($N$88:$N$119,A62)</f>
        <v>0</v>
      </c>
      <c r="X62" s="60">
        <f ca="1">_xll.RiskOutput($X$4&amp;"-"&amp;V62)+COUNTIF($N$127:$N$141,A62)</f>
        <v>0</v>
      </c>
      <c r="Y62" s="60">
        <f ca="1">_xll.RiskOutput($Y$4&amp;"-"&amp;W62)+COUNTIF($N$148:$N$154,A62)</f>
        <v>0</v>
      </c>
      <c r="Z62" s="60">
        <f ca="1">_xll.RiskOutput($Z$4&amp;"-"&amp;X62)+COUNTIF($N$161:$N$164,A62)</f>
        <v>0</v>
      </c>
      <c r="AA62" s="61">
        <f ca="1">_xll.RiskOutput($AA$4&amp;"-"&amp;Y62)+IF($N$169=A62,1,0)</f>
        <v>0</v>
      </c>
      <c r="AB62" s="59">
        <f ca="1">_xll.RiskMean(V62)</f>
        <v>1.1253</v>
      </c>
      <c r="AC62" s="65">
        <f ca="1">_xll.RiskMean(W62)</f>
        <v>0.18990000000000001</v>
      </c>
      <c r="AD62" s="65">
        <f ca="1">_xll.RiskMean(X62)</f>
        <v>8.9300000000000004E-2</v>
      </c>
      <c r="AE62" s="65">
        <f ca="1">_xll.RiskMean(Y62)</f>
        <v>1.6400000000000001E-2</v>
      </c>
      <c r="AF62" s="65">
        <f ca="1">_xll.RiskMean(Z62)</f>
        <v>1.8E-3</v>
      </c>
      <c r="AG62" s="66">
        <f ca="1">_xll.RiskMean(AA62)</f>
        <v>0</v>
      </c>
    </row>
    <row r="63" spans="1:33" ht="15" x14ac:dyDescent="0.25">
      <c r="A63" s="38">
        <v>59</v>
      </c>
      <c r="B63" s="18" t="s">
        <v>83</v>
      </c>
      <c r="C63" s="19">
        <v>28.01</v>
      </c>
      <c r="D63">
        <v>8</v>
      </c>
      <c r="I63">
        <v>7</v>
      </c>
      <c r="J63" s="49">
        <v>25</v>
      </c>
      <c r="K63" t="str">
        <f t="shared" si="62"/>
        <v>Saint Mary's </v>
      </c>
      <c r="L63">
        <f>VLOOKUP(J63,KenPomTable,3)-VLOOKUP(J64,KenPomTable,3)</f>
        <v>6.5</v>
      </c>
      <c r="M63">
        <f ca="1">_xll.RiskNormal(L63,$L$1)</f>
        <v>21.987733015333109</v>
      </c>
      <c r="N63">
        <f ca="1">IF(M63&gt;0,J63,J64)</f>
        <v>25</v>
      </c>
      <c r="O63" t="str">
        <f ca="1">VLOOKUP(N63,KenPomTable,2)</f>
        <v>Saint Mary's </v>
      </c>
      <c r="P63">
        <f t="shared" ca="1" si="15"/>
        <v>0</v>
      </c>
      <c r="Q63">
        <f t="shared" ref="Q63" si="75">_xlfn.NORM.DIST(0,ABS(L63),$L$1,TRUE)</f>
        <v>0.25784611080586467</v>
      </c>
      <c r="R63">
        <f t="shared" ref="R63" si="76">1-Q63</f>
        <v>0.74215388919413527</v>
      </c>
      <c r="U63" s="59" t="str">
        <f t="shared" si="0"/>
        <v>Gonzaga </v>
      </c>
      <c r="V63" s="60">
        <f ca="1">_xll.RiskOutput($V$4&amp;"-"&amp;U63)+COUNTIF($N$7:$N$169,A63)</f>
        <v>1</v>
      </c>
      <c r="W63" s="60">
        <f ca="1">_xll.RiskOutput($W$4&amp;"-"&amp;U63)+COUNTIF($N$88:$N$119,A63)</f>
        <v>0</v>
      </c>
      <c r="X63" s="60">
        <f ca="1">_xll.RiskOutput($X$4&amp;"-"&amp;V63)+COUNTIF($N$127:$N$141,A63)</f>
        <v>0</v>
      </c>
      <c r="Y63" s="60">
        <f ca="1">_xll.RiskOutput($Y$4&amp;"-"&amp;W63)+COUNTIF($N$148:$N$154,A63)</f>
        <v>0</v>
      </c>
      <c r="Z63" s="60">
        <f ca="1">_xll.RiskOutput($Z$4&amp;"-"&amp;X63)+COUNTIF($N$161:$N$164,A63)</f>
        <v>0</v>
      </c>
      <c r="AA63" s="61">
        <f ca="1">_xll.RiskOutput($AA$4&amp;"-"&amp;Y63)+IF($N$169=A63,1,0)</f>
        <v>0</v>
      </c>
      <c r="AB63" s="59">
        <f ca="1">_xll.RiskMean(V63)</f>
        <v>1.1609</v>
      </c>
      <c r="AC63" s="65">
        <f ca="1">_xll.RiskMean(W63)</f>
        <v>0.16239999999999999</v>
      </c>
      <c r="AD63" s="65">
        <f ca="1">_xll.RiskMean(X63)</f>
        <v>0.1026</v>
      </c>
      <c r="AE63" s="65">
        <f ca="1">_xll.RiskMean(Y63)</f>
        <v>5.1200000000000002E-2</v>
      </c>
      <c r="AF63" s="65">
        <f ca="1">_xll.RiskMean(Z63)</f>
        <v>1.2800000000000001E-2</v>
      </c>
      <c r="AG63" s="66">
        <f ca="1">_xll.RiskMean(AA63)</f>
        <v>4.4999999999999997E-3</v>
      </c>
    </row>
    <row r="64" spans="1:33" ht="15" x14ac:dyDescent="0.25">
      <c r="A64" s="37">
        <v>60</v>
      </c>
      <c r="B64" s="18" t="s">
        <v>84</v>
      </c>
      <c r="C64" s="19">
        <v>18.57</v>
      </c>
      <c r="D64">
        <v>9</v>
      </c>
      <c r="J64" s="49">
        <v>28</v>
      </c>
      <c r="K64" t="str">
        <f t="shared" si="62"/>
        <v>Vanderbilt </v>
      </c>
      <c r="U64" s="59" t="str">
        <f>B64</f>
        <v>Georgia </v>
      </c>
      <c r="V64" s="60">
        <f ca="1">_xll.RiskOutput($V$4&amp;"-"&amp;U64)+COUNTIF($N$7:$N$169,A64)</f>
        <v>0</v>
      </c>
      <c r="W64" s="60">
        <f ca="1">_xll.RiskOutput($W$4&amp;"-"&amp;U64)+COUNTIF($N$88:$N$119,A64)</f>
        <v>0</v>
      </c>
      <c r="X64" s="60">
        <f ca="1">_xll.RiskOutput($X$4&amp;"-"&amp;V64)+COUNTIF($N$127:$N$141,A64)</f>
        <v>0</v>
      </c>
      <c r="Y64" s="60">
        <f ca="1">_xll.RiskOutput($Y$4&amp;"-"&amp;W64)+COUNTIF($N$148:$N$154,A64)</f>
        <v>0</v>
      </c>
      <c r="Z64" s="60">
        <f ca="1">_xll.RiskOutput($Z$4&amp;"-"&amp;X64)+COUNTIF($N$161:$N$164,A64)</f>
        <v>0</v>
      </c>
      <c r="AA64" s="61">
        <f ca="1">_xll.RiskOutput($AA$4&amp;"-"&amp;Y64)+IF($N$169=A64,1,0)</f>
        <v>0</v>
      </c>
      <c r="AB64" s="59">
        <f ca="1">_xll.RiskMean(V64)</f>
        <v>0.18079999999999999</v>
      </c>
      <c r="AC64" s="65">
        <f ca="1">_xll.RiskMean(W64)</f>
        <v>5.7000000000000002E-3</v>
      </c>
      <c r="AD64" s="65">
        <f ca="1">_xll.RiskMean(X64)</f>
        <v>2E-3</v>
      </c>
      <c r="AE64" s="65">
        <f ca="1">_xll.RiskMean(Y64)</f>
        <v>5.0000000000000001E-4</v>
      </c>
      <c r="AF64" s="65">
        <f ca="1">_xll.RiskMean(Z64)</f>
        <v>0</v>
      </c>
      <c r="AG64" s="66">
        <f ca="1">_xll.RiskMean(AA64)</f>
        <v>0</v>
      </c>
    </row>
    <row r="65" spans="1:33" ht="15" x14ac:dyDescent="0.25">
      <c r="A65" s="38">
        <v>61</v>
      </c>
      <c r="B65" s="20" t="s">
        <v>85</v>
      </c>
      <c r="C65" s="21">
        <v>14</v>
      </c>
      <c r="D65">
        <v>10</v>
      </c>
      <c r="I65">
        <v>8</v>
      </c>
      <c r="J65" s="49">
        <v>20</v>
      </c>
      <c r="K65" t="str">
        <f t="shared" si="62"/>
        <v>Alabama </v>
      </c>
      <c r="L65">
        <f>VLOOKUP(J65,KenPomTable,3)-VLOOKUP(J66,KenPomTable,3)</f>
        <v>27.44</v>
      </c>
      <c r="M65">
        <f ca="1">_xll.RiskNormal(L65,$L$1)</f>
        <v>28.881108458982464</v>
      </c>
      <c r="N65">
        <f ca="1">IF(M65&gt;0,J65,J66)</f>
        <v>20</v>
      </c>
      <c r="O65" t="str">
        <f ca="1">VLOOKUP(N65,KenPomTable,2)</f>
        <v>Alabama </v>
      </c>
      <c r="P65">
        <f t="shared" ca="1" si="15"/>
        <v>0</v>
      </c>
      <c r="Q65">
        <f t="shared" ref="Q65" si="77">_xlfn.NORM.DIST(0,ABS(L65),$L$1,TRUE)</f>
        <v>3.0347768959319656E-3</v>
      </c>
      <c r="R65">
        <f t="shared" ref="R65" si="78">1-Q65</f>
        <v>0.99696522310406799</v>
      </c>
      <c r="U65" s="59" t="str">
        <f t="shared" si="0"/>
        <v>Utah St. </v>
      </c>
      <c r="V65" s="60">
        <f ca="1">_xll.RiskOutput($V$4&amp;"-"&amp;U65)+COUNTIF($N$7:$N$169,A65)</f>
        <v>0</v>
      </c>
      <c r="W65" s="60">
        <f ca="1">_xll.RiskOutput($W$4&amp;"-"&amp;U65)+COUNTIF($N$88:$N$119,A65)</f>
        <v>0</v>
      </c>
      <c r="X65" s="60">
        <f ca="1">_xll.RiskOutput($X$4&amp;"-"&amp;V65)+COUNTIF($N$127:$N$141,A65)</f>
        <v>0</v>
      </c>
      <c r="Y65" s="60">
        <f ca="1">_xll.RiskOutput($Y$4&amp;"-"&amp;W65)+COUNTIF($N$148:$N$154,A65)</f>
        <v>0</v>
      </c>
      <c r="Z65" s="60">
        <f ca="1">_xll.RiskOutput($Z$4&amp;"-"&amp;X65)+COUNTIF($N$161:$N$164,A65)</f>
        <v>0</v>
      </c>
      <c r="AA65" s="61">
        <f ca="1">_xll.RiskOutput($AA$4&amp;"-"&amp;Y65)+IF($N$169=A65,1,0)</f>
        <v>0</v>
      </c>
      <c r="AB65" s="59">
        <f ca="1">_xll.RiskMean(V65)</f>
        <v>0.18260000000000001</v>
      </c>
      <c r="AC65" s="65">
        <f ca="1">_xll.RiskMean(W65)</f>
        <v>8.8999999999999999E-3</v>
      </c>
      <c r="AD65" s="65">
        <f ca="1">_xll.RiskMean(X65)</f>
        <v>1.6000000000000001E-3</v>
      </c>
      <c r="AE65" s="65">
        <f ca="1">_xll.RiskMean(Y65)</f>
        <v>0</v>
      </c>
      <c r="AF65" s="65">
        <f ca="1">_xll.RiskMean(Z65)</f>
        <v>0</v>
      </c>
      <c r="AG65" s="66">
        <f ca="1">_xll.RiskMean(AA65)</f>
        <v>0</v>
      </c>
    </row>
    <row r="66" spans="1:33" ht="15" x14ac:dyDescent="0.25">
      <c r="A66" s="23">
        <v>62</v>
      </c>
      <c r="B66" s="39" t="s">
        <v>86</v>
      </c>
      <c r="C66" s="40">
        <v>17.190000000000001</v>
      </c>
      <c r="D66">
        <v>11</v>
      </c>
      <c r="J66" s="49">
        <v>33</v>
      </c>
      <c r="K66" t="str">
        <f t="shared" si="62"/>
        <v>Robert Morris </v>
      </c>
      <c r="U66" s="59" t="str">
        <f t="shared" si="0"/>
        <v>Xavier </v>
      </c>
      <c r="V66" s="60">
        <f ca="1">_xll.RiskOutput($V$4&amp;"-"&amp;U66)+COUNTIF($N$7:$N$169,A66)</f>
        <v>0</v>
      </c>
      <c r="W66" s="60">
        <f ca="1">_xll.RiskOutput($W$4&amp;"-"&amp;U66)+COUNTIF($N$88:$N$119,A66)</f>
        <v>0</v>
      </c>
      <c r="X66" s="60">
        <f ca="1">_xll.RiskOutput($X$4&amp;"-"&amp;V66)+COUNTIF($N$127:$N$141,A66)</f>
        <v>0</v>
      </c>
      <c r="Y66" s="60">
        <f ca="1">_xll.RiskOutput($Y$4&amp;"-"&amp;W66)+COUNTIF($N$148:$N$154,A66)</f>
        <v>0</v>
      </c>
      <c r="Z66" s="60">
        <f ca="1">_xll.RiskOutput($Z$4&amp;"-"&amp;X66)+COUNTIF($N$161:$N$164,A66)</f>
        <v>0</v>
      </c>
      <c r="AA66" s="61">
        <f ca="1">_xll.RiskOutput($AA$4&amp;"-"&amp;Y66)+IF($N$169=A66,1,0)</f>
        <v>0</v>
      </c>
      <c r="AB66" s="59">
        <f ca="1">_xll.RiskMean(V66)</f>
        <v>0.82569999999999999</v>
      </c>
      <c r="AC66" s="65">
        <f ca="1">_xll.RiskMean(W66)</f>
        <v>6.6799999999999998E-2</v>
      </c>
      <c r="AD66" s="65">
        <f ca="1">_xll.RiskMean(X66)</f>
        <v>8.8000000000000005E-3</v>
      </c>
      <c r="AE66" s="65">
        <f ca="1">_xll.RiskMean(Y66)</f>
        <v>5.9999999999999995E-4</v>
      </c>
      <c r="AF66" s="65">
        <f ca="1">_xll.RiskMean(Z66)</f>
        <v>0</v>
      </c>
      <c r="AG66" s="66">
        <f ca="1">_xll.RiskMean(AA66)</f>
        <v>0</v>
      </c>
    </row>
    <row r="67" spans="1:33" ht="15" x14ac:dyDescent="0.25">
      <c r="A67" s="38">
        <v>63</v>
      </c>
      <c r="B67" s="18" t="s">
        <v>87</v>
      </c>
      <c r="C67" s="19">
        <v>14.24</v>
      </c>
      <c r="D67">
        <v>12</v>
      </c>
      <c r="I67">
        <v>1</v>
      </c>
      <c r="J67" s="51">
        <v>52</v>
      </c>
      <c r="K67" t="str">
        <f t="shared" si="62"/>
        <v>Houston </v>
      </c>
      <c r="L67">
        <f>VLOOKUP(J67,KenPomTable,3)-VLOOKUP(J68,KenPomTable,3)</f>
        <v>41.09</v>
      </c>
      <c r="M67">
        <f ca="1">_xll.RiskNormal(L67,$L$1)</f>
        <v>47.795537542114559</v>
      </c>
      <c r="N67">
        <f ca="1">IF(M67&gt;0,J67,J68)</f>
        <v>52</v>
      </c>
      <c r="O67" t="str">
        <f ca="1">VLOOKUP(N67,KenPomTable,2)</f>
        <v>Houston </v>
      </c>
      <c r="P67">
        <f t="shared" ca="1" si="15"/>
        <v>0</v>
      </c>
      <c r="Q67">
        <f t="shared" ref="Q67" si="79">_xlfn.NORM.DIST(0,ABS(L67),$L$1,TRUE)</f>
        <v>1.9868803805652386E-5</v>
      </c>
      <c r="R67">
        <f t="shared" ref="R67" si="80">1-Q67</f>
        <v>0.99998013119619433</v>
      </c>
      <c r="U67" s="59" t="str">
        <f t="shared" si="0"/>
        <v>McNeese </v>
      </c>
      <c r="V67" s="60">
        <f ca="1">_xll.RiskOutput($V$4&amp;"-"&amp;U67)+COUNTIF($N$7:$N$169,A67)</f>
        <v>0</v>
      </c>
      <c r="W67" s="60">
        <f ca="1">_xll.RiskOutput($W$4&amp;"-"&amp;U67)+COUNTIF($N$88:$N$119,A67)</f>
        <v>0</v>
      </c>
      <c r="X67" s="60">
        <f ca="1">_xll.RiskOutput($X$4&amp;"-"&amp;V67)+COUNTIF($N$127:$N$141,A67)</f>
        <v>0</v>
      </c>
      <c r="Y67" s="60">
        <f ca="1">_xll.RiskOutput($Y$4&amp;"-"&amp;W67)+COUNTIF($N$148:$N$154,A67)</f>
        <v>0</v>
      </c>
      <c r="Z67" s="60">
        <f ca="1">_xll.RiskOutput($Z$4&amp;"-"&amp;X67)+COUNTIF($N$161:$N$164,A67)</f>
        <v>0</v>
      </c>
      <c r="AA67" s="61">
        <f ca="1">_xll.RiskOutput($AA$4&amp;"-"&amp;Y67)+IF($N$169=A67,1,0)</f>
        <v>0</v>
      </c>
      <c r="AB67" s="59">
        <f ca="1">_xll.RiskMean(V67)</f>
        <v>0.21629999999999999</v>
      </c>
      <c r="AC67" s="65">
        <f ca="1">_xll.RiskMean(W67)</f>
        <v>3.0599999999999999E-2</v>
      </c>
      <c r="AD67" s="65">
        <f ca="1">_xll.RiskMean(X67)</f>
        <v>1E-3</v>
      </c>
      <c r="AE67" s="65">
        <f ca="1">_xll.RiskMean(Y67)</f>
        <v>1E-4</v>
      </c>
      <c r="AF67" s="65">
        <f ca="1">_xll.RiskMean(Z67)</f>
        <v>0</v>
      </c>
      <c r="AG67" s="66">
        <f ca="1">_xll.RiskMean(AA67)</f>
        <v>0</v>
      </c>
    </row>
    <row r="68" spans="1:33" ht="15" x14ac:dyDescent="0.25">
      <c r="A68" s="38">
        <v>64</v>
      </c>
      <c r="B68" s="18" t="s">
        <v>88</v>
      </c>
      <c r="C68" s="19">
        <v>9.15</v>
      </c>
      <c r="D68">
        <v>13</v>
      </c>
      <c r="J68" s="51">
        <v>67</v>
      </c>
      <c r="K68" t="str">
        <f t="shared" si="62"/>
        <v>SIUE </v>
      </c>
      <c r="U68" s="59" t="str">
        <f t="shared" si="0"/>
        <v>High Point </v>
      </c>
      <c r="V68" s="60">
        <f ca="1">_xll.RiskOutput($V$4&amp;"-"&amp;U68)+COUNTIF($N$7:$N$169,A68)</f>
        <v>0</v>
      </c>
      <c r="W68" s="60">
        <f ca="1">_xll.RiskOutput($W$4&amp;"-"&amp;U68)+COUNTIF($N$88:$N$119,A68)</f>
        <v>0</v>
      </c>
      <c r="X68" s="60">
        <f ca="1">_xll.RiskOutput($X$4&amp;"-"&amp;V68)+COUNTIF($N$127:$N$141,A68)</f>
        <v>0</v>
      </c>
      <c r="Y68" s="60">
        <f ca="1">_xll.RiskOutput($Y$4&amp;"-"&amp;W68)+COUNTIF($N$148:$N$154,A68)</f>
        <v>0</v>
      </c>
      <c r="Z68" s="60">
        <f ca="1">_xll.RiskOutput($Z$4&amp;"-"&amp;X68)+COUNTIF($N$161:$N$164,A68)</f>
        <v>0</v>
      </c>
      <c r="AA68" s="61">
        <f ca="1">_xll.RiskOutput($AA$4&amp;"-"&amp;Y68)+IF($N$169=A68,1,0)</f>
        <v>0</v>
      </c>
      <c r="AB68" s="59">
        <f ca="1">_xll.RiskMean(V68)</f>
        <v>5.8999999999999997E-2</v>
      </c>
      <c r="AC68" s="65">
        <f ca="1">_xll.RiskMean(W68)</f>
        <v>6.4999999999999997E-3</v>
      </c>
      <c r="AD68" s="65">
        <f ca="1">_xll.RiskMean(X68)</f>
        <v>0</v>
      </c>
      <c r="AE68" s="65">
        <f ca="1">_xll.RiskMean(Y68)</f>
        <v>0</v>
      </c>
      <c r="AF68" s="65">
        <f ca="1">_xll.RiskMean(Z68)</f>
        <v>0</v>
      </c>
      <c r="AG68" s="66">
        <f ca="1">_xll.RiskMean(AA68)</f>
        <v>0</v>
      </c>
    </row>
    <row r="69" spans="1:33" ht="15" x14ac:dyDescent="0.25">
      <c r="A69" s="38">
        <v>65</v>
      </c>
      <c r="B69" s="18" t="s">
        <v>89</v>
      </c>
      <c r="C69" s="19">
        <v>6.95</v>
      </c>
      <c r="D69">
        <v>14</v>
      </c>
      <c r="I69">
        <v>2</v>
      </c>
      <c r="J69" s="51">
        <v>59</v>
      </c>
      <c r="K69" t="str">
        <f t="shared" si="62"/>
        <v>Gonzaga </v>
      </c>
      <c r="L69">
        <f>VLOOKUP(J69,KenPomTable,3)-VLOOKUP(J70,KenPomTable,3)</f>
        <v>9.4400000000000013</v>
      </c>
      <c r="M69">
        <f ca="1">_xll.RiskNormal(L69,$L$1)</f>
        <v>14.146837116512209</v>
      </c>
      <c r="N69">
        <f ca="1">IF(M69&gt;0,J69,J70)</f>
        <v>59</v>
      </c>
      <c r="O69" t="str">
        <f ca="1">VLOOKUP(N69,KenPomTable,2)</f>
        <v>Gonzaga </v>
      </c>
      <c r="P69">
        <f t="shared" ca="1" si="15"/>
        <v>0</v>
      </c>
      <c r="Q69">
        <f t="shared" ref="Q69" si="81">_xlfn.NORM.DIST(0,ABS(L69),$L$1,TRUE)</f>
        <v>0.17258482413805182</v>
      </c>
      <c r="R69">
        <f t="shared" ref="R69" si="82">1-Q69</f>
        <v>0.82741517586194813</v>
      </c>
      <c r="U69" s="59" t="str">
        <f t="shared" si="0"/>
        <v>Troy </v>
      </c>
      <c r="V69" s="60">
        <f ca="1">_xll.RiskOutput($V$4&amp;"-"&amp;U69)+COUNTIF($N$7:$N$169,A69)</f>
        <v>0</v>
      </c>
      <c r="W69" s="60">
        <f ca="1">_xll.RiskOutput($W$4&amp;"-"&amp;U69)+COUNTIF($N$88:$N$119,A69)</f>
        <v>0</v>
      </c>
      <c r="X69" s="60">
        <f ca="1">_xll.RiskOutput($X$4&amp;"-"&amp;V69)+COUNTIF($N$127:$N$141,A69)</f>
        <v>0</v>
      </c>
      <c r="Y69" s="60">
        <f ca="1">_xll.RiskOutput($Y$4&amp;"-"&amp;W69)+COUNTIF($N$148:$N$154,A69)</f>
        <v>0</v>
      </c>
      <c r="Z69" s="60">
        <f ca="1">_xll.RiskOutput($Z$4&amp;"-"&amp;X69)+COUNTIF($N$161:$N$164,A69)</f>
        <v>0</v>
      </c>
      <c r="AA69" s="61">
        <f ca="1">_xll.RiskOutput($AA$4&amp;"-"&amp;Y69)+IF($N$169=A69,1,0)</f>
        <v>0</v>
      </c>
      <c r="AB69" s="59">
        <f ca="1">_xll.RiskMean(V69)</f>
        <v>4.1599999999999998E-2</v>
      </c>
      <c r="AC69" s="65">
        <f ca="1">_xll.RiskMean(W69)</f>
        <v>2.2000000000000001E-3</v>
      </c>
      <c r="AD69" s="65">
        <f ca="1">_xll.RiskMean(X69)</f>
        <v>1E-4</v>
      </c>
      <c r="AE69" s="65">
        <f ca="1">_xll.RiskMean(Y69)</f>
        <v>0</v>
      </c>
      <c r="AF69" s="65">
        <f ca="1">_xll.RiskMean(Z69)</f>
        <v>0</v>
      </c>
      <c r="AG69" s="66">
        <f ca="1">_xll.RiskMean(AA69)</f>
        <v>0</v>
      </c>
    </row>
    <row r="70" spans="1:33" ht="15" x14ac:dyDescent="0.25">
      <c r="A70" s="38">
        <v>66</v>
      </c>
      <c r="B70" s="18" t="s">
        <v>90</v>
      </c>
      <c r="C70" s="19">
        <v>4.24</v>
      </c>
      <c r="D70">
        <v>15</v>
      </c>
      <c r="J70" s="51">
        <v>60</v>
      </c>
      <c r="K70" t="str">
        <f t="shared" si="62"/>
        <v>Georgia </v>
      </c>
      <c r="U70" s="59" t="str">
        <f t="shared" ref="U70" si="83">B70</f>
        <v>Wofford </v>
      </c>
      <c r="V70" s="60">
        <f ca="1">_xll.RiskOutput($V$4&amp;"-"&amp;U70)+COUNTIF($N$7:$N$169,A70)</f>
        <v>0</v>
      </c>
      <c r="W70" s="60">
        <f ca="1">_xll.RiskOutput($W$4&amp;"-"&amp;U70)+COUNTIF($N$88:$N$119,A70)</f>
        <v>0</v>
      </c>
      <c r="X70" s="60">
        <f ca="1">_xll.RiskOutput($X$4&amp;"-"&amp;V70)+COUNTIF($N$127:$N$141,A70)</f>
        <v>0</v>
      </c>
      <c r="Y70" s="60">
        <f ca="1">_xll.RiskOutput($Y$4&amp;"-"&amp;W70)+COUNTIF($N$148:$N$154,A70)</f>
        <v>0</v>
      </c>
      <c r="Z70" s="60">
        <f ca="1">_xll.RiskOutput($Z$4&amp;"-"&amp;X70)+COUNTIF($N$161:$N$164,A70)</f>
        <v>0</v>
      </c>
      <c r="AA70" s="61">
        <f ca="1">_xll.RiskOutput($AA$4&amp;"-"&amp;Y70)+IF($N$169=A70,1,0)</f>
        <v>0</v>
      </c>
      <c r="AB70" s="59">
        <f ca="1">_xll.RiskMean(V70)</f>
        <v>4.0000000000000001E-3</v>
      </c>
      <c r="AC70" s="65">
        <f ca="1">_xll.RiskMean(W70)</f>
        <v>2.0000000000000001E-4</v>
      </c>
      <c r="AD70" s="65">
        <f ca="1">_xll.RiskMean(X70)</f>
        <v>0</v>
      </c>
      <c r="AE70" s="65">
        <f ca="1">_xll.RiskMean(Y70)</f>
        <v>0</v>
      </c>
      <c r="AF70" s="65">
        <f ca="1">_xll.RiskMean(Z70)</f>
        <v>0</v>
      </c>
      <c r="AG70" s="66">
        <f ca="1">_xll.RiskMean(AA70)</f>
        <v>0</v>
      </c>
    </row>
    <row r="71" spans="1:33" ht="15" x14ac:dyDescent="0.25">
      <c r="A71" s="37">
        <v>67</v>
      </c>
      <c r="B71" s="20" t="s">
        <v>91</v>
      </c>
      <c r="C71" s="21">
        <v>-4.5</v>
      </c>
      <c r="D71">
        <v>16</v>
      </c>
      <c r="I71">
        <v>3</v>
      </c>
      <c r="J71" s="51">
        <v>56</v>
      </c>
      <c r="K71" t="str">
        <f t="shared" si="62"/>
        <v>Clemson </v>
      </c>
      <c r="L71">
        <f>VLOOKUP(J71,KenPomTable,3)-VLOOKUP(J72,KenPomTable,3)</f>
        <v>8.9799999999999986</v>
      </c>
      <c r="M71">
        <f ca="1">_xll.RiskNormal(L71,$L$1)</f>
        <v>16.992576820279876</v>
      </c>
      <c r="N71">
        <f ca="1">IF(M71&gt;0,J71,J72)</f>
        <v>56</v>
      </c>
      <c r="O71" t="str">
        <f ca="1">VLOOKUP(N71,KenPomTable,2)</f>
        <v>Clemson </v>
      </c>
      <c r="P71">
        <f t="shared" ca="1" si="15"/>
        <v>0</v>
      </c>
      <c r="Q71">
        <f t="shared" ref="Q71" si="84">_xlfn.NORM.DIST(0,ABS(L71),$L$1,TRUE)</f>
        <v>0.18459277473224889</v>
      </c>
      <c r="R71">
        <f t="shared" ref="R71" si="85">1-Q71</f>
        <v>0.81540722526775111</v>
      </c>
      <c r="U71" s="59" t="str">
        <f>B71</f>
        <v>SIUE </v>
      </c>
      <c r="V71" s="60">
        <f ca="1">_xll.RiskOutput($V$4&amp;"-"&amp;U71)+COUNTIF($N$7:$N$169,A71)</f>
        <v>0</v>
      </c>
      <c r="W71" s="60">
        <f ca="1">_xll.RiskOutput($W$4&amp;"-"&amp;U71)+COUNTIF($N$88:$N$119,A71)</f>
        <v>0</v>
      </c>
      <c r="X71" s="60">
        <f ca="1">_xll.RiskOutput($X$4&amp;"-"&amp;V71)+COUNTIF($N$127:$N$141,A71)</f>
        <v>0</v>
      </c>
      <c r="Y71" s="60">
        <f ca="1">_xll.RiskOutput($Y$4&amp;"-"&amp;W71)+COUNTIF($N$148:$N$154,A71)</f>
        <v>0</v>
      </c>
      <c r="Z71" s="60">
        <f ca="1">_xll.RiskOutput($Z$4&amp;"-"&amp;X71)+COUNTIF($N$161:$N$164,A71)</f>
        <v>0</v>
      </c>
      <c r="AA71" s="61">
        <f ca="1">_xll.RiskOutput($AA$4&amp;"-"&amp;Y71)+IF($N$169=A71,1,0)</f>
        <v>0</v>
      </c>
      <c r="AB71" s="59">
        <f ca="1">_xll.RiskMean(V71)</f>
        <v>0</v>
      </c>
      <c r="AC71" s="65">
        <f ca="1">_xll.RiskMean(W71)</f>
        <v>0</v>
      </c>
      <c r="AD71" s="65">
        <f ca="1">_xll.RiskMean(X71)</f>
        <v>0</v>
      </c>
      <c r="AE71" s="65">
        <f ca="1">_xll.RiskMean(Y71)</f>
        <v>0</v>
      </c>
      <c r="AF71" s="65">
        <f ca="1">_xll.RiskMean(Z71)</f>
        <v>0</v>
      </c>
      <c r="AG71" s="66">
        <f ca="1">_xll.RiskMean(AA71)</f>
        <v>0</v>
      </c>
    </row>
    <row r="72" spans="1:33" ht="15.75" thickBot="1" x14ac:dyDescent="0.3">
      <c r="A72" s="23">
        <v>68</v>
      </c>
      <c r="B72" s="39" t="s">
        <v>92</v>
      </c>
      <c r="C72" s="40">
        <v>16.899999999999999</v>
      </c>
      <c r="D72" s="44" t="s">
        <v>18</v>
      </c>
      <c r="J72" s="51">
        <v>63</v>
      </c>
      <c r="K72" t="str">
        <f t="shared" si="62"/>
        <v>McNeese </v>
      </c>
      <c r="U72" s="62" t="str">
        <f t="shared" ref="U72" si="86">B72</f>
        <v>Texas </v>
      </c>
      <c r="V72" s="63">
        <f ca="1">_xll.RiskOutput($V$4&amp;"-"&amp;U72)+COUNTIF($N$7:$N$169,A72)</f>
        <v>1</v>
      </c>
      <c r="W72" s="63">
        <f ca="1">_xll.RiskOutput($W$4&amp;"-"&amp;U72)+COUNTIF($N$88:$N$119,A72)</f>
        <v>0</v>
      </c>
      <c r="X72" s="63">
        <f ca="1">_xll.RiskOutput($X$4&amp;"-"&amp;V72)+COUNTIF($N$127:$N$141,A72)</f>
        <v>0</v>
      </c>
      <c r="Y72" s="63">
        <f ca="1">_xll.RiskOutput($Y$4&amp;"-"&amp;W72)+COUNTIF($N$148:$N$154,A72)</f>
        <v>0</v>
      </c>
      <c r="Z72" s="63">
        <f ca="1">_xll.RiskOutput($Z$4&amp;"-"&amp;X72)+COUNTIF($N$161:$N$164,A72)</f>
        <v>0</v>
      </c>
      <c r="AA72" s="64">
        <f ca="1">_xll.RiskOutput($AA$4&amp;"-"&amp;Y72)+IF($N$169=A72,1,0)</f>
        <v>0</v>
      </c>
      <c r="AB72" s="62">
        <f ca="1">_xll.RiskMean(V72)</f>
        <v>0.4884</v>
      </c>
      <c r="AC72" s="67">
        <f ca="1">_xll.RiskMean(W72)</f>
        <v>0</v>
      </c>
      <c r="AD72" s="67">
        <f ca="1">_xll.RiskMean(X72)</f>
        <v>0</v>
      </c>
      <c r="AE72" s="67">
        <f ca="1">_xll.RiskMean(Y72)</f>
        <v>0</v>
      </c>
      <c r="AF72" s="67">
        <f ca="1">_xll.RiskMean(Z72)</f>
        <v>0</v>
      </c>
      <c r="AG72" s="68">
        <f ca="1">_xll.RiskMean(AA72)</f>
        <v>0</v>
      </c>
    </row>
    <row r="73" spans="1:33" x14ac:dyDescent="0.2">
      <c r="I73">
        <v>4</v>
      </c>
      <c r="J73" s="51">
        <v>55</v>
      </c>
      <c r="K73" t="str">
        <f t="shared" si="62"/>
        <v>Purdue </v>
      </c>
      <c r="L73">
        <f>VLOOKUP(J73,KenPomTable,3)-VLOOKUP(J74,KenPomTable,3)</f>
        <v>16.21</v>
      </c>
      <c r="M73">
        <f ca="1">_xll.RiskNormal(L73,$L$1)</f>
        <v>9.5210184913714677</v>
      </c>
      <c r="N73">
        <f ca="1">IF(M73&gt;0,J73,J74)</f>
        <v>55</v>
      </c>
      <c r="O73" t="str">
        <f ca="1">VLOOKUP(N73,KenPomTable,2)</f>
        <v>Purdue </v>
      </c>
      <c r="P73">
        <f t="shared" ca="1" si="15"/>
        <v>0</v>
      </c>
      <c r="Q73">
        <f t="shared" ref="Q73" si="87">_xlfn.NORM.DIST(0,ABS(L73),$L$1,TRUE)</f>
        <v>5.2508819348978296E-2</v>
      </c>
      <c r="R73">
        <f t="shared" ref="R73" si="88">1-Q73</f>
        <v>0.94749118065102167</v>
      </c>
    </row>
    <row r="74" spans="1:33" x14ac:dyDescent="0.2">
      <c r="J74" s="51">
        <v>64</v>
      </c>
      <c r="K74" t="str">
        <f t="shared" si="62"/>
        <v>High Point </v>
      </c>
    </row>
    <row r="75" spans="1:33" x14ac:dyDescent="0.2">
      <c r="I75">
        <v>5</v>
      </c>
      <c r="J75" s="51">
        <v>57</v>
      </c>
      <c r="K75" t="str">
        <f t="shared" si="62"/>
        <v>Illinois </v>
      </c>
      <c r="L75">
        <f>VLOOKUP(J75,KenPomTable,3)-VLOOKUP(J76,KenPomTable,3)</f>
        <v>7.129999999999999</v>
      </c>
      <c r="M75">
        <f ca="1">_xll.RiskNormal(L75,$L$1)</f>
        <v>17.449104183711587</v>
      </c>
      <c r="N75">
        <f ca="1">IF(M75&gt;0,J75,J76)</f>
        <v>57</v>
      </c>
      <c r="O75" t="str">
        <f ca="1">VLOOKUP(N75,KenPomTable,2)</f>
        <v>Illinois </v>
      </c>
      <c r="P75">
        <f t="shared" ca="1" si="15"/>
        <v>0</v>
      </c>
      <c r="Q75">
        <f t="shared" ref="Q75" si="89">_xlfn.NORM.DIST(0,ABS(L75),$L$1,TRUE)</f>
        <v>0.237922878568157</v>
      </c>
      <c r="R75">
        <f t="shared" ref="R75" si="90">1-Q75</f>
        <v>0.76207712143184303</v>
      </c>
    </row>
    <row r="76" spans="1:33" x14ac:dyDescent="0.2">
      <c r="J76" s="51">
        <v>62</v>
      </c>
      <c r="K76" t="str">
        <f t="shared" si="62"/>
        <v>Xavier </v>
      </c>
    </row>
    <row r="77" spans="1:33" x14ac:dyDescent="0.2">
      <c r="I77">
        <v>6</v>
      </c>
      <c r="J77" s="51">
        <v>54</v>
      </c>
      <c r="K77" t="str">
        <f t="shared" si="62"/>
        <v>Kentucky </v>
      </c>
      <c r="L77">
        <f>VLOOKUP(J77,KenPomTable,3)-VLOOKUP(J78,KenPomTable,3)</f>
        <v>17.59</v>
      </c>
      <c r="M77">
        <f ca="1">_xll.RiskNormal(L77,$L$1)</f>
        <v>12.790464310557542</v>
      </c>
      <c r="N77">
        <f ca="1">IF(M77&gt;0,J77,J78)</f>
        <v>54</v>
      </c>
      <c r="O77" t="str">
        <f ca="1">VLOOKUP(N77,KenPomTable,2)</f>
        <v>Kentucky </v>
      </c>
      <c r="P77">
        <f t="shared" ca="1" si="15"/>
        <v>0</v>
      </c>
      <c r="Q77">
        <f t="shared" ref="Q77" si="91">_xlfn.NORM.DIST(0,ABS(L77),$L$1,TRUE)</f>
        <v>3.9288754281627036E-2</v>
      </c>
      <c r="R77">
        <f t="shared" ref="R77" si="92">1-Q77</f>
        <v>0.96071124571837296</v>
      </c>
    </row>
    <row r="78" spans="1:33" x14ac:dyDescent="0.2">
      <c r="J78" s="51">
        <v>65</v>
      </c>
      <c r="K78" t="str">
        <f t="shared" si="62"/>
        <v>Troy </v>
      </c>
    </row>
    <row r="79" spans="1:33" x14ac:dyDescent="0.2">
      <c r="I79">
        <v>7</v>
      </c>
      <c r="J79" s="51">
        <v>58</v>
      </c>
      <c r="K79" t="str">
        <f t="shared" si="62"/>
        <v>UCLA </v>
      </c>
      <c r="L79">
        <f>VLOOKUP(J79,KenPomTable,3)-VLOOKUP(J80,KenPomTable,3)</f>
        <v>9.4600000000000009</v>
      </c>
      <c r="M79">
        <f ca="1">_xll.RiskNormal(L79,$L$1)</f>
        <v>29.286702322333735</v>
      </c>
      <c r="N79">
        <f ca="1">IF(M79&gt;0,J79,J80)</f>
        <v>58</v>
      </c>
      <c r="O79" t="str">
        <f ca="1">VLOOKUP(N79,KenPomTable,2)</f>
        <v>UCLA </v>
      </c>
      <c r="P79">
        <f t="shared" ca="1" si="15"/>
        <v>0</v>
      </c>
      <c r="Q79">
        <f t="shared" ref="Q79" si="93">_xlfn.NORM.DIST(0,ABS(L79),$L$1,TRUE)</f>
        <v>0.17207429311356287</v>
      </c>
      <c r="R79">
        <f t="shared" ref="R79" si="94">1-Q79</f>
        <v>0.82792570688643718</v>
      </c>
    </row>
    <row r="80" spans="1:33" x14ac:dyDescent="0.2">
      <c r="J80" s="51">
        <v>61</v>
      </c>
      <c r="K80" t="str">
        <f t="shared" si="62"/>
        <v>Utah St. </v>
      </c>
    </row>
    <row r="81" spans="9:23" x14ac:dyDescent="0.2">
      <c r="I81">
        <v>8</v>
      </c>
      <c r="J81" s="51">
        <v>53</v>
      </c>
      <c r="K81" t="str">
        <f t="shared" si="62"/>
        <v>Tennessee </v>
      </c>
      <c r="L81">
        <f>VLOOKUP(J81,KenPomTable,3)-VLOOKUP(J82,KenPomTable,3)</f>
        <v>26.689999999999998</v>
      </c>
      <c r="M81">
        <f ca="1">_xll.RiskNormal(L81,$L$1)</f>
        <v>34.89603417762531</v>
      </c>
      <c r="N81">
        <f ca="1">IF(M81&gt;0,J81,J82)</f>
        <v>53</v>
      </c>
      <c r="O81" t="str">
        <f ca="1">VLOOKUP(N81,KenPomTable,2)</f>
        <v>Tennessee </v>
      </c>
      <c r="P81">
        <f t="shared" ca="1" si="15"/>
        <v>0</v>
      </c>
      <c r="Q81">
        <f t="shared" ref="Q81" si="95">_xlfn.NORM.DIST(0,ABS(L81),$L$1,TRUE)</f>
        <v>3.8038725126533237E-3</v>
      </c>
      <c r="R81">
        <f t="shared" ref="R81" si="96">1-Q81</f>
        <v>0.99619612748734665</v>
      </c>
    </row>
    <row r="82" spans="9:23" x14ac:dyDescent="0.2">
      <c r="J82" s="51">
        <v>66</v>
      </c>
      <c r="K82" t="str">
        <f t="shared" si="62"/>
        <v>Wofford </v>
      </c>
    </row>
    <row r="83" spans="9:23" x14ac:dyDescent="0.2">
      <c r="O83" t="s">
        <v>98</v>
      </c>
      <c r="P83">
        <f ca="1">SUM(P19:P82)</f>
        <v>3</v>
      </c>
    </row>
    <row r="84" spans="9:23" x14ac:dyDescent="0.2">
      <c r="O84" t="s">
        <v>101</v>
      </c>
      <c r="P84">
        <f>PRODUCT(R19:R82)</f>
        <v>1.7927109832483689E-3</v>
      </c>
    </row>
    <row r="85" spans="9:23" x14ac:dyDescent="0.2">
      <c r="I85" s="44" t="s">
        <v>110</v>
      </c>
    </row>
    <row r="86" spans="9:23" x14ac:dyDescent="0.2">
      <c r="V86" s="52" t="s">
        <v>106</v>
      </c>
    </row>
    <row r="87" spans="9:23" x14ac:dyDescent="0.2">
      <c r="I87" t="s">
        <v>2</v>
      </c>
      <c r="J87" t="s">
        <v>0</v>
      </c>
      <c r="K87" t="s">
        <v>4</v>
      </c>
      <c r="L87" t="s">
        <v>102</v>
      </c>
      <c r="M87" t="s">
        <v>103</v>
      </c>
      <c r="N87" t="s">
        <v>94</v>
      </c>
      <c r="O87" s="44" t="s">
        <v>95</v>
      </c>
      <c r="P87" s="44" t="s">
        <v>13</v>
      </c>
      <c r="Q87" s="44" t="s">
        <v>15</v>
      </c>
      <c r="R87" s="44" t="s">
        <v>100</v>
      </c>
    </row>
    <row r="88" spans="9:23" x14ac:dyDescent="0.2">
      <c r="I88">
        <v>1</v>
      </c>
      <c r="J88" s="48">
        <f ca="1">N19</f>
        <v>1</v>
      </c>
      <c r="K88" t="str">
        <f t="shared" ref="K88:K119" ca="1" si="97">VLOOKUP(J88,KenPomTable,2)</f>
        <v>Auburn </v>
      </c>
      <c r="L88">
        <f ca="1">VLOOKUP(J88,KenPomTable,3)-VLOOKUP(J89,KenPomTable,3)</f>
        <v>13.319999999999997</v>
      </c>
      <c r="M88">
        <f ca="1">_xll.RiskNormal(L88,$L$1)</f>
        <v>26.448142704313831</v>
      </c>
      <c r="N88">
        <f ca="1">IF(M88&gt;0,J88,J89)</f>
        <v>1</v>
      </c>
      <c r="O88" t="str">
        <f ca="1">VLOOKUP(N88,KenPomTable,2)</f>
        <v>Auburn </v>
      </c>
      <c r="P88">
        <f t="shared" ref="P88:P118" ca="1" si="98">IF(L88*M88&lt;0,1,0)</f>
        <v>0</v>
      </c>
      <c r="Q88">
        <f ca="1">_xlfn.NORM.DIST(0,ABS(L88),$L$1,TRUE)</f>
        <v>9.1430094258106831E-2</v>
      </c>
      <c r="R88">
        <f ca="1">1-Q88</f>
        <v>0.90856990574189322</v>
      </c>
      <c r="V88" s="44" t="s">
        <v>116</v>
      </c>
      <c r="W88">
        <f>67</f>
        <v>67</v>
      </c>
    </row>
    <row r="89" spans="9:23" x14ac:dyDescent="0.2">
      <c r="J89" s="48">
        <f ca="1">N21</f>
        <v>8</v>
      </c>
      <c r="K89" t="str">
        <f t="shared" ca="1" si="97"/>
        <v>Louisville </v>
      </c>
      <c r="V89" s="44" t="s">
        <v>117</v>
      </c>
      <c r="W89">
        <f ca="1">_xll.RiskOutput("Number of Upsets")+SUM(P15,P83,P120,P143,P156,P165,P172)</f>
        <v>17</v>
      </c>
    </row>
    <row r="90" spans="9:23" x14ac:dyDescent="0.2">
      <c r="I90">
        <v>2</v>
      </c>
      <c r="J90" s="48">
        <f ca="1">N23</f>
        <v>12</v>
      </c>
      <c r="K90" t="str">
        <f t="shared" ca="1" si="97"/>
        <v>UC San Diego </v>
      </c>
      <c r="L90">
        <f ca="1">VLOOKUP(J90,KenPomTable,3)-VLOOKUP(J91,KenPomTable,3)</f>
        <v>-5.41</v>
      </c>
      <c r="M90">
        <f ca="1">_xll.RiskNormal(L90,$L$1)</f>
        <v>-16.858705298714806</v>
      </c>
      <c r="N90">
        <f ca="1">IF(M90&gt;0,J90,J91)</f>
        <v>4</v>
      </c>
      <c r="O90" t="str">
        <f ca="1">VLOOKUP(N90,KenPomTable,2)</f>
        <v>Texas A&amp;M </v>
      </c>
      <c r="P90">
        <f t="shared" ca="1" si="98"/>
        <v>0</v>
      </c>
      <c r="Q90">
        <f t="shared" ref="Q90" ca="1" si="99">_xlfn.NORM.DIST(0,ABS(L90),$L$1,TRUE)</f>
        <v>0.29425379135580954</v>
      </c>
      <c r="R90">
        <f t="shared" ref="R90" ca="1" si="100">1-Q90</f>
        <v>0.70574620864419046</v>
      </c>
      <c r="V90" s="44" t="s">
        <v>118</v>
      </c>
      <c r="W90">
        <f ca="1">W88-W89</f>
        <v>50</v>
      </c>
    </row>
    <row r="91" spans="9:23" x14ac:dyDescent="0.2">
      <c r="J91" s="48">
        <f ca="1">N25</f>
        <v>4</v>
      </c>
      <c r="K91" t="str">
        <f t="shared" ca="1" si="97"/>
        <v>Texas A&amp;M </v>
      </c>
    </row>
    <row r="92" spans="9:23" x14ac:dyDescent="0.2">
      <c r="I92">
        <v>3</v>
      </c>
      <c r="J92" s="48">
        <f ca="1">N27</f>
        <v>6</v>
      </c>
      <c r="K92" t="str">
        <f t="shared" ca="1" si="97"/>
        <v>Mississippi </v>
      </c>
      <c r="L92">
        <f ca="1">VLOOKUP(J92,KenPomTable,3)-VLOOKUP(J93,KenPomTable,3)</f>
        <v>-3.3099999999999987</v>
      </c>
      <c r="M92">
        <f ca="1">_xll.RiskNormal(L92,$L$1)</f>
        <v>9.5106255762819885</v>
      </c>
      <c r="N92">
        <f ca="1">IF(M92&gt;0,J92,J93)</f>
        <v>6</v>
      </c>
      <c r="O92" t="str">
        <f ca="1">VLOOKUP(N92,KenPomTable,2)</f>
        <v>Mississippi </v>
      </c>
      <c r="P92">
        <f t="shared" ca="1" si="98"/>
        <v>1</v>
      </c>
      <c r="Q92">
        <f t="shared" ref="Q92" ca="1" si="101">_xlfn.NORM.DIST(0,ABS(L92),$L$1,TRUE)</f>
        <v>0.37032224277602194</v>
      </c>
      <c r="R92">
        <f t="shared" ref="R92" ca="1" si="102">1-Q92</f>
        <v>0.62967775722397801</v>
      </c>
    </row>
    <row r="93" spans="9:23" x14ac:dyDescent="0.2">
      <c r="J93" s="48">
        <f ca="1">N29</f>
        <v>3</v>
      </c>
      <c r="K93" t="str">
        <f t="shared" ca="1" si="97"/>
        <v>Iowa St. </v>
      </c>
    </row>
    <row r="94" spans="9:23" x14ac:dyDescent="0.2">
      <c r="I94">
        <v>4</v>
      </c>
      <c r="J94" s="48">
        <f ca="1">N31</f>
        <v>7</v>
      </c>
      <c r="K94" t="str">
        <f t="shared" ca="1" si="97"/>
        <v>Marquette </v>
      </c>
      <c r="L94">
        <f ca="1">VLOOKUP(J94,KenPomTable,3)-VLOOKUP(J95,KenPomTable,3)</f>
        <v>-7.4699999999999989</v>
      </c>
      <c r="M94">
        <f ca="1">_xll.RiskNormal(L94,$L$1)</f>
        <v>10.897936563586228</v>
      </c>
      <c r="N94">
        <f ca="1">IF(M94&gt;0,J94,J95)</f>
        <v>7</v>
      </c>
      <c r="O94" t="str">
        <f ca="1">VLOOKUP(N94,KenPomTable,2)</f>
        <v>Marquette </v>
      </c>
      <c r="P94">
        <f t="shared" ca="1" si="98"/>
        <v>1</v>
      </c>
      <c r="Q94">
        <f t="shared" ref="Q94" ca="1" si="103">_xlfn.NORM.DIST(0,ABS(L94),$L$1,TRUE)</f>
        <v>0.22753178041744376</v>
      </c>
      <c r="R94">
        <f t="shared" ref="R94" ca="1" si="104">1-Q94</f>
        <v>0.77246821958255629</v>
      </c>
    </row>
    <row r="95" spans="9:23" x14ac:dyDescent="0.2">
      <c r="J95" s="48">
        <f ca="1">N33</f>
        <v>2</v>
      </c>
      <c r="K95" t="str">
        <f t="shared" ca="1" si="97"/>
        <v>Michigan St. </v>
      </c>
    </row>
    <row r="96" spans="9:23" x14ac:dyDescent="0.2">
      <c r="I96">
        <v>5</v>
      </c>
      <c r="J96">
        <f ca="1">N35</f>
        <v>36</v>
      </c>
      <c r="K96" t="str">
        <f t="shared" ca="1" si="97"/>
        <v>Florida </v>
      </c>
      <c r="L96">
        <f ca="1">VLOOKUP(J96,KenPomTable,3)-VLOOKUP(J97,KenPomTable,3)</f>
        <v>18.510000000000002</v>
      </c>
      <c r="M96">
        <f ca="1">_xll.RiskNormal(L96,$L$1)</f>
        <v>7.1425153361907778</v>
      </c>
      <c r="N96">
        <f ca="1">IF(M96&gt;0,J96,J97)</f>
        <v>36</v>
      </c>
      <c r="O96" t="str">
        <f ca="1">VLOOKUP(N96,KenPomTable,2)</f>
        <v>Florida </v>
      </c>
      <c r="P96">
        <f t="shared" ca="1" si="98"/>
        <v>0</v>
      </c>
      <c r="Q96">
        <f t="shared" ref="Q96" ca="1" si="105">_xlfn.NORM.DIST(0,ABS(L96),$L$1,TRUE)</f>
        <v>3.2084776552192378E-2</v>
      </c>
      <c r="R96">
        <f t="shared" ref="R96" ca="1" si="106">1-Q96</f>
        <v>0.96791522344780767</v>
      </c>
      <c r="V96" s="44" t="s">
        <v>119</v>
      </c>
    </row>
    <row r="97" spans="9:24" x14ac:dyDescent="0.2">
      <c r="J97">
        <f ca="1">N37</f>
        <v>44</v>
      </c>
      <c r="K97" t="str">
        <f t="shared" ca="1" si="97"/>
        <v>Oklahoma </v>
      </c>
      <c r="V97" t="s">
        <v>120</v>
      </c>
      <c r="W97" t="s">
        <v>121</v>
      </c>
      <c r="X97" t="s">
        <v>14</v>
      </c>
    </row>
    <row r="98" spans="9:24" x14ac:dyDescent="0.2">
      <c r="I98">
        <v>6</v>
      </c>
      <c r="J98">
        <f ca="1">N39</f>
        <v>47</v>
      </c>
      <c r="K98" t="str">
        <f t="shared" ca="1" si="97"/>
        <v>Colorado St. </v>
      </c>
      <c r="L98">
        <f ca="1">VLOOKUP(J98,KenPomTable,3)-VLOOKUP(J99,KenPomTable,3)</f>
        <v>-9.4600000000000009</v>
      </c>
      <c r="M98">
        <f ca="1">_xll.RiskNormal(L98,$L$1)</f>
        <v>6.3033751729253478</v>
      </c>
      <c r="N98">
        <f ca="1">IF(M98&gt;0,J98,J99)</f>
        <v>47</v>
      </c>
      <c r="O98" t="str">
        <f ca="1">VLOOKUP(N98,KenPomTable,2)</f>
        <v>Colorado St. </v>
      </c>
      <c r="P98">
        <f t="shared" ca="1" si="98"/>
        <v>1</v>
      </c>
      <c r="Q98">
        <f t="shared" ref="Q98" ca="1" si="107">_xlfn.NORM.DIST(0,ABS(L98),$L$1,TRUE)</f>
        <v>0.17207429311356287</v>
      </c>
      <c r="R98">
        <f t="shared" ref="R98" ca="1" si="108">1-Q98</f>
        <v>0.82792570688643718</v>
      </c>
      <c r="V98">
        <v>0</v>
      </c>
      <c r="W98">
        <f ca="1">_xll.RiskOutput("At least "&amp;V98&amp;" correct")+IF($W$90&gt;=V98,1,0)</f>
        <v>1</v>
      </c>
      <c r="X98">
        <f ca="1">_xll.RiskMean(W98)</f>
        <v>1</v>
      </c>
    </row>
    <row r="99" spans="9:24" x14ac:dyDescent="0.2">
      <c r="J99">
        <f ca="1">N41</f>
        <v>39</v>
      </c>
      <c r="K99" t="str">
        <f t="shared" ca="1" si="97"/>
        <v>Maryland </v>
      </c>
      <c r="V99">
        <v>5</v>
      </c>
      <c r="W99">
        <f ca="1">_xll.RiskOutput("At least "&amp;V99&amp;" correct")+IF($W$90&gt;=V99,1,0)</f>
        <v>1</v>
      </c>
      <c r="X99">
        <f ca="1">_xll.RiskMean(W99)</f>
        <v>1</v>
      </c>
    </row>
    <row r="100" spans="9:24" x14ac:dyDescent="0.2">
      <c r="I100">
        <v>7</v>
      </c>
      <c r="J100">
        <f ca="1">N43</f>
        <v>41</v>
      </c>
      <c r="K100" t="str">
        <f t="shared" ca="1" si="97"/>
        <v>Missouri </v>
      </c>
      <c r="L100">
        <f ca="1">VLOOKUP(J100,KenPomTable,3)-VLOOKUP(J101,KenPomTable,3)</f>
        <v>-4.3500000000000014</v>
      </c>
      <c r="M100">
        <f ca="1">_xll.RiskNormal(L100,$L$1)</f>
        <v>6.4320149012139041</v>
      </c>
      <c r="N100">
        <f ca="1">IF(M100&gt;0,J100,J101)</f>
        <v>41</v>
      </c>
      <c r="O100" t="str">
        <f ca="1">VLOOKUP(N100,KenPomTable,2)</f>
        <v>Missouri </v>
      </c>
      <c r="P100">
        <f t="shared" ca="1" si="98"/>
        <v>1</v>
      </c>
      <c r="Q100">
        <f t="shared" ref="Q100" ca="1" si="109">_xlfn.NORM.DIST(0,ABS(L100),$L$1,TRUE)</f>
        <v>0.33178121371901903</v>
      </c>
      <c r="R100">
        <f t="shared" ref="R100" ca="1" si="110">1-Q100</f>
        <v>0.66821878628098097</v>
      </c>
      <c r="V100">
        <v>10</v>
      </c>
      <c r="W100">
        <f ca="1">_xll.RiskOutput("At least "&amp;V100&amp;" correct")+IF($W$90&gt;=V100,1,0)</f>
        <v>1</v>
      </c>
      <c r="X100">
        <f ca="1">_xll.RiskMean(W100)</f>
        <v>1</v>
      </c>
    </row>
    <row r="101" spans="9:24" x14ac:dyDescent="0.2">
      <c r="J101">
        <f ca="1">N45</f>
        <v>38</v>
      </c>
      <c r="K101" t="str">
        <f t="shared" ca="1" si="97"/>
        <v>Texas Tech </v>
      </c>
      <c r="V101">
        <v>15</v>
      </c>
      <c r="W101">
        <f ca="1">_xll.RiskOutput("At least "&amp;V101&amp;" correct")+IF($W$90&gt;=V101,1,0)</f>
        <v>1</v>
      </c>
      <c r="X101">
        <f ca="1">_xll.RiskMean(W101)</f>
        <v>1</v>
      </c>
    </row>
    <row r="102" spans="9:24" x14ac:dyDescent="0.2">
      <c r="I102">
        <v>8</v>
      </c>
      <c r="J102">
        <f ca="1">N47</f>
        <v>42</v>
      </c>
      <c r="K102" t="str">
        <f t="shared" ca="1" si="97"/>
        <v>Kansas </v>
      </c>
      <c r="L102">
        <f ca="1">VLOOKUP(J102,KenPomTable,3)-VLOOKUP(J103,KenPomTable,3)</f>
        <v>-3.1199999999999974</v>
      </c>
      <c r="M102">
        <f ca="1">_xll.RiskNormal(L102,$L$1)</f>
        <v>3.5011194495936362</v>
      </c>
      <c r="N102">
        <f ca="1">IF(M102&gt;0,J102,J103)</f>
        <v>42</v>
      </c>
      <c r="O102" t="str">
        <f ca="1">VLOOKUP(N102,KenPomTable,2)</f>
        <v>Kansas </v>
      </c>
      <c r="P102">
        <f t="shared" ca="1" si="98"/>
        <v>1</v>
      </c>
      <c r="Q102">
        <f t="shared" ref="Q102" ca="1" si="111">_xlfn.NORM.DIST(0,ABS(L102),$L$1,TRUE)</f>
        <v>0.37752026166683844</v>
      </c>
      <c r="R102">
        <f t="shared" ref="R102" ca="1" si="112">1-Q102</f>
        <v>0.6224797383331615</v>
      </c>
      <c r="V102">
        <v>20</v>
      </c>
      <c r="W102">
        <f ca="1">_xll.RiskOutput("At least "&amp;V102&amp;" correct")+IF($W$90&gt;=V102,1,0)</f>
        <v>1</v>
      </c>
      <c r="X102">
        <f ca="1">_xll.RiskMean(W102)</f>
        <v>1</v>
      </c>
    </row>
    <row r="103" spans="9:24" x14ac:dyDescent="0.2">
      <c r="J103">
        <f ca="1">N49</f>
        <v>37</v>
      </c>
      <c r="K103" t="str">
        <f t="shared" ca="1" si="97"/>
        <v>St. John's </v>
      </c>
      <c r="V103">
        <v>25</v>
      </c>
      <c r="W103">
        <f ca="1">_xll.RiskOutput("At least "&amp;V103&amp;" correct")+IF($W$90&gt;=V103,1,0)</f>
        <v>1</v>
      </c>
      <c r="X103">
        <f ca="1">_xll.RiskMean(W103)</f>
        <v>1</v>
      </c>
    </row>
    <row r="104" spans="9:24" x14ac:dyDescent="0.2">
      <c r="I104">
        <v>9</v>
      </c>
      <c r="J104">
        <f ca="1">N51</f>
        <v>19</v>
      </c>
      <c r="K104" t="str">
        <f t="shared" ca="1" si="97"/>
        <v>Duke </v>
      </c>
      <c r="L104">
        <f ca="1">VLOOKUP(J104,KenPomTable,3)-VLOOKUP(J105,KenPomTable,3)</f>
        <v>19.27</v>
      </c>
      <c r="M104">
        <f ca="1">_xll.RiskNormal(L104,$L$1)</f>
        <v>28.088575775475856</v>
      </c>
      <c r="N104">
        <f ca="1">IF(M104&gt;0,J104,J105)</f>
        <v>19</v>
      </c>
      <c r="O104" t="str">
        <f ca="1">VLOOKUP(N104,KenPomTable,2)</f>
        <v>Duke </v>
      </c>
      <c r="P104">
        <f t="shared" ca="1" si="98"/>
        <v>0</v>
      </c>
      <c r="Q104">
        <f t="shared" ref="Q104" ca="1" si="113">_xlfn.NORM.DIST(0,ABS(L104),$L$1,TRUE)</f>
        <v>2.6989814967702735E-2</v>
      </c>
      <c r="R104">
        <f t="shared" ref="R104" ca="1" si="114">1-Q104</f>
        <v>0.9730101850322973</v>
      </c>
      <c r="V104">
        <v>30</v>
      </c>
      <c r="W104">
        <f ca="1">_xll.RiskOutput("At least "&amp;V104&amp;" correct")+IF($W$90&gt;=V104,1,0)</f>
        <v>1</v>
      </c>
      <c r="X104">
        <f ca="1">_xll.RiskMean(W104)</f>
        <v>1</v>
      </c>
    </row>
    <row r="105" spans="9:24" x14ac:dyDescent="0.2">
      <c r="J105">
        <f ca="1">N53</f>
        <v>26</v>
      </c>
      <c r="K105" t="str">
        <f t="shared" ca="1" si="97"/>
        <v>Mississippi St. </v>
      </c>
      <c r="V105">
        <v>35</v>
      </c>
      <c r="W105">
        <f ca="1">_xll.RiskOutput("At least "&amp;V105&amp;" correct")+IF($W$90&gt;=V105,1,0)</f>
        <v>1</v>
      </c>
      <c r="X105">
        <f ca="1">_xll.RiskMean(W105)</f>
        <v>1</v>
      </c>
    </row>
    <row r="106" spans="9:24" x14ac:dyDescent="0.2">
      <c r="I106">
        <v>10</v>
      </c>
      <c r="J106">
        <f ca="1">N55</f>
        <v>23</v>
      </c>
      <c r="K106" t="str">
        <f t="shared" ca="1" si="97"/>
        <v>Oregon </v>
      </c>
      <c r="L106">
        <f ca="1">VLOOKUP(J106,KenPomTable,3)-VLOOKUP(J107,KenPomTable,3)</f>
        <v>-4.5</v>
      </c>
      <c r="M106">
        <f ca="1">_xll.RiskNormal(L106,$L$1)</f>
        <v>3.8278481793739907</v>
      </c>
      <c r="N106">
        <f ca="1">IF(M106&gt;0,J106,J107)</f>
        <v>23</v>
      </c>
      <c r="O106" t="str">
        <f ca="1">VLOOKUP(N106,KenPomTable,2)</f>
        <v>Oregon </v>
      </c>
      <c r="P106">
        <f t="shared" ca="1" si="98"/>
        <v>1</v>
      </c>
      <c r="Q106">
        <f t="shared" ref="Q106" ca="1" si="115">_xlfn.NORM.DIST(0,ABS(L106),$L$1,TRUE)</f>
        <v>0.32635522028791997</v>
      </c>
      <c r="R106">
        <f t="shared" ref="R106" ca="1" si="116">1-Q106</f>
        <v>0.67364477971208003</v>
      </c>
      <c r="V106">
        <v>40</v>
      </c>
      <c r="W106">
        <f ca="1">_xll.RiskOutput("At least "&amp;V106&amp;" correct")+IF($W$90&gt;=V106,1,0)</f>
        <v>1</v>
      </c>
      <c r="X106">
        <f ca="1">_xll.RiskMean(W106)</f>
        <v>1</v>
      </c>
    </row>
    <row r="107" spans="9:24" x14ac:dyDescent="0.2">
      <c r="J107">
        <f ca="1">N57</f>
        <v>22</v>
      </c>
      <c r="K107" t="str">
        <f t="shared" ca="1" si="97"/>
        <v>Arizona </v>
      </c>
      <c r="V107">
        <v>45</v>
      </c>
      <c r="W107">
        <f ca="1">_xll.RiskOutput("At least "&amp;V107&amp;" correct")+IF($W$90&gt;=V107,1,0)</f>
        <v>1</v>
      </c>
      <c r="X107">
        <f ca="1">_xll.RiskMean(W107)</f>
        <v>0.99719999999999998</v>
      </c>
    </row>
    <row r="108" spans="9:24" x14ac:dyDescent="0.2">
      <c r="I108">
        <v>11</v>
      </c>
      <c r="J108">
        <f ca="1">N59</f>
        <v>24</v>
      </c>
      <c r="K108" t="str">
        <f t="shared" ca="1" si="97"/>
        <v>BYU </v>
      </c>
      <c r="L108">
        <f ca="1">VLOOKUP(J108,KenPomTable,3)-VLOOKUP(J109,KenPomTable,3)</f>
        <v>-4.2600000000000016</v>
      </c>
      <c r="M108">
        <f ca="1">_xll.RiskNormal(L108,$L$1)</f>
        <v>-20.385069668800654</v>
      </c>
      <c r="N108">
        <f ca="1">IF(M108&gt;0,J108,J109)</f>
        <v>21</v>
      </c>
      <c r="O108" t="str">
        <f ca="1">VLOOKUP(N108,KenPomTable,2)</f>
        <v>Wisconsin </v>
      </c>
      <c r="P108">
        <f t="shared" ca="1" si="98"/>
        <v>0</v>
      </c>
      <c r="Q108">
        <f t="shared" ref="Q108" ca="1" si="117">_xlfn.NORM.DIST(0,ABS(L108),$L$1,TRUE)</f>
        <v>0.33505392300477593</v>
      </c>
      <c r="R108">
        <f t="shared" ref="R108" ca="1" si="118">1-Q108</f>
        <v>0.66494607699522401</v>
      </c>
      <c r="V108">
        <v>50</v>
      </c>
      <c r="W108">
        <f ca="1">_xll.RiskOutput("At least "&amp;V108&amp;" correct")+IF($W$90&gt;=V108,1,0)</f>
        <v>1</v>
      </c>
      <c r="X108">
        <f ca="1">_xll.RiskMean(W108)</f>
        <v>0.87339999999999995</v>
      </c>
    </row>
    <row r="109" spans="9:24" x14ac:dyDescent="0.2">
      <c r="J109">
        <f ca="1">N61</f>
        <v>21</v>
      </c>
      <c r="K109" t="str">
        <f t="shared" ca="1" si="97"/>
        <v>Wisconsin </v>
      </c>
      <c r="V109">
        <v>55</v>
      </c>
      <c r="W109">
        <f ca="1">_xll.RiskOutput("At least "&amp;V109&amp;" correct")+IF($W$90&gt;=V109,1,0)</f>
        <v>0</v>
      </c>
      <c r="X109">
        <f ca="1">_xll.RiskMean(W109)</f>
        <v>0.27979999999999999</v>
      </c>
    </row>
    <row r="110" spans="9:24" x14ac:dyDescent="0.2">
      <c r="I110">
        <v>12</v>
      </c>
      <c r="J110">
        <f ca="1">N63</f>
        <v>25</v>
      </c>
      <c r="K110" t="str">
        <f t="shared" ca="1" si="97"/>
        <v>Saint Mary's </v>
      </c>
      <c r="L110">
        <f ca="1">VLOOKUP(J110,KenPomTable,3)-VLOOKUP(J111,KenPomTable,3)</f>
        <v>-7.6099999999999994</v>
      </c>
      <c r="M110">
        <f ca="1">_xll.RiskNormal(L110,$L$1)</f>
        <v>2.7063098095626295</v>
      </c>
      <c r="N110">
        <f ca="1">IF(M110&gt;0,J110,J111)</f>
        <v>25</v>
      </c>
      <c r="O110" t="str">
        <f ca="1">VLOOKUP(N110,KenPomTable,2)</f>
        <v>Saint Mary's </v>
      </c>
      <c r="P110">
        <f t="shared" ca="1" si="98"/>
        <v>1</v>
      </c>
      <c r="Q110">
        <f t="shared" ref="Q110" ca="1" si="119">_xlfn.NORM.DIST(0,ABS(L110),$L$1,TRUE)</f>
        <v>0.22332853362435542</v>
      </c>
      <c r="R110">
        <f t="shared" ref="R110" ca="1" si="120">1-Q110</f>
        <v>0.77667146637564455</v>
      </c>
      <c r="V110">
        <v>60</v>
      </c>
      <c r="W110">
        <f ca="1">_xll.RiskOutput("At least "&amp;V110&amp;" correct")+IF($W$90&gt;=V110,1,0)</f>
        <v>0</v>
      </c>
      <c r="X110">
        <f ca="1">_xll.RiskMean(W110)</f>
        <v>7.3000000000000001E-3</v>
      </c>
    </row>
    <row r="111" spans="9:24" x14ac:dyDescent="0.2">
      <c r="J111">
        <f ca="1">N65</f>
        <v>20</v>
      </c>
      <c r="K111" t="str">
        <f t="shared" ca="1" si="97"/>
        <v>Alabama </v>
      </c>
      <c r="V111">
        <v>65</v>
      </c>
      <c r="W111">
        <f ca="1">_xll.RiskOutput("At least "&amp;V111&amp;" correct")+IF($W$90&gt;=V111,1,0)</f>
        <v>0</v>
      </c>
      <c r="X111">
        <f ca="1">_xll.RiskMean(W111)</f>
        <v>0</v>
      </c>
    </row>
    <row r="112" spans="9:24" x14ac:dyDescent="0.2">
      <c r="I112">
        <v>13</v>
      </c>
      <c r="J112">
        <f ca="1">N67</f>
        <v>52</v>
      </c>
      <c r="K112" t="str">
        <f t="shared" ca="1" si="97"/>
        <v>Houston </v>
      </c>
      <c r="L112">
        <f ca="1">VLOOKUP(J112,KenPomTable,3)-VLOOKUP(J113,KenPomTable,3)</f>
        <v>8.5800000000000018</v>
      </c>
      <c r="M112">
        <f ca="1">_xll.RiskNormal(L112,$L$1)</f>
        <v>4.3896932402510629</v>
      </c>
      <c r="N112">
        <f ca="1">IF(M112&gt;0,J112,J113)</f>
        <v>52</v>
      </c>
      <c r="O112" t="str">
        <f ca="1">VLOOKUP(N112,KenPomTable,2)</f>
        <v>Houston </v>
      </c>
      <c r="P112">
        <f t="shared" ca="1" si="98"/>
        <v>0</v>
      </c>
      <c r="Q112">
        <f t="shared" ref="Q112" ca="1" si="121">_xlfn.NORM.DIST(0,ABS(L112),$L$1,TRUE)</f>
        <v>0.19544623171344838</v>
      </c>
      <c r="R112">
        <f t="shared" ref="R112" ca="1" si="122">1-Q112</f>
        <v>0.80455376828655156</v>
      </c>
      <c r="V112">
        <v>67</v>
      </c>
      <c r="W112">
        <f ca="1">_xll.RiskOutput("At least "&amp;V112&amp;" correct")+IF($W$90&gt;=V112,1,0)</f>
        <v>0</v>
      </c>
      <c r="X112">
        <f ca="1">_xll.RiskMean(W112)</f>
        <v>0</v>
      </c>
    </row>
    <row r="113" spans="9:23" x14ac:dyDescent="0.2">
      <c r="J113">
        <f ca="1">N69</f>
        <v>59</v>
      </c>
      <c r="K113" t="str">
        <f t="shared" ca="1" si="97"/>
        <v>Gonzaga </v>
      </c>
    </row>
    <row r="114" spans="9:23" x14ac:dyDescent="0.2">
      <c r="I114">
        <v>14</v>
      </c>
      <c r="J114">
        <f ca="1">N71</f>
        <v>56</v>
      </c>
      <c r="K114" t="str">
        <f t="shared" ca="1" si="97"/>
        <v>Clemson </v>
      </c>
      <c r="L114">
        <f ca="1">VLOOKUP(J114,KenPomTable,3)-VLOOKUP(J115,KenPomTable,3)</f>
        <v>-2.1400000000000006</v>
      </c>
      <c r="M114">
        <f ca="1">_xll.RiskNormal(L114,$L$1)</f>
        <v>7.504845524250614E-2</v>
      </c>
      <c r="N114">
        <f ca="1">IF(M114&gt;0,J114,J115)</f>
        <v>56</v>
      </c>
      <c r="O114" t="str">
        <f ca="1">VLOOKUP(N114,KenPomTable,2)</f>
        <v>Clemson </v>
      </c>
      <c r="P114">
        <f t="shared" ca="1" si="98"/>
        <v>1</v>
      </c>
      <c r="Q114">
        <f t="shared" ref="Q114" ca="1" si="123">_xlfn.NORM.DIST(0,ABS(L114),$L$1,TRUE)</f>
        <v>0.41527352859004896</v>
      </c>
      <c r="R114">
        <f t="shared" ref="R114" ca="1" si="124">1-Q114</f>
        <v>0.58472647140995104</v>
      </c>
    </row>
    <row r="115" spans="9:23" x14ac:dyDescent="0.2">
      <c r="J115">
        <f ca="1">N73</f>
        <v>55</v>
      </c>
      <c r="K115" t="str">
        <f t="shared" ca="1" si="97"/>
        <v>Purdue </v>
      </c>
    </row>
    <row r="116" spans="9:23" x14ac:dyDescent="0.2">
      <c r="I116">
        <v>15</v>
      </c>
      <c r="J116">
        <f ca="1">N75</f>
        <v>57</v>
      </c>
      <c r="K116" t="str">
        <f t="shared" ca="1" si="97"/>
        <v>Illinois </v>
      </c>
      <c r="L116">
        <f ca="1">VLOOKUP(J116,KenPomTable,3)-VLOOKUP(J117,KenPomTable,3)</f>
        <v>-0.21999999999999886</v>
      </c>
      <c r="M116">
        <f ca="1">_xll.RiskNormal(L116,$L$1)</f>
        <v>-11.388121537532639</v>
      </c>
      <c r="N116">
        <f ca="1">IF(M116&gt;0,J116,J117)</f>
        <v>54</v>
      </c>
      <c r="O116" t="str">
        <f ca="1">VLOOKUP(N116,KenPomTable,2)</f>
        <v>Kentucky </v>
      </c>
      <c r="P116">
        <f t="shared" ca="1" si="98"/>
        <v>0</v>
      </c>
      <c r="Q116">
        <f t="shared" ref="Q116" ca="1" si="125">_xlfn.NORM.DIST(0,ABS(L116),$L$1,TRUE)</f>
        <v>0.4912239777693384</v>
      </c>
      <c r="R116">
        <f t="shared" ref="R116" ca="1" si="126">1-Q116</f>
        <v>0.50877602223066165</v>
      </c>
      <c r="V116" t="s">
        <v>122</v>
      </c>
      <c r="W116">
        <f ca="1">_xll.RiskOutput("P(no upsets at all)")+PRODUCT(P16,P84,P121,P144,P157,P166,P173)</f>
        <v>3.2442873087204653E-8</v>
      </c>
    </row>
    <row r="117" spans="9:23" x14ac:dyDescent="0.2">
      <c r="J117">
        <f ca="1">N77</f>
        <v>54</v>
      </c>
      <c r="K117" t="str">
        <f t="shared" ca="1" si="97"/>
        <v>Kentucky </v>
      </c>
      <c r="V117" t="s">
        <v>123</v>
      </c>
      <c r="W117">
        <f ca="1">_xll.RiskMean(W116)</f>
        <v>3.3496330733691419E-8</v>
      </c>
    </row>
    <row r="118" spans="9:23" x14ac:dyDescent="0.2">
      <c r="I118">
        <v>16</v>
      </c>
      <c r="J118">
        <f ca="1">N79</f>
        <v>58</v>
      </c>
      <c r="K118" t="str">
        <f t="shared" ca="1" si="97"/>
        <v>UCLA </v>
      </c>
      <c r="L118">
        <f ca="1">VLOOKUP(J118,KenPomTable,3)-VLOOKUP(J119,KenPomTable,3)</f>
        <v>-7.4699999999999989</v>
      </c>
      <c r="M118">
        <f ca="1">_xll.RiskNormal(L118,$L$1)</f>
        <v>-1.26387379437781</v>
      </c>
      <c r="N118">
        <f ca="1">IF(M118&gt;0,J118,J119)</f>
        <v>53</v>
      </c>
      <c r="O118" t="str">
        <f ca="1">VLOOKUP(N118,KenPomTable,2)</f>
        <v>Tennessee </v>
      </c>
      <c r="P118">
        <f t="shared" ca="1" si="98"/>
        <v>0</v>
      </c>
      <c r="Q118">
        <f t="shared" ref="Q118" ca="1" si="127">_xlfn.NORM.DIST(0,ABS(L118),$L$1,TRUE)</f>
        <v>0.22753178041744376</v>
      </c>
      <c r="R118">
        <f t="shared" ref="R118" ca="1" si="128">1-Q118</f>
        <v>0.77246821958255629</v>
      </c>
    </row>
    <row r="119" spans="9:23" x14ac:dyDescent="0.2">
      <c r="J119">
        <f ca="1">N81</f>
        <v>53</v>
      </c>
      <c r="K119" t="str">
        <f t="shared" ca="1" si="97"/>
        <v>Tennessee </v>
      </c>
    </row>
    <row r="120" spans="9:23" x14ac:dyDescent="0.2">
      <c r="O120" t="s">
        <v>104</v>
      </c>
      <c r="P120">
        <f ca="1">SUM(P88:P118)</f>
        <v>8</v>
      </c>
    </row>
    <row r="121" spans="9:23" x14ac:dyDescent="0.2">
      <c r="O121" t="s">
        <v>101</v>
      </c>
      <c r="P121">
        <f ca="1">PRODUCT(R88:R118)</f>
        <v>6.5067730991644141E-3</v>
      </c>
    </row>
    <row r="123" spans="9:23" x14ac:dyDescent="0.2">
      <c r="I123" s="44" t="s">
        <v>111</v>
      </c>
    </row>
    <row r="126" spans="9:23" x14ac:dyDescent="0.2">
      <c r="I126" t="s">
        <v>2</v>
      </c>
      <c r="J126" t="s">
        <v>0</v>
      </c>
      <c r="K126" t="s">
        <v>4</v>
      </c>
      <c r="L126" t="s">
        <v>102</v>
      </c>
      <c r="M126" t="s">
        <v>103</v>
      </c>
      <c r="N126" t="s">
        <v>94</v>
      </c>
      <c r="O126" s="44" t="s">
        <v>95</v>
      </c>
      <c r="P126" s="44" t="s">
        <v>13</v>
      </c>
      <c r="Q126" s="44" t="s">
        <v>15</v>
      </c>
      <c r="R126" s="44" t="s">
        <v>100</v>
      </c>
    </row>
    <row r="127" spans="9:23" x14ac:dyDescent="0.2">
      <c r="I127">
        <v>1</v>
      </c>
      <c r="J127" s="48">
        <f ca="1">N88</f>
        <v>1</v>
      </c>
      <c r="K127" t="str">
        <f t="shared" ref="K127:K142" ca="1" si="129">VLOOKUP(J127,KenPomTable,2)</f>
        <v>Auburn </v>
      </c>
      <c r="L127">
        <f ca="1">VLOOKUP(J127,KenPomTable,3)-VLOOKUP(J128,KenPomTable,3)</f>
        <v>11.389999999999997</v>
      </c>
      <c r="M127">
        <f ca="1">_xll.RiskNormal(L127,$L$1)</f>
        <v>17.741658624779241</v>
      </c>
      <c r="N127">
        <f ca="1">IF(M127&gt;0,J127,J128)</f>
        <v>1</v>
      </c>
      <c r="O127" t="str">
        <f ca="1">VLOOKUP(N127,KenPomTable,2)</f>
        <v>Auburn </v>
      </c>
      <c r="P127">
        <f t="shared" ref="P127:P141" ca="1" si="130">IF(L127*M127&lt;0,1,0)</f>
        <v>0</v>
      </c>
      <c r="Q127">
        <f ca="1">_xlfn.NORM.DIST(0,ABS(L127),$L$1,TRUE)</f>
        <v>0.1273515770986704</v>
      </c>
      <c r="R127">
        <f ca="1">1-Q127</f>
        <v>0.8726484229013296</v>
      </c>
    </row>
    <row r="128" spans="9:23" x14ac:dyDescent="0.2">
      <c r="J128" s="48">
        <f ca="1">N90</f>
        <v>4</v>
      </c>
      <c r="K128" t="str">
        <f t="shared" ca="1" si="129"/>
        <v>Texas A&amp;M </v>
      </c>
    </row>
    <row r="129" spans="9:18" x14ac:dyDescent="0.2">
      <c r="I129">
        <v>2</v>
      </c>
      <c r="J129" s="48">
        <f ca="1">N92</f>
        <v>6</v>
      </c>
      <c r="K129" t="str">
        <f t="shared" ca="1" si="129"/>
        <v>Mississippi </v>
      </c>
      <c r="L129">
        <f ca="1">VLOOKUP(J129,KenPomTable,3)-VLOOKUP(J130,KenPomTable,3)</f>
        <v>2.3299999999999983</v>
      </c>
      <c r="M129">
        <f ca="1">_xll.RiskNormal(L129,$L$1)</f>
        <v>4.3708164813118913</v>
      </c>
      <c r="N129">
        <f ca="1">IF(M129&gt;0,J129,J130)</f>
        <v>6</v>
      </c>
      <c r="O129" t="str">
        <f ca="1">VLOOKUP(N129,KenPomTable,2)</f>
        <v>Mississippi </v>
      </c>
      <c r="P129">
        <f t="shared" ca="1" si="130"/>
        <v>0</v>
      </c>
      <c r="Q129">
        <f t="shared" ref="Q129" ca="1" si="131">_xlfn.NORM.DIST(0,ABS(L129),$L$1,TRUE)</f>
        <v>0.40788070288413092</v>
      </c>
      <c r="R129">
        <f t="shared" ref="R129" ca="1" si="132">1-Q129</f>
        <v>0.59211929711586908</v>
      </c>
    </row>
    <row r="130" spans="9:18" x14ac:dyDescent="0.2">
      <c r="J130" s="48">
        <f ca="1">N94</f>
        <v>7</v>
      </c>
      <c r="K130" t="str">
        <f t="shared" ca="1" si="129"/>
        <v>Marquette </v>
      </c>
    </row>
    <row r="131" spans="9:18" x14ac:dyDescent="0.2">
      <c r="I131">
        <v>3</v>
      </c>
      <c r="J131">
        <f ca="1">N96</f>
        <v>36</v>
      </c>
      <c r="K131" t="str">
        <f t="shared" ca="1" si="129"/>
        <v>Florida </v>
      </c>
      <c r="L131">
        <f ca="1">VLOOKUP(J131,KenPomTable,3)-VLOOKUP(J132,KenPomTable,3)</f>
        <v>18.850000000000001</v>
      </c>
      <c r="M131">
        <f ca="1">_xll.RiskNormal(L131,$L$1)</f>
        <v>16.912970117979476</v>
      </c>
      <c r="N131">
        <f ca="1">IF(M131&gt;0,J131,J132)</f>
        <v>36</v>
      </c>
      <c r="O131" t="str">
        <f ca="1">VLOOKUP(N131,KenPomTable,2)</f>
        <v>Florida </v>
      </c>
      <c r="P131">
        <f t="shared" ca="1" si="130"/>
        <v>0</v>
      </c>
      <c r="Q131">
        <f t="shared" ref="Q131" ca="1" si="133">_xlfn.NORM.DIST(0,ABS(L131),$L$1,TRUE)</f>
        <v>2.9714918908310597E-2</v>
      </c>
      <c r="R131">
        <f t="shared" ref="R131" ca="1" si="134">1-Q131</f>
        <v>0.97028508109168943</v>
      </c>
    </row>
    <row r="132" spans="9:18" x14ac:dyDescent="0.2">
      <c r="J132">
        <f ca="1">N98</f>
        <v>47</v>
      </c>
      <c r="K132" t="str">
        <f t="shared" ca="1" si="129"/>
        <v>Colorado St. </v>
      </c>
    </row>
    <row r="133" spans="9:18" x14ac:dyDescent="0.2">
      <c r="I133">
        <v>4</v>
      </c>
      <c r="J133">
        <f ca="1">N100</f>
        <v>41</v>
      </c>
      <c r="K133" t="str">
        <f t="shared" ca="1" si="129"/>
        <v>Missouri </v>
      </c>
      <c r="L133">
        <f ca="1">VLOOKUP(J133,KenPomTable,3)-VLOOKUP(J134,KenPomTable,3)</f>
        <v>0.62999999999999901</v>
      </c>
      <c r="M133">
        <f ca="1">_xll.RiskNormal(L133,$L$1)</f>
        <v>3.0194178966617322</v>
      </c>
      <c r="N133">
        <f ca="1">IF(M133&gt;0,J133,J134)</f>
        <v>41</v>
      </c>
      <c r="O133" t="str">
        <f ca="1">VLOOKUP(N133,KenPomTable,2)</f>
        <v>Missouri </v>
      </c>
      <c r="P133">
        <f t="shared" ca="1" si="130"/>
        <v>0</v>
      </c>
      <c r="Q133">
        <f t="shared" ref="Q133" ca="1" si="135">_xlfn.NORM.DIST(0,ABS(L133),$L$1,TRUE)</f>
        <v>0.47488325216132699</v>
      </c>
      <c r="R133">
        <f t="shared" ref="R133" ca="1" si="136">1-Q133</f>
        <v>0.52511674783867301</v>
      </c>
    </row>
    <row r="134" spans="9:18" x14ac:dyDescent="0.2">
      <c r="J134">
        <f ca="1">N102</f>
        <v>42</v>
      </c>
      <c r="K134" t="str">
        <f t="shared" ca="1" si="129"/>
        <v>Kansas </v>
      </c>
    </row>
    <row r="135" spans="9:18" x14ac:dyDescent="0.2">
      <c r="I135">
        <v>5</v>
      </c>
      <c r="J135">
        <f ca="1">N104</f>
        <v>19</v>
      </c>
      <c r="K135" t="str">
        <f t="shared" ca="1" si="129"/>
        <v>Duke </v>
      </c>
      <c r="L135">
        <f ca="1">VLOOKUP(J135,KenPomTable,3)-VLOOKUP(J136,KenPomTable,3)</f>
        <v>17.439999999999998</v>
      </c>
      <c r="M135">
        <f ca="1">_xll.RiskNormal(L135,$L$1)</f>
        <v>14.212973923250875</v>
      </c>
      <c r="N135">
        <f ca="1">IF(M135&gt;0,J135,J136)</f>
        <v>19</v>
      </c>
      <c r="O135" t="str">
        <f ca="1">VLOOKUP(N135,KenPomTable,2)</f>
        <v>Duke </v>
      </c>
      <c r="P135">
        <f t="shared" ca="1" si="130"/>
        <v>0</v>
      </c>
      <c r="Q135">
        <f t="shared" ref="Q135" ca="1" si="137">_xlfn.NORM.DIST(0,ABS(L135),$L$1,TRUE)</f>
        <v>4.0579544918886129E-2</v>
      </c>
      <c r="R135">
        <f t="shared" ref="R135" ca="1" si="138">1-Q135</f>
        <v>0.95942045508111384</v>
      </c>
    </row>
    <row r="136" spans="9:18" x14ac:dyDescent="0.2">
      <c r="J136">
        <f ca="1">N106</f>
        <v>23</v>
      </c>
      <c r="K136" t="str">
        <f t="shared" ca="1" si="129"/>
        <v>Oregon </v>
      </c>
    </row>
    <row r="137" spans="9:18" x14ac:dyDescent="0.2">
      <c r="I137">
        <v>6</v>
      </c>
      <c r="J137">
        <f ca="1">N108</f>
        <v>21</v>
      </c>
      <c r="K137" t="str">
        <f t="shared" ca="1" si="129"/>
        <v>Wisconsin </v>
      </c>
      <c r="L137">
        <f ca="1">VLOOKUP(J137,KenPomTable,3)-VLOOKUP(J138,KenPomTable,3)</f>
        <v>3.84</v>
      </c>
      <c r="M137">
        <f ca="1">_xll.RiskNormal(L137,$L$1)</f>
        <v>20.599680720901404</v>
      </c>
      <c r="N137">
        <f ca="1">IF(M137&gt;0,J137,J138)</f>
        <v>21</v>
      </c>
      <c r="O137" t="str">
        <f ca="1">VLOOKUP(N137,KenPomTable,2)</f>
        <v>Wisconsin </v>
      </c>
      <c r="P137">
        <f t="shared" ca="1" si="130"/>
        <v>0</v>
      </c>
      <c r="Q137">
        <f t="shared" ref="Q137" ca="1" si="139">_xlfn.NORM.DIST(0,ABS(L137),$L$1,TRUE)</f>
        <v>0.35048922374918856</v>
      </c>
      <c r="R137">
        <f t="shared" ref="R137" ca="1" si="140">1-Q137</f>
        <v>0.64951077625081144</v>
      </c>
    </row>
    <row r="138" spans="9:18" x14ac:dyDescent="0.2">
      <c r="J138">
        <f ca="1">N110</f>
        <v>25</v>
      </c>
      <c r="K138" t="str">
        <f t="shared" ca="1" si="129"/>
        <v>Saint Mary's </v>
      </c>
    </row>
    <row r="139" spans="9:18" x14ac:dyDescent="0.2">
      <c r="I139">
        <v>7</v>
      </c>
      <c r="J139">
        <f ca="1">N112</f>
        <v>52</v>
      </c>
      <c r="K139" t="str">
        <f t="shared" ca="1" si="129"/>
        <v>Houston </v>
      </c>
      <c r="L139">
        <f ca="1">VLOOKUP(J139,KenPomTable,3)-VLOOKUP(J140,KenPomTable,3)</f>
        <v>13.370000000000005</v>
      </c>
      <c r="M139">
        <f ca="1">_xll.RiskNormal(L139,$L$1)</f>
        <v>11.292296358549391</v>
      </c>
      <c r="N139">
        <f ca="1">IF(M139&gt;0,J139,J140)</f>
        <v>52</v>
      </c>
      <c r="O139" t="str">
        <f ca="1">VLOOKUP(N139,KenPomTable,2)</f>
        <v>Houston </v>
      </c>
      <c r="P139">
        <f t="shared" ca="1" si="130"/>
        <v>0</v>
      </c>
      <c r="Q139">
        <f t="shared" ref="Q139" ca="1" si="141">_xlfn.NORM.DIST(0,ABS(L139),$L$1,TRUE)</f>
        <v>9.0611318418204689E-2</v>
      </c>
      <c r="R139">
        <f t="shared" ref="R139" ca="1" si="142">1-Q139</f>
        <v>0.90938868158179531</v>
      </c>
    </row>
    <row r="140" spans="9:18" x14ac:dyDescent="0.2">
      <c r="J140">
        <f ca="1">N114</f>
        <v>56</v>
      </c>
      <c r="K140" t="str">
        <f t="shared" ca="1" si="129"/>
        <v>Clemson </v>
      </c>
    </row>
    <row r="141" spans="9:18" x14ac:dyDescent="0.2">
      <c r="I141">
        <v>8</v>
      </c>
      <c r="J141">
        <f ca="1">N116</f>
        <v>54</v>
      </c>
      <c r="K141" t="str">
        <f t="shared" ca="1" si="129"/>
        <v>Kentucky </v>
      </c>
      <c r="L141">
        <f ca="1">VLOOKUP(J141,KenPomTable,3)-VLOOKUP(J142,KenPomTable,3)</f>
        <v>-6.3900000000000006</v>
      </c>
      <c r="M141">
        <f ca="1">_xll.RiskNormal(L141,$L$1)</f>
        <v>4.0272142087134419</v>
      </c>
      <c r="N141">
        <f ca="1">IF(M141&gt;0,J141,J142)</f>
        <v>54</v>
      </c>
      <c r="O141" t="str">
        <f ca="1">VLOOKUP(N141,KenPomTable,2)</f>
        <v>Kentucky </v>
      </c>
      <c r="P141">
        <f t="shared" ca="1" si="130"/>
        <v>1</v>
      </c>
      <c r="Q141">
        <f t="shared" ref="Q141" ca="1" si="143">_xlfn.NORM.DIST(0,ABS(L141),$L$1,TRUE)</f>
        <v>0.26141146594486153</v>
      </c>
      <c r="R141">
        <f t="shared" ref="R141" ca="1" si="144">1-Q141</f>
        <v>0.73858853405513847</v>
      </c>
    </row>
    <row r="142" spans="9:18" x14ac:dyDescent="0.2">
      <c r="J142">
        <f ca="1">N118</f>
        <v>53</v>
      </c>
      <c r="K142" t="str">
        <f t="shared" ca="1" si="129"/>
        <v>Tennessee </v>
      </c>
    </row>
    <row r="143" spans="9:18" x14ac:dyDescent="0.2">
      <c r="O143" s="44" t="s">
        <v>117</v>
      </c>
      <c r="P143">
        <f ca="1">SUM(P127:P141)</f>
        <v>1</v>
      </c>
    </row>
    <row r="144" spans="9:18" x14ac:dyDescent="0.2">
      <c r="I144" s="44" t="s">
        <v>112</v>
      </c>
      <c r="O144" s="44" t="s">
        <v>101</v>
      </c>
      <c r="P144">
        <f ca="1">PRODUCT(R127:R141)</f>
        <v>0.11019228451557986</v>
      </c>
    </row>
    <row r="147" spans="9:18" x14ac:dyDescent="0.2">
      <c r="I147" t="s">
        <v>2</v>
      </c>
      <c r="J147" t="s">
        <v>0</v>
      </c>
      <c r="K147" t="s">
        <v>4</v>
      </c>
      <c r="L147" t="s">
        <v>102</v>
      </c>
      <c r="M147" t="s">
        <v>103</v>
      </c>
      <c r="N147" t="s">
        <v>94</v>
      </c>
      <c r="O147" s="44" t="s">
        <v>95</v>
      </c>
      <c r="P147" s="44" t="s">
        <v>13</v>
      </c>
      <c r="Q147" s="44" t="s">
        <v>15</v>
      </c>
      <c r="R147" s="44" t="s">
        <v>100</v>
      </c>
    </row>
    <row r="148" spans="9:18" x14ac:dyDescent="0.2">
      <c r="I148">
        <v>1</v>
      </c>
      <c r="J148" s="48">
        <f ca="1">N127</f>
        <v>1</v>
      </c>
      <c r="K148" t="str">
        <f t="shared" ref="K148:K155" ca="1" si="145">VLOOKUP(J148,KenPomTable,2)</f>
        <v>Auburn </v>
      </c>
      <c r="L148">
        <f ca="1">VLOOKUP(J148,KenPomTable,3)-VLOOKUP(J149,KenPomTable,3)</f>
        <v>11.709999999999997</v>
      </c>
      <c r="M148">
        <f ca="1">_xll.RiskNormal(L148,$L$1)</f>
        <v>-3.3111114747871717</v>
      </c>
      <c r="N148">
        <f ca="1">IF(M148&gt;0,J148,J149)</f>
        <v>6</v>
      </c>
      <c r="O148" t="str">
        <f ca="1">VLOOKUP(N148,KenPomTable,2)</f>
        <v>Mississippi </v>
      </c>
      <c r="P148">
        <f t="shared" ref="P148" ca="1" si="146">IF(L148*M148&lt;0,1,0)</f>
        <v>1</v>
      </c>
      <c r="Q148">
        <f ca="1">_xlfn.NORM.DIST(0,ABS(L148),$L$1,TRUE)</f>
        <v>0.12079938857581826</v>
      </c>
      <c r="R148">
        <f ca="1">1-Q148</f>
        <v>0.87920061142418171</v>
      </c>
    </row>
    <row r="149" spans="9:18" x14ac:dyDescent="0.2">
      <c r="J149" s="48">
        <f ca="1">N129</f>
        <v>6</v>
      </c>
      <c r="K149" t="str">
        <f t="shared" ca="1" si="145"/>
        <v>Mississippi </v>
      </c>
    </row>
    <row r="150" spans="9:18" x14ac:dyDescent="0.2">
      <c r="I150">
        <v>2</v>
      </c>
      <c r="J150">
        <f ca="1">N131</f>
        <v>36</v>
      </c>
      <c r="K150" t="str">
        <f t="shared" ca="1" si="145"/>
        <v>Florida </v>
      </c>
      <c r="L150">
        <f ca="1">VLOOKUP(J150,KenPomTable,3)-VLOOKUP(J151,KenPomTable,3)</f>
        <v>12.89</v>
      </c>
      <c r="M150">
        <f ca="1">_xll.RiskNormal(L150,$L$1)</f>
        <v>5.8504029577454224</v>
      </c>
      <c r="N150">
        <f ca="1">IF(M150&gt;0,J150,J151)</f>
        <v>36</v>
      </c>
      <c r="O150" t="str">
        <f ca="1">VLOOKUP(N150,KenPomTable,2)</f>
        <v>Florida </v>
      </c>
      <c r="P150">
        <f t="shared" ref="P150" ca="1" si="147">IF(L150*M150&lt;0,1,0)</f>
        <v>0</v>
      </c>
      <c r="Q150">
        <f t="shared" ref="Q150" ca="1" si="148">_xlfn.NORM.DIST(0,ABS(L150),$L$1,TRUE)</f>
        <v>9.8699043289414576E-2</v>
      </c>
      <c r="R150">
        <f t="shared" ref="R150" ca="1" si="149">1-Q150</f>
        <v>0.90130095671058541</v>
      </c>
    </row>
    <row r="151" spans="9:18" x14ac:dyDescent="0.2">
      <c r="J151">
        <f ca="1">N133</f>
        <v>41</v>
      </c>
      <c r="K151" t="str">
        <f t="shared" ca="1" si="145"/>
        <v>Missouri </v>
      </c>
    </row>
    <row r="152" spans="9:18" x14ac:dyDescent="0.2">
      <c r="I152">
        <v>3</v>
      </c>
      <c r="J152">
        <f ca="1">N135</f>
        <v>19</v>
      </c>
      <c r="K152" t="str">
        <f t="shared" ca="1" si="145"/>
        <v>Duke </v>
      </c>
      <c r="L152">
        <f ca="1">VLOOKUP(J152,KenPomTable,3)-VLOOKUP(J153,KenPomTable,3)</f>
        <v>12.719999999999999</v>
      </c>
      <c r="M152">
        <f ca="1">_xll.RiskNormal(L152,$L$1)</f>
        <v>11.645014999809339</v>
      </c>
      <c r="N152">
        <f ca="1">IF(M152&gt;0,J152,J153)</f>
        <v>19</v>
      </c>
      <c r="O152" t="str">
        <f ca="1">VLOOKUP(N152,KenPomTable,2)</f>
        <v>Duke </v>
      </c>
      <c r="P152">
        <f t="shared" ref="P152" ca="1" si="150">IF(L152*M152&lt;0,1,0)</f>
        <v>0</v>
      </c>
      <c r="Q152">
        <f t="shared" ref="Q152" ca="1" si="151">_xlfn.NORM.DIST(0,ABS(L152),$L$1,TRUE)</f>
        <v>0.10168655963466959</v>
      </c>
      <c r="R152">
        <f t="shared" ref="R152" ca="1" si="152">1-Q152</f>
        <v>0.89831344036533045</v>
      </c>
    </row>
    <row r="153" spans="9:18" x14ac:dyDescent="0.2">
      <c r="J153">
        <f ca="1">N137</f>
        <v>21</v>
      </c>
      <c r="K153" t="str">
        <f t="shared" ca="1" si="145"/>
        <v>Wisconsin </v>
      </c>
    </row>
    <row r="154" spans="9:18" x14ac:dyDescent="0.2">
      <c r="I154">
        <v>4</v>
      </c>
      <c r="J154">
        <f ca="1">N139</f>
        <v>52</v>
      </c>
      <c r="K154" t="str">
        <f t="shared" ca="1" si="145"/>
        <v>Houston </v>
      </c>
      <c r="L154">
        <f ca="1">VLOOKUP(J154,KenPomTable,3)-VLOOKUP(J155,KenPomTable,3)</f>
        <v>12.050000000000004</v>
      </c>
      <c r="M154">
        <f ca="1">_xll.RiskNormal(L154,$L$1)</f>
        <v>1.1925448411498252</v>
      </c>
      <c r="N154">
        <f ca="1">IF(M154&gt;0,J154,J155)</f>
        <v>52</v>
      </c>
      <c r="O154" t="str">
        <f ca="1">VLOOKUP(N154,KenPomTable,2)</f>
        <v>Houston </v>
      </c>
      <c r="P154">
        <f t="shared" ref="P154" ca="1" si="153">IF(L154*M154&lt;0,1,0)</f>
        <v>0</v>
      </c>
      <c r="Q154">
        <f t="shared" ref="Q154" ca="1" si="154">_xlfn.NORM.DIST(0,ABS(L154),$L$1,TRUE)</f>
        <v>0.11410165094812948</v>
      </c>
      <c r="R154">
        <f t="shared" ref="R154" ca="1" si="155">1-Q154</f>
        <v>0.88589834905187048</v>
      </c>
    </row>
    <row r="155" spans="9:18" x14ac:dyDescent="0.2">
      <c r="J155">
        <f ca="1">N141</f>
        <v>54</v>
      </c>
      <c r="K155" t="str">
        <f t="shared" ca="1" si="145"/>
        <v>Kentucky </v>
      </c>
      <c r="O155" s="44"/>
    </row>
    <row r="156" spans="9:18" x14ac:dyDescent="0.2">
      <c r="O156" s="44" t="s">
        <v>117</v>
      </c>
      <c r="P156">
        <f ca="1">SUM(P148:P154)</f>
        <v>1</v>
      </c>
    </row>
    <row r="157" spans="9:18" x14ac:dyDescent="0.2">
      <c r="I157" s="44" t="s">
        <v>113</v>
      </c>
      <c r="O157" s="44" t="s">
        <v>101</v>
      </c>
      <c r="P157">
        <f ca="1">PRODUCT(R148:R154)</f>
        <v>0.63062270545302102</v>
      </c>
    </row>
    <row r="160" spans="9:18" x14ac:dyDescent="0.2">
      <c r="I160" t="s">
        <v>2</v>
      </c>
      <c r="J160" t="s">
        <v>0</v>
      </c>
      <c r="K160" t="s">
        <v>4</v>
      </c>
      <c r="L160" t="s">
        <v>102</v>
      </c>
      <c r="M160" t="s">
        <v>103</v>
      </c>
      <c r="N160" t="s">
        <v>94</v>
      </c>
      <c r="O160" s="44" t="s">
        <v>95</v>
      </c>
      <c r="P160" s="44" t="s">
        <v>13</v>
      </c>
      <c r="Q160" s="44" t="s">
        <v>15</v>
      </c>
      <c r="R160" s="44" t="s">
        <v>100</v>
      </c>
    </row>
    <row r="161" spans="9:18" x14ac:dyDescent="0.2">
      <c r="I161">
        <v>1</v>
      </c>
      <c r="J161">
        <f ca="1">N148</f>
        <v>6</v>
      </c>
      <c r="K161" t="str">
        <f ca="1">VLOOKUP(J161,KenPomTable,2)</f>
        <v>Mississippi </v>
      </c>
      <c r="L161">
        <f ca="1">VLOOKUP(J161,KenPomTable,3)-VLOOKUP(J162,KenPomTable,3)</f>
        <v>-13.120000000000001</v>
      </c>
      <c r="M161">
        <f ca="1">_xll.RiskNormal(L161,$L$1)</f>
        <v>-9.6940126493904941</v>
      </c>
      <c r="N161">
        <f ca="1">IF(M161&gt;0,J161,J162)</f>
        <v>36</v>
      </c>
      <c r="O161" t="str">
        <f ca="1">VLOOKUP(N161,KenPomTable,2)</f>
        <v>Florida </v>
      </c>
      <c r="P161">
        <f t="shared" ref="P161" ca="1" si="156">IF(L161*M161&lt;0,1,0)</f>
        <v>0</v>
      </c>
      <c r="Q161">
        <f ca="1">_xlfn.NORM.DIST(0,ABS(L161),$L$1,TRUE)</f>
        <v>9.4760067276258436E-2</v>
      </c>
      <c r="R161">
        <f ca="1">1-Q161</f>
        <v>0.90523993272374159</v>
      </c>
    </row>
    <row r="162" spans="9:18" x14ac:dyDescent="0.2">
      <c r="J162">
        <f ca="1">N150</f>
        <v>36</v>
      </c>
      <c r="K162" t="str">
        <f ca="1">VLOOKUP(J162,KenPomTable,2)</f>
        <v>Florida </v>
      </c>
    </row>
    <row r="163" spans="9:18" x14ac:dyDescent="0.2">
      <c r="I163">
        <v>2</v>
      </c>
      <c r="J163">
        <f ca="1">N152</f>
        <v>19</v>
      </c>
      <c r="K163" t="str">
        <f ca="1">VLOOKUP(J163,KenPomTable,2)</f>
        <v>Duke </v>
      </c>
      <c r="L163">
        <f ca="1">VLOOKUP(J163,KenPomTable,3)-VLOOKUP(J164,KenPomTable,3)</f>
        <v>2.6999999999999957</v>
      </c>
      <c r="M163">
        <f ca="1">_xll.RiskNormal(L163,$L$1)</f>
        <v>5.28638375569298</v>
      </c>
      <c r="N163">
        <f ca="1">IF(M163&gt;0,J163,J164)</f>
        <v>19</v>
      </c>
      <c r="O163" t="str">
        <f ca="1">VLOOKUP(N163,KenPomTable,2)</f>
        <v>Duke </v>
      </c>
      <c r="P163">
        <f t="shared" ref="P163" ca="1" si="157">IF(L163*M163&lt;0,1,0)</f>
        <v>0</v>
      </c>
      <c r="Q163">
        <f ca="1">_xlfn.NORM.DIST(0,ABS(L163),$L$1,TRUE)</f>
        <v>0.39358012680196064</v>
      </c>
      <c r="R163">
        <f ca="1">1-Q163</f>
        <v>0.60641987319803936</v>
      </c>
    </row>
    <row r="164" spans="9:18" x14ac:dyDescent="0.2">
      <c r="J164">
        <f ca="1">N154</f>
        <v>52</v>
      </c>
      <c r="K164" t="str">
        <f ca="1">VLOOKUP(J164,KenPomTable,2)</f>
        <v>Houston </v>
      </c>
      <c r="O164" s="44"/>
    </row>
    <row r="165" spans="9:18" x14ac:dyDescent="0.2">
      <c r="I165" s="44" t="s">
        <v>114</v>
      </c>
      <c r="O165" s="44" t="s">
        <v>117</v>
      </c>
      <c r="P165">
        <f ca="1">SUM(P161:P163)</f>
        <v>0</v>
      </c>
    </row>
    <row r="166" spans="9:18" x14ac:dyDescent="0.2">
      <c r="O166" s="44" t="s">
        <v>101</v>
      </c>
      <c r="P166">
        <f ca="1">PRODUCT(R161:R163)</f>
        <v>0.54895548521613302</v>
      </c>
    </row>
    <row r="168" spans="9:18" x14ac:dyDescent="0.2">
      <c r="I168" t="s">
        <v>2</v>
      </c>
      <c r="J168" t="s">
        <v>0</v>
      </c>
      <c r="K168" t="s">
        <v>4</v>
      </c>
      <c r="L168" t="s">
        <v>102</v>
      </c>
      <c r="M168" t="s">
        <v>103</v>
      </c>
      <c r="N168" t="s">
        <v>94</v>
      </c>
      <c r="O168" s="44" t="s">
        <v>95</v>
      </c>
      <c r="P168" s="44" t="s">
        <v>13</v>
      </c>
      <c r="Q168" s="44" t="s">
        <v>15</v>
      </c>
      <c r="R168" s="44" t="s">
        <v>100</v>
      </c>
    </row>
    <row r="169" spans="9:18" x14ac:dyDescent="0.2">
      <c r="I169">
        <v>1</v>
      </c>
      <c r="J169">
        <f ca="1">N161</f>
        <v>36</v>
      </c>
      <c r="K169" t="str">
        <f ca="1">VLOOKUP(J169,KenPomTable,2)</f>
        <v>Florida </v>
      </c>
      <c r="L169">
        <f ca="1">VLOOKUP(J169,KenPomTable,3)-VLOOKUP(J170,KenPomTable,3)</f>
        <v>-2.8299999999999983</v>
      </c>
      <c r="M169">
        <f ca="1">_xll.RiskNormal(L169,$L$1)</f>
        <v>-12.262688425262684</v>
      </c>
      <c r="N169">
        <f ca="1">IF(M169&gt;0,J169,J170)</f>
        <v>19</v>
      </c>
      <c r="O169" t="str">
        <f ca="1">VLOOKUP(N169,KenPomTable,2)</f>
        <v>Duke </v>
      </c>
      <c r="P169">
        <f t="shared" ref="P169" ca="1" si="158">IF(L169*M169&lt;0,1,0)</f>
        <v>0</v>
      </c>
      <c r="Q169">
        <f ca="1">_xlfn.NORM.DIST(0,ABS(L169),$L$1,TRUE)</f>
        <v>0.3885884185015015</v>
      </c>
      <c r="R169">
        <f ca="1">1-Q169</f>
        <v>0.6114115814984985</v>
      </c>
    </row>
    <row r="170" spans="9:18" x14ac:dyDescent="0.2">
      <c r="J170">
        <f ca="1">N163</f>
        <v>19</v>
      </c>
      <c r="K170" t="str">
        <f ca="1">VLOOKUP(J170,KenPomTable,2)</f>
        <v>Duke </v>
      </c>
    </row>
    <row r="172" spans="9:18" x14ac:dyDescent="0.2">
      <c r="O172" s="44" t="s">
        <v>117</v>
      </c>
      <c r="P172">
        <f ca="1">SUM(P169)</f>
        <v>0</v>
      </c>
    </row>
    <row r="173" spans="9:18" x14ac:dyDescent="0.2">
      <c r="O173" s="44" t="s">
        <v>101</v>
      </c>
      <c r="P173">
        <f ca="1">R169</f>
        <v>0.6114115814984985</v>
      </c>
    </row>
  </sheetData>
  <conditionalFormatting sqref="J7:J170 N1:N1048576">
    <cfRule type="cellIs" dxfId="3" priority="1" operator="between">
      <formula>52</formula>
      <formula>68</formula>
    </cfRule>
    <cfRule type="cellIs" dxfId="2" priority="2" operator="between">
      <formula>36</formula>
      <formula>51</formula>
    </cfRule>
    <cfRule type="cellIs" dxfId="1" priority="3" operator="between">
      <formula>19</formula>
      <formula>35</formula>
    </cfRule>
    <cfRule type="cellIs" dxfId="0" priority="4" operator="between">
      <formula>1</formula>
      <formula>18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MarchMandess2025KenPom</vt:lpstr>
      <vt:lpstr>KenPomTable</vt:lpstr>
      <vt:lpstr>Rating_Table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Pan, James</cp:lastModifiedBy>
  <cp:lastPrinted>2010-07-22T19:24:18Z</cp:lastPrinted>
  <dcterms:created xsi:type="dcterms:W3CDTF">1998-03-12T00:16:08Z</dcterms:created>
  <dcterms:modified xsi:type="dcterms:W3CDTF">2025-05-14T16:37:59Z</dcterms:modified>
</cp:coreProperties>
</file>