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yf\Downloads\"/>
    </mc:Choice>
  </mc:AlternateContent>
  <xr:revisionPtr revIDLastSave="0" documentId="13_ncr:1_{FBBE5756-4422-4D4C-9897-03610D854017}" xr6:coauthVersionLast="47" xr6:coauthVersionMax="47" xr10:uidLastSave="{00000000-0000-0000-0000-000000000000}"/>
  <bookViews>
    <workbookView xWindow="-120" yWindow="-120" windowWidth="29040" windowHeight="15720" activeTab="5" xr2:uid="{DDDB4000-09B4-0B4E-983E-67AE2435B3A9}"/>
  </bookViews>
  <sheets>
    <sheet name="Drop Ship" sheetId="1" r:id="rId1"/>
    <sheet name="LT Demand" sheetId="2" r:id="rId2"/>
    <sheet name="LT Demand (2)" sheetId="5" r:id="rId3"/>
    <sheet name="EDN" sheetId="3" r:id="rId4"/>
    <sheet name="Ring" sheetId="4" r:id="rId5"/>
    <sheet name="Sheet4" sheetId="9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9" l="1"/>
  <c r="J28" i="9"/>
  <c r="J29" i="9"/>
  <c r="J35" i="9"/>
  <c r="J36" i="9"/>
  <c r="J37" i="9"/>
  <c r="J39" i="9"/>
  <c r="E28" i="9"/>
  <c r="K28" i="9"/>
  <c r="K29" i="9"/>
  <c r="K35" i="9"/>
  <c r="K36" i="9"/>
  <c r="K37" i="9"/>
  <c r="K39" i="9"/>
  <c r="J43" i="9"/>
  <c r="J45" i="9"/>
  <c r="E47" i="9"/>
  <c r="K50" i="9"/>
  <c r="L50" i="9"/>
  <c r="N50" i="9"/>
  <c r="J50" i="9"/>
  <c r="P50" i="9"/>
  <c r="J51" i="9"/>
  <c r="K51" i="9"/>
  <c r="L51" i="9"/>
  <c r="N51" i="9"/>
  <c r="P51" i="9"/>
  <c r="J49" i="9"/>
  <c r="K49" i="9"/>
  <c r="L49" i="9"/>
  <c r="N49" i="9"/>
  <c r="P49" i="9"/>
  <c r="O50" i="9"/>
  <c r="O51" i="9"/>
  <c r="O49" i="9"/>
  <c r="M50" i="9"/>
  <c r="M51" i="9"/>
  <c r="M49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48" i="9"/>
  <c r="N28" i="9"/>
  <c r="N29" i="9"/>
  <c r="N35" i="9"/>
  <c r="N36" i="9"/>
  <c r="N37" i="9"/>
  <c r="N39" i="9"/>
  <c r="O28" i="9"/>
  <c r="O29" i="9"/>
  <c r="O35" i="9"/>
  <c r="O36" i="9"/>
  <c r="O37" i="9"/>
  <c r="O39" i="9"/>
  <c r="P28" i="9"/>
  <c r="P29" i="9"/>
  <c r="P35" i="9"/>
  <c r="P36" i="9"/>
  <c r="P37" i="9"/>
  <c r="P39" i="9"/>
  <c r="Q28" i="9"/>
  <c r="Q29" i="9"/>
  <c r="Q35" i="9"/>
  <c r="Q36" i="9"/>
  <c r="Q37" i="9"/>
  <c r="Q39" i="9"/>
  <c r="N43" i="9"/>
  <c r="N41" i="9"/>
  <c r="O41" i="9"/>
  <c r="P41" i="9"/>
  <c r="Q41" i="9"/>
  <c r="N44" i="9"/>
  <c r="N45" i="9"/>
  <c r="F47" i="9"/>
  <c r="D29" i="9"/>
  <c r="D35" i="9"/>
  <c r="D36" i="9"/>
  <c r="D37" i="9"/>
  <c r="D39" i="9"/>
  <c r="E29" i="9"/>
  <c r="E35" i="9"/>
  <c r="E36" i="9"/>
  <c r="E37" i="9"/>
  <c r="E39" i="9"/>
  <c r="D43" i="9"/>
  <c r="D32" i="9"/>
  <c r="D33" i="9"/>
  <c r="D41" i="9"/>
  <c r="E32" i="9"/>
  <c r="E33" i="9"/>
  <c r="E41" i="9"/>
  <c r="D44" i="9"/>
  <c r="D45" i="9"/>
  <c r="D47" i="9"/>
  <c r="J44" i="9"/>
  <c r="O40" i="9"/>
  <c r="P40" i="9"/>
  <c r="Q40" i="9"/>
  <c r="N40" i="9"/>
  <c r="O38" i="9"/>
  <c r="P38" i="9"/>
  <c r="Q38" i="9"/>
  <c r="N38" i="9"/>
  <c r="J41" i="9"/>
  <c r="M22" i="9"/>
  <c r="N34" i="9"/>
  <c r="J24" i="9"/>
  <c r="J25" i="9"/>
  <c r="J26" i="9"/>
  <c r="J22" i="9"/>
  <c r="J34" i="9"/>
  <c r="O34" i="9"/>
  <c r="P34" i="9"/>
  <c r="Q34" i="9"/>
  <c r="Q31" i="9"/>
  <c r="Q33" i="9"/>
  <c r="O31" i="9"/>
  <c r="O33" i="9"/>
  <c r="P32" i="9"/>
  <c r="N32" i="9"/>
  <c r="J32" i="9"/>
  <c r="J31" i="9"/>
  <c r="P31" i="9"/>
  <c r="N31" i="9"/>
  <c r="K24" i="9"/>
  <c r="K25" i="9"/>
  <c r="K26" i="9"/>
  <c r="K31" i="9"/>
  <c r="K41" i="9"/>
  <c r="K40" i="9"/>
  <c r="J40" i="9"/>
  <c r="K34" i="9"/>
  <c r="K38" i="9"/>
  <c r="E24" i="9"/>
  <c r="E25" i="9"/>
  <c r="E26" i="9"/>
  <c r="D22" i="9"/>
  <c r="E34" i="9"/>
  <c r="E38" i="9"/>
  <c r="J33" i="9"/>
  <c r="D24" i="9"/>
  <c r="D25" i="9"/>
  <c r="D34" i="9"/>
  <c r="J38" i="9"/>
  <c r="K33" i="9"/>
  <c r="K32" i="9"/>
  <c r="D31" i="9"/>
  <c r="E31" i="9"/>
  <c r="E40" i="9"/>
  <c r="D38" i="9"/>
  <c r="J17" i="3"/>
  <c r="J24" i="3"/>
  <c r="D40" i="9"/>
  <c r="Q24" i="3"/>
  <c r="L15" i="3"/>
  <c r="L14" i="3"/>
  <c r="J14" i="3"/>
  <c r="J15" i="3"/>
  <c r="R29" i="3"/>
  <c r="R30" i="3"/>
  <c r="R26" i="3"/>
  <c r="R28" i="3"/>
  <c r="Q30" i="3"/>
  <c r="Q28" i="3"/>
  <c r="Q29" i="3"/>
  <c r="P30" i="3"/>
  <c r="O30" i="3"/>
  <c r="P29" i="3"/>
  <c r="O29" i="3"/>
  <c r="P28" i="3"/>
  <c r="O28" i="3"/>
  <c r="R25" i="3"/>
  <c r="Q26" i="3"/>
  <c r="P26" i="3"/>
  <c r="O26" i="3"/>
  <c r="N29" i="3"/>
  <c r="N30" i="3"/>
  <c r="N28" i="3"/>
  <c r="N24" i="3"/>
  <c r="M29" i="3"/>
  <c r="M30" i="3"/>
  <c r="M28" i="3"/>
  <c r="N26" i="3"/>
  <c r="N25" i="3"/>
  <c r="M26" i="3"/>
  <c r="K26" i="3"/>
  <c r="L26" i="3"/>
  <c r="L25" i="3"/>
  <c r="L29" i="3"/>
  <c r="L30" i="3"/>
  <c r="L28" i="3"/>
  <c r="L24" i="3"/>
  <c r="J30" i="3"/>
  <c r="J26" i="3"/>
  <c r="J25" i="3"/>
  <c r="R24" i="3"/>
  <c r="Q25" i="3"/>
  <c r="O25" i="3"/>
  <c r="P14" i="3"/>
  <c r="P25" i="3"/>
  <c r="P24" i="3"/>
  <c r="O24" i="3"/>
  <c r="O19" i="3"/>
  <c r="O18" i="3"/>
  <c r="O17" i="3"/>
  <c r="O16" i="3"/>
  <c r="O15" i="3"/>
  <c r="O14" i="3"/>
  <c r="K30" i="3"/>
  <c r="K29" i="3"/>
  <c r="K28" i="3"/>
  <c r="K25" i="3"/>
  <c r="M25" i="3"/>
  <c r="N14" i="3"/>
  <c r="M24" i="3"/>
  <c r="M14" i="3"/>
  <c r="K16" i="3"/>
  <c r="K15" i="3"/>
  <c r="K24" i="3"/>
  <c r="K14" i="3"/>
  <c r="K18" i="3"/>
  <c r="J29" i="3"/>
  <c r="J28" i="3"/>
  <c r="T7" i="3"/>
  <c r="I29" i="3"/>
  <c r="I28" i="3"/>
  <c r="I25" i="3"/>
  <c r="I24" i="3"/>
  <c r="I14" i="3"/>
  <c r="H16" i="3"/>
  <c r="H29" i="3"/>
  <c r="H30" i="3"/>
  <c r="H28" i="3"/>
  <c r="H24" i="3"/>
  <c r="E29" i="3"/>
  <c r="E28" i="3"/>
  <c r="E25" i="3"/>
  <c r="E24" i="3"/>
  <c r="H25" i="3"/>
  <c r="H26" i="3"/>
  <c r="H14" i="3"/>
  <c r="N29" i="4"/>
  <c r="N28" i="4"/>
  <c r="N27" i="4"/>
  <c r="J29" i="4"/>
  <c r="K28" i="4"/>
  <c r="K27" i="4"/>
  <c r="J28" i="4"/>
  <c r="J27" i="4"/>
  <c r="I28" i="4"/>
  <c r="I27" i="4"/>
  <c r="N18" i="4"/>
  <c r="M23" i="4"/>
  <c r="M24" i="4"/>
  <c r="M25" i="4"/>
  <c r="M26" i="4"/>
  <c r="M22" i="4"/>
  <c r="L23" i="4"/>
  <c r="L24" i="4"/>
  <c r="L25" i="4"/>
  <c r="L26" i="4"/>
  <c r="L22" i="4"/>
  <c r="K23" i="4"/>
  <c r="K24" i="4"/>
  <c r="K25" i="4"/>
  <c r="K26" i="4"/>
  <c r="K22" i="4"/>
  <c r="K12" i="4"/>
  <c r="I26" i="4"/>
  <c r="I25" i="4"/>
  <c r="I23" i="4"/>
  <c r="I24" i="4"/>
  <c r="I22" i="4"/>
  <c r="I12" i="4"/>
  <c r="G23" i="4"/>
  <c r="G24" i="4"/>
  <c r="G25" i="4"/>
  <c r="G26" i="4"/>
  <c r="G22" i="4"/>
  <c r="E22" i="4"/>
  <c r="E23" i="4"/>
  <c r="E25" i="4"/>
  <c r="E26" i="4"/>
  <c r="E24" i="4"/>
  <c r="H23" i="4"/>
  <c r="H24" i="4"/>
  <c r="H25" i="4"/>
  <c r="H26" i="4"/>
  <c r="H22" i="4"/>
  <c r="H13" i="4"/>
  <c r="H14" i="4"/>
  <c r="H15" i="4"/>
  <c r="H16" i="4"/>
  <c r="H17" i="4"/>
  <c r="H12" i="4"/>
  <c r="K14" i="4"/>
  <c r="L14" i="4"/>
  <c r="M14" i="4"/>
  <c r="K15" i="4"/>
  <c r="L15" i="4"/>
  <c r="M15" i="4"/>
  <c r="K16" i="4"/>
  <c r="L16" i="4"/>
  <c r="M16" i="4"/>
  <c r="K17" i="4"/>
  <c r="L17" i="4"/>
  <c r="M17" i="4"/>
  <c r="K13" i="4"/>
  <c r="L13" i="4"/>
  <c r="M13" i="4"/>
  <c r="L12" i="4"/>
  <c r="M12" i="4"/>
  <c r="K18" i="4"/>
  <c r="L17" i="3"/>
  <c r="L16" i="3"/>
  <c r="J18" i="4"/>
  <c r="I18" i="4"/>
  <c r="I13" i="4"/>
  <c r="I14" i="4"/>
  <c r="I15" i="4"/>
  <c r="I16" i="4"/>
  <c r="I17" i="4"/>
  <c r="M15" i="3"/>
  <c r="N15" i="3"/>
  <c r="P15" i="3"/>
  <c r="Q15" i="3"/>
  <c r="J16" i="3"/>
  <c r="M16" i="3"/>
  <c r="N16" i="3"/>
  <c r="P16" i="3"/>
  <c r="Q16" i="3"/>
  <c r="M17" i="3"/>
  <c r="N17" i="3"/>
  <c r="P17" i="3"/>
  <c r="Q17" i="3"/>
  <c r="P18" i="3"/>
  <c r="Q18" i="3"/>
  <c r="P19" i="3"/>
  <c r="Q19" i="3"/>
  <c r="Q14" i="3"/>
  <c r="S18" i="3"/>
  <c r="S16" i="3"/>
  <c r="S14" i="3"/>
  <c r="N18" i="3"/>
  <c r="N19" i="3"/>
  <c r="K19" i="3"/>
  <c r="L18" i="3"/>
  <c r="M18" i="3"/>
  <c r="L19" i="3"/>
  <c r="M19" i="3"/>
  <c r="I16" i="3"/>
  <c r="I17" i="3"/>
  <c r="I26" i="1"/>
  <c r="D28" i="4"/>
  <c r="D27" i="4"/>
  <c r="D18" i="4"/>
  <c r="J6" i="4"/>
  <c r="G6" i="4"/>
  <c r="C6" i="4"/>
  <c r="K17" i="3"/>
  <c r="I15" i="3"/>
  <c r="H15" i="3"/>
  <c r="H17" i="3"/>
  <c r="H18" i="3"/>
  <c r="H19" i="3"/>
  <c r="H33" i="1"/>
  <c r="H32" i="1"/>
  <c r="F33" i="1"/>
  <c r="F32" i="1"/>
  <c r="E33" i="1"/>
  <c r="E32" i="1"/>
  <c r="K27" i="1"/>
  <c r="K26" i="1"/>
  <c r="J27" i="1"/>
  <c r="J26" i="1"/>
  <c r="I27" i="1"/>
  <c r="C8" i="1"/>
  <c r="H27" i="1"/>
  <c r="H26" i="1"/>
  <c r="G27" i="1"/>
  <c r="G26" i="1"/>
  <c r="E27" i="1"/>
  <c r="E26" i="1"/>
  <c r="C6" i="5"/>
  <c r="B19" i="5"/>
  <c r="C24" i="5"/>
  <c r="B25" i="5"/>
  <c r="C25" i="5"/>
  <c r="B46" i="5"/>
  <c r="D6" i="5"/>
  <c r="C7" i="5"/>
  <c r="C19" i="5"/>
  <c r="D24" i="5"/>
  <c r="D25" i="5"/>
  <c r="B26" i="5"/>
  <c r="C26" i="5"/>
  <c r="C46" i="5"/>
  <c r="E6" i="5"/>
  <c r="D7" i="5"/>
  <c r="C8" i="5"/>
  <c r="D19" i="5"/>
  <c r="E24" i="5"/>
  <c r="E25" i="5"/>
  <c r="D26" i="5"/>
  <c r="B27" i="5"/>
  <c r="C27" i="5"/>
  <c r="D46" i="5"/>
  <c r="F6" i="5"/>
  <c r="E7" i="5"/>
  <c r="D8" i="5"/>
  <c r="C9" i="5"/>
  <c r="E19" i="5"/>
  <c r="F24" i="5"/>
  <c r="F25" i="5"/>
  <c r="E26" i="5"/>
  <c r="D27" i="5"/>
  <c r="B28" i="5"/>
  <c r="C28" i="5"/>
  <c r="E46" i="5"/>
  <c r="G6" i="5"/>
  <c r="F7" i="5"/>
  <c r="E8" i="5"/>
  <c r="D9" i="5"/>
  <c r="C10" i="5"/>
  <c r="F19" i="5"/>
  <c r="G24" i="5"/>
  <c r="G25" i="5"/>
  <c r="F26" i="5"/>
  <c r="E27" i="5"/>
  <c r="D28" i="5"/>
  <c r="B29" i="5"/>
  <c r="C29" i="5"/>
  <c r="F46" i="5"/>
  <c r="H6" i="5"/>
  <c r="G7" i="5"/>
  <c r="F8" i="5"/>
  <c r="E9" i="5"/>
  <c r="D10" i="5"/>
  <c r="C11" i="5"/>
  <c r="G19" i="5"/>
  <c r="H24" i="5"/>
  <c r="H25" i="5"/>
  <c r="G26" i="5"/>
  <c r="F27" i="5"/>
  <c r="E28" i="5"/>
  <c r="D29" i="5"/>
  <c r="B30" i="5"/>
  <c r="C30" i="5"/>
  <c r="G46" i="5"/>
  <c r="I6" i="5"/>
  <c r="H7" i="5"/>
  <c r="G8" i="5"/>
  <c r="F9" i="5"/>
  <c r="E10" i="5"/>
  <c r="D11" i="5"/>
  <c r="C12" i="5"/>
  <c r="H19" i="5"/>
  <c r="I24" i="5"/>
  <c r="I25" i="5"/>
  <c r="H26" i="5"/>
  <c r="G27" i="5"/>
  <c r="F28" i="5"/>
  <c r="E29" i="5"/>
  <c r="D30" i="5"/>
  <c r="B31" i="5"/>
  <c r="C31" i="5"/>
  <c r="H46" i="5"/>
  <c r="J6" i="5"/>
  <c r="I7" i="5"/>
  <c r="H8" i="5"/>
  <c r="G9" i="5"/>
  <c r="F10" i="5"/>
  <c r="E11" i="5"/>
  <c r="D12" i="5"/>
  <c r="C13" i="5"/>
  <c r="I19" i="5"/>
  <c r="J24" i="5"/>
  <c r="J25" i="5"/>
  <c r="I26" i="5"/>
  <c r="H27" i="5"/>
  <c r="G28" i="5"/>
  <c r="F29" i="5"/>
  <c r="E30" i="5"/>
  <c r="D31" i="5"/>
  <c r="B32" i="5"/>
  <c r="C32" i="5"/>
  <c r="I46" i="5"/>
  <c r="K6" i="5"/>
  <c r="J7" i="5"/>
  <c r="I8" i="5"/>
  <c r="H9" i="5"/>
  <c r="G10" i="5"/>
  <c r="F11" i="5"/>
  <c r="E12" i="5"/>
  <c r="D13" i="5"/>
  <c r="C14" i="5"/>
  <c r="J19" i="5"/>
  <c r="K24" i="5"/>
  <c r="K25" i="5"/>
  <c r="J26" i="5"/>
  <c r="I27" i="5"/>
  <c r="H28" i="5"/>
  <c r="G29" i="5"/>
  <c r="F30" i="5"/>
  <c r="E31" i="5"/>
  <c r="D32" i="5"/>
  <c r="B33" i="5"/>
  <c r="C33" i="5"/>
  <c r="J46" i="5"/>
  <c r="L6" i="5"/>
  <c r="K7" i="5"/>
  <c r="J8" i="5"/>
  <c r="I9" i="5"/>
  <c r="H10" i="5"/>
  <c r="G11" i="5"/>
  <c r="F12" i="5"/>
  <c r="E13" i="5"/>
  <c r="D14" i="5"/>
  <c r="C15" i="5"/>
  <c r="K19" i="5"/>
  <c r="L24" i="5"/>
  <c r="L25" i="5"/>
  <c r="K26" i="5"/>
  <c r="J27" i="5"/>
  <c r="I28" i="5"/>
  <c r="H29" i="5"/>
  <c r="G30" i="5"/>
  <c r="F31" i="5"/>
  <c r="E32" i="5"/>
  <c r="D33" i="5"/>
  <c r="B34" i="5"/>
  <c r="C34" i="5"/>
  <c r="K46" i="5"/>
  <c r="L7" i="5"/>
  <c r="K8" i="5"/>
  <c r="J9" i="5"/>
  <c r="I10" i="5"/>
  <c r="H11" i="5"/>
  <c r="G12" i="5"/>
  <c r="F13" i="5"/>
  <c r="E14" i="5"/>
  <c r="D15" i="5"/>
  <c r="L19" i="5"/>
  <c r="M24" i="5"/>
  <c r="M25" i="5"/>
  <c r="L26" i="5"/>
  <c r="K27" i="5"/>
  <c r="J28" i="5"/>
  <c r="I29" i="5"/>
  <c r="H30" i="5"/>
  <c r="G31" i="5"/>
  <c r="F32" i="5"/>
  <c r="E33" i="5"/>
  <c r="D34" i="5"/>
  <c r="B35" i="5"/>
  <c r="C35" i="5"/>
  <c r="L46" i="5"/>
  <c r="L8" i="5"/>
  <c r="K9" i="5"/>
  <c r="J10" i="5"/>
  <c r="I11" i="5"/>
  <c r="H12" i="5"/>
  <c r="G13" i="5"/>
  <c r="F14" i="5"/>
  <c r="E15" i="5"/>
  <c r="M19" i="5"/>
  <c r="N24" i="5"/>
  <c r="N25" i="5"/>
  <c r="M26" i="5"/>
  <c r="L27" i="5"/>
  <c r="K28" i="5"/>
  <c r="J29" i="5"/>
  <c r="I30" i="5"/>
  <c r="H31" i="5"/>
  <c r="G32" i="5"/>
  <c r="F33" i="5"/>
  <c r="E34" i="5"/>
  <c r="D35" i="5"/>
  <c r="B36" i="5"/>
  <c r="C36" i="5"/>
  <c r="M46" i="5"/>
  <c r="L9" i="5"/>
  <c r="K10" i="5"/>
  <c r="J11" i="5"/>
  <c r="I12" i="5"/>
  <c r="H13" i="5"/>
  <c r="G14" i="5"/>
  <c r="F15" i="5"/>
  <c r="N19" i="5"/>
  <c r="O24" i="5"/>
  <c r="O25" i="5"/>
  <c r="N26" i="5"/>
  <c r="M27" i="5"/>
  <c r="L28" i="5"/>
  <c r="K29" i="5"/>
  <c r="J30" i="5"/>
  <c r="I31" i="5"/>
  <c r="H32" i="5"/>
  <c r="G33" i="5"/>
  <c r="F34" i="5"/>
  <c r="E35" i="5"/>
  <c r="D36" i="5"/>
  <c r="B37" i="5"/>
  <c r="C37" i="5"/>
  <c r="N46" i="5"/>
  <c r="L10" i="5"/>
  <c r="K11" i="5"/>
  <c r="J12" i="5"/>
  <c r="I13" i="5"/>
  <c r="H14" i="5"/>
  <c r="G15" i="5"/>
  <c r="O19" i="5"/>
  <c r="P24" i="5"/>
  <c r="P25" i="5"/>
  <c r="O26" i="5"/>
  <c r="N27" i="5"/>
  <c r="M28" i="5"/>
  <c r="L29" i="5"/>
  <c r="K30" i="5"/>
  <c r="J31" i="5"/>
  <c r="I32" i="5"/>
  <c r="H33" i="5"/>
  <c r="G34" i="5"/>
  <c r="F35" i="5"/>
  <c r="E36" i="5"/>
  <c r="D37" i="5"/>
  <c r="B38" i="5"/>
  <c r="C38" i="5"/>
  <c r="O46" i="5"/>
  <c r="L11" i="5"/>
  <c r="K12" i="5"/>
  <c r="J13" i="5"/>
  <c r="I14" i="5"/>
  <c r="H15" i="5"/>
  <c r="P19" i="5"/>
  <c r="Q24" i="5"/>
  <c r="Q25" i="5"/>
  <c r="P26" i="5"/>
  <c r="O27" i="5"/>
  <c r="N28" i="5"/>
  <c r="M29" i="5"/>
  <c r="L30" i="5"/>
  <c r="K31" i="5"/>
  <c r="J32" i="5"/>
  <c r="I33" i="5"/>
  <c r="H34" i="5"/>
  <c r="G35" i="5"/>
  <c r="F36" i="5"/>
  <c r="E37" i="5"/>
  <c r="D38" i="5"/>
  <c r="B39" i="5"/>
  <c r="C39" i="5"/>
  <c r="P46" i="5"/>
  <c r="L12" i="5"/>
  <c r="K13" i="5"/>
  <c r="J14" i="5"/>
  <c r="I15" i="5"/>
  <c r="Q19" i="5"/>
  <c r="R24" i="5"/>
  <c r="R25" i="5"/>
  <c r="Q26" i="5"/>
  <c r="P27" i="5"/>
  <c r="O28" i="5"/>
  <c r="N29" i="5"/>
  <c r="M30" i="5"/>
  <c r="L31" i="5"/>
  <c r="K32" i="5"/>
  <c r="J33" i="5"/>
  <c r="I34" i="5"/>
  <c r="H35" i="5"/>
  <c r="G36" i="5"/>
  <c r="F37" i="5"/>
  <c r="E38" i="5"/>
  <c r="D39" i="5"/>
  <c r="B40" i="5"/>
  <c r="C40" i="5"/>
  <c r="Q46" i="5"/>
  <c r="L13" i="5"/>
  <c r="K14" i="5"/>
  <c r="J15" i="5"/>
  <c r="R19" i="5"/>
  <c r="S24" i="5"/>
  <c r="S25" i="5"/>
  <c r="R26" i="5"/>
  <c r="Q27" i="5"/>
  <c r="P28" i="5"/>
  <c r="O29" i="5"/>
  <c r="N30" i="5"/>
  <c r="M31" i="5"/>
  <c r="L32" i="5"/>
  <c r="K33" i="5"/>
  <c r="J34" i="5"/>
  <c r="I35" i="5"/>
  <c r="H36" i="5"/>
  <c r="G37" i="5"/>
  <c r="F38" i="5"/>
  <c r="E39" i="5"/>
  <c r="D40" i="5"/>
  <c r="B41" i="5"/>
  <c r="C41" i="5"/>
  <c r="R46" i="5"/>
  <c r="L14" i="5"/>
  <c r="K15" i="5"/>
  <c r="S19" i="5"/>
  <c r="T24" i="5"/>
  <c r="T25" i="5"/>
  <c r="S26" i="5"/>
  <c r="R27" i="5"/>
  <c r="Q28" i="5"/>
  <c r="P29" i="5"/>
  <c r="O30" i="5"/>
  <c r="N31" i="5"/>
  <c r="M32" i="5"/>
  <c r="L33" i="5"/>
  <c r="K34" i="5"/>
  <c r="J35" i="5"/>
  <c r="I36" i="5"/>
  <c r="H37" i="5"/>
  <c r="G38" i="5"/>
  <c r="F39" i="5"/>
  <c r="E40" i="5"/>
  <c r="D41" i="5"/>
  <c r="B42" i="5"/>
  <c r="C42" i="5"/>
  <c r="S46" i="5"/>
  <c r="L15" i="5"/>
  <c r="T19" i="5"/>
  <c r="U24" i="5"/>
  <c r="U25" i="5"/>
  <c r="T26" i="5"/>
  <c r="S27" i="5"/>
  <c r="R28" i="5"/>
  <c r="Q29" i="5"/>
  <c r="P30" i="5"/>
  <c r="O31" i="5"/>
  <c r="N32" i="5"/>
  <c r="M33" i="5"/>
  <c r="L34" i="5"/>
  <c r="K35" i="5"/>
  <c r="J36" i="5"/>
  <c r="I37" i="5"/>
  <c r="H38" i="5"/>
  <c r="G39" i="5"/>
  <c r="F40" i="5"/>
  <c r="E41" i="5"/>
  <c r="D42" i="5"/>
  <c r="B43" i="5"/>
  <c r="C43" i="5"/>
  <c r="T46" i="5"/>
  <c r="U26" i="5"/>
  <c r="T27" i="5"/>
  <c r="S28" i="5"/>
  <c r="R29" i="5"/>
  <c r="Q30" i="5"/>
  <c r="P31" i="5"/>
  <c r="O32" i="5"/>
  <c r="N33" i="5"/>
  <c r="M34" i="5"/>
  <c r="L35" i="5"/>
  <c r="K36" i="5"/>
  <c r="J37" i="5"/>
  <c r="I38" i="5"/>
  <c r="H39" i="5"/>
  <c r="G40" i="5"/>
  <c r="F41" i="5"/>
  <c r="E42" i="5"/>
  <c r="D43" i="5"/>
  <c r="U46" i="5"/>
  <c r="U27" i="5"/>
  <c r="T28" i="5"/>
  <c r="S29" i="5"/>
  <c r="R30" i="5"/>
  <c r="Q31" i="5"/>
  <c r="P32" i="5"/>
  <c r="O33" i="5"/>
  <c r="N34" i="5"/>
  <c r="M35" i="5"/>
  <c r="L36" i="5"/>
  <c r="K37" i="5"/>
  <c r="J38" i="5"/>
  <c r="I39" i="5"/>
  <c r="H40" i="5"/>
  <c r="G41" i="5"/>
  <c r="F42" i="5"/>
  <c r="E43" i="5"/>
  <c r="V46" i="5"/>
  <c r="U28" i="5"/>
  <c r="T29" i="5"/>
  <c r="S30" i="5"/>
  <c r="R31" i="5"/>
  <c r="Q32" i="5"/>
  <c r="P33" i="5"/>
  <c r="O34" i="5"/>
  <c r="N35" i="5"/>
  <c r="M36" i="5"/>
  <c r="L37" i="5"/>
  <c r="K38" i="5"/>
  <c r="J39" i="5"/>
  <c r="I40" i="5"/>
  <c r="H41" i="5"/>
  <c r="G42" i="5"/>
  <c r="F43" i="5"/>
  <c r="W46" i="5"/>
  <c r="G43" i="5"/>
  <c r="H42" i="5"/>
  <c r="I41" i="5"/>
  <c r="J40" i="5"/>
  <c r="K39" i="5"/>
  <c r="L38" i="5"/>
  <c r="M37" i="5"/>
  <c r="N36" i="5"/>
  <c r="O35" i="5"/>
  <c r="P34" i="5"/>
  <c r="Q33" i="5"/>
  <c r="R32" i="5"/>
  <c r="S31" i="5"/>
  <c r="T30" i="5"/>
  <c r="U29" i="5"/>
  <c r="X46" i="5"/>
  <c r="U30" i="5"/>
  <c r="T31" i="5"/>
  <c r="S32" i="5"/>
  <c r="R33" i="5"/>
  <c r="Q34" i="5"/>
  <c r="P35" i="5"/>
  <c r="O36" i="5"/>
  <c r="N37" i="5"/>
  <c r="M38" i="5"/>
  <c r="L39" i="5"/>
  <c r="K40" i="5"/>
  <c r="J41" i="5"/>
  <c r="I42" i="5"/>
  <c r="H43" i="5"/>
  <c r="Y46" i="5"/>
  <c r="U31" i="5"/>
  <c r="T32" i="5"/>
  <c r="S33" i="5"/>
  <c r="R34" i="5"/>
  <c r="Q35" i="5"/>
  <c r="P36" i="5"/>
  <c r="O37" i="5"/>
  <c r="N38" i="5"/>
  <c r="M39" i="5"/>
  <c r="L40" i="5"/>
  <c r="K41" i="5"/>
  <c r="J42" i="5"/>
  <c r="I43" i="5"/>
  <c r="Z46" i="5"/>
  <c r="U32" i="5"/>
  <c r="T33" i="5"/>
  <c r="S34" i="5"/>
  <c r="R35" i="5"/>
  <c r="Q36" i="5"/>
  <c r="P37" i="5"/>
  <c r="O38" i="5"/>
  <c r="N39" i="5"/>
  <c r="M40" i="5"/>
  <c r="L41" i="5"/>
  <c r="K42" i="5"/>
  <c r="J43" i="5"/>
  <c r="AA46" i="5"/>
  <c r="U33" i="5"/>
  <c r="T34" i="5"/>
  <c r="S35" i="5"/>
  <c r="R36" i="5"/>
  <c r="Q37" i="5"/>
  <c r="P38" i="5"/>
  <c r="O39" i="5"/>
  <c r="N40" i="5"/>
  <c r="M41" i="5"/>
  <c r="L42" i="5"/>
  <c r="K43" i="5"/>
  <c r="AB46" i="5"/>
  <c r="U34" i="5"/>
  <c r="T35" i="5"/>
  <c r="S36" i="5"/>
  <c r="R37" i="5"/>
  <c r="Q38" i="5"/>
  <c r="P39" i="5"/>
  <c r="O40" i="5"/>
  <c r="N41" i="5"/>
  <c r="M42" i="5"/>
  <c r="L43" i="5"/>
  <c r="AC46" i="5"/>
  <c r="U35" i="5"/>
  <c r="T36" i="5"/>
  <c r="S37" i="5"/>
  <c r="R38" i="5"/>
  <c r="Q39" i="5"/>
  <c r="P40" i="5"/>
  <c r="O41" i="5"/>
  <c r="N42" i="5"/>
  <c r="M43" i="5"/>
  <c r="AD46" i="5"/>
  <c r="N43" i="5"/>
  <c r="O42" i="5"/>
  <c r="P41" i="5"/>
  <c r="Q40" i="5"/>
  <c r="R39" i="5"/>
  <c r="S38" i="5"/>
  <c r="T37" i="5"/>
  <c r="U36" i="5"/>
  <c r="AE46" i="5"/>
  <c r="O43" i="5"/>
  <c r="P42" i="5"/>
  <c r="Q41" i="5"/>
  <c r="R40" i="5"/>
  <c r="S39" i="5"/>
  <c r="T38" i="5"/>
  <c r="U37" i="5"/>
  <c r="AF46" i="5"/>
  <c r="P43" i="5"/>
  <c r="Q42" i="5"/>
  <c r="R41" i="5"/>
  <c r="S40" i="5"/>
  <c r="T39" i="5"/>
  <c r="U38" i="5"/>
  <c r="AG46" i="5"/>
  <c r="Q43" i="5"/>
  <c r="R42" i="5"/>
  <c r="S41" i="5"/>
  <c r="T40" i="5"/>
  <c r="U39" i="5"/>
  <c r="AH46" i="5"/>
  <c r="R43" i="5"/>
  <c r="S42" i="5"/>
  <c r="T41" i="5"/>
  <c r="U40" i="5"/>
  <c r="AI46" i="5"/>
  <c r="S43" i="5"/>
  <c r="T42" i="5"/>
  <c r="U41" i="5"/>
  <c r="AJ46" i="5"/>
  <c r="T43" i="5"/>
  <c r="U42" i="5"/>
  <c r="AK46" i="5"/>
  <c r="U43" i="5"/>
  <c r="AL46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47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D7" i="1"/>
  <c r="C33" i="1"/>
  <c r="C32" i="1"/>
  <c r="B33" i="1"/>
  <c r="B32" i="1"/>
  <c r="B27" i="1"/>
  <c r="B26" i="1"/>
  <c r="H7" i="1"/>
  <c r="H6" i="1"/>
  <c r="C27" i="1"/>
  <c r="C26" i="1"/>
  <c r="G13" i="1"/>
  <c r="G12" i="1"/>
  <c r="C6" i="2"/>
  <c r="B19" i="2"/>
  <c r="D6" i="2"/>
  <c r="C7" i="2"/>
  <c r="C19" i="2"/>
  <c r="E6" i="2"/>
  <c r="D7" i="2"/>
  <c r="C8" i="2"/>
  <c r="D19" i="2"/>
  <c r="F6" i="2"/>
  <c r="E7" i="2"/>
  <c r="D8" i="2"/>
  <c r="C9" i="2"/>
  <c r="E19" i="2"/>
  <c r="F24" i="2"/>
  <c r="G6" i="2"/>
  <c r="F7" i="2"/>
  <c r="E8" i="2"/>
  <c r="D9" i="2"/>
  <c r="C10" i="2"/>
  <c r="F19" i="2"/>
  <c r="H6" i="2"/>
  <c r="G7" i="2"/>
  <c r="F8" i="2"/>
  <c r="E9" i="2"/>
  <c r="D10" i="2"/>
  <c r="C11" i="2"/>
  <c r="G19" i="2"/>
  <c r="I6" i="2"/>
  <c r="H7" i="2"/>
  <c r="G8" i="2"/>
  <c r="F9" i="2"/>
  <c r="E10" i="2"/>
  <c r="D11" i="2"/>
  <c r="C12" i="2"/>
  <c r="H19" i="2"/>
  <c r="J6" i="2"/>
  <c r="I7" i="2"/>
  <c r="H8" i="2"/>
  <c r="G9" i="2"/>
  <c r="F10" i="2"/>
  <c r="E11" i="2"/>
  <c r="D12" i="2"/>
  <c r="C13" i="2"/>
  <c r="I19" i="2"/>
  <c r="K6" i="2"/>
  <c r="J7" i="2"/>
  <c r="I8" i="2"/>
  <c r="H9" i="2"/>
  <c r="G10" i="2"/>
  <c r="F11" i="2"/>
  <c r="E12" i="2"/>
  <c r="D13" i="2"/>
  <c r="C14" i="2"/>
  <c r="J19" i="2"/>
  <c r="L6" i="2"/>
  <c r="K7" i="2"/>
  <c r="J8" i="2"/>
  <c r="I9" i="2"/>
  <c r="H10" i="2"/>
  <c r="G11" i="2"/>
  <c r="F12" i="2"/>
  <c r="E13" i="2"/>
  <c r="D14" i="2"/>
  <c r="C15" i="2"/>
  <c r="K19" i="2"/>
  <c r="L7" i="2"/>
  <c r="K8" i="2"/>
  <c r="J9" i="2"/>
  <c r="I10" i="2"/>
  <c r="H11" i="2"/>
  <c r="G12" i="2"/>
  <c r="F13" i="2"/>
  <c r="E14" i="2"/>
  <c r="D15" i="2"/>
  <c r="L19" i="2"/>
  <c r="L8" i="2"/>
  <c r="K9" i="2"/>
  <c r="J10" i="2"/>
  <c r="I11" i="2"/>
  <c r="H12" i="2"/>
  <c r="G13" i="2"/>
  <c r="F14" i="2"/>
  <c r="E15" i="2"/>
  <c r="M19" i="2"/>
  <c r="L9" i="2"/>
  <c r="K10" i="2"/>
  <c r="J11" i="2"/>
  <c r="I12" i="2"/>
  <c r="H13" i="2"/>
  <c r="G14" i="2"/>
  <c r="F15" i="2"/>
  <c r="N19" i="2"/>
  <c r="L10" i="2"/>
  <c r="K11" i="2"/>
  <c r="J12" i="2"/>
  <c r="I13" i="2"/>
  <c r="H14" i="2"/>
  <c r="G15" i="2"/>
  <c r="O19" i="2"/>
  <c r="L11" i="2"/>
  <c r="K12" i="2"/>
  <c r="J13" i="2"/>
  <c r="I14" i="2"/>
  <c r="H15" i="2"/>
  <c r="P19" i="2"/>
  <c r="L12" i="2"/>
  <c r="K13" i="2"/>
  <c r="J14" i="2"/>
  <c r="I15" i="2"/>
  <c r="Q19" i="2"/>
  <c r="L13" i="2"/>
  <c r="K14" i="2"/>
  <c r="J15" i="2"/>
  <c r="R19" i="2"/>
  <c r="L14" i="2"/>
  <c r="K15" i="2"/>
  <c r="S19" i="2"/>
  <c r="T24" i="2"/>
  <c r="L15" i="2"/>
  <c r="T19" i="2"/>
  <c r="B28" i="2"/>
  <c r="F28" i="2"/>
  <c r="I24" i="2"/>
  <c r="B31" i="2"/>
  <c r="L24" i="2"/>
  <c r="B34" i="2"/>
  <c r="F34" i="2"/>
  <c r="G24" i="2"/>
  <c r="B29" i="2"/>
  <c r="T29" i="2"/>
  <c r="E24" i="2"/>
  <c r="B27" i="2"/>
  <c r="T27" i="2"/>
  <c r="B32" i="2"/>
  <c r="J24" i="2"/>
  <c r="T31" i="2"/>
  <c r="B40" i="2"/>
  <c r="T40" i="2"/>
  <c r="T32" i="2"/>
  <c r="T34" i="2"/>
  <c r="B39" i="2"/>
  <c r="T39" i="2"/>
  <c r="B37" i="2"/>
  <c r="T37" i="2"/>
  <c r="T28" i="2"/>
  <c r="B36" i="2"/>
  <c r="T36" i="2"/>
  <c r="N24" i="2"/>
  <c r="M24" i="2"/>
  <c r="B35" i="2"/>
  <c r="F35" i="2"/>
  <c r="B25" i="2"/>
  <c r="F25" i="2"/>
  <c r="F29" i="2"/>
  <c r="F31" i="2"/>
  <c r="F39" i="2"/>
  <c r="B26" i="2"/>
  <c r="F26" i="2"/>
  <c r="B30" i="2"/>
  <c r="F30" i="2"/>
  <c r="F32" i="2"/>
  <c r="Q24" i="2"/>
  <c r="O24" i="2"/>
  <c r="F37" i="2"/>
  <c r="T26" i="2"/>
  <c r="D24" i="2"/>
  <c r="S24" i="2"/>
  <c r="B41" i="2"/>
  <c r="F41" i="2"/>
  <c r="B33" i="2"/>
  <c r="F33" i="2"/>
  <c r="K24" i="2"/>
  <c r="U24" i="2"/>
  <c r="B43" i="2"/>
  <c r="T43" i="2"/>
  <c r="R24" i="2"/>
  <c r="F40" i="2"/>
  <c r="T30" i="2"/>
  <c r="P24" i="2"/>
  <c r="B38" i="2"/>
  <c r="F38" i="2"/>
  <c r="H24" i="2"/>
  <c r="D20" i="2"/>
  <c r="G20" i="2"/>
  <c r="H20" i="2"/>
  <c r="S20" i="2"/>
  <c r="C20" i="2"/>
  <c r="E20" i="2"/>
  <c r="J20" i="2"/>
  <c r="Q20" i="2"/>
  <c r="P20" i="2"/>
  <c r="T25" i="2"/>
  <c r="B20" i="2"/>
  <c r="R20" i="2"/>
  <c r="L20" i="2"/>
  <c r="T20" i="2"/>
  <c r="O20" i="2"/>
  <c r="M20" i="2"/>
  <c r="N20" i="2"/>
  <c r="I20" i="2"/>
  <c r="K20" i="2"/>
  <c r="F20" i="2"/>
  <c r="C24" i="2"/>
  <c r="B42" i="2"/>
  <c r="T42" i="2"/>
  <c r="S41" i="2"/>
  <c r="S37" i="2"/>
  <c r="S30" i="2"/>
  <c r="S40" i="2"/>
  <c r="S33" i="2"/>
  <c r="S34" i="2"/>
  <c r="S39" i="2"/>
  <c r="S25" i="2"/>
  <c r="S28" i="2"/>
  <c r="S38" i="2"/>
  <c r="S29" i="2"/>
  <c r="S31" i="2"/>
  <c r="S26" i="2"/>
  <c r="R27" i="2"/>
  <c r="Q28" i="2"/>
  <c r="P29" i="2"/>
  <c r="O30" i="2"/>
  <c r="N31" i="2"/>
  <c r="M32" i="2"/>
  <c r="L33" i="2"/>
  <c r="K34" i="2"/>
  <c r="J35" i="2"/>
  <c r="I36" i="2"/>
  <c r="H37" i="2"/>
  <c r="G38" i="2"/>
  <c r="E40" i="2"/>
  <c r="D41" i="2"/>
  <c r="C42" i="2"/>
  <c r="S46" i="2"/>
  <c r="S35" i="2"/>
  <c r="S32" i="2"/>
  <c r="S27" i="2"/>
  <c r="S43" i="2"/>
  <c r="S36" i="2"/>
  <c r="S42" i="2"/>
  <c r="T38" i="2"/>
  <c r="P41" i="2"/>
  <c r="P36" i="2"/>
  <c r="P30" i="2"/>
  <c r="P34" i="2"/>
  <c r="P31" i="2"/>
  <c r="P27" i="2"/>
  <c r="P35" i="2"/>
  <c r="P40" i="2"/>
  <c r="P43" i="2"/>
  <c r="Q42" i="2"/>
  <c r="R41" i="2"/>
  <c r="U38" i="2"/>
  <c r="AG46" i="2"/>
  <c r="P33" i="2"/>
  <c r="P39" i="2"/>
  <c r="P42" i="2"/>
  <c r="P38" i="2"/>
  <c r="P25" i="2"/>
  <c r="P28" i="2"/>
  <c r="P32" i="2"/>
  <c r="P37" i="2"/>
  <c r="P26" i="2"/>
  <c r="F27" i="2"/>
  <c r="M43" i="2"/>
  <c r="M42" i="2"/>
  <c r="M33" i="2"/>
  <c r="M26" i="2"/>
  <c r="M28" i="2"/>
  <c r="M40" i="2"/>
  <c r="M39" i="2"/>
  <c r="M34" i="2"/>
  <c r="M38" i="2"/>
  <c r="M37" i="2"/>
  <c r="M25" i="2"/>
  <c r="M35" i="2"/>
  <c r="M29" i="2"/>
  <c r="M41" i="2"/>
  <c r="M31" i="2"/>
  <c r="M30" i="2"/>
  <c r="M27" i="2"/>
  <c r="M36" i="2"/>
  <c r="D43" i="2"/>
  <c r="D26" i="2"/>
  <c r="D33" i="2"/>
  <c r="D39" i="2"/>
  <c r="D31" i="2"/>
  <c r="D42" i="2"/>
  <c r="D34" i="2"/>
  <c r="D29" i="2"/>
  <c r="D30" i="2"/>
  <c r="D40" i="2"/>
  <c r="D27" i="2"/>
  <c r="D37" i="2"/>
  <c r="D36" i="2"/>
  <c r="D25" i="2"/>
  <c r="D32" i="2"/>
  <c r="D35" i="2"/>
  <c r="D38" i="2"/>
  <c r="D28" i="2"/>
  <c r="F36" i="2"/>
  <c r="N33" i="2"/>
  <c r="N43" i="2"/>
  <c r="N35" i="2"/>
  <c r="N28" i="2"/>
  <c r="N34" i="2"/>
  <c r="N26" i="2"/>
  <c r="N32" i="2"/>
  <c r="N39" i="2"/>
  <c r="N27" i="2"/>
  <c r="N29" i="2"/>
  <c r="N30" i="2"/>
  <c r="N37" i="2"/>
  <c r="N42" i="2"/>
  <c r="N36" i="2"/>
  <c r="N41" i="2"/>
  <c r="N38" i="2"/>
  <c r="N25" i="2"/>
  <c r="N40" i="2"/>
  <c r="T35" i="2"/>
  <c r="G33" i="2"/>
  <c r="G27" i="2"/>
  <c r="G36" i="2"/>
  <c r="G30" i="2"/>
  <c r="G25" i="2"/>
  <c r="G42" i="2"/>
  <c r="G34" i="2"/>
  <c r="G39" i="2"/>
  <c r="G35" i="2"/>
  <c r="G26" i="2"/>
  <c r="G32" i="2"/>
  <c r="G41" i="2"/>
  <c r="G29" i="2"/>
  <c r="G31" i="2"/>
  <c r="G43" i="2"/>
  <c r="G40" i="2"/>
  <c r="G37" i="2"/>
  <c r="G28" i="2"/>
  <c r="C31" i="2"/>
  <c r="C26" i="2"/>
  <c r="C34" i="2"/>
  <c r="C27" i="2"/>
  <c r="C38" i="2"/>
  <c r="C35" i="2"/>
  <c r="C32" i="2"/>
  <c r="C37" i="2"/>
  <c r="C36" i="2"/>
  <c r="C39" i="2"/>
  <c r="C29" i="2"/>
  <c r="C30" i="2"/>
  <c r="C25" i="2"/>
  <c r="B46" i="2"/>
  <c r="C43" i="2"/>
  <c r="C40" i="2"/>
  <c r="C28" i="2"/>
  <c r="C41" i="2"/>
  <c r="C33" i="2"/>
  <c r="F42" i="2"/>
  <c r="R36" i="2"/>
  <c r="R37" i="2"/>
  <c r="R32" i="2"/>
  <c r="R31" i="2"/>
  <c r="R43" i="2"/>
  <c r="R39" i="2"/>
  <c r="R40" i="2"/>
  <c r="R28" i="2"/>
  <c r="R33" i="2"/>
  <c r="R25" i="2"/>
  <c r="R35" i="2"/>
  <c r="R42" i="2"/>
  <c r="R34" i="2"/>
  <c r="R38" i="2"/>
  <c r="R30" i="2"/>
  <c r="R29" i="2"/>
  <c r="R26" i="2"/>
  <c r="T33" i="2"/>
  <c r="F43" i="2"/>
  <c r="T41" i="2"/>
  <c r="L25" i="2"/>
  <c r="L34" i="2"/>
  <c r="L27" i="2"/>
  <c r="L28" i="2"/>
  <c r="L43" i="2"/>
  <c r="L29" i="2"/>
  <c r="L38" i="2"/>
  <c r="L30" i="2"/>
  <c r="L37" i="2"/>
  <c r="L26" i="2"/>
  <c r="L36" i="2"/>
  <c r="L41" i="2"/>
  <c r="L31" i="2"/>
  <c r="L35" i="2"/>
  <c r="L32" i="2"/>
  <c r="L39" i="2"/>
  <c r="L42" i="2"/>
  <c r="L40" i="2"/>
  <c r="E34" i="2"/>
  <c r="E30" i="2"/>
  <c r="E28" i="2"/>
  <c r="E37" i="2"/>
  <c r="E32" i="2"/>
  <c r="E29" i="2"/>
  <c r="E42" i="2"/>
  <c r="E33" i="2"/>
  <c r="E26" i="2"/>
  <c r="E46" i="2"/>
  <c r="E38" i="2"/>
  <c r="E31" i="2"/>
  <c r="E39" i="2"/>
  <c r="E35" i="2"/>
  <c r="E27" i="2"/>
  <c r="E36" i="2"/>
  <c r="E43" i="2"/>
  <c r="E25" i="2"/>
  <c r="D46" i="2"/>
  <c r="E41" i="2"/>
  <c r="H28" i="2"/>
  <c r="H32" i="2"/>
  <c r="H38" i="2"/>
  <c r="H40" i="2"/>
  <c r="H43" i="2"/>
  <c r="H39" i="2"/>
  <c r="H36" i="2"/>
  <c r="H29" i="2"/>
  <c r="H33" i="2"/>
  <c r="H25" i="2"/>
  <c r="H26" i="2"/>
  <c r="H34" i="2"/>
  <c r="H30" i="2"/>
  <c r="H42" i="2"/>
  <c r="H27" i="2"/>
  <c r="H35" i="2"/>
  <c r="H31" i="2"/>
  <c r="H41" i="2"/>
  <c r="U32" i="2"/>
  <c r="U37" i="2"/>
  <c r="U41" i="2"/>
  <c r="U35" i="2"/>
  <c r="Q39" i="2"/>
  <c r="O41" i="2"/>
  <c r="AD46" i="2"/>
  <c r="U25" i="2"/>
  <c r="U26" i="2"/>
  <c r="U39" i="2"/>
  <c r="U28" i="2"/>
  <c r="U36" i="2"/>
  <c r="U43" i="2"/>
  <c r="AL46" i="2"/>
  <c r="U30" i="2"/>
  <c r="Q34" i="2"/>
  <c r="O36" i="2"/>
  <c r="K40" i="2"/>
  <c r="J41" i="2"/>
  <c r="I42" i="2"/>
  <c r="Y46" i="2"/>
  <c r="U40" i="2"/>
  <c r="U33" i="2"/>
  <c r="U29" i="2"/>
  <c r="U31" i="2"/>
  <c r="U42" i="2"/>
  <c r="AK46" i="2"/>
  <c r="U27" i="2"/>
  <c r="U34" i="2"/>
  <c r="Q38" i="2"/>
  <c r="O40" i="2"/>
  <c r="AC46" i="2"/>
  <c r="O27" i="2"/>
  <c r="O38" i="2"/>
  <c r="O35" i="2"/>
  <c r="O29" i="2"/>
  <c r="O34" i="2"/>
  <c r="O42" i="2"/>
  <c r="O26" i="2"/>
  <c r="O25" i="2"/>
  <c r="O31" i="2"/>
  <c r="O37" i="2"/>
  <c r="O33" i="2"/>
  <c r="O32" i="2"/>
  <c r="O43" i="2"/>
  <c r="Q41" i="2"/>
  <c r="AF46" i="2"/>
  <c r="O28" i="2"/>
  <c r="O39" i="2"/>
  <c r="J42" i="2"/>
  <c r="J36" i="2"/>
  <c r="J33" i="2"/>
  <c r="J38" i="2"/>
  <c r="J37" i="2"/>
  <c r="J29" i="2"/>
  <c r="J39" i="2"/>
  <c r="J26" i="2"/>
  <c r="J30" i="2"/>
  <c r="J34" i="2"/>
  <c r="J43" i="2"/>
  <c r="J31" i="2"/>
  <c r="J25" i="2"/>
  <c r="I26" i="2"/>
  <c r="I46" i="2"/>
  <c r="J27" i="2"/>
  <c r="J40" i="2"/>
  <c r="J32" i="2"/>
  <c r="J28" i="2"/>
  <c r="Q25" i="2"/>
  <c r="Q29" i="2"/>
  <c r="Q30" i="2"/>
  <c r="Q32" i="2"/>
  <c r="Q40" i="2"/>
  <c r="Q36" i="2"/>
  <c r="Q31" i="2"/>
  <c r="Q37" i="2"/>
  <c r="Q26" i="2"/>
  <c r="Q35" i="2"/>
  <c r="Q43" i="2"/>
  <c r="Q33" i="2"/>
  <c r="Q27" i="2"/>
  <c r="K43" i="2"/>
  <c r="K25" i="2"/>
  <c r="K32" i="2"/>
  <c r="K42" i="2"/>
  <c r="K28" i="2"/>
  <c r="K26" i="2"/>
  <c r="K29" i="2"/>
  <c r="K33" i="2"/>
  <c r="K38" i="2"/>
  <c r="K37" i="2"/>
  <c r="K31" i="2"/>
  <c r="K36" i="2"/>
  <c r="K41" i="2"/>
  <c r="K39" i="2"/>
  <c r="K27" i="2"/>
  <c r="K30" i="2"/>
  <c r="K35" i="2"/>
  <c r="I39" i="2"/>
  <c r="I43" i="2"/>
  <c r="I29" i="2"/>
  <c r="I32" i="2"/>
  <c r="I41" i="2"/>
  <c r="I37" i="2"/>
  <c r="I38" i="2"/>
  <c r="I30" i="2"/>
  <c r="I33" i="2"/>
  <c r="I31" i="2"/>
  <c r="I40" i="2"/>
  <c r="I27" i="2"/>
  <c r="I25" i="2"/>
  <c r="I34" i="2"/>
  <c r="I28" i="2"/>
  <c r="I35" i="2"/>
  <c r="V46" i="2"/>
  <c r="Z46" i="2"/>
  <c r="G46" i="2"/>
  <c r="C46" i="2"/>
  <c r="F46" i="2"/>
  <c r="H46" i="2"/>
  <c r="J46" i="2"/>
  <c r="K46" i="2"/>
  <c r="L46" i="2"/>
  <c r="M46" i="2"/>
  <c r="N46" i="2"/>
  <c r="O46" i="2"/>
  <c r="P46" i="2"/>
  <c r="Q46" i="2"/>
  <c r="R46" i="2"/>
  <c r="R47" i="2"/>
  <c r="W46" i="2"/>
  <c r="T46" i="2"/>
  <c r="U46" i="2"/>
  <c r="X46" i="2"/>
  <c r="AA46" i="2"/>
  <c r="AB46" i="2"/>
  <c r="AE46" i="2"/>
  <c r="AG47" i="2"/>
  <c r="AJ46" i="2"/>
  <c r="C47" i="2"/>
  <c r="G47" i="2"/>
  <c r="B47" i="2"/>
  <c r="J47" i="2"/>
  <c r="E47" i="2"/>
  <c r="I47" i="2"/>
  <c r="F47" i="2"/>
  <c r="D47" i="2"/>
  <c r="AA47" i="2"/>
  <c r="S47" i="2"/>
  <c r="AH46" i="2"/>
  <c r="AI46" i="2"/>
  <c r="AK47" i="2"/>
  <c r="AL47" i="2"/>
  <c r="AD47" i="2"/>
  <c r="W47" i="2"/>
  <c r="AE47" i="2"/>
  <c r="AF47" i="2"/>
  <c r="U47" i="2"/>
  <c r="X47" i="2"/>
  <c r="O47" i="2"/>
  <c r="AB47" i="2"/>
  <c r="T47" i="2"/>
  <c r="AI47" i="2"/>
  <c r="Q47" i="2"/>
  <c r="AJ47" i="2"/>
  <c r="V47" i="2"/>
  <c r="N47" i="2"/>
  <c r="K47" i="2"/>
  <c r="M47" i="2"/>
  <c r="AC47" i="2"/>
  <c r="L47" i="2"/>
  <c r="H47" i="2"/>
  <c r="Y47" i="2"/>
  <c r="Z47" i="2"/>
  <c r="P47" i="2"/>
  <c r="AH4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tc={2A5509F5-74AF-4447-AD86-43DDB2A8C4C1}</author>
  </authors>
  <commentList>
    <comment ref="N28" authorId="0" shapeId="0" xr:uid="{2A5509F5-74AF-4447-AD86-43DDB2A8C4C1}">
      <text>
        <t>[Threaded comment]
Your version of Excel allows you to read this threaded comment; however, any edits to it will get removed if the file is opened in a newer version of Excel. Learn more: https://go.microsoft.com/fwlink/?linkid=870924
Comment:
    Do I use random here too or do I set it one of the otherones?</t>
      </text>
    </comment>
  </commentList>
</comments>
</file>

<file path=xl/sharedStrings.xml><?xml version="1.0" encoding="utf-8"?>
<sst xmlns="http://schemas.openxmlformats.org/spreadsheetml/2006/main" count="432" uniqueCount="188">
  <si>
    <t>Step 1a: Fill in the parameters</t>
  </si>
  <si>
    <t>wks</t>
  </si>
  <si>
    <t>Amazon's service level</t>
  </si>
  <si>
    <t>Amazon's annual percentage holding cost</t>
  </si>
  <si>
    <t>Prob (wkly demand = 0)</t>
  </si>
  <si>
    <t>Prob (wkly demand = 1)</t>
  </si>
  <si>
    <t>Prob (wkly demand = 2)</t>
  </si>
  <si>
    <t>Prob (wkly demand &gt; 2)</t>
  </si>
  <si>
    <t>Avg wkly demand</t>
  </si>
  <si>
    <t>A: Last Minute Knitted Gifts</t>
  </si>
  <si>
    <t xml:space="preserve">B: Blink - The Power of Thinking Without Thinking) </t>
  </si>
  <si>
    <t>Product A</t>
  </si>
  <si>
    <t>Product B</t>
  </si>
  <si>
    <t>Step 1c: Compute Amazon's procurement cost and inventory cost if buying from publishers</t>
  </si>
  <si>
    <t>(Hint: include pipeline inventory only if Amazon owns it)</t>
  </si>
  <si>
    <t>Unit procurement cost</t>
  </si>
  <si>
    <t>Safety stock</t>
  </si>
  <si>
    <t>Avg. pipeline inventory</t>
  </si>
  <si>
    <t>Avg. cycle inventory</t>
  </si>
  <si>
    <t>Avg. total inventory</t>
  </si>
  <si>
    <t>Avg. wkly inventory holding cost</t>
  </si>
  <si>
    <t>Avg. wkly procurement cost</t>
  </si>
  <si>
    <t>($ / unit)</t>
  </si>
  <si>
    <t>(units / wk)</t>
  </si>
  <si>
    <t>(units)</t>
  </si>
  <si>
    <t>($ / wk)</t>
  </si>
  <si>
    <t>Step 2: Compute Amazon's cost if drop-shipping from wholesalers</t>
  </si>
  <si>
    <t>Amazon.com Question 1 (b)</t>
  </si>
  <si>
    <t>Step 1: Consider buying from publishers and stocking in Amazon's DC</t>
  </si>
  <si>
    <t>Assume 1 year =</t>
  </si>
  <si>
    <t>List price</t>
  </si>
  <si>
    <t>Discuss with your group and figure out how to make use of this worksheet.</t>
  </si>
  <si>
    <t>Probability</t>
  </si>
  <si>
    <t>Cumulative</t>
  </si>
  <si>
    <t>Step 1a: Compute expected incremential shipping cost</t>
  </si>
  <si>
    <t>DC to customer location</t>
  </si>
  <si>
    <t>Incremental shipping cost (€)</t>
  </si>
  <si>
    <t>Expected per item incremental shipping cost (€)</t>
  </si>
  <si>
    <t>Lightweight unbundled</t>
  </si>
  <si>
    <t>Lightweight bundled</t>
  </si>
  <si>
    <t>LCD</t>
  </si>
  <si>
    <t>DVD</t>
  </si>
  <si>
    <t>Fra-to-Fra</t>
  </si>
  <si>
    <t>Fra-to-Ger</t>
  </si>
  <si>
    <t>Ger-to-Ger</t>
  </si>
  <si>
    <t>1 year =</t>
  </si>
  <si>
    <t>Ger-to-Fra</t>
  </si>
  <si>
    <t>Step 1b: Find inventory cost and procurement cost</t>
  </si>
  <si>
    <t>Unit proc. cost</t>
  </si>
  <si>
    <t>Weekly demand</t>
  </si>
  <si>
    <t>Lead time</t>
  </si>
  <si>
    <t>Annual % holding cost</t>
  </si>
  <si>
    <t>Avg. shipping cost per item</t>
  </si>
  <si>
    <t>Avg. weekly shipping cost</t>
  </si>
  <si>
    <t>(€/unit)</t>
  </si>
  <si>
    <t>mean (units)</t>
  </si>
  <si>
    <t>s.d. (units)</t>
  </si>
  <si>
    <t>(wks)</t>
  </si>
  <si>
    <t>(€ / wk)</t>
  </si>
  <si>
    <t>(€ / unit)</t>
  </si>
  <si>
    <t>DVD Total</t>
  </si>
  <si>
    <t>LCD Total</t>
  </si>
  <si>
    <t>Avg. shipping cost per item to Fra</t>
  </si>
  <si>
    <t>Avg. shipping cost per item to Ger</t>
  </si>
  <si>
    <t>Stocking in France DC</t>
  </si>
  <si>
    <t>Stocking in Germany DC</t>
  </si>
  <si>
    <t>Amazon.com Question 2</t>
  </si>
  <si>
    <t>Avg. pipeline inv.</t>
  </si>
  <si>
    <t>Avg. cycle inv.</t>
  </si>
  <si>
    <t>Avg. total inv.</t>
  </si>
  <si>
    <t>Avg. weekly inv. cost</t>
  </si>
  <si>
    <t>Amazon.com Question 3</t>
  </si>
  <si>
    <t>z</t>
  </si>
  <si>
    <t>i</t>
  </si>
  <si>
    <t>$</t>
  </si>
  <si>
    <t>Build to Stock</t>
  </si>
  <si>
    <t>Unit proc. Cost</t>
  </si>
  <si>
    <t>($)</t>
  </si>
  <si>
    <t>Ring 1 (A+D)</t>
  </si>
  <si>
    <t>Ring 2 (A+E)</t>
  </si>
  <si>
    <t>Ring 3 (B+D)</t>
  </si>
  <si>
    <t>Ring 4 (B+E)</t>
  </si>
  <si>
    <t>Ring 5 (C+D)</t>
  </si>
  <si>
    <t>Ring 6 (C+E)</t>
  </si>
  <si>
    <t>Total</t>
  </si>
  <si>
    <t>Total inventory cost:</t>
  </si>
  <si>
    <t>Build to Order</t>
  </si>
  <si>
    <t>Diamond A</t>
  </si>
  <si>
    <t>Diamond B</t>
  </si>
  <si>
    <t>Diamond C</t>
  </si>
  <si>
    <t xml:space="preserve"> Setting  D</t>
  </si>
  <si>
    <t xml:space="preserve"> Setting  E</t>
  </si>
  <si>
    <t>Total cost:</t>
  </si>
  <si>
    <t>Surcharge=</t>
  </si>
  <si>
    <t>Avg. weekly inventory holding cost</t>
  </si>
  <si>
    <t>Weekly cost</t>
    <phoneticPr fontId="7" type="noConversion"/>
  </si>
  <si>
    <r>
      <t>X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 xml:space="preserve"> = 0</t>
    </r>
  </si>
  <si>
    <r>
      <t>X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 xml:space="preserve"> = 0</t>
    </r>
  </si>
  <si>
    <r>
      <t>X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 xml:space="preserve"> + X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 xml:space="preserve"> = 0</t>
    </r>
  </si>
  <si>
    <r>
      <t>X</t>
    </r>
    <r>
      <rPr>
        <vertAlign val="subscript"/>
        <sz val="9"/>
        <rFont val="Arial"/>
        <family val="2"/>
      </rPr>
      <t>3</t>
    </r>
    <r>
      <rPr>
        <sz val="9"/>
        <rFont val="Arial"/>
        <family val="2"/>
      </rPr>
      <t xml:space="preserve"> + X</t>
    </r>
    <r>
      <rPr>
        <vertAlign val="subscript"/>
        <sz val="9"/>
        <rFont val="Arial"/>
        <family val="2"/>
      </rPr>
      <t>4</t>
    </r>
    <r>
      <rPr>
        <sz val="9"/>
        <rFont val="Arial"/>
        <family val="2"/>
      </rPr>
      <t xml:space="preserve"> = 0</t>
    </r>
  </si>
  <si>
    <r>
      <t>X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 xml:space="preserve"> + X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 xml:space="preserve"> + X</t>
    </r>
    <r>
      <rPr>
        <vertAlign val="subscript"/>
        <sz val="9"/>
        <rFont val="Arial"/>
        <family val="2"/>
      </rPr>
      <t>3</t>
    </r>
    <r>
      <rPr>
        <sz val="9"/>
        <rFont val="Arial"/>
        <family val="2"/>
      </rPr>
      <t xml:space="preserve"> + X</t>
    </r>
    <r>
      <rPr>
        <vertAlign val="subscript"/>
        <sz val="9"/>
        <rFont val="Arial"/>
        <family val="2"/>
      </rPr>
      <t>4</t>
    </r>
    <r>
      <rPr>
        <sz val="9"/>
        <rFont val="Arial"/>
        <family val="2"/>
      </rPr>
      <t>= 0</t>
    </r>
  </si>
  <si>
    <t>Input parameter values or formulas in green cells.  To facilitate grading, please do not modify the template format.</t>
  </si>
  <si>
    <t>Please input parameter values or formulas in green cells.  To facilitate grading, please do not modify the template format (column width, row height, etc).</t>
  </si>
  <si>
    <t>Service level (Diamond)</t>
  </si>
  <si>
    <t>Service level (Ring)</t>
  </si>
  <si>
    <t>Service level (Setting)</t>
  </si>
  <si>
    <t>Diamond</t>
  </si>
  <si>
    <t>Setting</t>
  </si>
  <si>
    <t>Total assembly cost:</t>
  </si>
  <si>
    <t>Cost changes</t>
  </si>
  <si>
    <t>(1 Week = 7 days)</t>
  </si>
  <si>
    <t>Ring</t>
  </si>
  <si>
    <t>Ring Total</t>
  </si>
  <si>
    <t>Bundling Probability</t>
  </si>
  <si>
    <t>Step 3: In your write-up (a separate document), conclude whether or not to drop ship A and B.</t>
  </si>
  <si>
    <t>Step 3: In your write-up, conclude where should Amazon hold each of the three products.</t>
  </si>
  <si>
    <t>In your write-up (a separate document), conclude which system you would prefer.</t>
  </si>
  <si>
    <r>
      <t xml:space="preserve">Step 1: Consider </t>
    </r>
    <r>
      <rPr>
        <b/>
        <sz val="9"/>
        <color indexed="12"/>
        <rFont val="Arial"/>
        <family val="2"/>
      </rPr>
      <t>stocking in both DCs</t>
    </r>
    <r>
      <rPr>
        <sz val="9"/>
        <color indexed="12"/>
        <rFont val="Arial"/>
        <family val="2"/>
      </rPr>
      <t xml:space="preserve"> and </t>
    </r>
    <r>
      <rPr>
        <b/>
        <sz val="9"/>
        <color indexed="12"/>
        <rFont val="Arial"/>
        <family val="2"/>
      </rPr>
      <t>serving customers from only local DCs</t>
    </r>
  </si>
  <si>
    <r>
      <t xml:space="preserve">Step 2: Consider </t>
    </r>
    <r>
      <rPr>
        <b/>
        <sz val="9"/>
        <color indexed="12"/>
        <rFont val="Arial"/>
        <family val="2"/>
      </rPr>
      <t>stocking in a single DC</t>
    </r>
  </si>
  <si>
    <t>Stock DVD in Fra</t>
  </si>
  <si>
    <t>Stock DVD in Ger</t>
  </si>
  <si>
    <t>Stock LCD in Fra</t>
  </si>
  <si>
    <t>Stock LCD in Ger</t>
  </si>
  <si>
    <t>Stock Ring in Fra</t>
  </si>
  <si>
    <t>Stock Ring in Ger</t>
  </si>
  <si>
    <t>Weekly Demand</t>
  </si>
  <si>
    <t>Order quantity</t>
  </si>
  <si>
    <t>Step 1b: Use "LT Demand" worksheet to find the distribution of demand during lead time L, and copy the cumulative distribution here:</t>
  </si>
  <si>
    <t>Cum. dist. of Lead time demand</t>
  </si>
  <si>
    <t>Demand during Lead time</t>
  </si>
  <si>
    <t>Total wkly cost (ignore setup costs)</t>
  </si>
  <si>
    <t>Total weekly cost (ignore setup cost)</t>
  </si>
  <si>
    <t>Total weekly cost (ignore setup costs)</t>
  </si>
  <si>
    <t xml:space="preserve">Avg. total inv. </t>
  </si>
  <si>
    <t xml:space="preserve">Avg. total inventory </t>
  </si>
  <si>
    <r>
      <t xml:space="preserve">Given a discrete distribution of weekly demand, how do we compute the distribution of LT demand?  This worksheet helps you on this. </t>
    </r>
    <r>
      <rPr>
        <b/>
        <sz val="11"/>
        <color indexed="12"/>
        <rFont val="Arial"/>
        <family val="2"/>
      </rPr>
      <t>Fill in the probabilities for the weekly demand in the yellow cells, and then read the formulas behind other cells to understand the logic.</t>
    </r>
  </si>
  <si>
    <t>Lead Time (LT) from publishers</t>
  </si>
  <si>
    <t>Reorder Point</t>
  </si>
  <si>
    <t>Lead Time Demand</t>
  </si>
  <si>
    <t>=G32-K26</t>
  </si>
  <si>
    <t>=G33-K27</t>
  </si>
  <si>
    <t>Wholesale Discount</t>
  </si>
  <si>
    <t>Publisher Discount</t>
  </si>
  <si>
    <t>z = normsin(desired service level)</t>
  </si>
  <si>
    <t>ROP-meanleadtime(demand)</t>
  </si>
  <si>
    <t>unit procurement cost / 52</t>
  </si>
  <si>
    <t>AVG TOTAL INVENTORY</t>
  </si>
  <si>
    <t>James Pan</t>
  </si>
  <si>
    <t>Simulation</t>
  </si>
  <si>
    <t>Average Weekly Demand</t>
  </si>
  <si>
    <t>SD Weekly Demand</t>
  </si>
  <si>
    <t>Random Variable</t>
  </si>
  <si>
    <t>Lead Time</t>
  </si>
  <si>
    <t>Safety Stock</t>
  </si>
  <si>
    <t>98 Percent Service Level</t>
  </si>
  <si>
    <t>Pipeline Inventory</t>
  </si>
  <si>
    <t>Total Inventory</t>
  </si>
  <si>
    <t>Cycle Inventory</t>
  </si>
  <si>
    <t>Weekly Inventory Holding Cost</t>
  </si>
  <si>
    <t>Yearly Inventory Holding Cost</t>
  </si>
  <si>
    <t>Weekly Inventory Shipping Cost</t>
  </si>
  <si>
    <t>Yearly Inventory Shipping Cost</t>
  </si>
  <si>
    <t>Demand to France</t>
  </si>
  <si>
    <t>Demand to Germany</t>
  </si>
  <si>
    <t>France only</t>
  </si>
  <si>
    <t>Germany only</t>
  </si>
  <si>
    <t xml:space="preserve">Simulation </t>
  </si>
  <si>
    <t>France and Germany</t>
  </si>
  <si>
    <t>France DVD</t>
  </si>
  <si>
    <t>Germany DVD</t>
  </si>
  <si>
    <t>France LCD</t>
  </si>
  <si>
    <t>Germany LCD</t>
  </si>
  <si>
    <t>Stocking in France and Germany</t>
  </si>
  <si>
    <t>Total Yearly Shipping Cost</t>
  </si>
  <si>
    <t>Total Yearly Inventory Cost</t>
  </si>
  <si>
    <t>Total Yearly Costs</t>
  </si>
  <si>
    <t xml:space="preserve">France </t>
  </si>
  <si>
    <t>Germany</t>
  </si>
  <si>
    <t xml:space="preserve">Simulation Results </t>
  </si>
  <si>
    <t>France</t>
  </si>
  <si>
    <t>Average Total Cost</t>
  </si>
  <si>
    <t>SD</t>
  </si>
  <si>
    <t>SE</t>
  </si>
  <si>
    <t>z.98</t>
  </si>
  <si>
    <t>MOE</t>
  </si>
  <si>
    <t>LCL</t>
  </si>
  <si>
    <t>UCL</t>
  </si>
  <si>
    <t>Lowest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</si>
</sst>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</numFmts>
  <fonts count="22"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12"/>
      <name val="Arial"/>
      <family val="2"/>
    </font>
    <font>
      <u/>
      <sz val="8"/>
      <color indexed="12"/>
      <name val="Arial"/>
      <family val="2"/>
    </font>
    <font>
      <u/>
      <sz val="12"/>
      <color indexed="12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vertAlign val="subscript"/>
      <sz val="9"/>
      <name val="Arial"/>
      <family val="2"/>
    </font>
    <font>
      <b/>
      <sz val="10"/>
      <color indexed="10"/>
      <name val="Arial"/>
      <family val="2"/>
    </font>
    <font>
      <sz val="7.9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b/>
      <sz val="11"/>
      <color indexed="12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2" borderId="1" xfId="0" applyFont="1" applyFill="1" applyBorder="1"/>
    <xf numFmtId="9" fontId="3" fillId="2" borderId="1" xfId="0" applyNumberFormat="1" applyFont="1" applyFill="1" applyBorder="1"/>
    <xf numFmtId="9" fontId="3" fillId="2" borderId="1" xfId="3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NumberFormat="1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0" borderId="0" xfId="0" applyFont="1" applyAlignment="1">
      <alignment horizontal="right" vertical="center"/>
    </xf>
    <xf numFmtId="0" fontId="5" fillId="3" borderId="2" xfId="0" applyFont="1" applyFill="1" applyBorder="1"/>
    <xf numFmtId="0" fontId="5" fillId="3" borderId="3" xfId="0" applyFont="1" applyFill="1" applyBorder="1"/>
    <xf numFmtId="0" fontId="5" fillId="0" borderId="2" xfId="0" applyFont="1" applyBorder="1"/>
    <xf numFmtId="0" fontId="5" fillId="0" borderId="3" xfId="0" applyFont="1" applyBorder="1"/>
    <xf numFmtId="0" fontId="5" fillId="4" borderId="0" xfId="0" applyFont="1" applyFill="1"/>
    <xf numFmtId="0" fontId="5" fillId="0" borderId="3" xfId="0" applyFont="1" applyBorder="1" applyAlignment="1">
      <alignment vertical="center" wrapText="1"/>
    </xf>
    <xf numFmtId="0" fontId="5" fillId="4" borderId="2" xfId="0" applyFont="1" applyFill="1" applyBorder="1"/>
    <xf numFmtId="0" fontId="5" fillId="4" borderId="3" xfId="0" applyFont="1" applyFill="1" applyBorder="1"/>
    <xf numFmtId="0" fontId="5" fillId="4" borderId="4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right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9" fillId="0" borderId="0" xfId="2" applyNumberFormat="1" applyFont="1" applyBorder="1" applyAlignment="1" applyProtection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right" vertical="center"/>
    </xf>
    <xf numFmtId="9" fontId="3" fillId="2" borderId="1" xfId="0" applyNumberFormat="1" applyFont="1" applyFill="1" applyBorder="1" applyAlignment="1">
      <alignment vertical="center"/>
    </xf>
    <xf numFmtId="0" fontId="3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9" fontId="3" fillId="2" borderId="1" xfId="3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12" fillId="0" borderId="0" xfId="0" applyFont="1" applyAlignment="1">
      <alignment vertical="center"/>
    </xf>
    <xf numFmtId="0" fontId="3" fillId="2" borderId="1" xfId="1" applyNumberFormat="1" applyFont="1" applyFill="1" applyBorder="1" applyAlignment="1">
      <alignment horizontal="right" vertical="center" wrapText="1"/>
    </xf>
    <xf numFmtId="0" fontId="3" fillId="0" borderId="0" xfId="1" applyNumberFormat="1" applyFont="1" applyFill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vertical="center" wrapText="1"/>
    </xf>
    <xf numFmtId="0" fontId="3" fillId="0" borderId="0" xfId="1" applyNumberFormat="1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1" applyNumberFormat="1" applyFont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vertical="center" wrapText="1"/>
    </xf>
    <xf numFmtId="9" fontId="3" fillId="2" borderId="1" xfId="3" applyFont="1" applyFill="1" applyBorder="1" applyAlignment="1">
      <alignment vertical="center" wrapText="1"/>
    </xf>
    <xf numFmtId="0" fontId="14" fillId="0" borderId="0" xfId="0" applyFont="1"/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0" xfId="0" quotePrefix="1" applyFont="1"/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vertical="center" wrapText="1"/>
    </xf>
    <xf numFmtId="6" fontId="0" fillId="2" borderId="1" xfId="0" applyNumberFormat="1" applyFill="1" applyBorder="1" applyAlignment="1">
      <alignment horizontal="center" vertical="center" wrapText="1"/>
    </xf>
    <xf numFmtId="6" fontId="3" fillId="2" borderId="1" xfId="1" applyNumberFormat="1" applyFont="1" applyFill="1" applyBorder="1" applyAlignment="1">
      <alignment horizontal="center" vertical="center" wrapText="1"/>
    </xf>
    <xf numFmtId="8" fontId="3" fillId="2" borderId="1" xfId="1" applyNumberFormat="1" applyFont="1" applyFill="1" applyBorder="1" applyAlignment="1">
      <alignment horizontal="center" vertical="center" wrapText="1"/>
    </xf>
    <xf numFmtId="8" fontId="3" fillId="2" borderId="1" xfId="0" applyNumberFormat="1" applyFont="1" applyFill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center" vertical="center" wrapText="1"/>
    </xf>
    <xf numFmtId="0" fontId="19" fillId="2" borderId="1" xfId="1" applyNumberFormat="1" applyFont="1" applyFill="1" applyBorder="1" applyAlignment="1">
      <alignment horizontal="right" vertical="center" wrapText="1"/>
    </xf>
    <xf numFmtId="9" fontId="0" fillId="0" borderId="0" xfId="0" applyNumberFormat="1"/>
    <xf numFmtId="0" fontId="12" fillId="0" borderId="0" xfId="0" applyFont="1"/>
    <xf numFmtId="0" fontId="1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9" fillId="0" borderId="5" xfId="2" applyNumberFormat="1" applyFont="1" applyBorder="1" applyAlignment="1" applyProtection="1">
      <alignment horizontal="center" vertical="center" wrapText="1"/>
    </xf>
    <xf numFmtId="0" fontId="9" fillId="0" borderId="6" xfId="2" applyNumberFormat="1" applyFont="1" applyBorder="1" applyAlignment="1" applyProtection="1">
      <alignment horizontal="center" vertical="center" wrapText="1"/>
    </xf>
    <xf numFmtId="0" fontId="0" fillId="5" borderId="0" xfId="0" applyFill="1"/>
    <xf numFmtId="0" fontId="0" fillId="6" borderId="0" xfId="0" applyFill="1"/>
    <xf numFmtId="0" fontId="20" fillId="7" borderId="0" xfId="0" applyFont="1" applyFill="1"/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22</xdr:row>
      <xdr:rowOff>139700</xdr:rowOff>
    </xdr:from>
    <xdr:to>
      <xdr:col>7</xdr:col>
      <xdr:colOff>127000</xdr:colOff>
      <xdr:row>23</xdr:row>
      <xdr:rowOff>152400</xdr:rowOff>
    </xdr:to>
    <xdr:sp macro="" textlink="">
      <xdr:nvSpPr>
        <xdr:cNvPr id="1282" name="Line 1">
          <a:extLst>
            <a:ext uri="{FF2B5EF4-FFF2-40B4-BE49-F238E27FC236}">
              <a16:creationId xmlns:a16="http://schemas.microsoft.com/office/drawing/2014/main" id="{28C596D4-E1FD-A870-8A20-1778EFFF17F5}"/>
            </a:ext>
          </a:extLst>
        </xdr:cNvPr>
        <xdr:cNvSpPr>
          <a:spLocks noChangeShapeType="1"/>
        </xdr:cNvSpPr>
      </xdr:nvSpPr>
      <xdr:spPr bwMode="auto">
        <a:xfrm>
          <a:off x="7429500" y="4203700"/>
          <a:ext cx="3810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</xdr:colOff>
      <xdr:row>11</xdr:row>
      <xdr:rowOff>0</xdr:rowOff>
    </xdr:from>
    <xdr:to>
      <xdr:col>12</xdr:col>
      <xdr:colOff>88900</xdr:colOff>
      <xdr:row>11</xdr:row>
      <xdr:rowOff>139700</xdr:rowOff>
    </xdr:to>
    <xdr:sp macro="" textlink="">
      <xdr:nvSpPr>
        <xdr:cNvPr id="2305" name="Line 1">
          <a:extLst>
            <a:ext uri="{FF2B5EF4-FFF2-40B4-BE49-F238E27FC236}">
              <a16:creationId xmlns:a16="http://schemas.microsoft.com/office/drawing/2014/main" id="{EF7A840C-3B04-72EA-BF1C-1F3B0303A111}"/>
            </a:ext>
          </a:extLst>
        </xdr:cNvPr>
        <xdr:cNvSpPr>
          <a:spLocks noChangeShapeType="1"/>
        </xdr:cNvSpPr>
      </xdr:nvSpPr>
      <xdr:spPr bwMode="auto">
        <a:xfrm>
          <a:off x="6096000" y="1803400"/>
          <a:ext cx="38100" cy="139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50800</xdr:colOff>
      <xdr:row>1</xdr:row>
      <xdr:rowOff>0</xdr:rowOff>
    </xdr:from>
    <xdr:to>
      <xdr:col>15</xdr:col>
      <xdr:colOff>88900</xdr:colOff>
      <xdr:row>1</xdr:row>
      <xdr:rowOff>139700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9420E605-D5E3-41A7-9AA2-4E63AE450BD7}"/>
            </a:ext>
          </a:extLst>
        </xdr:cNvPr>
        <xdr:cNvSpPr>
          <a:spLocks noChangeShapeType="1"/>
        </xdr:cNvSpPr>
      </xdr:nvSpPr>
      <xdr:spPr bwMode="auto">
        <a:xfrm>
          <a:off x="5289550" y="1809750"/>
          <a:ext cx="38100" cy="139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an, James" id="{401B8231-DB9D-42E3-912D-6D88AA2154D3}" userId="S::panjames@umich.edu::ba95ea71-099e-4db7-ba84-bdd266d30125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8" dT="2025-05-07T20:56:35.85" personId="{401B8231-DB9D-42E3-912D-6D88AA2154D3}" id="{2A5509F5-74AF-4447-AD86-43DDB2A8C4C1}">
    <text>Do I use random here too or do I set it one of the otherones?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12AC-13C6-9F40-861D-5BF35FFF7488}">
  <dimension ref="A1:L36"/>
  <sheetViews>
    <sheetView showGridLines="0" topLeftCell="A4" zoomScale="120" zoomScaleNormal="120" workbookViewId="0">
      <selection activeCell="K7" sqref="K7"/>
    </sheetView>
  </sheetViews>
  <sheetFormatPr defaultColWidth="8.85546875" defaultRowHeight="12.75"/>
  <cols>
    <col min="1" max="1" width="20.42578125" customWidth="1"/>
    <col min="2" max="2" width="9.42578125" customWidth="1"/>
    <col min="3" max="3" width="22.28515625" bestFit="1" customWidth="1"/>
    <col min="4" max="5" width="9.42578125" customWidth="1"/>
    <col min="6" max="6" width="15.42578125" bestFit="1" customWidth="1"/>
    <col min="7" max="11" width="9.42578125" customWidth="1"/>
  </cols>
  <sheetData>
    <row r="1" spans="1:12">
      <c r="A1" s="1" t="s">
        <v>27</v>
      </c>
      <c r="B1" s="2"/>
      <c r="C1" s="2"/>
      <c r="D1" s="69" t="s">
        <v>147</v>
      </c>
      <c r="E1" s="2"/>
      <c r="H1" s="2"/>
      <c r="I1" s="2"/>
      <c r="J1" s="2"/>
      <c r="K1" s="2"/>
    </row>
    <row r="2" spans="1:12" ht="12.75" customHeight="1">
      <c r="A2" s="19" t="s">
        <v>28</v>
      </c>
      <c r="B2" s="3"/>
      <c r="C2" s="3"/>
      <c r="D2" s="3"/>
      <c r="E2" s="3"/>
      <c r="F2" s="86" t="s">
        <v>102</v>
      </c>
      <c r="G2" s="86"/>
      <c r="H2" s="86"/>
      <c r="I2" s="86"/>
      <c r="J2" s="86"/>
      <c r="K2" s="3"/>
    </row>
    <row r="3" spans="1:12">
      <c r="A3" s="19" t="s">
        <v>0</v>
      </c>
      <c r="B3" s="3"/>
      <c r="C3" s="3"/>
      <c r="D3" s="3"/>
      <c r="E3" s="3"/>
      <c r="F3" s="86"/>
      <c r="G3" s="86"/>
      <c r="H3" s="86"/>
      <c r="I3" s="86"/>
      <c r="J3" s="86"/>
      <c r="K3" s="3"/>
    </row>
    <row r="4" spans="1:12">
      <c r="B4" s="2"/>
      <c r="C4" s="2"/>
      <c r="D4" s="2"/>
      <c r="E4" s="2"/>
      <c r="F4" s="86"/>
      <c r="G4" s="86"/>
      <c r="H4" s="86"/>
      <c r="I4" s="86"/>
      <c r="J4" s="86"/>
      <c r="K4" s="2"/>
    </row>
    <row r="5" spans="1:12">
      <c r="A5" s="20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>
      <c r="A6" s="20" t="s">
        <v>136</v>
      </c>
      <c r="B6" s="4">
        <v>4</v>
      </c>
      <c r="C6" s="2" t="s">
        <v>1</v>
      </c>
      <c r="D6" s="2"/>
      <c r="E6" s="2"/>
      <c r="F6" s="2" t="s">
        <v>141</v>
      </c>
      <c r="G6" s="2">
        <v>0.41</v>
      </c>
      <c r="H6" s="2">
        <f>1-G6</f>
        <v>0.59000000000000008</v>
      </c>
      <c r="I6" s="2"/>
      <c r="J6" s="2"/>
      <c r="K6" s="2"/>
    </row>
    <row r="7" spans="1:12">
      <c r="A7" s="20" t="s">
        <v>2</v>
      </c>
      <c r="B7" s="5">
        <v>0.98</v>
      </c>
      <c r="C7" s="2" t="s">
        <v>143</v>
      </c>
      <c r="D7" s="2">
        <f>NORMSINV(0.98)</f>
        <v>2.0537489106318221</v>
      </c>
      <c r="E7" s="2"/>
      <c r="F7" t="s">
        <v>142</v>
      </c>
      <c r="G7" s="2">
        <v>0.48</v>
      </c>
      <c r="H7" s="2">
        <f>1-G7</f>
        <v>0.52</v>
      </c>
      <c r="I7" s="2"/>
      <c r="J7" s="2"/>
      <c r="K7" s="2"/>
    </row>
    <row r="8" spans="1:12" ht="22.5">
      <c r="A8" s="21" t="s">
        <v>3</v>
      </c>
      <c r="B8" s="6">
        <v>0.5</v>
      </c>
      <c r="C8" s="2">
        <f>B8/B9</f>
        <v>9.6153846153846159E-3</v>
      </c>
      <c r="D8" s="2"/>
      <c r="E8" s="2"/>
      <c r="F8" s="2"/>
      <c r="G8" s="2"/>
      <c r="H8" s="2"/>
      <c r="I8" s="2"/>
      <c r="J8" s="2"/>
      <c r="K8" s="2"/>
    </row>
    <row r="9" spans="1:12">
      <c r="A9" s="22" t="s">
        <v>29</v>
      </c>
      <c r="B9" s="2">
        <v>52</v>
      </c>
      <c r="C9" s="2" t="s">
        <v>1</v>
      </c>
      <c r="D9" s="2"/>
      <c r="E9" s="2"/>
      <c r="F9" s="2"/>
      <c r="G9" s="2"/>
      <c r="H9" s="2"/>
      <c r="I9" s="2"/>
      <c r="J9" s="2"/>
      <c r="K9" s="2"/>
    </row>
    <row r="10" spans="1:12">
      <c r="A10" s="22"/>
      <c r="B10" s="2"/>
      <c r="C10" s="2">
        <v>0</v>
      </c>
      <c r="D10" s="2">
        <v>1</v>
      </c>
      <c r="E10" s="2">
        <v>2</v>
      </c>
      <c r="F10" s="2"/>
      <c r="G10" s="2"/>
      <c r="H10" s="2"/>
      <c r="I10" s="2"/>
      <c r="J10" s="2"/>
      <c r="K10" s="2"/>
    </row>
    <row r="11" spans="1:12" ht="23.1" customHeight="1">
      <c r="A11" s="7"/>
      <c r="B11" s="8" t="s">
        <v>30</v>
      </c>
      <c r="C11" s="70" t="s">
        <v>4</v>
      </c>
      <c r="D11" s="70" t="s">
        <v>5</v>
      </c>
      <c r="E11" s="70" t="s">
        <v>6</v>
      </c>
      <c r="F11" s="70" t="s">
        <v>7</v>
      </c>
      <c r="G11" s="8" t="s">
        <v>8</v>
      </c>
      <c r="H11" s="2"/>
      <c r="I11" s="2"/>
      <c r="J11" s="2"/>
      <c r="K11" s="2"/>
      <c r="L11" s="2"/>
    </row>
    <row r="12" spans="1:12" ht="20.25" customHeight="1">
      <c r="A12" s="18" t="s">
        <v>9</v>
      </c>
      <c r="B12" s="78">
        <v>25</v>
      </c>
      <c r="C12" s="9">
        <v>0.88</v>
      </c>
      <c r="D12" s="9">
        <v>0.1</v>
      </c>
      <c r="E12" s="9">
        <v>0.02</v>
      </c>
      <c r="F12" s="9">
        <v>0</v>
      </c>
      <c r="G12" s="9">
        <f>SUMPRODUCT(C10:E10,C12:E12)</f>
        <v>0.14000000000000001</v>
      </c>
      <c r="H12" s="2"/>
      <c r="I12" s="2"/>
      <c r="J12" s="2"/>
      <c r="K12" s="2"/>
      <c r="L12" s="2"/>
    </row>
    <row r="13" spans="1:12" ht="20.85" customHeight="1">
      <c r="A13" s="18" t="s">
        <v>10</v>
      </c>
      <c r="B13" s="78">
        <v>20</v>
      </c>
      <c r="C13" s="9">
        <v>0.08</v>
      </c>
      <c r="D13" s="9">
        <v>0.8</v>
      </c>
      <c r="E13" s="9">
        <v>0.12</v>
      </c>
      <c r="F13" s="9">
        <v>0</v>
      </c>
      <c r="G13" s="9">
        <f>SUMPRODUCT(C10:E10,C13:E13)</f>
        <v>1.04</v>
      </c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10" t="s">
        <v>127</v>
      </c>
      <c r="B15" s="10"/>
      <c r="C15" s="10"/>
      <c r="D15" s="10"/>
      <c r="E15" s="10"/>
      <c r="F15" s="10"/>
      <c r="G15" s="10"/>
      <c r="H15" s="2"/>
      <c r="I15" s="2"/>
      <c r="J15" s="2"/>
      <c r="K15" s="2"/>
    </row>
    <row r="16" spans="1:12" ht="12.95" customHeight="1">
      <c r="A16" s="25" t="s">
        <v>128</v>
      </c>
      <c r="B16" s="23">
        <v>0</v>
      </c>
      <c r="C16" s="24">
        <v>1</v>
      </c>
      <c r="D16" s="24">
        <v>2</v>
      </c>
      <c r="E16" s="24">
        <v>3</v>
      </c>
      <c r="F16" s="24">
        <v>4</v>
      </c>
      <c r="G16" s="24">
        <v>5</v>
      </c>
      <c r="H16" s="24">
        <v>6</v>
      </c>
      <c r="I16" s="24">
        <v>7</v>
      </c>
      <c r="J16" s="24">
        <v>8</v>
      </c>
      <c r="K16" s="2"/>
    </row>
    <row r="17" spans="1:11">
      <c r="A17" s="15" t="s">
        <v>11</v>
      </c>
      <c r="B17" s="9">
        <v>0.59969536000000001</v>
      </c>
      <c r="C17" s="9">
        <v>0.27258880000000002</v>
      </c>
      <c r="D17" s="9">
        <v>0.10098176</v>
      </c>
      <c r="E17" s="9">
        <v>2.2105600000000003E-2</v>
      </c>
      <c r="F17" s="9">
        <v>4.07056E-3</v>
      </c>
      <c r="G17" s="9">
        <v>5.0240000000000007E-4</v>
      </c>
      <c r="H17" s="9">
        <v>5.2160000000000002E-5</v>
      </c>
      <c r="I17" s="9">
        <v>3.2000000000000003E-6</v>
      </c>
      <c r="J17" s="9">
        <v>1.6E-7</v>
      </c>
      <c r="K17" s="2"/>
    </row>
    <row r="18" spans="1:11">
      <c r="A18" s="15" t="s">
        <v>12</v>
      </c>
      <c r="B18" s="9">
        <v>4.0960000000000001E-5</v>
      </c>
      <c r="C18" s="9">
        <v>1.6793600000000002E-3</v>
      </c>
      <c r="D18" s="9">
        <v>2.6501120000000003E-2</v>
      </c>
      <c r="E18" s="9">
        <v>0.19771392000000004</v>
      </c>
      <c r="F18" s="11">
        <v>0.68159488000000035</v>
      </c>
      <c r="G18" s="9">
        <v>0.93841408000000048</v>
      </c>
      <c r="H18" s="11">
        <v>0.99426304000000054</v>
      </c>
      <c r="I18" s="9">
        <v>0.99979264000000057</v>
      </c>
      <c r="J18" s="9">
        <v>1.0000000000000007</v>
      </c>
      <c r="K18" s="2"/>
    </row>
    <row r="19" spans="1:11">
      <c r="A19" s="26" t="s">
        <v>137</v>
      </c>
      <c r="B19" s="12"/>
      <c r="C19" s="12"/>
      <c r="D19" s="12"/>
      <c r="E19" s="12"/>
      <c r="F19" s="13"/>
      <c r="G19" s="2"/>
      <c r="H19" s="14"/>
      <c r="I19" s="2"/>
      <c r="J19" s="2"/>
      <c r="K19" s="2"/>
    </row>
    <row r="20" spans="1:11">
      <c r="A20" s="15" t="s">
        <v>11</v>
      </c>
      <c r="B20" s="9">
        <v>3</v>
      </c>
      <c r="C20" s="12"/>
      <c r="D20" s="12"/>
      <c r="E20" s="12"/>
      <c r="F20" s="13"/>
      <c r="G20" s="2"/>
      <c r="H20" s="14"/>
      <c r="I20" s="2"/>
      <c r="J20" s="2"/>
      <c r="K20" s="2"/>
    </row>
    <row r="21" spans="1:11">
      <c r="A21" s="15" t="s">
        <v>12</v>
      </c>
      <c r="B21" s="9">
        <v>6</v>
      </c>
      <c r="C21" s="12"/>
      <c r="D21" s="12"/>
      <c r="E21" s="12"/>
      <c r="F21" s="13"/>
      <c r="G21" s="2"/>
      <c r="H21" s="14"/>
      <c r="I21" s="2"/>
      <c r="J21" s="2"/>
      <c r="K21" s="2"/>
    </row>
    <row r="22" spans="1:11">
      <c r="A22" s="15"/>
      <c r="B22" s="16"/>
      <c r="C22" s="12"/>
      <c r="D22" s="12"/>
      <c r="E22" s="12"/>
      <c r="F22" s="13"/>
      <c r="G22" s="2"/>
      <c r="H22" s="14"/>
      <c r="I22" s="2"/>
      <c r="J22" s="2"/>
      <c r="K22" s="2"/>
    </row>
    <row r="23" spans="1:11">
      <c r="A23" s="10" t="s">
        <v>13</v>
      </c>
      <c r="B23" s="2"/>
      <c r="C23" s="2"/>
      <c r="D23" s="2"/>
      <c r="E23" s="2"/>
      <c r="F23" s="2"/>
      <c r="G23" s="2"/>
      <c r="H23" s="2" t="s">
        <v>14</v>
      </c>
      <c r="I23" s="2"/>
      <c r="J23" s="2"/>
    </row>
    <row r="24" spans="1:11" ht="45">
      <c r="A24" s="2"/>
      <c r="B24" s="8" t="s">
        <v>15</v>
      </c>
      <c r="C24" s="8" t="s">
        <v>8</v>
      </c>
      <c r="D24" s="8" t="s">
        <v>126</v>
      </c>
      <c r="E24" s="8" t="s">
        <v>17</v>
      </c>
      <c r="F24" s="8" t="s">
        <v>16</v>
      </c>
      <c r="G24" s="8" t="s">
        <v>18</v>
      </c>
      <c r="H24" s="8" t="s">
        <v>134</v>
      </c>
      <c r="I24" s="8" t="s">
        <v>20</v>
      </c>
      <c r="J24" s="8" t="s">
        <v>21</v>
      </c>
      <c r="K24" s="8" t="s">
        <v>130</v>
      </c>
    </row>
    <row r="25" spans="1:11">
      <c r="A25" s="12"/>
      <c r="B25" s="12" t="s">
        <v>22</v>
      </c>
      <c r="C25" s="12" t="s">
        <v>23</v>
      </c>
      <c r="D25" s="12" t="s">
        <v>24</v>
      </c>
      <c r="E25" s="12" t="s">
        <v>24</v>
      </c>
      <c r="F25" s="12" t="s">
        <v>24</v>
      </c>
      <c r="G25" s="12" t="s">
        <v>24</v>
      </c>
      <c r="H25" s="12" t="s">
        <v>24</v>
      </c>
      <c r="I25" s="12" t="s">
        <v>25</v>
      </c>
      <c r="J25" s="12" t="s">
        <v>25</v>
      </c>
      <c r="K25" s="12" t="s">
        <v>25</v>
      </c>
    </row>
    <row r="26" spans="1:11">
      <c r="A26" s="15" t="s">
        <v>11</v>
      </c>
      <c r="B26" s="79">
        <f>B12*H7</f>
        <v>13</v>
      </c>
      <c r="C26" s="42">
        <f>G12</f>
        <v>0.14000000000000001</v>
      </c>
      <c r="D26" s="42">
        <v>2</v>
      </c>
      <c r="E26" s="42">
        <f>B6*C26</f>
        <v>0.56000000000000005</v>
      </c>
      <c r="F26" s="42">
        <v>2.44</v>
      </c>
      <c r="G26" s="42">
        <f>D26/2</f>
        <v>1</v>
      </c>
      <c r="H26" s="42">
        <f>SUM(E26:G26)</f>
        <v>4</v>
      </c>
      <c r="I26" s="42">
        <f>G26/2</f>
        <v>0.5</v>
      </c>
      <c r="J26" s="82">
        <f>B26*C26</f>
        <v>1.8200000000000003</v>
      </c>
      <c r="K26" s="43">
        <f>SUM(I26:J26)</f>
        <v>2.3200000000000003</v>
      </c>
    </row>
    <row r="27" spans="1:11">
      <c r="A27" s="15" t="s">
        <v>12</v>
      </c>
      <c r="B27" s="80">
        <f>B13*H7</f>
        <v>10.4</v>
      </c>
      <c r="C27" s="42">
        <f>G13</f>
        <v>1.04</v>
      </c>
      <c r="D27" s="42">
        <v>3</v>
      </c>
      <c r="E27" s="42">
        <f>C27*B6</f>
        <v>4.16</v>
      </c>
      <c r="F27" s="42">
        <v>1.84</v>
      </c>
      <c r="G27" s="42">
        <f>D27/2</f>
        <v>1.5</v>
      </c>
      <c r="H27" s="42">
        <f>SUM(E27:G27)</f>
        <v>7.5</v>
      </c>
      <c r="I27" s="42">
        <f>G27/2</f>
        <v>0.75</v>
      </c>
      <c r="J27" s="82">
        <f>B27*C27</f>
        <v>10.816000000000001</v>
      </c>
      <c r="K27" s="43">
        <f>SUM(I27:J27)</f>
        <v>11.566000000000001</v>
      </c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0" t="s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33.75">
      <c r="A30" s="2"/>
      <c r="B30" s="8" t="s">
        <v>15</v>
      </c>
      <c r="C30" s="8" t="s">
        <v>8</v>
      </c>
      <c r="D30" s="8" t="s">
        <v>20</v>
      </c>
      <c r="E30" s="8" t="s">
        <v>21</v>
      </c>
      <c r="F30" s="8" t="s">
        <v>130</v>
      </c>
      <c r="H30" s="8" t="s">
        <v>109</v>
      </c>
      <c r="I30" s="2"/>
      <c r="J30" s="2"/>
      <c r="K30" s="2"/>
    </row>
    <row r="31" spans="1:11">
      <c r="A31" s="12"/>
      <c r="B31" s="12" t="s">
        <v>22</v>
      </c>
      <c r="C31" s="12" t="s">
        <v>23</v>
      </c>
      <c r="D31" s="12" t="s">
        <v>25</v>
      </c>
      <c r="E31" s="12" t="s">
        <v>25</v>
      </c>
      <c r="F31" s="12" t="s">
        <v>25</v>
      </c>
      <c r="H31" s="12" t="s">
        <v>25</v>
      </c>
      <c r="I31" s="2"/>
      <c r="J31" s="2"/>
      <c r="K31" s="2"/>
    </row>
    <row r="32" spans="1:11">
      <c r="A32" s="15" t="s">
        <v>11</v>
      </c>
      <c r="B32" s="81">
        <f>B12*H6</f>
        <v>14.750000000000002</v>
      </c>
      <c r="C32" s="9">
        <f>G12</f>
        <v>0.14000000000000001</v>
      </c>
      <c r="D32" s="9">
        <v>0</v>
      </c>
      <c r="E32" s="81">
        <f>B32*C32</f>
        <v>2.0650000000000004</v>
      </c>
      <c r="F32" s="17">
        <f>SUM(D32:E32)</f>
        <v>2.0650000000000004</v>
      </c>
      <c r="H32" s="17">
        <f>F32-K26</f>
        <v>-0.25499999999999989</v>
      </c>
      <c r="I32" s="75" t="s">
        <v>139</v>
      </c>
      <c r="J32" s="2"/>
      <c r="K32" s="2"/>
    </row>
    <row r="33" spans="1:11">
      <c r="A33" s="15" t="s">
        <v>12</v>
      </c>
      <c r="B33" s="81">
        <f>B13*H6</f>
        <v>11.8</v>
      </c>
      <c r="C33" s="9">
        <f>G13</f>
        <v>1.04</v>
      </c>
      <c r="D33" s="9">
        <v>0</v>
      </c>
      <c r="E33" s="81">
        <f>B33*C33</f>
        <v>12.272000000000002</v>
      </c>
      <c r="F33" s="17">
        <f>SUM(D33:E33)</f>
        <v>12.272000000000002</v>
      </c>
      <c r="H33" s="17">
        <f>F33-K27</f>
        <v>0.70600000000000129</v>
      </c>
      <c r="I33" s="75" t="s">
        <v>140</v>
      </c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0" t="s">
        <v>114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0"/>
      <c r="B36" s="2"/>
      <c r="C36" s="2"/>
      <c r="D36" s="2"/>
      <c r="E36" s="2"/>
      <c r="F36" s="2"/>
      <c r="G36" s="2"/>
      <c r="H36" s="2"/>
      <c r="I36" s="2"/>
      <c r="J36" s="2"/>
      <c r="K36" s="2"/>
    </row>
  </sheetData>
  <mergeCells count="1">
    <mergeCell ref="F2:J4"/>
  </mergeCells>
  <phoneticPr fontId="7" type="noConversion"/>
  <pageMargins left="0.75" right="0.75" top="0.6" bottom="0.6" header="0.5" footer="0.5"/>
  <pageSetup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D57B-9EB5-0E4D-9AEE-D8A9B7E13DC6}">
  <dimension ref="A1:AL47"/>
  <sheetViews>
    <sheetView showGridLines="0" workbookViewId="0">
      <selection activeCell="B46" sqref="B46:J46"/>
    </sheetView>
  </sheetViews>
  <sheetFormatPr defaultColWidth="7.140625" defaultRowHeight="12"/>
  <cols>
    <col min="1" max="1" width="13.85546875" style="3" customWidth="1"/>
    <col min="2" max="2" width="8.42578125" style="3" customWidth="1"/>
    <col min="3" max="16384" width="7.140625" style="3"/>
  </cols>
  <sheetData>
    <row r="1" spans="1:16" ht="42" customHeight="1">
      <c r="A1" s="87" t="s">
        <v>135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</row>
    <row r="2" spans="1:16" ht="14.25">
      <c r="A2" s="27" t="s">
        <v>31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6">
      <c r="C3" s="88" t="s">
        <v>125</v>
      </c>
      <c r="D3" s="88"/>
      <c r="E3" s="88"/>
      <c r="F3" s="88"/>
      <c r="G3" s="88"/>
      <c r="H3" s="88"/>
      <c r="I3" s="88"/>
      <c r="J3" s="88"/>
      <c r="K3" s="88"/>
      <c r="L3" s="88"/>
    </row>
    <row r="4" spans="1:16" ht="13.5">
      <c r="C4" s="39" t="s">
        <v>97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</row>
    <row r="5" spans="1:16">
      <c r="A5" s="3" t="s">
        <v>125</v>
      </c>
      <c r="B5" s="28" t="s">
        <v>32</v>
      </c>
      <c r="C5" s="29">
        <v>0.88</v>
      </c>
      <c r="D5" s="29">
        <v>0.1</v>
      </c>
      <c r="E5" s="29">
        <v>0.02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</row>
    <row r="6" spans="1:16" ht="13.5">
      <c r="A6" s="38" t="s">
        <v>96</v>
      </c>
      <c r="B6" s="30">
        <v>0.88</v>
      </c>
      <c r="C6" s="3">
        <f t="shared" ref="C6:L15" si="0">PRODUCT(C$5,$B6)</f>
        <v>0.77439999999999998</v>
      </c>
      <c r="D6" s="3">
        <f t="shared" si="0"/>
        <v>8.8000000000000009E-2</v>
      </c>
      <c r="E6" s="3">
        <f t="shared" si="0"/>
        <v>1.7600000000000001E-2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</row>
    <row r="7" spans="1:16">
      <c r="A7" s="38">
        <v>1</v>
      </c>
      <c r="B7" s="30">
        <v>0.1</v>
      </c>
      <c r="C7" s="3">
        <f t="shared" si="0"/>
        <v>8.8000000000000009E-2</v>
      </c>
      <c r="D7" s="3">
        <f t="shared" si="0"/>
        <v>1.0000000000000002E-2</v>
      </c>
      <c r="E7" s="3">
        <f t="shared" si="0"/>
        <v>2E-3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</row>
    <row r="8" spans="1:16">
      <c r="A8" s="38">
        <v>2</v>
      </c>
      <c r="B8" s="30">
        <v>0.02</v>
      </c>
      <c r="C8" s="3">
        <f t="shared" si="0"/>
        <v>1.7600000000000001E-2</v>
      </c>
      <c r="D8" s="3">
        <f t="shared" si="0"/>
        <v>2E-3</v>
      </c>
      <c r="E8" s="3">
        <f t="shared" si="0"/>
        <v>4.0000000000000002E-4</v>
      </c>
      <c r="F8" s="3">
        <f t="shared" si="0"/>
        <v>0</v>
      </c>
      <c r="G8" s="3">
        <f t="shared" si="0"/>
        <v>0</v>
      </c>
      <c r="H8" s="3">
        <f t="shared" si="0"/>
        <v>0</v>
      </c>
      <c r="I8" s="3">
        <f t="shared" si="0"/>
        <v>0</v>
      </c>
      <c r="J8" s="3">
        <f t="shared" si="0"/>
        <v>0</v>
      </c>
      <c r="K8" s="3">
        <f t="shared" si="0"/>
        <v>0</v>
      </c>
      <c r="L8" s="3">
        <f t="shared" si="0"/>
        <v>0</v>
      </c>
    </row>
    <row r="9" spans="1:16">
      <c r="A9" s="38">
        <v>3</v>
      </c>
      <c r="B9" s="30">
        <v>0</v>
      </c>
      <c r="C9" s="3">
        <f t="shared" si="0"/>
        <v>0</v>
      </c>
      <c r="D9" s="3">
        <f t="shared" si="0"/>
        <v>0</v>
      </c>
      <c r="E9" s="3">
        <f t="shared" si="0"/>
        <v>0</v>
      </c>
      <c r="F9" s="3">
        <f t="shared" si="0"/>
        <v>0</v>
      </c>
      <c r="G9" s="3">
        <f t="shared" si="0"/>
        <v>0</v>
      </c>
      <c r="H9" s="3">
        <f t="shared" si="0"/>
        <v>0</v>
      </c>
      <c r="I9" s="3">
        <f t="shared" si="0"/>
        <v>0</v>
      </c>
      <c r="J9" s="3">
        <f t="shared" si="0"/>
        <v>0</v>
      </c>
      <c r="K9" s="3">
        <f t="shared" si="0"/>
        <v>0</v>
      </c>
      <c r="L9" s="3">
        <f t="shared" si="0"/>
        <v>0</v>
      </c>
    </row>
    <row r="10" spans="1:16">
      <c r="A10" s="38">
        <v>4</v>
      </c>
      <c r="B10" s="30">
        <v>0</v>
      </c>
      <c r="C10" s="3">
        <f t="shared" si="0"/>
        <v>0</v>
      </c>
      <c r="D10" s="3">
        <f t="shared" si="0"/>
        <v>0</v>
      </c>
      <c r="E10" s="3">
        <f t="shared" si="0"/>
        <v>0</v>
      </c>
      <c r="F10" s="3">
        <f t="shared" si="0"/>
        <v>0</v>
      </c>
      <c r="G10" s="3">
        <f t="shared" si="0"/>
        <v>0</v>
      </c>
      <c r="H10" s="3">
        <f t="shared" si="0"/>
        <v>0</v>
      </c>
      <c r="I10" s="3">
        <f t="shared" si="0"/>
        <v>0</v>
      </c>
      <c r="J10" s="3">
        <f t="shared" si="0"/>
        <v>0</v>
      </c>
      <c r="K10" s="3">
        <f t="shared" si="0"/>
        <v>0</v>
      </c>
      <c r="L10" s="3">
        <f t="shared" si="0"/>
        <v>0</v>
      </c>
    </row>
    <row r="11" spans="1:16">
      <c r="A11" s="38">
        <v>5</v>
      </c>
      <c r="B11" s="30">
        <v>0</v>
      </c>
      <c r="C11" s="3">
        <f t="shared" si="0"/>
        <v>0</v>
      </c>
      <c r="D11" s="3">
        <f t="shared" si="0"/>
        <v>0</v>
      </c>
      <c r="E11" s="3">
        <f t="shared" si="0"/>
        <v>0</v>
      </c>
      <c r="F11" s="3">
        <f t="shared" si="0"/>
        <v>0</v>
      </c>
      <c r="G11" s="3">
        <f t="shared" si="0"/>
        <v>0</v>
      </c>
      <c r="H11" s="3">
        <f t="shared" si="0"/>
        <v>0</v>
      </c>
      <c r="I11" s="3">
        <f t="shared" si="0"/>
        <v>0</v>
      </c>
      <c r="J11" s="3">
        <f t="shared" si="0"/>
        <v>0</v>
      </c>
      <c r="K11" s="3">
        <f t="shared" si="0"/>
        <v>0</v>
      </c>
      <c r="L11" s="3">
        <f t="shared" si="0"/>
        <v>0</v>
      </c>
    </row>
    <row r="12" spans="1:16">
      <c r="A12" s="38">
        <v>6</v>
      </c>
      <c r="B12" s="30">
        <v>0</v>
      </c>
      <c r="C12" s="3">
        <f t="shared" si="0"/>
        <v>0</v>
      </c>
      <c r="D12" s="3">
        <f t="shared" si="0"/>
        <v>0</v>
      </c>
      <c r="E12" s="3">
        <f t="shared" si="0"/>
        <v>0</v>
      </c>
      <c r="F12" s="3">
        <f t="shared" si="0"/>
        <v>0</v>
      </c>
      <c r="G12" s="3">
        <f t="shared" si="0"/>
        <v>0</v>
      </c>
      <c r="H12" s="3">
        <f t="shared" si="0"/>
        <v>0</v>
      </c>
      <c r="I12" s="3">
        <f t="shared" si="0"/>
        <v>0</v>
      </c>
      <c r="J12" s="3">
        <f t="shared" si="0"/>
        <v>0</v>
      </c>
      <c r="K12" s="3">
        <f t="shared" si="0"/>
        <v>0</v>
      </c>
      <c r="L12" s="3">
        <f t="shared" si="0"/>
        <v>0</v>
      </c>
    </row>
    <row r="13" spans="1:16">
      <c r="A13" s="38">
        <v>7</v>
      </c>
      <c r="B13" s="30">
        <v>0</v>
      </c>
      <c r="C13" s="3">
        <f t="shared" si="0"/>
        <v>0</v>
      </c>
      <c r="D13" s="3">
        <f t="shared" si="0"/>
        <v>0</v>
      </c>
      <c r="E13" s="3">
        <f t="shared" si="0"/>
        <v>0</v>
      </c>
      <c r="F13" s="3">
        <f t="shared" si="0"/>
        <v>0</v>
      </c>
      <c r="G13" s="3">
        <f t="shared" si="0"/>
        <v>0</v>
      </c>
      <c r="H13" s="3">
        <f t="shared" si="0"/>
        <v>0</v>
      </c>
      <c r="I13" s="3">
        <f t="shared" si="0"/>
        <v>0</v>
      </c>
      <c r="J13" s="3">
        <f t="shared" si="0"/>
        <v>0</v>
      </c>
      <c r="K13" s="3">
        <f t="shared" si="0"/>
        <v>0</v>
      </c>
      <c r="L13" s="3">
        <f t="shared" si="0"/>
        <v>0</v>
      </c>
    </row>
    <row r="14" spans="1:16">
      <c r="A14" s="38">
        <v>8</v>
      </c>
      <c r="B14" s="30">
        <v>0</v>
      </c>
      <c r="C14" s="3">
        <f t="shared" si="0"/>
        <v>0</v>
      </c>
      <c r="D14" s="3">
        <f t="shared" si="0"/>
        <v>0</v>
      </c>
      <c r="E14" s="3">
        <f t="shared" si="0"/>
        <v>0</v>
      </c>
      <c r="F14" s="3">
        <f t="shared" si="0"/>
        <v>0</v>
      </c>
      <c r="G14" s="3">
        <f t="shared" si="0"/>
        <v>0</v>
      </c>
      <c r="H14" s="3">
        <f t="shared" si="0"/>
        <v>0</v>
      </c>
      <c r="I14" s="3">
        <f t="shared" si="0"/>
        <v>0</v>
      </c>
      <c r="J14" s="3">
        <f t="shared" si="0"/>
        <v>0</v>
      </c>
      <c r="K14" s="3">
        <f t="shared" si="0"/>
        <v>0</v>
      </c>
      <c r="L14" s="3">
        <f t="shared" si="0"/>
        <v>0</v>
      </c>
    </row>
    <row r="15" spans="1:16">
      <c r="A15" s="38">
        <v>9</v>
      </c>
      <c r="B15" s="30">
        <v>0</v>
      </c>
      <c r="C15" s="3">
        <f t="shared" si="0"/>
        <v>0</v>
      </c>
      <c r="D15" s="3">
        <f t="shared" si="0"/>
        <v>0</v>
      </c>
      <c r="E15" s="3">
        <f t="shared" si="0"/>
        <v>0</v>
      </c>
      <c r="F15" s="3">
        <f t="shared" si="0"/>
        <v>0</v>
      </c>
      <c r="G15" s="3">
        <f t="shared" si="0"/>
        <v>0</v>
      </c>
      <c r="H15" s="3">
        <f t="shared" si="0"/>
        <v>0</v>
      </c>
      <c r="I15" s="3">
        <f t="shared" si="0"/>
        <v>0</v>
      </c>
      <c r="J15" s="3">
        <f t="shared" si="0"/>
        <v>0</v>
      </c>
      <c r="K15" s="3">
        <f t="shared" si="0"/>
        <v>0</v>
      </c>
      <c r="L15" s="3">
        <f t="shared" si="0"/>
        <v>0</v>
      </c>
    </row>
    <row r="18" spans="1:21" ht="13.5">
      <c r="B18" s="40" t="s">
        <v>98</v>
      </c>
      <c r="C18" s="31">
        <v>1</v>
      </c>
      <c r="D18" s="31">
        <v>2</v>
      </c>
      <c r="E18" s="31">
        <v>3</v>
      </c>
      <c r="F18" s="31">
        <v>4</v>
      </c>
      <c r="G18" s="31">
        <v>5</v>
      </c>
      <c r="H18" s="31">
        <v>6</v>
      </c>
      <c r="I18" s="31">
        <v>7</v>
      </c>
      <c r="J18" s="31">
        <v>8</v>
      </c>
      <c r="K18" s="31">
        <v>9</v>
      </c>
      <c r="L18" s="31">
        <v>10</v>
      </c>
      <c r="M18" s="31">
        <v>11</v>
      </c>
      <c r="N18" s="31">
        <v>12</v>
      </c>
      <c r="O18" s="31">
        <v>13</v>
      </c>
      <c r="P18" s="31">
        <v>14</v>
      </c>
      <c r="Q18" s="31">
        <v>15</v>
      </c>
      <c r="R18" s="31">
        <v>16</v>
      </c>
      <c r="S18" s="31">
        <v>17</v>
      </c>
      <c r="T18" s="31">
        <v>18</v>
      </c>
    </row>
    <row r="19" spans="1:21" ht="17.100000000000001" customHeight="1">
      <c r="A19" s="32" t="s">
        <v>32</v>
      </c>
      <c r="B19" s="33">
        <f>SUM(C6)</f>
        <v>0.77439999999999998</v>
      </c>
      <c r="C19" s="33">
        <f>SUM(D6,C7)</f>
        <v>0.17600000000000002</v>
      </c>
      <c r="D19" s="33">
        <f>SUM(E6,D7,C8)</f>
        <v>4.5200000000000004E-2</v>
      </c>
      <c r="E19" s="33">
        <f>SUM(F6,E7,D8,C9)</f>
        <v>4.0000000000000001E-3</v>
      </c>
      <c r="F19" s="33">
        <f>SUM(G6,F7,E8,D9,C10)</f>
        <v>4.0000000000000002E-4</v>
      </c>
      <c r="G19" s="33">
        <f>SUM(H6,G7,F8,E9,D10,C11)</f>
        <v>0</v>
      </c>
      <c r="H19" s="33">
        <f>SUM(I6,H7,G8,F9,E10,D11,C12)</f>
        <v>0</v>
      </c>
      <c r="I19" s="33">
        <f>SUM(J6,I7,H8,G9,F10,E11,D12,C13)</f>
        <v>0</v>
      </c>
      <c r="J19" s="33">
        <f>SUM(K6,J7,I8,H9,G10,F11,E12,D13,C14)</f>
        <v>0</v>
      </c>
      <c r="K19" s="33">
        <f>SUM(L6,K7,J8,I9,H10,G11,F12,E13,D14,C15)</f>
        <v>0</v>
      </c>
      <c r="L19" s="33">
        <f>SUM(L7,K8,J9,I10,H11,G12,F13,E14,D15)</f>
        <v>0</v>
      </c>
      <c r="M19" s="33">
        <f>SUM(L8,K9,J10,I11,H12,G13,F14,E15)</f>
        <v>0</v>
      </c>
      <c r="N19" s="33">
        <f>SUM(L9,K10,J11,I12,H13,G14,F15)</f>
        <v>0</v>
      </c>
      <c r="O19" s="33">
        <f>SUM(L10,K11,J12,I13,H14,G15)</f>
        <v>0</v>
      </c>
      <c r="P19" s="33">
        <f>SUM(L11,K12,J13,I14,H15)</f>
        <v>0</v>
      </c>
      <c r="Q19" s="33">
        <f>SUM(L12,K13,J14,I15)</f>
        <v>0</v>
      </c>
      <c r="R19" s="33">
        <f>SUM(L13,K14,J15)</f>
        <v>0</v>
      </c>
      <c r="S19" s="33">
        <f>SUM(L14,K15)</f>
        <v>0</v>
      </c>
      <c r="T19" s="33">
        <f>SUM(L15)</f>
        <v>0</v>
      </c>
    </row>
    <row r="20" spans="1:21" ht="17.100000000000001" customHeight="1">
      <c r="A20" s="34" t="s">
        <v>33</v>
      </c>
      <c r="B20" s="33">
        <f>SUM($B$19:B19)</f>
        <v>0.77439999999999998</v>
      </c>
      <c r="C20" s="33">
        <f>SUM($B$19:C19)</f>
        <v>0.95040000000000002</v>
      </c>
      <c r="D20" s="33">
        <f>SUM($B$19:D19)</f>
        <v>0.99560000000000004</v>
      </c>
      <c r="E20" s="33">
        <f>SUM($B$19:E19)</f>
        <v>0.99960000000000004</v>
      </c>
      <c r="F20" s="33">
        <f>SUM($B$19:F19)</f>
        <v>1</v>
      </c>
      <c r="G20" s="33">
        <f>SUM($B$19:G19)</f>
        <v>1</v>
      </c>
      <c r="H20" s="33">
        <f>SUM($B$19:H19)</f>
        <v>1</v>
      </c>
      <c r="I20" s="33">
        <f>SUM($B$19:I19)</f>
        <v>1</v>
      </c>
      <c r="J20" s="33">
        <f>SUM($B$19:J19)</f>
        <v>1</v>
      </c>
      <c r="K20" s="33">
        <f>SUM($B$19:K19)</f>
        <v>1</v>
      </c>
      <c r="L20" s="33">
        <f>SUM($B$19:L19)</f>
        <v>1</v>
      </c>
      <c r="M20" s="33">
        <f>SUM($B$19:M19)</f>
        <v>1</v>
      </c>
      <c r="N20" s="33">
        <f>SUM($B$19:N19)</f>
        <v>1</v>
      </c>
      <c r="O20" s="33">
        <f>SUM($B$19:O19)</f>
        <v>1</v>
      </c>
      <c r="P20" s="33">
        <f>SUM($B$19:P19)</f>
        <v>1</v>
      </c>
      <c r="Q20" s="33">
        <f>SUM($B$19:Q19)</f>
        <v>1</v>
      </c>
      <c r="R20" s="33">
        <f>SUM($B$19:R19)</f>
        <v>1</v>
      </c>
      <c r="S20" s="33">
        <f>SUM($B$19:S19)</f>
        <v>1</v>
      </c>
      <c r="T20" s="33">
        <f>SUM($B$19:T19)</f>
        <v>1</v>
      </c>
    </row>
    <row r="23" spans="1:21" ht="13.5">
      <c r="C23" s="39" t="s">
        <v>99</v>
      </c>
      <c r="D23" s="3">
        <v>1</v>
      </c>
      <c r="E23" s="3">
        <v>2</v>
      </c>
      <c r="F23" s="3">
        <v>3</v>
      </c>
      <c r="G23" s="3">
        <v>4</v>
      </c>
      <c r="H23" s="3">
        <v>5</v>
      </c>
      <c r="I23" s="3">
        <v>6</v>
      </c>
      <c r="J23" s="3">
        <v>7</v>
      </c>
      <c r="K23" s="3">
        <v>8</v>
      </c>
      <c r="L23" s="3">
        <v>9</v>
      </c>
      <c r="M23" s="3">
        <v>10</v>
      </c>
      <c r="N23" s="3">
        <v>11</v>
      </c>
      <c r="O23" s="3">
        <v>12</v>
      </c>
      <c r="P23" s="3">
        <v>13</v>
      </c>
      <c r="Q23" s="3">
        <v>14</v>
      </c>
      <c r="R23" s="3">
        <v>15</v>
      </c>
      <c r="S23" s="3">
        <v>16</v>
      </c>
      <c r="T23" s="3">
        <v>17</v>
      </c>
      <c r="U23" s="3">
        <v>18</v>
      </c>
    </row>
    <row r="24" spans="1:21">
      <c r="B24" s="28" t="s">
        <v>32</v>
      </c>
      <c r="C24" s="35">
        <f t="shared" ref="C24:U24" si="1">B19</f>
        <v>0.77439999999999998</v>
      </c>
      <c r="D24" s="35">
        <f t="shared" si="1"/>
        <v>0.17600000000000002</v>
      </c>
      <c r="E24" s="35">
        <f t="shared" si="1"/>
        <v>4.5200000000000004E-2</v>
      </c>
      <c r="F24" s="35">
        <f t="shared" si="1"/>
        <v>4.0000000000000001E-3</v>
      </c>
      <c r="G24" s="35">
        <f t="shared" si="1"/>
        <v>4.0000000000000002E-4</v>
      </c>
      <c r="H24" s="35">
        <f t="shared" si="1"/>
        <v>0</v>
      </c>
      <c r="I24" s="35">
        <f t="shared" si="1"/>
        <v>0</v>
      </c>
      <c r="J24" s="35">
        <f t="shared" si="1"/>
        <v>0</v>
      </c>
      <c r="K24" s="35">
        <f t="shared" si="1"/>
        <v>0</v>
      </c>
      <c r="L24" s="35">
        <f t="shared" si="1"/>
        <v>0</v>
      </c>
      <c r="M24" s="35">
        <f t="shared" si="1"/>
        <v>0</v>
      </c>
      <c r="N24" s="35">
        <f t="shared" si="1"/>
        <v>0</v>
      </c>
      <c r="O24" s="35">
        <f t="shared" si="1"/>
        <v>0</v>
      </c>
      <c r="P24" s="35">
        <f t="shared" si="1"/>
        <v>0</v>
      </c>
      <c r="Q24" s="35">
        <f t="shared" si="1"/>
        <v>0</v>
      </c>
      <c r="R24" s="35">
        <f t="shared" si="1"/>
        <v>0</v>
      </c>
      <c r="S24" s="35">
        <f t="shared" si="1"/>
        <v>0</v>
      </c>
      <c r="T24" s="35">
        <f t="shared" si="1"/>
        <v>0</v>
      </c>
      <c r="U24" s="35">
        <f t="shared" si="1"/>
        <v>0</v>
      </c>
    </row>
    <row r="25" spans="1:21" ht="13.5">
      <c r="A25" s="39" t="s">
        <v>98</v>
      </c>
      <c r="B25" s="36">
        <f>B19</f>
        <v>0.77439999999999998</v>
      </c>
      <c r="C25" s="3">
        <f t="shared" ref="C25:R40" si="2">PRODUCT(C$24,$B25)</f>
        <v>0.59969536000000001</v>
      </c>
      <c r="D25" s="3">
        <f t="shared" si="2"/>
        <v>0.13629440000000001</v>
      </c>
      <c r="E25" s="3">
        <f t="shared" si="2"/>
        <v>3.500288E-2</v>
      </c>
      <c r="F25" s="3">
        <f t="shared" si="2"/>
        <v>3.0975999999999998E-3</v>
      </c>
      <c r="G25" s="3">
        <f t="shared" si="2"/>
        <v>3.0976000000000002E-4</v>
      </c>
      <c r="H25" s="3">
        <f t="shared" si="2"/>
        <v>0</v>
      </c>
      <c r="I25" s="3">
        <f t="shared" si="2"/>
        <v>0</v>
      </c>
      <c r="J25" s="3">
        <f t="shared" si="2"/>
        <v>0</v>
      </c>
      <c r="K25" s="3">
        <f t="shared" si="2"/>
        <v>0</v>
      </c>
      <c r="L25" s="3">
        <f t="shared" si="2"/>
        <v>0</v>
      </c>
      <c r="M25" s="3">
        <f t="shared" si="2"/>
        <v>0</v>
      </c>
      <c r="N25" s="3">
        <f t="shared" si="2"/>
        <v>0</v>
      </c>
      <c r="O25" s="3">
        <f t="shared" si="2"/>
        <v>0</v>
      </c>
      <c r="P25" s="3">
        <f t="shared" si="2"/>
        <v>0</v>
      </c>
      <c r="Q25" s="3">
        <f t="shared" si="2"/>
        <v>0</v>
      </c>
      <c r="R25" s="3">
        <f t="shared" si="2"/>
        <v>0</v>
      </c>
      <c r="S25" s="3">
        <f t="shared" ref="M25:U40" si="3">PRODUCT(S$24,$B25)</f>
        <v>0</v>
      </c>
      <c r="T25" s="3">
        <f t="shared" si="3"/>
        <v>0</v>
      </c>
      <c r="U25" s="3">
        <f t="shared" si="3"/>
        <v>0</v>
      </c>
    </row>
    <row r="26" spans="1:21">
      <c r="A26" s="38">
        <v>1</v>
      </c>
      <c r="B26" s="36">
        <f>C19</f>
        <v>0.17600000000000002</v>
      </c>
      <c r="C26" s="3">
        <f t="shared" si="2"/>
        <v>0.13629440000000001</v>
      </c>
      <c r="D26" s="3">
        <f t="shared" si="2"/>
        <v>3.0976000000000007E-2</v>
      </c>
      <c r="E26" s="3">
        <f t="shared" si="2"/>
        <v>7.9552000000000008E-3</v>
      </c>
      <c r="F26" s="3">
        <f t="shared" si="2"/>
        <v>7.0400000000000009E-4</v>
      </c>
      <c r="G26" s="3">
        <f t="shared" si="2"/>
        <v>7.0400000000000017E-5</v>
      </c>
      <c r="H26" s="3">
        <f t="shared" si="2"/>
        <v>0</v>
      </c>
      <c r="I26" s="3">
        <f t="shared" si="2"/>
        <v>0</v>
      </c>
      <c r="J26" s="3">
        <f t="shared" si="2"/>
        <v>0</v>
      </c>
      <c r="K26" s="3">
        <f t="shared" si="2"/>
        <v>0</v>
      </c>
      <c r="L26" s="3">
        <f t="shared" si="2"/>
        <v>0</v>
      </c>
      <c r="M26" s="3">
        <f t="shared" si="3"/>
        <v>0</v>
      </c>
      <c r="N26" s="3">
        <f t="shared" si="3"/>
        <v>0</v>
      </c>
      <c r="O26" s="3">
        <f t="shared" si="3"/>
        <v>0</v>
      </c>
      <c r="P26" s="3">
        <f t="shared" si="3"/>
        <v>0</v>
      </c>
      <c r="Q26" s="3">
        <f t="shared" si="3"/>
        <v>0</v>
      </c>
      <c r="R26" s="3">
        <f t="shared" si="3"/>
        <v>0</v>
      </c>
      <c r="S26" s="3">
        <f t="shared" si="3"/>
        <v>0</v>
      </c>
      <c r="T26" s="3">
        <f t="shared" si="3"/>
        <v>0</v>
      </c>
      <c r="U26" s="3">
        <f t="shared" si="3"/>
        <v>0</v>
      </c>
    </row>
    <row r="27" spans="1:21">
      <c r="A27" s="38">
        <v>2</v>
      </c>
      <c r="B27" s="36">
        <f>D19</f>
        <v>4.5200000000000004E-2</v>
      </c>
      <c r="C27" s="3">
        <f t="shared" si="2"/>
        <v>3.500288E-2</v>
      </c>
      <c r="D27" s="3">
        <f t="shared" si="2"/>
        <v>7.9552000000000008E-3</v>
      </c>
      <c r="E27" s="3">
        <f t="shared" si="2"/>
        <v>2.0430400000000003E-3</v>
      </c>
      <c r="F27" s="3">
        <f t="shared" si="2"/>
        <v>1.8080000000000003E-4</v>
      </c>
      <c r="G27" s="3">
        <f t="shared" si="2"/>
        <v>1.8080000000000003E-5</v>
      </c>
      <c r="H27" s="3">
        <f t="shared" si="2"/>
        <v>0</v>
      </c>
      <c r="I27" s="3">
        <f t="shared" si="2"/>
        <v>0</v>
      </c>
      <c r="J27" s="3">
        <f t="shared" si="2"/>
        <v>0</v>
      </c>
      <c r="K27" s="3">
        <f t="shared" si="2"/>
        <v>0</v>
      </c>
      <c r="L27" s="3">
        <f t="shared" si="2"/>
        <v>0</v>
      </c>
      <c r="M27" s="3">
        <f t="shared" si="3"/>
        <v>0</v>
      </c>
      <c r="N27" s="3">
        <f t="shared" si="3"/>
        <v>0</v>
      </c>
      <c r="O27" s="3">
        <f t="shared" si="3"/>
        <v>0</v>
      </c>
      <c r="P27" s="3">
        <f t="shared" si="3"/>
        <v>0</v>
      </c>
      <c r="Q27" s="3">
        <f t="shared" si="3"/>
        <v>0</v>
      </c>
      <c r="R27" s="3">
        <f t="shared" si="3"/>
        <v>0</v>
      </c>
      <c r="S27" s="3">
        <f t="shared" si="3"/>
        <v>0</v>
      </c>
      <c r="T27" s="3">
        <f t="shared" si="3"/>
        <v>0</v>
      </c>
      <c r="U27" s="3">
        <f t="shared" si="3"/>
        <v>0</v>
      </c>
    </row>
    <row r="28" spans="1:21">
      <c r="A28" s="38">
        <v>3</v>
      </c>
      <c r="B28" s="36">
        <f>E19</f>
        <v>4.0000000000000001E-3</v>
      </c>
      <c r="C28" s="3">
        <f t="shared" si="2"/>
        <v>3.0975999999999998E-3</v>
      </c>
      <c r="D28" s="3">
        <f t="shared" si="2"/>
        <v>7.0400000000000009E-4</v>
      </c>
      <c r="E28" s="3">
        <f t="shared" si="2"/>
        <v>1.8080000000000003E-4</v>
      </c>
      <c r="F28" s="3">
        <f t="shared" si="2"/>
        <v>1.5999999999999999E-5</v>
      </c>
      <c r="G28" s="3">
        <f t="shared" si="2"/>
        <v>1.6000000000000001E-6</v>
      </c>
      <c r="H28" s="3">
        <f t="shared" si="2"/>
        <v>0</v>
      </c>
      <c r="I28" s="3">
        <f t="shared" si="2"/>
        <v>0</v>
      </c>
      <c r="J28" s="3">
        <f t="shared" si="2"/>
        <v>0</v>
      </c>
      <c r="K28" s="3">
        <f t="shared" si="2"/>
        <v>0</v>
      </c>
      <c r="L28" s="3">
        <f t="shared" si="2"/>
        <v>0</v>
      </c>
      <c r="M28" s="3">
        <f t="shared" si="3"/>
        <v>0</v>
      </c>
      <c r="N28" s="3">
        <f t="shared" si="3"/>
        <v>0</v>
      </c>
      <c r="O28" s="3">
        <f t="shared" si="3"/>
        <v>0</v>
      </c>
      <c r="P28" s="3">
        <f t="shared" si="3"/>
        <v>0</v>
      </c>
      <c r="Q28" s="3">
        <f t="shared" si="3"/>
        <v>0</v>
      </c>
      <c r="R28" s="3">
        <f t="shared" si="3"/>
        <v>0</v>
      </c>
      <c r="S28" s="3">
        <f t="shared" si="3"/>
        <v>0</v>
      </c>
      <c r="T28" s="3">
        <f t="shared" si="3"/>
        <v>0</v>
      </c>
      <c r="U28" s="3">
        <f t="shared" si="3"/>
        <v>0</v>
      </c>
    </row>
    <row r="29" spans="1:21">
      <c r="A29" s="38">
        <v>4</v>
      </c>
      <c r="B29" s="36">
        <f>F19</f>
        <v>4.0000000000000002E-4</v>
      </c>
      <c r="C29" s="3">
        <f t="shared" si="2"/>
        <v>3.0976000000000002E-4</v>
      </c>
      <c r="D29" s="3">
        <f t="shared" si="2"/>
        <v>7.0400000000000017E-5</v>
      </c>
      <c r="E29" s="3">
        <f t="shared" si="2"/>
        <v>1.8080000000000003E-5</v>
      </c>
      <c r="F29" s="3">
        <f t="shared" si="2"/>
        <v>1.6000000000000001E-6</v>
      </c>
      <c r="G29" s="3">
        <f t="shared" si="2"/>
        <v>1.6E-7</v>
      </c>
      <c r="H29" s="3">
        <f t="shared" si="2"/>
        <v>0</v>
      </c>
      <c r="I29" s="3">
        <f t="shared" si="2"/>
        <v>0</v>
      </c>
      <c r="J29" s="3">
        <f t="shared" si="2"/>
        <v>0</v>
      </c>
      <c r="K29" s="3">
        <f t="shared" si="2"/>
        <v>0</v>
      </c>
      <c r="L29" s="3">
        <f t="shared" si="2"/>
        <v>0</v>
      </c>
      <c r="M29" s="3">
        <f t="shared" si="3"/>
        <v>0</v>
      </c>
      <c r="N29" s="3">
        <f t="shared" si="3"/>
        <v>0</v>
      </c>
      <c r="O29" s="3">
        <f t="shared" si="3"/>
        <v>0</v>
      </c>
      <c r="P29" s="3">
        <f t="shared" si="3"/>
        <v>0</v>
      </c>
      <c r="Q29" s="3">
        <f t="shared" si="3"/>
        <v>0</v>
      </c>
      <c r="R29" s="3">
        <f t="shared" si="3"/>
        <v>0</v>
      </c>
      <c r="S29" s="3">
        <f t="shared" si="3"/>
        <v>0</v>
      </c>
      <c r="T29" s="3">
        <f t="shared" si="3"/>
        <v>0</v>
      </c>
      <c r="U29" s="3">
        <f t="shared" si="3"/>
        <v>0</v>
      </c>
    </row>
    <row r="30" spans="1:21">
      <c r="A30" s="38">
        <v>5</v>
      </c>
      <c r="B30" s="36">
        <f>G19</f>
        <v>0</v>
      </c>
      <c r="C30" s="3">
        <f t="shared" si="2"/>
        <v>0</v>
      </c>
      <c r="D30" s="3">
        <f t="shared" si="2"/>
        <v>0</v>
      </c>
      <c r="E30" s="3">
        <f t="shared" si="2"/>
        <v>0</v>
      </c>
      <c r="F30" s="3">
        <f t="shared" si="2"/>
        <v>0</v>
      </c>
      <c r="G30" s="3">
        <f t="shared" si="2"/>
        <v>0</v>
      </c>
      <c r="H30" s="3">
        <f t="shared" si="2"/>
        <v>0</v>
      </c>
      <c r="I30" s="3">
        <f t="shared" si="2"/>
        <v>0</v>
      </c>
      <c r="J30" s="3">
        <f t="shared" si="2"/>
        <v>0</v>
      </c>
      <c r="K30" s="3">
        <f t="shared" si="2"/>
        <v>0</v>
      </c>
      <c r="L30" s="3">
        <f t="shared" si="2"/>
        <v>0</v>
      </c>
      <c r="M30" s="3">
        <f t="shared" si="3"/>
        <v>0</v>
      </c>
      <c r="N30" s="3">
        <f t="shared" si="3"/>
        <v>0</v>
      </c>
      <c r="O30" s="3">
        <f t="shared" si="3"/>
        <v>0</v>
      </c>
      <c r="P30" s="3">
        <f t="shared" si="3"/>
        <v>0</v>
      </c>
      <c r="Q30" s="3">
        <f t="shared" si="3"/>
        <v>0</v>
      </c>
      <c r="R30" s="3">
        <f t="shared" si="3"/>
        <v>0</v>
      </c>
      <c r="S30" s="3">
        <f t="shared" si="3"/>
        <v>0</v>
      </c>
      <c r="T30" s="3">
        <f t="shared" si="3"/>
        <v>0</v>
      </c>
      <c r="U30" s="3">
        <f t="shared" si="3"/>
        <v>0</v>
      </c>
    </row>
    <row r="31" spans="1:21">
      <c r="A31" s="38">
        <v>6</v>
      </c>
      <c r="B31" s="36">
        <f>H19</f>
        <v>0</v>
      </c>
      <c r="C31" s="3">
        <f t="shared" si="2"/>
        <v>0</v>
      </c>
      <c r="D31" s="3">
        <f t="shared" si="2"/>
        <v>0</v>
      </c>
      <c r="E31" s="3">
        <f t="shared" si="2"/>
        <v>0</v>
      </c>
      <c r="F31" s="3">
        <f t="shared" si="2"/>
        <v>0</v>
      </c>
      <c r="G31" s="3">
        <f t="shared" si="2"/>
        <v>0</v>
      </c>
      <c r="H31" s="3">
        <f t="shared" si="2"/>
        <v>0</v>
      </c>
      <c r="I31" s="3">
        <f t="shared" si="2"/>
        <v>0</v>
      </c>
      <c r="J31" s="3">
        <f t="shared" si="2"/>
        <v>0</v>
      </c>
      <c r="K31" s="3">
        <f t="shared" si="2"/>
        <v>0</v>
      </c>
      <c r="L31" s="3">
        <f t="shared" si="2"/>
        <v>0</v>
      </c>
      <c r="M31" s="3">
        <f t="shared" si="3"/>
        <v>0</v>
      </c>
      <c r="N31" s="3">
        <f t="shared" si="3"/>
        <v>0</v>
      </c>
      <c r="O31" s="3">
        <f t="shared" si="3"/>
        <v>0</v>
      </c>
      <c r="P31" s="3">
        <f t="shared" si="3"/>
        <v>0</v>
      </c>
      <c r="Q31" s="3">
        <f t="shared" si="3"/>
        <v>0</v>
      </c>
      <c r="R31" s="3">
        <f t="shared" si="3"/>
        <v>0</v>
      </c>
      <c r="S31" s="3">
        <f t="shared" si="3"/>
        <v>0</v>
      </c>
      <c r="T31" s="3">
        <f t="shared" si="3"/>
        <v>0</v>
      </c>
      <c r="U31" s="3">
        <f t="shared" si="3"/>
        <v>0</v>
      </c>
    </row>
    <row r="32" spans="1:21">
      <c r="A32" s="38">
        <v>7</v>
      </c>
      <c r="B32" s="36">
        <f>I19</f>
        <v>0</v>
      </c>
      <c r="C32" s="3">
        <f t="shared" si="2"/>
        <v>0</v>
      </c>
      <c r="D32" s="3">
        <f t="shared" si="2"/>
        <v>0</v>
      </c>
      <c r="E32" s="3">
        <f t="shared" si="2"/>
        <v>0</v>
      </c>
      <c r="F32" s="3">
        <f t="shared" si="2"/>
        <v>0</v>
      </c>
      <c r="G32" s="3">
        <f t="shared" si="2"/>
        <v>0</v>
      </c>
      <c r="H32" s="3">
        <f t="shared" si="2"/>
        <v>0</v>
      </c>
      <c r="I32" s="3">
        <f t="shared" si="2"/>
        <v>0</v>
      </c>
      <c r="J32" s="3">
        <f t="shared" si="2"/>
        <v>0</v>
      </c>
      <c r="K32" s="3">
        <f t="shared" si="2"/>
        <v>0</v>
      </c>
      <c r="L32" s="3">
        <f t="shared" si="2"/>
        <v>0</v>
      </c>
      <c r="M32" s="3">
        <f t="shared" si="3"/>
        <v>0</v>
      </c>
      <c r="N32" s="3">
        <f t="shared" si="3"/>
        <v>0</v>
      </c>
      <c r="O32" s="3">
        <f t="shared" si="3"/>
        <v>0</v>
      </c>
      <c r="P32" s="3">
        <f t="shared" si="3"/>
        <v>0</v>
      </c>
      <c r="Q32" s="3">
        <f t="shared" si="3"/>
        <v>0</v>
      </c>
      <c r="R32" s="3">
        <f t="shared" si="3"/>
        <v>0</v>
      </c>
      <c r="S32" s="3">
        <f t="shared" si="3"/>
        <v>0</v>
      </c>
      <c r="T32" s="3">
        <f t="shared" si="3"/>
        <v>0</v>
      </c>
      <c r="U32" s="3">
        <f t="shared" si="3"/>
        <v>0</v>
      </c>
    </row>
    <row r="33" spans="1:38">
      <c r="A33" s="38">
        <v>8</v>
      </c>
      <c r="B33" s="36">
        <f>J19</f>
        <v>0</v>
      </c>
      <c r="C33" s="3">
        <f t="shared" si="2"/>
        <v>0</v>
      </c>
      <c r="D33" s="3">
        <f t="shared" si="2"/>
        <v>0</v>
      </c>
      <c r="E33" s="3">
        <f t="shared" si="2"/>
        <v>0</v>
      </c>
      <c r="F33" s="3">
        <f t="shared" si="2"/>
        <v>0</v>
      </c>
      <c r="G33" s="3">
        <f t="shared" si="2"/>
        <v>0</v>
      </c>
      <c r="H33" s="3">
        <f t="shared" si="2"/>
        <v>0</v>
      </c>
      <c r="I33" s="3">
        <f t="shared" si="2"/>
        <v>0</v>
      </c>
      <c r="J33" s="3">
        <f t="shared" si="2"/>
        <v>0</v>
      </c>
      <c r="K33" s="3">
        <f t="shared" si="2"/>
        <v>0</v>
      </c>
      <c r="L33" s="3">
        <f t="shared" si="2"/>
        <v>0</v>
      </c>
      <c r="M33" s="3">
        <f t="shared" si="3"/>
        <v>0</v>
      </c>
      <c r="N33" s="3">
        <f t="shared" si="3"/>
        <v>0</v>
      </c>
      <c r="O33" s="3">
        <f t="shared" si="3"/>
        <v>0</v>
      </c>
      <c r="P33" s="3">
        <f t="shared" si="3"/>
        <v>0</v>
      </c>
      <c r="Q33" s="3">
        <f t="shared" si="3"/>
        <v>0</v>
      </c>
      <c r="R33" s="3">
        <f t="shared" si="3"/>
        <v>0</v>
      </c>
      <c r="S33" s="3">
        <f t="shared" si="3"/>
        <v>0</v>
      </c>
      <c r="T33" s="3">
        <f t="shared" si="3"/>
        <v>0</v>
      </c>
      <c r="U33" s="3">
        <f t="shared" si="3"/>
        <v>0</v>
      </c>
    </row>
    <row r="34" spans="1:38">
      <c r="A34" s="38">
        <v>9</v>
      </c>
      <c r="B34" s="36">
        <f>K19</f>
        <v>0</v>
      </c>
      <c r="C34" s="3">
        <f t="shared" si="2"/>
        <v>0</v>
      </c>
      <c r="D34" s="3">
        <f t="shared" si="2"/>
        <v>0</v>
      </c>
      <c r="E34" s="3">
        <f t="shared" si="2"/>
        <v>0</v>
      </c>
      <c r="F34" s="3">
        <f t="shared" si="2"/>
        <v>0</v>
      </c>
      <c r="G34" s="3">
        <f t="shared" si="2"/>
        <v>0</v>
      </c>
      <c r="H34" s="3">
        <f t="shared" si="2"/>
        <v>0</v>
      </c>
      <c r="I34" s="3">
        <f t="shared" si="2"/>
        <v>0</v>
      </c>
      <c r="J34" s="3">
        <f t="shared" si="2"/>
        <v>0</v>
      </c>
      <c r="K34" s="3">
        <f t="shared" si="2"/>
        <v>0</v>
      </c>
      <c r="L34" s="3">
        <f t="shared" si="2"/>
        <v>0</v>
      </c>
      <c r="M34" s="3">
        <f t="shared" si="3"/>
        <v>0</v>
      </c>
      <c r="N34" s="3">
        <f t="shared" si="3"/>
        <v>0</v>
      </c>
      <c r="O34" s="3">
        <f t="shared" si="3"/>
        <v>0</v>
      </c>
      <c r="P34" s="3">
        <f t="shared" si="3"/>
        <v>0</v>
      </c>
      <c r="Q34" s="3">
        <f t="shared" si="3"/>
        <v>0</v>
      </c>
      <c r="R34" s="3">
        <f t="shared" si="3"/>
        <v>0</v>
      </c>
      <c r="S34" s="3">
        <f t="shared" si="3"/>
        <v>0</v>
      </c>
      <c r="T34" s="3">
        <f t="shared" si="3"/>
        <v>0</v>
      </c>
      <c r="U34" s="3">
        <f t="shared" si="3"/>
        <v>0</v>
      </c>
    </row>
    <row r="35" spans="1:38">
      <c r="A35" s="38">
        <v>10</v>
      </c>
      <c r="B35" s="36">
        <f>L19</f>
        <v>0</v>
      </c>
      <c r="C35" s="3">
        <f t="shared" si="2"/>
        <v>0</v>
      </c>
      <c r="D35" s="3">
        <f t="shared" si="2"/>
        <v>0</v>
      </c>
      <c r="E35" s="3">
        <f t="shared" si="2"/>
        <v>0</v>
      </c>
      <c r="F35" s="3">
        <f t="shared" si="2"/>
        <v>0</v>
      </c>
      <c r="G35" s="3">
        <f t="shared" si="2"/>
        <v>0</v>
      </c>
      <c r="H35" s="3">
        <f t="shared" si="2"/>
        <v>0</v>
      </c>
      <c r="I35" s="3">
        <f t="shared" si="2"/>
        <v>0</v>
      </c>
      <c r="J35" s="3">
        <f t="shared" si="2"/>
        <v>0</v>
      </c>
      <c r="K35" s="3">
        <f t="shared" si="2"/>
        <v>0</v>
      </c>
      <c r="L35" s="3">
        <f t="shared" si="2"/>
        <v>0</v>
      </c>
      <c r="M35" s="3">
        <f t="shared" si="3"/>
        <v>0</v>
      </c>
      <c r="N35" s="3">
        <f t="shared" si="3"/>
        <v>0</v>
      </c>
      <c r="O35" s="3">
        <f t="shared" si="3"/>
        <v>0</v>
      </c>
      <c r="P35" s="3">
        <f t="shared" si="3"/>
        <v>0</v>
      </c>
      <c r="Q35" s="3">
        <f t="shared" si="3"/>
        <v>0</v>
      </c>
      <c r="R35" s="3">
        <f t="shared" si="3"/>
        <v>0</v>
      </c>
      <c r="S35" s="3">
        <f t="shared" si="3"/>
        <v>0</v>
      </c>
      <c r="T35" s="3">
        <f t="shared" si="3"/>
        <v>0</v>
      </c>
      <c r="U35" s="3">
        <f t="shared" si="3"/>
        <v>0</v>
      </c>
    </row>
    <row r="36" spans="1:38">
      <c r="A36" s="38">
        <v>11</v>
      </c>
      <c r="B36" s="36">
        <f>M19</f>
        <v>0</v>
      </c>
      <c r="C36" s="3">
        <f t="shared" si="2"/>
        <v>0</v>
      </c>
      <c r="D36" s="3">
        <f t="shared" si="2"/>
        <v>0</v>
      </c>
      <c r="E36" s="3">
        <f t="shared" si="2"/>
        <v>0</v>
      </c>
      <c r="F36" s="3">
        <f t="shared" si="2"/>
        <v>0</v>
      </c>
      <c r="G36" s="3">
        <f t="shared" si="2"/>
        <v>0</v>
      </c>
      <c r="H36" s="3">
        <f t="shared" si="2"/>
        <v>0</v>
      </c>
      <c r="I36" s="3">
        <f t="shared" si="2"/>
        <v>0</v>
      </c>
      <c r="J36" s="3">
        <f t="shared" si="2"/>
        <v>0</v>
      </c>
      <c r="K36" s="3">
        <f t="shared" si="2"/>
        <v>0</v>
      </c>
      <c r="L36" s="3">
        <f t="shared" si="2"/>
        <v>0</v>
      </c>
      <c r="M36" s="3">
        <f t="shared" si="3"/>
        <v>0</v>
      </c>
      <c r="N36" s="3">
        <f t="shared" si="3"/>
        <v>0</v>
      </c>
      <c r="O36" s="3">
        <f t="shared" si="3"/>
        <v>0</v>
      </c>
      <c r="P36" s="3">
        <f t="shared" si="3"/>
        <v>0</v>
      </c>
      <c r="Q36" s="3">
        <f t="shared" si="3"/>
        <v>0</v>
      </c>
      <c r="R36" s="3">
        <f t="shared" si="3"/>
        <v>0</v>
      </c>
      <c r="S36" s="3">
        <f t="shared" si="3"/>
        <v>0</v>
      </c>
      <c r="T36" s="3">
        <f t="shared" si="3"/>
        <v>0</v>
      </c>
      <c r="U36" s="3">
        <f t="shared" si="3"/>
        <v>0</v>
      </c>
    </row>
    <row r="37" spans="1:38">
      <c r="A37" s="38">
        <v>12</v>
      </c>
      <c r="B37" s="36">
        <f>N19</f>
        <v>0</v>
      </c>
      <c r="C37" s="3">
        <f t="shared" si="2"/>
        <v>0</v>
      </c>
      <c r="D37" s="3">
        <f t="shared" si="2"/>
        <v>0</v>
      </c>
      <c r="E37" s="3">
        <f t="shared" si="2"/>
        <v>0</v>
      </c>
      <c r="F37" s="3">
        <f t="shared" si="2"/>
        <v>0</v>
      </c>
      <c r="G37" s="3">
        <f t="shared" si="2"/>
        <v>0</v>
      </c>
      <c r="H37" s="3">
        <f t="shared" si="2"/>
        <v>0</v>
      </c>
      <c r="I37" s="3">
        <f t="shared" si="2"/>
        <v>0</v>
      </c>
      <c r="J37" s="3">
        <f t="shared" si="2"/>
        <v>0</v>
      </c>
      <c r="K37" s="3">
        <f t="shared" si="2"/>
        <v>0</v>
      </c>
      <c r="L37" s="3">
        <f t="shared" si="2"/>
        <v>0</v>
      </c>
      <c r="M37" s="3">
        <f t="shared" si="3"/>
        <v>0</v>
      </c>
      <c r="N37" s="3">
        <f t="shared" si="3"/>
        <v>0</v>
      </c>
      <c r="O37" s="3">
        <f t="shared" si="3"/>
        <v>0</v>
      </c>
      <c r="P37" s="3">
        <f t="shared" si="3"/>
        <v>0</v>
      </c>
      <c r="Q37" s="3">
        <f t="shared" si="3"/>
        <v>0</v>
      </c>
      <c r="R37" s="3">
        <f t="shared" si="3"/>
        <v>0</v>
      </c>
      <c r="S37" s="3">
        <f t="shared" si="3"/>
        <v>0</v>
      </c>
      <c r="T37" s="3">
        <f t="shared" si="3"/>
        <v>0</v>
      </c>
      <c r="U37" s="3">
        <f t="shared" si="3"/>
        <v>0</v>
      </c>
    </row>
    <row r="38" spans="1:38">
      <c r="A38" s="38">
        <v>13</v>
      </c>
      <c r="B38" s="36">
        <f>O19</f>
        <v>0</v>
      </c>
      <c r="C38" s="3">
        <f t="shared" si="2"/>
        <v>0</v>
      </c>
      <c r="D38" s="3">
        <f t="shared" si="2"/>
        <v>0</v>
      </c>
      <c r="E38" s="3">
        <f t="shared" si="2"/>
        <v>0</v>
      </c>
      <c r="F38" s="3">
        <f t="shared" si="2"/>
        <v>0</v>
      </c>
      <c r="G38" s="3">
        <f t="shared" si="2"/>
        <v>0</v>
      </c>
      <c r="H38" s="3">
        <f t="shared" si="2"/>
        <v>0</v>
      </c>
      <c r="I38" s="3">
        <f t="shared" si="2"/>
        <v>0</v>
      </c>
      <c r="J38" s="3">
        <f t="shared" si="2"/>
        <v>0</v>
      </c>
      <c r="K38" s="3">
        <f t="shared" si="2"/>
        <v>0</v>
      </c>
      <c r="L38" s="3">
        <f t="shared" si="2"/>
        <v>0</v>
      </c>
      <c r="M38" s="3">
        <f t="shared" si="3"/>
        <v>0</v>
      </c>
      <c r="N38" s="3">
        <f t="shared" si="3"/>
        <v>0</v>
      </c>
      <c r="O38" s="3">
        <f t="shared" si="3"/>
        <v>0</v>
      </c>
      <c r="P38" s="3">
        <f t="shared" si="3"/>
        <v>0</v>
      </c>
      <c r="Q38" s="3">
        <f t="shared" si="3"/>
        <v>0</v>
      </c>
      <c r="R38" s="3">
        <f t="shared" si="3"/>
        <v>0</v>
      </c>
      <c r="S38" s="3">
        <f t="shared" si="3"/>
        <v>0</v>
      </c>
      <c r="T38" s="3">
        <f t="shared" si="3"/>
        <v>0</v>
      </c>
      <c r="U38" s="3">
        <f t="shared" si="3"/>
        <v>0</v>
      </c>
    </row>
    <row r="39" spans="1:38">
      <c r="A39" s="38">
        <v>14</v>
      </c>
      <c r="B39" s="36">
        <f>P19</f>
        <v>0</v>
      </c>
      <c r="C39" s="3">
        <f t="shared" si="2"/>
        <v>0</v>
      </c>
      <c r="D39" s="3">
        <f t="shared" si="2"/>
        <v>0</v>
      </c>
      <c r="E39" s="3">
        <f t="shared" si="2"/>
        <v>0</v>
      </c>
      <c r="F39" s="3">
        <f t="shared" si="2"/>
        <v>0</v>
      </c>
      <c r="G39" s="3">
        <f t="shared" si="2"/>
        <v>0</v>
      </c>
      <c r="H39" s="3">
        <f t="shared" si="2"/>
        <v>0</v>
      </c>
      <c r="I39" s="3">
        <f t="shared" si="2"/>
        <v>0</v>
      </c>
      <c r="J39" s="3">
        <f t="shared" si="2"/>
        <v>0</v>
      </c>
      <c r="K39" s="3">
        <f t="shared" si="2"/>
        <v>0</v>
      </c>
      <c r="L39" s="3">
        <f t="shared" si="2"/>
        <v>0</v>
      </c>
      <c r="M39" s="3">
        <f t="shared" si="3"/>
        <v>0</v>
      </c>
      <c r="N39" s="3">
        <f t="shared" si="3"/>
        <v>0</v>
      </c>
      <c r="O39" s="3">
        <f t="shared" si="3"/>
        <v>0</v>
      </c>
      <c r="P39" s="3">
        <f t="shared" si="3"/>
        <v>0</v>
      </c>
      <c r="Q39" s="3">
        <f t="shared" si="3"/>
        <v>0</v>
      </c>
      <c r="R39" s="3">
        <f t="shared" si="3"/>
        <v>0</v>
      </c>
      <c r="S39" s="3">
        <f t="shared" si="3"/>
        <v>0</v>
      </c>
      <c r="T39" s="3">
        <f t="shared" si="3"/>
        <v>0</v>
      </c>
      <c r="U39" s="3">
        <f t="shared" si="3"/>
        <v>0</v>
      </c>
    </row>
    <row r="40" spans="1:38">
      <c r="A40" s="38">
        <v>15</v>
      </c>
      <c r="B40" s="36">
        <f>Q19</f>
        <v>0</v>
      </c>
      <c r="C40" s="3">
        <f t="shared" si="2"/>
        <v>0</v>
      </c>
      <c r="D40" s="3">
        <f t="shared" si="2"/>
        <v>0</v>
      </c>
      <c r="E40" s="3">
        <f t="shared" si="2"/>
        <v>0</v>
      </c>
      <c r="F40" s="3">
        <f t="shared" si="2"/>
        <v>0</v>
      </c>
      <c r="G40" s="3">
        <f t="shared" si="2"/>
        <v>0</v>
      </c>
      <c r="H40" s="3">
        <f t="shared" si="2"/>
        <v>0</v>
      </c>
      <c r="I40" s="3">
        <f t="shared" si="2"/>
        <v>0</v>
      </c>
      <c r="J40" s="3">
        <f t="shared" si="2"/>
        <v>0</v>
      </c>
      <c r="K40" s="3">
        <f t="shared" si="2"/>
        <v>0</v>
      </c>
      <c r="L40" s="3">
        <f t="shared" si="2"/>
        <v>0</v>
      </c>
      <c r="M40" s="3">
        <f t="shared" si="3"/>
        <v>0</v>
      </c>
      <c r="N40" s="3">
        <f t="shared" si="3"/>
        <v>0</v>
      </c>
      <c r="O40" s="3">
        <f t="shared" si="3"/>
        <v>0</v>
      </c>
      <c r="P40" s="3">
        <f t="shared" si="3"/>
        <v>0</v>
      </c>
      <c r="Q40" s="3">
        <f t="shared" si="3"/>
        <v>0</v>
      </c>
      <c r="R40" s="3">
        <f t="shared" si="3"/>
        <v>0</v>
      </c>
      <c r="S40" s="3">
        <f t="shared" si="3"/>
        <v>0</v>
      </c>
      <c r="T40" s="3">
        <f t="shared" si="3"/>
        <v>0</v>
      </c>
      <c r="U40" s="3">
        <f t="shared" si="3"/>
        <v>0</v>
      </c>
    </row>
    <row r="41" spans="1:38">
      <c r="A41" s="38">
        <v>16</v>
      </c>
      <c r="B41" s="36">
        <f>R19</f>
        <v>0</v>
      </c>
      <c r="C41" s="3">
        <f t="shared" ref="C41:L43" si="4">PRODUCT(C$24,$B41)</f>
        <v>0</v>
      </c>
      <c r="D41" s="3">
        <f t="shared" si="4"/>
        <v>0</v>
      </c>
      <c r="E41" s="3">
        <f t="shared" si="4"/>
        <v>0</v>
      </c>
      <c r="F41" s="3">
        <f t="shared" si="4"/>
        <v>0</v>
      </c>
      <c r="G41" s="3">
        <f t="shared" si="4"/>
        <v>0</v>
      </c>
      <c r="H41" s="3">
        <f t="shared" si="4"/>
        <v>0</v>
      </c>
      <c r="I41" s="3">
        <f t="shared" si="4"/>
        <v>0</v>
      </c>
      <c r="J41" s="3">
        <f t="shared" si="4"/>
        <v>0</v>
      </c>
      <c r="K41" s="3">
        <f t="shared" si="4"/>
        <v>0</v>
      </c>
      <c r="L41" s="3">
        <f t="shared" si="4"/>
        <v>0</v>
      </c>
      <c r="M41" s="3">
        <f t="shared" ref="M41:U43" si="5">PRODUCT(M$24,$B41)</f>
        <v>0</v>
      </c>
      <c r="N41" s="3">
        <f t="shared" si="5"/>
        <v>0</v>
      </c>
      <c r="O41" s="3">
        <f t="shared" si="5"/>
        <v>0</v>
      </c>
      <c r="P41" s="3">
        <f t="shared" si="5"/>
        <v>0</v>
      </c>
      <c r="Q41" s="3">
        <f t="shared" si="5"/>
        <v>0</v>
      </c>
      <c r="R41" s="3">
        <f t="shared" si="5"/>
        <v>0</v>
      </c>
      <c r="S41" s="3">
        <f t="shared" si="5"/>
        <v>0</v>
      </c>
      <c r="T41" s="3">
        <f t="shared" si="5"/>
        <v>0</v>
      </c>
      <c r="U41" s="3">
        <f t="shared" si="5"/>
        <v>0</v>
      </c>
    </row>
    <row r="42" spans="1:38">
      <c r="A42" s="38">
        <v>17</v>
      </c>
      <c r="B42" s="36">
        <f>S19</f>
        <v>0</v>
      </c>
      <c r="C42" s="3">
        <f t="shared" si="4"/>
        <v>0</v>
      </c>
      <c r="D42" s="3">
        <f t="shared" si="4"/>
        <v>0</v>
      </c>
      <c r="E42" s="3">
        <f t="shared" si="4"/>
        <v>0</v>
      </c>
      <c r="F42" s="3">
        <f t="shared" si="4"/>
        <v>0</v>
      </c>
      <c r="G42" s="3">
        <f t="shared" si="4"/>
        <v>0</v>
      </c>
      <c r="H42" s="3">
        <f t="shared" si="4"/>
        <v>0</v>
      </c>
      <c r="I42" s="3">
        <f t="shared" si="4"/>
        <v>0</v>
      </c>
      <c r="J42" s="3">
        <f t="shared" si="4"/>
        <v>0</v>
      </c>
      <c r="K42" s="3">
        <f t="shared" si="4"/>
        <v>0</v>
      </c>
      <c r="L42" s="3">
        <f t="shared" si="4"/>
        <v>0</v>
      </c>
      <c r="M42" s="3">
        <f t="shared" si="5"/>
        <v>0</v>
      </c>
      <c r="N42" s="3">
        <f t="shared" si="5"/>
        <v>0</v>
      </c>
      <c r="O42" s="3">
        <f t="shared" si="5"/>
        <v>0</v>
      </c>
      <c r="P42" s="3">
        <f t="shared" si="5"/>
        <v>0</v>
      </c>
      <c r="Q42" s="3">
        <f t="shared" si="5"/>
        <v>0</v>
      </c>
      <c r="R42" s="3">
        <f t="shared" si="5"/>
        <v>0</v>
      </c>
      <c r="S42" s="3">
        <f t="shared" si="5"/>
        <v>0</v>
      </c>
      <c r="T42" s="3">
        <f t="shared" si="5"/>
        <v>0</v>
      </c>
      <c r="U42" s="3">
        <f t="shared" si="5"/>
        <v>0</v>
      </c>
    </row>
    <row r="43" spans="1:38">
      <c r="A43" s="38">
        <v>18</v>
      </c>
      <c r="B43" s="36">
        <f>T19</f>
        <v>0</v>
      </c>
      <c r="C43" s="3">
        <f t="shared" si="4"/>
        <v>0</v>
      </c>
      <c r="D43" s="3">
        <f t="shared" si="4"/>
        <v>0</v>
      </c>
      <c r="E43" s="3">
        <f t="shared" si="4"/>
        <v>0</v>
      </c>
      <c r="F43" s="3">
        <f t="shared" si="4"/>
        <v>0</v>
      </c>
      <c r="G43" s="3">
        <f t="shared" si="4"/>
        <v>0</v>
      </c>
      <c r="H43" s="3">
        <f t="shared" si="4"/>
        <v>0</v>
      </c>
      <c r="I43" s="3">
        <f t="shared" si="4"/>
        <v>0</v>
      </c>
      <c r="J43" s="3">
        <f t="shared" si="4"/>
        <v>0</v>
      </c>
      <c r="K43" s="3">
        <f t="shared" si="4"/>
        <v>0</v>
      </c>
      <c r="L43" s="3">
        <f t="shared" si="4"/>
        <v>0</v>
      </c>
      <c r="M43" s="3">
        <f t="shared" si="5"/>
        <v>0</v>
      </c>
      <c r="N43" s="3">
        <f t="shared" si="5"/>
        <v>0</v>
      </c>
      <c r="O43" s="3">
        <f t="shared" si="5"/>
        <v>0</v>
      </c>
      <c r="P43" s="3">
        <f t="shared" si="5"/>
        <v>0</v>
      </c>
      <c r="Q43" s="3">
        <f t="shared" si="5"/>
        <v>0</v>
      </c>
      <c r="R43" s="3">
        <f t="shared" si="5"/>
        <v>0</v>
      </c>
      <c r="S43" s="3">
        <f t="shared" si="5"/>
        <v>0</v>
      </c>
      <c r="T43" s="3">
        <f t="shared" si="5"/>
        <v>0</v>
      </c>
      <c r="U43" s="3">
        <f t="shared" si="5"/>
        <v>0</v>
      </c>
    </row>
    <row r="45" spans="1:38" ht="13.5">
      <c r="B45" s="39" t="s">
        <v>100</v>
      </c>
      <c r="C45" s="31">
        <v>1</v>
      </c>
      <c r="D45" s="31">
        <v>2</v>
      </c>
      <c r="E45" s="31">
        <v>3</v>
      </c>
      <c r="F45" s="31">
        <v>4</v>
      </c>
      <c r="G45" s="31">
        <v>5</v>
      </c>
      <c r="H45" s="31">
        <v>6</v>
      </c>
      <c r="I45" s="31">
        <v>7</v>
      </c>
      <c r="J45" s="31">
        <v>8</v>
      </c>
      <c r="K45" s="31">
        <v>9</v>
      </c>
      <c r="L45" s="31">
        <v>10</v>
      </c>
      <c r="M45" s="31">
        <v>11</v>
      </c>
      <c r="N45" s="31">
        <v>12</v>
      </c>
      <c r="O45" s="31">
        <v>13</v>
      </c>
      <c r="P45" s="31">
        <v>14</v>
      </c>
      <c r="Q45" s="31">
        <v>15</v>
      </c>
      <c r="R45" s="31">
        <v>16</v>
      </c>
      <c r="S45" s="31">
        <v>17</v>
      </c>
      <c r="T45" s="31">
        <v>18</v>
      </c>
      <c r="U45" s="3">
        <v>19</v>
      </c>
      <c r="V45" s="3">
        <v>20</v>
      </c>
      <c r="W45" s="3">
        <v>21</v>
      </c>
      <c r="X45" s="3">
        <v>22</v>
      </c>
      <c r="Y45" s="3">
        <v>23</v>
      </c>
      <c r="Z45" s="3">
        <v>24</v>
      </c>
      <c r="AA45" s="3">
        <v>25</v>
      </c>
      <c r="AB45" s="3">
        <v>26</v>
      </c>
      <c r="AC45" s="3">
        <v>27</v>
      </c>
      <c r="AD45" s="3">
        <v>28</v>
      </c>
      <c r="AE45" s="3">
        <v>29</v>
      </c>
      <c r="AF45" s="3">
        <v>30</v>
      </c>
      <c r="AG45" s="3">
        <v>31</v>
      </c>
      <c r="AH45" s="3">
        <v>32</v>
      </c>
      <c r="AI45" s="3">
        <v>33</v>
      </c>
      <c r="AJ45" s="3">
        <v>34</v>
      </c>
      <c r="AK45" s="3">
        <v>35</v>
      </c>
      <c r="AL45" s="3">
        <v>36</v>
      </c>
    </row>
    <row r="46" spans="1:38" ht="18" customHeight="1">
      <c r="A46" s="32" t="s">
        <v>32</v>
      </c>
      <c r="B46" s="33">
        <f>C25</f>
        <v>0.59969536000000001</v>
      </c>
      <c r="C46" s="33">
        <f>D25+C26</f>
        <v>0.27258880000000002</v>
      </c>
      <c r="D46" s="33">
        <f>E25+D26+C27</f>
        <v>0.10098176</v>
      </c>
      <c r="E46" s="33">
        <f>F25+E26+D27+C28</f>
        <v>2.2105600000000003E-2</v>
      </c>
      <c r="F46" s="33">
        <f>G25+F26+E27+D28+C29</f>
        <v>4.07056E-3</v>
      </c>
      <c r="G46" s="33">
        <f>H25+G26+F27+E28+D29+C30</f>
        <v>5.0240000000000007E-4</v>
      </c>
      <c r="H46" s="33">
        <f>I25+H26+G27+F28+E29+D30+C31</f>
        <v>5.2160000000000002E-5</v>
      </c>
      <c r="I46" s="33">
        <f>J25+I26+H27+G28+F29+E30+D31+C32</f>
        <v>3.2000000000000003E-6</v>
      </c>
      <c r="J46" s="33">
        <f>K25+J26+I27+H28+G29+F30+E31+D32+C33</f>
        <v>1.6E-7</v>
      </c>
      <c r="K46" s="33">
        <f>L25+K26+J27+I28+H29+G30+F31+E32+D33+C34</f>
        <v>0</v>
      </c>
      <c r="L46" s="33">
        <f>M25+L26+K27+J28+I29+H30+G31+F32+E33+D34+C35</f>
        <v>0</v>
      </c>
      <c r="M46" s="33">
        <f>N25+M26+L27+K28+J29+I30+H31+G32+F33+E34+D35+C36</f>
        <v>0</v>
      </c>
      <c r="N46" s="33">
        <f>O25+N26+M27+L28+K29+J30+I31+H32+G33+F34+E35+D36+C37</f>
        <v>0</v>
      </c>
      <c r="O46" s="33">
        <f>P25+O26+N27+M28+L29+K30+J31+I32+H33+G34+F35+E36+D37+C38</f>
        <v>0</v>
      </c>
      <c r="P46" s="33">
        <f>Q25+P26+O27+N28+M29+L30+K31+J32+I33+H34+G35+F36+E37+D38+C39</f>
        <v>0</v>
      </c>
      <c r="Q46" s="33">
        <f>R25+Q26+P27+O28+N29+M30+L31+K32+J33+I34+H35+G36+F37+E38+D39+C40</f>
        <v>0</v>
      </c>
      <c r="R46" s="33">
        <f>S25+R26+Q27+P28+O29+N30+M31+L32+K33+J34+I35+H36+G37+F38+E39+D40+C41</f>
        <v>0</v>
      </c>
      <c r="S46" s="33">
        <f>SUM(T25,S26,R27,Q28,P29,O30,N31,M32,L33,K34,J35,I36,H37,G38,F39,E40,D41,C42)</f>
        <v>0</v>
      </c>
      <c r="T46" s="33">
        <f>SUM(U25,T26,S27,R28,Q29,P30,O31,N32,M33,L34,K35,J36,I37,H38,G39,F40,E41,D42,C43)</f>
        <v>0</v>
      </c>
      <c r="U46" s="37">
        <f>SUM(U26,T27,S28,R29,Q30,P31,O32,N33,M34,L35,K36,J37,I38,H39,G40,F41,E42,D43)</f>
        <v>0</v>
      </c>
      <c r="V46" s="37">
        <f>SUM(U27,T28,S29,R30,Q31,P32,O33,N34,M35,L36,K37,J38,I39,H40,G41,F42,E43)</f>
        <v>0</v>
      </c>
      <c r="W46" s="37">
        <f>SUM(U28,T29,S30,R31,Q32,P33,O34,N35,M36,L37,K38,J39,I40,H41,G42,F43)</f>
        <v>0</v>
      </c>
      <c r="X46" s="37">
        <f>SUM(G43,H42,I41,J40,K39,L38,M37,N36,O35,P34,Q33,R32,S31,T30,U29)</f>
        <v>0</v>
      </c>
      <c r="Y46" s="37">
        <f>SUM(U30,T31,S32,R33,Q34,P35,O36,N37,M38,L39,K40,J41,I42,H43)</f>
        <v>0</v>
      </c>
      <c r="Z46" s="37">
        <f>SUM(U31,T32,S33,R34,Q35,P36,O37,N38,M39,L40,K41,J42,I43)</f>
        <v>0</v>
      </c>
      <c r="AA46" s="37">
        <f>SUM(U32,T33,S34,R35,Q36,P37,O38,N39,M40,L41,K42,J43)</f>
        <v>0</v>
      </c>
      <c r="AB46" s="37">
        <f>SUM(U33,T34,S35,R36,Q37,P38,O39,N40,M41,L42,K43)</f>
        <v>0</v>
      </c>
      <c r="AC46" s="37">
        <f>SUM(U34,T35,S36,R37,Q38,P39,O40,N41,M42,L43)</f>
        <v>0</v>
      </c>
      <c r="AD46" s="37">
        <f>SUM(U35,T36,S37,R38,Q39,P40,O41,N42,M43)</f>
        <v>0</v>
      </c>
      <c r="AE46" s="37">
        <f>SUM(N43,O42,P41,Q40,R39,S38,T37,U36)</f>
        <v>0</v>
      </c>
      <c r="AF46" s="37">
        <f>SUM(O43,P42,Q41,R40,S39,T38,U37)</f>
        <v>0</v>
      </c>
      <c r="AG46" s="37">
        <f>SUM(P43,Q42,R41,S40,T39,U38)</f>
        <v>0</v>
      </c>
      <c r="AH46" s="37">
        <f>SUM(Q43,R42,S41,T40,U39)</f>
        <v>0</v>
      </c>
      <c r="AI46" s="37">
        <f>SUM(R43,S42,T41,U40)</f>
        <v>0</v>
      </c>
      <c r="AJ46" s="37">
        <f>SUM(S43,T42,U41)</f>
        <v>0</v>
      </c>
      <c r="AK46" s="37">
        <f>SUM(T43,U42)</f>
        <v>0</v>
      </c>
      <c r="AL46" s="37">
        <f>SUM(U43)</f>
        <v>0</v>
      </c>
    </row>
    <row r="47" spans="1:38" ht="18" customHeight="1">
      <c r="A47" s="34" t="s">
        <v>33</v>
      </c>
      <c r="B47" s="33">
        <f>SUM($B46:B46)</f>
        <v>0.59969536000000001</v>
      </c>
      <c r="C47" s="33">
        <f>SUM($B46:C46)</f>
        <v>0.87228415999999998</v>
      </c>
      <c r="D47" s="33">
        <f>SUM($B46:D46)</f>
        <v>0.97326592000000001</v>
      </c>
      <c r="E47" s="33">
        <f>SUM($B46:E46)</f>
        <v>0.99537151999999995</v>
      </c>
      <c r="F47" s="33">
        <f>SUM($B46:F46)</f>
        <v>0.9994420799999999</v>
      </c>
      <c r="G47" s="33">
        <f>SUM($B46:G46)</f>
        <v>0.99994447999999991</v>
      </c>
      <c r="H47" s="33">
        <f>SUM($B46:H46)</f>
        <v>0.99999663999999988</v>
      </c>
      <c r="I47" s="33">
        <f>SUM($B46:I46)</f>
        <v>0.99999983999999986</v>
      </c>
      <c r="J47" s="33">
        <f>SUM($B46:J46)</f>
        <v>0.99999999999999989</v>
      </c>
      <c r="K47" s="33">
        <f>SUM($B46:K46)</f>
        <v>0.99999999999999989</v>
      </c>
      <c r="L47" s="33">
        <f>SUM($B46:L46)</f>
        <v>0.99999999999999989</v>
      </c>
      <c r="M47" s="33">
        <f>SUM($B46:M46)</f>
        <v>0.99999999999999989</v>
      </c>
      <c r="N47" s="33">
        <f>SUM($B46:N46)</f>
        <v>0.99999999999999989</v>
      </c>
      <c r="O47" s="33">
        <f>SUM($B46:O46)</f>
        <v>0.99999999999999989</v>
      </c>
      <c r="P47" s="33">
        <f>SUM($B46:P46)</f>
        <v>0.99999999999999989</v>
      </c>
      <c r="Q47" s="33">
        <f>SUM($B46:Q46)</f>
        <v>0.99999999999999989</v>
      </c>
      <c r="R47" s="33">
        <f>SUM($B46:R46)</f>
        <v>0.99999999999999989</v>
      </c>
      <c r="S47" s="33">
        <f>SUM($B46:S46)</f>
        <v>0.99999999999999989</v>
      </c>
      <c r="T47" s="33">
        <f>SUM($B46:T46)</f>
        <v>0.99999999999999989</v>
      </c>
      <c r="U47" s="33">
        <f>SUM($B46:U46)</f>
        <v>0.99999999999999989</v>
      </c>
      <c r="V47" s="33">
        <f>SUM($B46:V46)</f>
        <v>0.99999999999999989</v>
      </c>
      <c r="W47" s="33">
        <f>SUM($B46:W46)</f>
        <v>0.99999999999999989</v>
      </c>
      <c r="X47" s="33">
        <f>SUM($B46:X46)</f>
        <v>0.99999999999999989</v>
      </c>
      <c r="Y47" s="33">
        <f>SUM($B46:Y46)</f>
        <v>0.99999999999999989</v>
      </c>
      <c r="Z47" s="33">
        <f>SUM($B46:Z46)</f>
        <v>0.99999999999999989</v>
      </c>
      <c r="AA47" s="33">
        <f>SUM($B46:AA46)</f>
        <v>0.99999999999999989</v>
      </c>
      <c r="AB47" s="33">
        <f>SUM($B46:AB46)</f>
        <v>0.99999999999999989</v>
      </c>
      <c r="AC47" s="33">
        <f>SUM($B46:AC46)</f>
        <v>0.99999999999999989</v>
      </c>
      <c r="AD47" s="33">
        <f>SUM($B46:AD46)</f>
        <v>0.99999999999999989</v>
      </c>
      <c r="AE47" s="33">
        <f>SUM($B46:AE46)</f>
        <v>0.99999999999999989</v>
      </c>
      <c r="AF47" s="33">
        <f>SUM($B46:AF46)</f>
        <v>0.99999999999999989</v>
      </c>
      <c r="AG47" s="33">
        <f>SUM($B46:AG46)</f>
        <v>0.99999999999999989</v>
      </c>
      <c r="AH47" s="33">
        <f>SUM($B46:AH46)</f>
        <v>0.99999999999999989</v>
      </c>
      <c r="AI47" s="33">
        <f>SUM($B46:AI46)</f>
        <v>0.99999999999999989</v>
      </c>
      <c r="AJ47" s="33">
        <f>SUM($B46:AJ46)</f>
        <v>0.99999999999999989</v>
      </c>
      <c r="AK47" s="33">
        <f>SUM($B46:AK46)</f>
        <v>0.99999999999999989</v>
      </c>
      <c r="AL47" s="33">
        <f>SUM($B46:AL46)</f>
        <v>0.99999999999999989</v>
      </c>
    </row>
  </sheetData>
  <mergeCells count="2">
    <mergeCell ref="A1:P1"/>
    <mergeCell ref="C3:L3"/>
  </mergeCells>
  <phoneticPr fontId="7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4C60-C121-4E48-B034-215A6E33B0C3}">
  <dimension ref="A1:AL47"/>
  <sheetViews>
    <sheetView showGridLines="0" workbookViewId="0">
      <selection activeCell="B47" sqref="B47:J47"/>
    </sheetView>
  </sheetViews>
  <sheetFormatPr defaultColWidth="7.140625" defaultRowHeight="12"/>
  <cols>
    <col min="1" max="1" width="13.85546875" style="3" customWidth="1"/>
    <col min="2" max="2" width="8.42578125" style="3" customWidth="1"/>
    <col min="3" max="16384" width="7.140625" style="3"/>
  </cols>
  <sheetData>
    <row r="1" spans="1:16" ht="42" customHeight="1">
      <c r="A1" s="87" t="s">
        <v>135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</row>
    <row r="2" spans="1:16" ht="14.25">
      <c r="A2" s="27" t="s">
        <v>31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6">
      <c r="C3" s="88" t="s">
        <v>125</v>
      </c>
      <c r="D3" s="88"/>
      <c r="E3" s="88"/>
      <c r="F3" s="88"/>
      <c r="G3" s="88"/>
      <c r="H3" s="88"/>
      <c r="I3" s="88"/>
      <c r="J3" s="88"/>
      <c r="K3" s="88"/>
      <c r="L3" s="88"/>
    </row>
    <row r="4" spans="1:16" ht="13.5">
      <c r="C4" s="39" t="s">
        <v>97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</row>
    <row r="5" spans="1:16">
      <c r="A5" s="3" t="s">
        <v>125</v>
      </c>
      <c r="B5" s="28" t="s">
        <v>32</v>
      </c>
      <c r="C5" s="29">
        <v>0.08</v>
      </c>
      <c r="D5" s="29">
        <v>0.8</v>
      </c>
      <c r="E5" s="29">
        <v>0.12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</row>
    <row r="6" spans="1:16" ht="13.5">
      <c r="A6" s="38" t="s">
        <v>96</v>
      </c>
      <c r="B6" s="30">
        <v>0.08</v>
      </c>
      <c r="C6" s="3">
        <f t="shared" ref="C6:L15" si="0">PRODUCT(C$5,$B6)</f>
        <v>6.4000000000000003E-3</v>
      </c>
      <c r="D6" s="3">
        <f t="shared" si="0"/>
        <v>6.4000000000000001E-2</v>
      </c>
      <c r="E6" s="3">
        <f t="shared" si="0"/>
        <v>9.5999999999999992E-3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</row>
    <row r="7" spans="1:16">
      <c r="A7" s="38">
        <v>1</v>
      </c>
      <c r="B7" s="30">
        <v>0.8</v>
      </c>
      <c r="C7" s="3">
        <f t="shared" si="0"/>
        <v>6.4000000000000001E-2</v>
      </c>
      <c r="D7" s="3">
        <f t="shared" si="0"/>
        <v>0.64000000000000012</v>
      </c>
      <c r="E7" s="3">
        <f t="shared" si="0"/>
        <v>9.6000000000000002E-2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</row>
    <row r="8" spans="1:16">
      <c r="A8" s="38">
        <v>2</v>
      </c>
      <c r="B8" s="30">
        <v>0.12</v>
      </c>
      <c r="C8" s="3">
        <f t="shared" si="0"/>
        <v>9.5999999999999992E-3</v>
      </c>
      <c r="D8" s="3">
        <f t="shared" si="0"/>
        <v>9.6000000000000002E-2</v>
      </c>
      <c r="E8" s="3">
        <f t="shared" si="0"/>
        <v>1.44E-2</v>
      </c>
      <c r="F8" s="3">
        <f t="shared" si="0"/>
        <v>0</v>
      </c>
      <c r="G8" s="3">
        <f t="shared" si="0"/>
        <v>0</v>
      </c>
      <c r="H8" s="3">
        <f t="shared" si="0"/>
        <v>0</v>
      </c>
      <c r="I8" s="3">
        <f t="shared" si="0"/>
        <v>0</v>
      </c>
      <c r="J8" s="3">
        <f t="shared" si="0"/>
        <v>0</v>
      </c>
      <c r="K8" s="3">
        <f t="shared" si="0"/>
        <v>0</v>
      </c>
      <c r="L8" s="3">
        <f t="shared" si="0"/>
        <v>0</v>
      </c>
    </row>
    <row r="9" spans="1:16">
      <c r="A9" s="38">
        <v>3</v>
      </c>
      <c r="B9" s="30">
        <v>0</v>
      </c>
      <c r="C9" s="3">
        <f t="shared" si="0"/>
        <v>0</v>
      </c>
      <c r="D9" s="3">
        <f t="shared" si="0"/>
        <v>0</v>
      </c>
      <c r="E9" s="3">
        <f t="shared" si="0"/>
        <v>0</v>
      </c>
      <c r="F9" s="3">
        <f t="shared" si="0"/>
        <v>0</v>
      </c>
      <c r="G9" s="3">
        <f t="shared" si="0"/>
        <v>0</v>
      </c>
      <c r="H9" s="3">
        <f t="shared" si="0"/>
        <v>0</v>
      </c>
      <c r="I9" s="3">
        <f t="shared" si="0"/>
        <v>0</v>
      </c>
      <c r="J9" s="3">
        <f t="shared" si="0"/>
        <v>0</v>
      </c>
      <c r="K9" s="3">
        <f t="shared" si="0"/>
        <v>0</v>
      </c>
      <c r="L9" s="3">
        <f t="shared" si="0"/>
        <v>0</v>
      </c>
    </row>
    <row r="10" spans="1:16">
      <c r="A10" s="38">
        <v>4</v>
      </c>
      <c r="B10" s="30">
        <v>0</v>
      </c>
      <c r="C10" s="3">
        <f t="shared" si="0"/>
        <v>0</v>
      </c>
      <c r="D10" s="3">
        <f t="shared" si="0"/>
        <v>0</v>
      </c>
      <c r="E10" s="3">
        <f t="shared" si="0"/>
        <v>0</v>
      </c>
      <c r="F10" s="3">
        <f t="shared" si="0"/>
        <v>0</v>
      </c>
      <c r="G10" s="3">
        <f t="shared" si="0"/>
        <v>0</v>
      </c>
      <c r="H10" s="3">
        <f t="shared" si="0"/>
        <v>0</v>
      </c>
      <c r="I10" s="3">
        <f t="shared" si="0"/>
        <v>0</v>
      </c>
      <c r="J10" s="3">
        <f t="shared" si="0"/>
        <v>0</v>
      </c>
      <c r="K10" s="3">
        <f t="shared" si="0"/>
        <v>0</v>
      </c>
      <c r="L10" s="3">
        <f t="shared" si="0"/>
        <v>0</v>
      </c>
    </row>
    <row r="11" spans="1:16">
      <c r="A11" s="38">
        <v>5</v>
      </c>
      <c r="B11" s="30">
        <v>0</v>
      </c>
      <c r="C11" s="3">
        <f t="shared" si="0"/>
        <v>0</v>
      </c>
      <c r="D11" s="3">
        <f t="shared" si="0"/>
        <v>0</v>
      </c>
      <c r="E11" s="3">
        <f t="shared" si="0"/>
        <v>0</v>
      </c>
      <c r="F11" s="3">
        <f t="shared" si="0"/>
        <v>0</v>
      </c>
      <c r="G11" s="3">
        <f t="shared" si="0"/>
        <v>0</v>
      </c>
      <c r="H11" s="3">
        <f t="shared" si="0"/>
        <v>0</v>
      </c>
      <c r="I11" s="3">
        <f t="shared" si="0"/>
        <v>0</v>
      </c>
      <c r="J11" s="3">
        <f t="shared" si="0"/>
        <v>0</v>
      </c>
      <c r="K11" s="3">
        <f t="shared" si="0"/>
        <v>0</v>
      </c>
      <c r="L11" s="3">
        <f t="shared" si="0"/>
        <v>0</v>
      </c>
    </row>
    <row r="12" spans="1:16">
      <c r="A12" s="38">
        <v>6</v>
      </c>
      <c r="B12" s="30">
        <v>0</v>
      </c>
      <c r="C12" s="3">
        <f t="shared" si="0"/>
        <v>0</v>
      </c>
      <c r="D12" s="3">
        <f t="shared" si="0"/>
        <v>0</v>
      </c>
      <c r="E12" s="3">
        <f t="shared" si="0"/>
        <v>0</v>
      </c>
      <c r="F12" s="3">
        <f t="shared" si="0"/>
        <v>0</v>
      </c>
      <c r="G12" s="3">
        <f t="shared" si="0"/>
        <v>0</v>
      </c>
      <c r="H12" s="3">
        <f t="shared" si="0"/>
        <v>0</v>
      </c>
      <c r="I12" s="3">
        <f t="shared" si="0"/>
        <v>0</v>
      </c>
      <c r="J12" s="3">
        <f t="shared" si="0"/>
        <v>0</v>
      </c>
      <c r="K12" s="3">
        <f t="shared" si="0"/>
        <v>0</v>
      </c>
      <c r="L12" s="3">
        <f t="shared" si="0"/>
        <v>0</v>
      </c>
    </row>
    <row r="13" spans="1:16">
      <c r="A13" s="38">
        <v>7</v>
      </c>
      <c r="B13" s="30">
        <v>0</v>
      </c>
      <c r="C13" s="3">
        <f t="shared" si="0"/>
        <v>0</v>
      </c>
      <c r="D13" s="3">
        <f t="shared" si="0"/>
        <v>0</v>
      </c>
      <c r="E13" s="3">
        <f t="shared" si="0"/>
        <v>0</v>
      </c>
      <c r="F13" s="3">
        <f t="shared" si="0"/>
        <v>0</v>
      </c>
      <c r="G13" s="3">
        <f t="shared" si="0"/>
        <v>0</v>
      </c>
      <c r="H13" s="3">
        <f t="shared" si="0"/>
        <v>0</v>
      </c>
      <c r="I13" s="3">
        <f t="shared" si="0"/>
        <v>0</v>
      </c>
      <c r="J13" s="3">
        <f t="shared" si="0"/>
        <v>0</v>
      </c>
      <c r="K13" s="3">
        <f t="shared" si="0"/>
        <v>0</v>
      </c>
      <c r="L13" s="3">
        <f t="shared" si="0"/>
        <v>0</v>
      </c>
    </row>
    <row r="14" spans="1:16">
      <c r="A14" s="38">
        <v>8</v>
      </c>
      <c r="B14" s="30">
        <v>0</v>
      </c>
      <c r="C14" s="3">
        <f t="shared" si="0"/>
        <v>0</v>
      </c>
      <c r="D14" s="3">
        <f t="shared" si="0"/>
        <v>0</v>
      </c>
      <c r="E14" s="3">
        <f t="shared" si="0"/>
        <v>0</v>
      </c>
      <c r="F14" s="3">
        <f t="shared" si="0"/>
        <v>0</v>
      </c>
      <c r="G14" s="3">
        <f t="shared" si="0"/>
        <v>0</v>
      </c>
      <c r="H14" s="3">
        <f t="shared" si="0"/>
        <v>0</v>
      </c>
      <c r="I14" s="3">
        <f t="shared" si="0"/>
        <v>0</v>
      </c>
      <c r="J14" s="3">
        <f t="shared" si="0"/>
        <v>0</v>
      </c>
      <c r="K14" s="3">
        <f t="shared" si="0"/>
        <v>0</v>
      </c>
      <c r="L14" s="3">
        <f t="shared" si="0"/>
        <v>0</v>
      </c>
    </row>
    <row r="15" spans="1:16">
      <c r="A15" s="38">
        <v>9</v>
      </c>
      <c r="B15" s="30">
        <v>0</v>
      </c>
      <c r="C15" s="3">
        <f t="shared" si="0"/>
        <v>0</v>
      </c>
      <c r="D15" s="3">
        <f t="shared" si="0"/>
        <v>0</v>
      </c>
      <c r="E15" s="3">
        <f t="shared" si="0"/>
        <v>0</v>
      </c>
      <c r="F15" s="3">
        <f t="shared" si="0"/>
        <v>0</v>
      </c>
      <c r="G15" s="3">
        <f t="shared" si="0"/>
        <v>0</v>
      </c>
      <c r="H15" s="3">
        <f t="shared" si="0"/>
        <v>0</v>
      </c>
      <c r="I15" s="3">
        <f t="shared" si="0"/>
        <v>0</v>
      </c>
      <c r="J15" s="3">
        <f t="shared" si="0"/>
        <v>0</v>
      </c>
      <c r="K15" s="3">
        <f t="shared" si="0"/>
        <v>0</v>
      </c>
      <c r="L15" s="3">
        <f t="shared" si="0"/>
        <v>0</v>
      </c>
    </row>
    <row r="18" spans="1:21" ht="13.5">
      <c r="B18" s="40" t="s">
        <v>98</v>
      </c>
      <c r="C18" s="31">
        <v>1</v>
      </c>
      <c r="D18" s="31">
        <v>2</v>
      </c>
      <c r="E18" s="31">
        <v>3</v>
      </c>
      <c r="F18" s="31">
        <v>4</v>
      </c>
      <c r="G18" s="31">
        <v>5</v>
      </c>
      <c r="H18" s="31">
        <v>6</v>
      </c>
      <c r="I18" s="31">
        <v>7</v>
      </c>
      <c r="J18" s="31">
        <v>8</v>
      </c>
      <c r="K18" s="31">
        <v>9</v>
      </c>
      <c r="L18" s="31">
        <v>10</v>
      </c>
      <c r="M18" s="31">
        <v>11</v>
      </c>
      <c r="N18" s="31">
        <v>12</v>
      </c>
      <c r="O18" s="31">
        <v>13</v>
      </c>
      <c r="P18" s="31">
        <v>14</v>
      </c>
      <c r="Q18" s="31">
        <v>15</v>
      </c>
      <c r="R18" s="31">
        <v>16</v>
      </c>
      <c r="S18" s="31">
        <v>17</v>
      </c>
      <c r="T18" s="31">
        <v>18</v>
      </c>
    </row>
    <row r="19" spans="1:21" ht="17.100000000000001" customHeight="1">
      <c r="A19" s="32" t="s">
        <v>32</v>
      </c>
      <c r="B19" s="33">
        <f>SUM(C6)</f>
        <v>6.4000000000000003E-3</v>
      </c>
      <c r="C19" s="33">
        <f>SUM(D6,C7)</f>
        <v>0.128</v>
      </c>
      <c r="D19" s="33">
        <f>SUM(E6,D7,C8)</f>
        <v>0.65920000000000023</v>
      </c>
      <c r="E19" s="33">
        <f>SUM(F6,E7,D8,C9)</f>
        <v>0.192</v>
      </c>
      <c r="F19" s="33">
        <f>SUM(G6,F7,E8,D9,C10)</f>
        <v>1.44E-2</v>
      </c>
      <c r="G19" s="33">
        <f>SUM(H6,G7,F8,E9,D10,C11)</f>
        <v>0</v>
      </c>
      <c r="H19" s="33">
        <f>SUM(I6,H7,G8,F9,E10,D11,C12)</f>
        <v>0</v>
      </c>
      <c r="I19" s="33">
        <f>SUM(J6,I7,H8,G9,F10,E11,D12,C13)</f>
        <v>0</v>
      </c>
      <c r="J19" s="33">
        <f>SUM(K6,J7,I8,H9,G10,F11,E12,D13,C14)</f>
        <v>0</v>
      </c>
      <c r="K19" s="33">
        <f>SUM(L6,K7,J8,I9,H10,G11,F12,E13,D14,C15)</f>
        <v>0</v>
      </c>
      <c r="L19" s="33">
        <f>SUM(L7,K8,J9,I10,H11,G12,F13,E14,D15)</f>
        <v>0</v>
      </c>
      <c r="M19" s="33">
        <f>SUM(L8,K9,J10,I11,H12,G13,F14,E15)</f>
        <v>0</v>
      </c>
      <c r="N19" s="33">
        <f>SUM(L9,K10,J11,I12,H13,G14,F15)</f>
        <v>0</v>
      </c>
      <c r="O19" s="33">
        <f>SUM(L10,K11,J12,I13,H14,G15)</f>
        <v>0</v>
      </c>
      <c r="P19" s="33">
        <f>SUM(L11,K12,J13,I14,H15)</f>
        <v>0</v>
      </c>
      <c r="Q19" s="33">
        <f>SUM(L12,K13,J14,I15)</f>
        <v>0</v>
      </c>
      <c r="R19" s="33">
        <f>SUM(L13,K14,J15)</f>
        <v>0</v>
      </c>
      <c r="S19" s="33">
        <f>SUM(L14,K15)</f>
        <v>0</v>
      </c>
      <c r="T19" s="33">
        <f>SUM(L15)</f>
        <v>0</v>
      </c>
    </row>
    <row r="20" spans="1:21" ht="17.100000000000001" customHeight="1">
      <c r="A20" s="34" t="s">
        <v>33</v>
      </c>
      <c r="B20" s="33">
        <f>SUM($B$19:B19)</f>
        <v>6.4000000000000003E-3</v>
      </c>
      <c r="C20" s="33">
        <f>SUM($B$19:C19)</f>
        <v>0.13439999999999999</v>
      </c>
      <c r="D20" s="33">
        <f>SUM($B$19:D19)</f>
        <v>0.79360000000000019</v>
      </c>
      <c r="E20" s="33">
        <f>SUM($B$19:E19)</f>
        <v>0.98560000000000025</v>
      </c>
      <c r="F20" s="33">
        <f>SUM($B$19:F19)</f>
        <v>1.0000000000000002</v>
      </c>
      <c r="G20" s="33">
        <f>SUM($B$19:G19)</f>
        <v>1.0000000000000002</v>
      </c>
      <c r="H20" s="33">
        <f>SUM($B$19:H19)</f>
        <v>1.0000000000000002</v>
      </c>
      <c r="I20" s="33">
        <f>SUM($B$19:I19)</f>
        <v>1.0000000000000002</v>
      </c>
      <c r="J20" s="33">
        <f>SUM($B$19:J19)</f>
        <v>1.0000000000000002</v>
      </c>
      <c r="K20" s="33">
        <f>SUM($B$19:K19)</f>
        <v>1.0000000000000002</v>
      </c>
      <c r="L20" s="33">
        <f>SUM($B$19:L19)</f>
        <v>1.0000000000000002</v>
      </c>
      <c r="M20" s="33">
        <f>SUM($B$19:M19)</f>
        <v>1.0000000000000002</v>
      </c>
      <c r="N20" s="33">
        <f>SUM($B$19:N19)</f>
        <v>1.0000000000000002</v>
      </c>
      <c r="O20" s="33">
        <f>SUM($B$19:O19)</f>
        <v>1.0000000000000002</v>
      </c>
      <c r="P20" s="33">
        <f>SUM($B$19:P19)</f>
        <v>1.0000000000000002</v>
      </c>
      <c r="Q20" s="33">
        <f>SUM($B$19:Q19)</f>
        <v>1.0000000000000002</v>
      </c>
      <c r="R20" s="33">
        <f>SUM($B$19:R19)</f>
        <v>1.0000000000000002</v>
      </c>
      <c r="S20" s="33">
        <f>SUM($B$19:S19)</f>
        <v>1.0000000000000002</v>
      </c>
      <c r="T20" s="33">
        <f>SUM($B$19:T19)</f>
        <v>1.0000000000000002</v>
      </c>
    </row>
    <row r="23" spans="1:21" ht="13.5">
      <c r="C23" s="39" t="s">
        <v>99</v>
      </c>
      <c r="D23" s="3">
        <v>1</v>
      </c>
      <c r="E23" s="3">
        <v>2</v>
      </c>
      <c r="F23" s="3">
        <v>3</v>
      </c>
      <c r="G23" s="3">
        <v>4</v>
      </c>
      <c r="H23" s="3">
        <v>5</v>
      </c>
      <c r="I23" s="3">
        <v>6</v>
      </c>
      <c r="J23" s="3">
        <v>7</v>
      </c>
      <c r="K23" s="3">
        <v>8</v>
      </c>
      <c r="L23" s="3">
        <v>9</v>
      </c>
      <c r="M23" s="3">
        <v>10</v>
      </c>
      <c r="N23" s="3">
        <v>11</v>
      </c>
      <c r="O23" s="3">
        <v>12</v>
      </c>
      <c r="P23" s="3">
        <v>13</v>
      </c>
      <c r="Q23" s="3">
        <v>14</v>
      </c>
      <c r="R23" s="3">
        <v>15</v>
      </c>
      <c r="S23" s="3">
        <v>16</v>
      </c>
      <c r="T23" s="3">
        <v>17</v>
      </c>
      <c r="U23" s="3">
        <v>18</v>
      </c>
    </row>
    <row r="24" spans="1:21">
      <c r="B24" s="28" t="s">
        <v>32</v>
      </c>
      <c r="C24" s="35">
        <f t="shared" ref="C24:U24" si="1">B19</f>
        <v>6.4000000000000003E-3</v>
      </c>
      <c r="D24" s="35">
        <f t="shared" si="1"/>
        <v>0.128</v>
      </c>
      <c r="E24" s="35">
        <f t="shared" si="1"/>
        <v>0.65920000000000023</v>
      </c>
      <c r="F24" s="35">
        <f t="shared" si="1"/>
        <v>0.192</v>
      </c>
      <c r="G24" s="35">
        <f t="shared" si="1"/>
        <v>1.44E-2</v>
      </c>
      <c r="H24" s="35">
        <f t="shared" si="1"/>
        <v>0</v>
      </c>
      <c r="I24" s="35">
        <f t="shared" si="1"/>
        <v>0</v>
      </c>
      <c r="J24" s="35">
        <f t="shared" si="1"/>
        <v>0</v>
      </c>
      <c r="K24" s="35">
        <f t="shared" si="1"/>
        <v>0</v>
      </c>
      <c r="L24" s="35">
        <f t="shared" si="1"/>
        <v>0</v>
      </c>
      <c r="M24" s="35">
        <f t="shared" si="1"/>
        <v>0</v>
      </c>
      <c r="N24" s="35">
        <f t="shared" si="1"/>
        <v>0</v>
      </c>
      <c r="O24" s="35">
        <f t="shared" si="1"/>
        <v>0</v>
      </c>
      <c r="P24" s="35">
        <f t="shared" si="1"/>
        <v>0</v>
      </c>
      <c r="Q24" s="35">
        <f t="shared" si="1"/>
        <v>0</v>
      </c>
      <c r="R24" s="35">
        <f t="shared" si="1"/>
        <v>0</v>
      </c>
      <c r="S24" s="35">
        <f t="shared" si="1"/>
        <v>0</v>
      </c>
      <c r="T24" s="35">
        <f t="shared" si="1"/>
        <v>0</v>
      </c>
      <c r="U24" s="35">
        <f t="shared" si="1"/>
        <v>0</v>
      </c>
    </row>
    <row r="25" spans="1:21" ht="13.5">
      <c r="A25" s="39" t="s">
        <v>98</v>
      </c>
      <c r="B25" s="36">
        <f>B19</f>
        <v>6.4000000000000003E-3</v>
      </c>
      <c r="C25" s="3">
        <f t="shared" ref="C25:R40" si="2">PRODUCT(C$24,$B25)</f>
        <v>4.0960000000000001E-5</v>
      </c>
      <c r="D25" s="3">
        <f t="shared" si="2"/>
        <v>8.1920000000000007E-4</v>
      </c>
      <c r="E25" s="3">
        <f t="shared" si="2"/>
        <v>4.2188800000000021E-3</v>
      </c>
      <c r="F25" s="3">
        <f t="shared" si="2"/>
        <v>1.2288000000000002E-3</v>
      </c>
      <c r="G25" s="3">
        <f t="shared" si="2"/>
        <v>9.2159999999999999E-5</v>
      </c>
      <c r="H25" s="3">
        <f t="shared" si="2"/>
        <v>0</v>
      </c>
      <c r="I25" s="3">
        <f t="shared" si="2"/>
        <v>0</v>
      </c>
      <c r="J25" s="3">
        <f t="shared" si="2"/>
        <v>0</v>
      </c>
      <c r="K25" s="3">
        <f t="shared" si="2"/>
        <v>0</v>
      </c>
      <c r="L25" s="3">
        <f t="shared" si="2"/>
        <v>0</v>
      </c>
      <c r="M25" s="3">
        <f t="shared" si="2"/>
        <v>0</v>
      </c>
      <c r="N25" s="3">
        <f t="shared" si="2"/>
        <v>0</v>
      </c>
      <c r="O25" s="3">
        <f t="shared" si="2"/>
        <v>0</v>
      </c>
      <c r="P25" s="3">
        <f t="shared" si="2"/>
        <v>0</v>
      </c>
      <c r="Q25" s="3">
        <f t="shared" si="2"/>
        <v>0</v>
      </c>
      <c r="R25" s="3">
        <f t="shared" si="2"/>
        <v>0</v>
      </c>
      <c r="S25" s="3">
        <f t="shared" ref="M25:U40" si="3">PRODUCT(S$24,$B25)</f>
        <v>0</v>
      </c>
      <c r="T25" s="3">
        <f t="shared" si="3"/>
        <v>0</v>
      </c>
      <c r="U25" s="3">
        <f t="shared" si="3"/>
        <v>0</v>
      </c>
    </row>
    <row r="26" spans="1:21">
      <c r="A26" s="38">
        <v>1</v>
      </c>
      <c r="B26" s="36">
        <f>C19</f>
        <v>0.128</v>
      </c>
      <c r="C26" s="3">
        <f t="shared" si="2"/>
        <v>8.1920000000000007E-4</v>
      </c>
      <c r="D26" s="3">
        <f t="shared" si="2"/>
        <v>1.6383999999999999E-2</v>
      </c>
      <c r="E26" s="3">
        <f t="shared" si="2"/>
        <v>8.4377600000000025E-2</v>
      </c>
      <c r="F26" s="3">
        <f t="shared" si="2"/>
        <v>2.4576000000000001E-2</v>
      </c>
      <c r="G26" s="3">
        <f t="shared" si="2"/>
        <v>1.8431999999999999E-3</v>
      </c>
      <c r="H26" s="3">
        <f t="shared" si="2"/>
        <v>0</v>
      </c>
      <c r="I26" s="3">
        <f t="shared" si="2"/>
        <v>0</v>
      </c>
      <c r="J26" s="3">
        <f t="shared" si="2"/>
        <v>0</v>
      </c>
      <c r="K26" s="3">
        <f t="shared" si="2"/>
        <v>0</v>
      </c>
      <c r="L26" s="3">
        <f t="shared" si="2"/>
        <v>0</v>
      </c>
      <c r="M26" s="3">
        <f t="shared" si="3"/>
        <v>0</v>
      </c>
      <c r="N26" s="3">
        <f t="shared" si="3"/>
        <v>0</v>
      </c>
      <c r="O26" s="3">
        <f t="shared" si="3"/>
        <v>0</v>
      </c>
      <c r="P26" s="3">
        <f t="shared" si="3"/>
        <v>0</v>
      </c>
      <c r="Q26" s="3">
        <f t="shared" si="3"/>
        <v>0</v>
      </c>
      <c r="R26" s="3">
        <f t="shared" si="3"/>
        <v>0</v>
      </c>
      <c r="S26" s="3">
        <f t="shared" si="3"/>
        <v>0</v>
      </c>
      <c r="T26" s="3">
        <f t="shared" si="3"/>
        <v>0</v>
      </c>
      <c r="U26" s="3">
        <f t="shared" si="3"/>
        <v>0</v>
      </c>
    </row>
    <row r="27" spans="1:21">
      <c r="A27" s="38">
        <v>2</v>
      </c>
      <c r="B27" s="36">
        <f>D19</f>
        <v>0.65920000000000023</v>
      </c>
      <c r="C27" s="3">
        <f t="shared" si="2"/>
        <v>4.2188800000000021E-3</v>
      </c>
      <c r="D27" s="3">
        <f t="shared" si="2"/>
        <v>8.4377600000000025E-2</v>
      </c>
      <c r="E27" s="3">
        <f t="shared" si="2"/>
        <v>0.43454464000000032</v>
      </c>
      <c r="F27" s="3">
        <f t="shared" si="2"/>
        <v>0.12656640000000005</v>
      </c>
      <c r="G27" s="3">
        <f t="shared" si="2"/>
        <v>9.4924800000000028E-3</v>
      </c>
      <c r="H27" s="3">
        <f t="shared" si="2"/>
        <v>0</v>
      </c>
      <c r="I27" s="3">
        <f t="shared" si="2"/>
        <v>0</v>
      </c>
      <c r="J27" s="3">
        <f t="shared" si="2"/>
        <v>0</v>
      </c>
      <c r="K27" s="3">
        <f t="shared" si="2"/>
        <v>0</v>
      </c>
      <c r="L27" s="3">
        <f t="shared" si="2"/>
        <v>0</v>
      </c>
      <c r="M27" s="3">
        <f t="shared" si="3"/>
        <v>0</v>
      </c>
      <c r="N27" s="3">
        <f t="shared" si="3"/>
        <v>0</v>
      </c>
      <c r="O27" s="3">
        <f t="shared" si="3"/>
        <v>0</v>
      </c>
      <c r="P27" s="3">
        <f t="shared" si="3"/>
        <v>0</v>
      </c>
      <c r="Q27" s="3">
        <f t="shared" si="3"/>
        <v>0</v>
      </c>
      <c r="R27" s="3">
        <f t="shared" si="3"/>
        <v>0</v>
      </c>
      <c r="S27" s="3">
        <f t="shared" si="3"/>
        <v>0</v>
      </c>
      <c r="T27" s="3">
        <f t="shared" si="3"/>
        <v>0</v>
      </c>
      <c r="U27" s="3">
        <f t="shared" si="3"/>
        <v>0</v>
      </c>
    </row>
    <row r="28" spans="1:21">
      <c r="A28" s="38">
        <v>3</v>
      </c>
      <c r="B28" s="36">
        <f>E19</f>
        <v>0.192</v>
      </c>
      <c r="C28" s="3">
        <f t="shared" si="2"/>
        <v>1.2288000000000002E-3</v>
      </c>
      <c r="D28" s="3">
        <f t="shared" si="2"/>
        <v>2.4576000000000001E-2</v>
      </c>
      <c r="E28" s="3">
        <f t="shared" si="2"/>
        <v>0.12656640000000005</v>
      </c>
      <c r="F28" s="3">
        <f t="shared" si="2"/>
        <v>3.6864000000000001E-2</v>
      </c>
      <c r="G28" s="3">
        <f t="shared" si="2"/>
        <v>2.7648E-3</v>
      </c>
      <c r="H28" s="3">
        <f t="shared" si="2"/>
        <v>0</v>
      </c>
      <c r="I28" s="3">
        <f t="shared" si="2"/>
        <v>0</v>
      </c>
      <c r="J28" s="3">
        <f t="shared" si="2"/>
        <v>0</v>
      </c>
      <c r="K28" s="3">
        <f t="shared" si="2"/>
        <v>0</v>
      </c>
      <c r="L28" s="3">
        <f t="shared" si="2"/>
        <v>0</v>
      </c>
      <c r="M28" s="3">
        <f t="shared" si="3"/>
        <v>0</v>
      </c>
      <c r="N28" s="3">
        <f t="shared" si="3"/>
        <v>0</v>
      </c>
      <c r="O28" s="3">
        <f t="shared" si="3"/>
        <v>0</v>
      </c>
      <c r="P28" s="3">
        <f t="shared" si="3"/>
        <v>0</v>
      </c>
      <c r="Q28" s="3">
        <f t="shared" si="3"/>
        <v>0</v>
      </c>
      <c r="R28" s="3">
        <f t="shared" si="3"/>
        <v>0</v>
      </c>
      <c r="S28" s="3">
        <f t="shared" si="3"/>
        <v>0</v>
      </c>
      <c r="T28" s="3">
        <f t="shared" si="3"/>
        <v>0</v>
      </c>
      <c r="U28" s="3">
        <f t="shared" si="3"/>
        <v>0</v>
      </c>
    </row>
    <row r="29" spans="1:21">
      <c r="A29" s="38">
        <v>4</v>
      </c>
      <c r="B29" s="36">
        <f>F19</f>
        <v>1.44E-2</v>
      </c>
      <c r="C29" s="3">
        <f t="shared" si="2"/>
        <v>9.2159999999999999E-5</v>
      </c>
      <c r="D29" s="3">
        <f t="shared" si="2"/>
        <v>1.8431999999999999E-3</v>
      </c>
      <c r="E29" s="3">
        <f t="shared" si="2"/>
        <v>9.4924800000000028E-3</v>
      </c>
      <c r="F29" s="3">
        <f t="shared" si="2"/>
        <v>2.7648E-3</v>
      </c>
      <c r="G29" s="3">
        <f t="shared" si="2"/>
        <v>2.0735999999999999E-4</v>
      </c>
      <c r="H29" s="3">
        <f t="shared" si="2"/>
        <v>0</v>
      </c>
      <c r="I29" s="3">
        <f t="shared" si="2"/>
        <v>0</v>
      </c>
      <c r="J29" s="3">
        <f t="shared" si="2"/>
        <v>0</v>
      </c>
      <c r="K29" s="3">
        <f t="shared" si="2"/>
        <v>0</v>
      </c>
      <c r="L29" s="3">
        <f t="shared" si="2"/>
        <v>0</v>
      </c>
      <c r="M29" s="3">
        <f t="shared" si="3"/>
        <v>0</v>
      </c>
      <c r="N29" s="3">
        <f t="shared" si="3"/>
        <v>0</v>
      </c>
      <c r="O29" s="3">
        <f t="shared" si="3"/>
        <v>0</v>
      </c>
      <c r="P29" s="3">
        <f t="shared" si="3"/>
        <v>0</v>
      </c>
      <c r="Q29" s="3">
        <f t="shared" si="3"/>
        <v>0</v>
      </c>
      <c r="R29" s="3">
        <f t="shared" si="3"/>
        <v>0</v>
      </c>
      <c r="S29" s="3">
        <f t="shared" si="3"/>
        <v>0</v>
      </c>
      <c r="T29" s="3">
        <f t="shared" si="3"/>
        <v>0</v>
      </c>
      <c r="U29" s="3">
        <f t="shared" si="3"/>
        <v>0</v>
      </c>
    </row>
    <row r="30" spans="1:21">
      <c r="A30" s="38">
        <v>5</v>
      </c>
      <c r="B30" s="36">
        <f>G19</f>
        <v>0</v>
      </c>
      <c r="C30" s="3">
        <f t="shared" si="2"/>
        <v>0</v>
      </c>
      <c r="D30" s="3">
        <f t="shared" si="2"/>
        <v>0</v>
      </c>
      <c r="E30" s="3">
        <f t="shared" si="2"/>
        <v>0</v>
      </c>
      <c r="F30" s="3">
        <f t="shared" si="2"/>
        <v>0</v>
      </c>
      <c r="G30" s="3">
        <f t="shared" si="2"/>
        <v>0</v>
      </c>
      <c r="H30" s="3">
        <f t="shared" si="2"/>
        <v>0</v>
      </c>
      <c r="I30" s="3">
        <f t="shared" si="2"/>
        <v>0</v>
      </c>
      <c r="J30" s="3">
        <f t="shared" si="2"/>
        <v>0</v>
      </c>
      <c r="K30" s="3">
        <f t="shared" si="2"/>
        <v>0</v>
      </c>
      <c r="L30" s="3">
        <f t="shared" si="2"/>
        <v>0</v>
      </c>
      <c r="M30" s="3">
        <f t="shared" si="3"/>
        <v>0</v>
      </c>
      <c r="N30" s="3">
        <f t="shared" si="3"/>
        <v>0</v>
      </c>
      <c r="O30" s="3">
        <f t="shared" si="3"/>
        <v>0</v>
      </c>
      <c r="P30" s="3">
        <f t="shared" si="3"/>
        <v>0</v>
      </c>
      <c r="Q30" s="3">
        <f t="shared" si="3"/>
        <v>0</v>
      </c>
      <c r="R30" s="3">
        <f t="shared" si="3"/>
        <v>0</v>
      </c>
      <c r="S30" s="3">
        <f t="shared" si="3"/>
        <v>0</v>
      </c>
      <c r="T30" s="3">
        <f t="shared" si="3"/>
        <v>0</v>
      </c>
      <c r="U30" s="3">
        <f t="shared" si="3"/>
        <v>0</v>
      </c>
    </row>
    <row r="31" spans="1:21">
      <c r="A31" s="38">
        <v>6</v>
      </c>
      <c r="B31" s="36">
        <f>H19</f>
        <v>0</v>
      </c>
      <c r="C31" s="3">
        <f t="shared" si="2"/>
        <v>0</v>
      </c>
      <c r="D31" s="3">
        <f t="shared" si="2"/>
        <v>0</v>
      </c>
      <c r="E31" s="3">
        <f t="shared" si="2"/>
        <v>0</v>
      </c>
      <c r="F31" s="3">
        <f t="shared" si="2"/>
        <v>0</v>
      </c>
      <c r="G31" s="3">
        <f t="shared" si="2"/>
        <v>0</v>
      </c>
      <c r="H31" s="3">
        <f t="shared" si="2"/>
        <v>0</v>
      </c>
      <c r="I31" s="3">
        <f t="shared" si="2"/>
        <v>0</v>
      </c>
      <c r="J31" s="3">
        <f t="shared" si="2"/>
        <v>0</v>
      </c>
      <c r="K31" s="3">
        <f t="shared" si="2"/>
        <v>0</v>
      </c>
      <c r="L31" s="3">
        <f t="shared" si="2"/>
        <v>0</v>
      </c>
      <c r="M31" s="3">
        <f t="shared" si="3"/>
        <v>0</v>
      </c>
      <c r="N31" s="3">
        <f t="shared" si="3"/>
        <v>0</v>
      </c>
      <c r="O31" s="3">
        <f t="shared" si="3"/>
        <v>0</v>
      </c>
      <c r="P31" s="3">
        <f t="shared" si="3"/>
        <v>0</v>
      </c>
      <c r="Q31" s="3">
        <f t="shared" si="3"/>
        <v>0</v>
      </c>
      <c r="R31" s="3">
        <f t="shared" si="3"/>
        <v>0</v>
      </c>
      <c r="S31" s="3">
        <f t="shared" si="3"/>
        <v>0</v>
      </c>
      <c r="T31" s="3">
        <f t="shared" si="3"/>
        <v>0</v>
      </c>
      <c r="U31" s="3">
        <f t="shared" si="3"/>
        <v>0</v>
      </c>
    </row>
    <row r="32" spans="1:21">
      <c r="A32" s="38">
        <v>7</v>
      </c>
      <c r="B32" s="36">
        <f>I19</f>
        <v>0</v>
      </c>
      <c r="C32" s="3">
        <f t="shared" si="2"/>
        <v>0</v>
      </c>
      <c r="D32" s="3">
        <f t="shared" si="2"/>
        <v>0</v>
      </c>
      <c r="E32" s="3">
        <f t="shared" si="2"/>
        <v>0</v>
      </c>
      <c r="F32" s="3">
        <f t="shared" si="2"/>
        <v>0</v>
      </c>
      <c r="G32" s="3">
        <f t="shared" si="2"/>
        <v>0</v>
      </c>
      <c r="H32" s="3">
        <f t="shared" si="2"/>
        <v>0</v>
      </c>
      <c r="I32" s="3">
        <f t="shared" si="2"/>
        <v>0</v>
      </c>
      <c r="J32" s="3">
        <f t="shared" si="2"/>
        <v>0</v>
      </c>
      <c r="K32" s="3">
        <f t="shared" si="2"/>
        <v>0</v>
      </c>
      <c r="L32" s="3">
        <f t="shared" si="2"/>
        <v>0</v>
      </c>
      <c r="M32" s="3">
        <f t="shared" si="3"/>
        <v>0</v>
      </c>
      <c r="N32" s="3">
        <f t="shared" si="3"/>
        <v>0</v>
      </c>
      <c r="O32" s="3">
        <f t="shared" si="3"/>
        <v>0</v>
      </c>
      <c r="P32" s="3">
        <f t="shared" si="3"/>
        <v>0</v>
      </c>
      <c r="Q32" s="3">
        <f t="shared" si="3"/>
        <v>0</v>
      </c>
      <c r="R32" s="3">
        <f t="shared" si="3"/>
        <v>0</v>
      </c>
      <c r="S32" s="3">
        <f t="shared" si="3"/>
        <v>0</v>
      </c>
      <c r="T32" s="3">
        <f t="shared" si="3"/>
        <v>0</v>
      </c>
      <c r="U32" s="3">
        <f t="shared" si="3"/>
        <v>0</v>
      </c>
    </row>
    <row r="33" spans="1:38">
      <c r="A33" s="38">
        <v>8</v>
      </c>
      <c r="B33" s="36">
        <f>J19</f>
        <v>0</v>
      </c>
      <c r="C33" s="3">
        <f t="shared" si="2"/>
        <v>0</v>
      </c>
      <c r="D33" s="3">
        <f t="shared" si="2"/>
        <v>0</v>
      </c>
      <c r="E33" s="3">
        <f t="shared" si="2"/>
        <v>0</v>
      </c>
      <c r="F33" s="3">
        <f t="shared" si="2"/>
        <v>0</v>
      </c>
      <c r="G33" s="3">
        <f t="shared" si="2"/>
        <v>0</v>
      </c>
      <c r="H33" s="3">
        <f t="shared" si="2"/>
        <v>0</v>
      </c>
      <c r="I33" s="3">
        <f t="shared" si="2"/>
        <v>0</v>
      </c>
      <c r="J33" s="3">
        <f t="shared" si="2"/>
        <v>0</v>
      </c>
      <c r="K33" s="3">
        <f t="shared" si="2"/>
        <v>0</v>
      </c>
      <c r="L33" s="3">
        <f t="shared" si="2"/>
        <v>0</v>
      </c>
      <c r="M33" s="3">
        <f t="shared" si="3"/>
        <v>0</v>
      </c>
      <c r="N33" s="3">
        <f t="shared" si="3"/>
        <v>0</v>
      </c>
      <c r="O33" s="3">
        <f t="shared" si="3"/>
        <v>0</v>
      </c>
      <c r="P33" s="3">
        <f t="shared" si="3"/>
        <v>0</v>
      </c>
      <c r="Q33" s="3">
        <f t="shared" si="3"/>
        <v>0</v>
      </c>
      <c r="R33" s="3">
        <f t="shared" si="3"/>
        <v>0</v>
      </c>
      <c r="S33" s="3">
        <f t="shared" si="3"/>
        <v>0</v>
      </c>
      <c r="T33" s="3">
        <f t="shared" si="3"/>
        <v>0</v>
      </c>
      <c r="U33" s="3">
        <f t="shared" si="3"/>
        <v>0</v>
      </c>
    </row>
    <row r="34" spans="1:38">
      <c r="A34" s="38">
        <v>9</v>
      </c>
      <c r="B34" s="36">
        <f>K19</f>
        <v>0</v>
      </c>
      <c r="C34" s="3">
        <f t="shared" si="2"/>
        <v>0</v>
      </c>
      <c r="D34" s="3">
        <f t="shared" si="2"/>
        <v>0</v>
      </c>
      <c r="E34" s="3">
        <f t="shared" si="2"/>
        <v>0</v>
      </c>
      <c r="F34" s="3">
        <f t="shared" si="2"/>
        <v>0</v>
      </c>
      <c r="G34" s="3">
        <f t="shared" si="2"/>
        <v>0</v>
      </c>
      <c r="H34" s="3">
        <f t="shared" si="2"/>
        <v>0</v>
      </c>
      <c r="I34" s="3">
        <f t="shared" si="2"/>
        <v>0</v>
      </c>
      <c r="J34" s="3">
        <f t="shared" si="2"/>
        <v>0</v>
      </c>
      <c r="K34" s="3">
        <f t="shared" si="2"/>
        <v>0</v>
      </c>
      <c r="L34" s="3">
        <f t="shared" si="2"/>
        <v>0</v>
      </c>
      <c r="M34" s="3">
        <f t="shared" si="3"/>
        <v>0</v>
      </c>
      <c r="N34" s="3">
        <f t="shared" si="3"/>
        <v>0</v>
      </c>
      <c r="O34" s="3">
        <f t="shared" si="3"/>
        <v>0</v>
      </c>
      <c r="P34" s="3">
        <f t="shared" si="3"/>
        <v>0</v>
      </c>
      <c r="Q34" s="3">
        <f t="shared" si="3"/>
        <v>0</v>
      </c>
      <c r="R34" s="3">
        <f t="shared" si="3"/>
        <v>0</v>
      </c>
      <c r="S34" s="3">
        <f t="shared" si="3"/>
        <v>0</v>
      </c>
      <c r="T34" s="3">
        <f t="shared" si="3"/>
        <v>0</v>
      </c>
      <c r="U34" s="3">
        <f t="shared" si="3"/>
        <v>0</v>
      </c>
    </row>
    <row r="35" spans="1:38">
      <c r="A35" s="38">
        <v>10</v>
      </c>
      <c r="B35" s="36">
        <f>L19</f>
        <v>0</v>
      </c>
      <c r="C35" s="3">
        <f t="shared" si="2"/>
        <v>0</v>
      </c>
      <c r="D35" s="3">
        <f t="shared" si="2"/>
        <v>0</v>
      </c>
      <c r="E35" s="3">
        <f t="shared" si="2"/>
        <v>0</v>
      </c>
      <c r="F35" s="3">
        <f t="shared" si="2"/>
        <v>0</v>
      </c>
      <c r="G35" s="3">
        <f t="shared" si="2"/>
        <v>0</v>
      </c>
      <c r="H35" s="3">
        <f t="shared" si="2"/>
        <v>0</v>
      </c>
      <c r="I35" s="3">
        <f t="shared" si="2"/>
        <v>0</v>
      </c>
      <c r="J35" s="3">
        <f t="shared" si="2"/>
        <v>0</v>
      </c>
      <c r="K35" s="3">
        <f t="shared" si="2"/>
        <v>0</v>
      </c>
      <c r="L35" s="3">
        <f t="shared" si="2"/>
        <v>0</v>
      </c>
      <c r="M35" s="3">
        <f t="shared" si="3"/>
        <v>0</v>
      </c>
      <c r="N35" s="3">
        <f t="shared" si="3"/>
        <v>0</v>
      </c>
      <c r="O35" s="3">
        <f t="shared" si="3"/>
        <v>0</v>
      </c>
      <c r="P35" s="3">
        <f t="shared" si="3"/>
        <v>0</v>
      </c>
      <c r="Q35" s="3">
        <f t="shared" si="3"/>
        <v>0</v>
      </c>
      <c r="R35" s="3">
        <f t="shared" si="3"/>
        <v>0</v>
      </c>
      <c r="S35" s="3">
        <f t="shared" si="3"/>
        <v>0</v>
      </c>
      <c r="T35" s="3">
        <f t="shared" si="3"/>
        <v>0</v>
      </c>
      <c r="U35" s="3">
        <f t="shared" si="3"/>
        <v>0</v>
      </c>
    </row>
    <row r="36" spans="1:38">
      <c r="A36" s="38">
        <v>11</v>
      </c>
      <c r="B36" s="36">
        <f>M19</f>
        <v>0</v>
      </c>
      <c r="C36" s="3">
        <f t="shared" si="2"/>
        <v>0</v>
      </c>
      <c r="D36" s="3">
        <f t="shared" si="2"/>
        <v>0</v>
      </c>
      <c r="E36" s="3">
        <f t="shared" si="2"/>
        <v>0</v>
      </c>
      <c r="F36" s="3">
        <f t="shared" si="2"/>
        <v>0</v>
      </c>
      <c r="G36" s="3">
        <f t="shared" si="2"/>
        <v>0</v>
      </c>
      <c r="H36" s="3">
        <f t="shared" si="2"/>
        <v>0</v>
      </c>
      <c r="I36" s="3">
        <f t="shared" si="2"/>
        <v>0</v>
      </c>
      <c r="J36" s="3">
        <f t="shared" si="2"/>
        <v>0</v>
      </c>
      <c r="K36" s="3">
        <f t="shared" si="2"/>
        <v>0</v>
      </c>
      <c r="L36" s="3">
        <f t="shared" si="2"/>
        <v>0</v>
      </c>
      <c r="M36" s="3">
        <f t="shared" si="3"/>
        <v>0</v>
      </c>
      <c r="N36" s="3">
        <f t="shared" si="3"/>
        <v>0</v>
      </c>
      <c r="O36" s="3">
        <f t="shared" si="3"/>
        <v>0</v>
      </c>
      <c r="P36" s="3">
        <f t="shared" si="3"/>
        <v>0</v>
      </c>
      <c r="Q36" s="3">
        <f t="shared" si="3"/>
        <v>0</v>
      </c>
      <c r="R36" s="3">
        <f t="shared" si="3"/>
        <v>0</v>
      </c>
      <c r="S36" s="3">
        <f t="shared" si="3"/>
        <v>0</v>
      </c>
      <c r="T36" s="3">
        <f t="shared" si="3"/>
        <v>0</v>
      </c>
      <c r="U36" s="3">
        <f t="shared" si="3"/>
        <v>0</v>
      </c>
    </row>
    <row r="37" spans="1:38">
      <c r="A37" s="38">
        <v>12</v>
      </c>
      <c r="B37" s="36">
        <f>N19</f>
        <v>0</v>
      </c>
      <c r="C37" s="3">
        <f t="shared" si="2"/>
        <v>0</v>
      </c>
      <c r="D37" s="3">
        <f t="shared" si="2"/>
        <v>0</v>
      </c>
      <c r="E37" s="3">
        <f t="shared" si="2"/>
        <v>0</v>
      </c>
      <c r="F37" s="3">
        <f t="shared" si="2"/>
        <v>0</v>
      </c>
      <c r="G37" s="3">
        <f t="shared" si="2"/>
        <v>0</v>
      </c>
      <c r="H37" s="3">
        <f t="shared" si="2"/>
        <v>0</v>
      </c>
      <c r="I37" s="3">
        <f t="shared" si="2"/>
        <v>0</v>
      </c>
      <c r="J37" s="3">
        <f t="shared" si="2"/>
        <v>0</v>
      </c>
      <c r="K37" s="3">
        <f t="shared" si="2"/>
        <v>0</v>
      </c>
      <c r="L37" s="3">
        <f t="shared" si="2"/>
        <v>0</v>
      </c>
      <c r="M37" s="3">
        <f t="shared" si="3"/>
        <v>0</v>
      </c>
      <c r="N37" s="3">
        <f t="shared" si="3"/>
        <v>0</v>
      </c>
      <c r="O37" s="3">
        <f t="shared" si="3"/>
        <v>0</v>
      </c>
      <c r="P37" s="3">
        <f t="shared" si="3"/>
        <v>0</v>
      </c>
      <c r="Q37" s="3">
        <f t="shared" si="3"/>
        <v>0</v>
      </c>
      <c r="R37" s="3">
        <f t="shared" si="3"/>
        <v>0</v>
      </c>
      <c r="S37" s="3">
        <f t="shared" si="3"/>
        <v>0</v>
      </c>
      <c r="T37" s="3">
        <f t="shared" si="3"/>
        <v>0</v>
      </c>
      <c r="U37" s="3">
        <f t="shared" si="3"/>
        <v>0</v>
      </c>
    </row>
    <row r="38" spans="1:38">
      <c r="A38" s="38">
        <v>13</v>
      </c>
      <c r="B38" s="36">
        <f>O19</f>
        <v>0</v>
      </c>
      <c r="C38" s="3">
        <f t="shared" si="2"/>
        <v>0</v>
      </c>
      <c r="D38" s="3">
        <f t="shared" si="2"/>
        <v>0</v>
      </c>
      <c r="E38" s="3">
        <f t="shared" si="2"/>
        <v>0</v>
      </c>
      <c r="F38" s="3">
        <f t="shared" si="2"/>
        <v>0</v>
      </c>
      <c r="G38" s="3">
        <f t="shared" si="2"/>
        <v>0</v>
      </c>
      <c r="H38" s="3">
        <f t="shared" si="2"/>
        <v>0</v>
      </c>
      <c r="I38" s="3">
        <f t="shared" si="2"/>
        <v>0</v>
      </c>
      <c r="J38" s="3">
        <f t="shared" si="2"/>
        <v>0</v>
      </c>
      <c r="K38" s="3">
        <f t="shared" si="2"/>
        <v>0</v>
      </c>
      <c r="L38" s="3">
        <f t="shared" si="2"/>
        <v>0</v>
      </c>
      <c r="M38" s="3">
        <f t="shared" si="3"/>
        <v>0</v>
      </c>
      <c r="N38" s="3">
        <f t="shared" si="3"/>
        <v>0</v>
      </c>
      <c r="O38" s="3">
        <f t="shared" si="3"/>
        <v>0</v>
      </c>
      <c r="P38" s="3">
        <f t="shared" si="3"/>
        <v>0</v>
      </c>
      <c r="Q38" s="3">
        <f t="shared" si="3"/>
        <v>0</v>
      </c>
      <c r="R38" s="3">
        <f t="shared" si="3"/>
        <v>0</v>
      </c>
      <c r="S38" s="3">
        <f t="shared" si="3"/>
        <v>0</v>
      </c>
      <c r="T38" s="3">
        <f t="shared" si="3"/>
        <v>0</v>
      </c>
      <c r="U38" s="3">
        <f t="shared" si="3"/>
        <v>0</v>
      </c>
    </row>
    <row r="39" spans="1:38">
      <c r="A39" s="38">
        <v>14</v>
      </c>
      <c r="B39" s="36">
        <f>P19</f>
        <v>0</v>
      </c>
      <c r="C39" s="3">
        <f t="shared" si="2"/>
        <v>0</v>
      </c>
      <c r="D39" s="3">
        <f t="shared" si="2"/>
        <v>0</v>
      </c>
      <c r="E39" s="3">
        <f t="shared" si="2"/>
        <v>0</v>
      </c>
      <c r="F39" s="3">
        <f t="shared" si="2"/>
        <v>0</v>
      </c>
      <c r="G39" s="3">
        <f t="shared" si="2"/>
        <v>0</v>
      </c>
      <c r="H39" s="3">
        <f t="shared" si="2"/>
        <v>0</v>
      </c>
      <c r="I39" s="3">
        <f t="shared" si="2"/>
        <v>0</v>
      </c>
      <c r="J39" s="3">
        <f t="shared" si="2"/>
        <v>0</v>
      </c>
      <c r="K39" s="3">
        <f t="shared" si="2"/>
        <v>0</v>
      </c>
      <c r="L39" s="3">
        <f t="shared" si="2"/>
        <v>0</v>
      </c>
      <c r="M39" s="3">
        <f t="shared" si="3"/>
        <v>0</v>
      </c>
      <c r="N39" s="3">
        <f t="shared" si="3"/>
        <v>0</v>
      </c>
      <c r="O39" s="3">
        <f t="shared" si="3"/>
        <v>0</v>
      </c>
      <c r="P39" s="3">
        <f t="shared" si="3"/>
        <v>0</v>
      </c>
      <c r="Q39" s="3">
        <f t="shared" si="3"/>
        <v>0</v>
      </c>
      <c r="R39" s="3">
        <f t="shared" si="3"/>
        <v>0</v>
      </c>
      <c r="S39" s="3">
        <f t="shared" si="3"/>
        <v>0</v>
      </c>
      <c r="T39" s="3">
        <f t="shared" si="3"/>
        <v>0</v>
      </c>
      <c r="U39" s="3">
        <f t="shared" si="3"/>
        <v>0</v>
      </c>
    </row>
    <row r="40" spans="1:38">
      <c r="A40" s="38">
        <v>15</v>
      </c>
      <c r="B40" s="36">
        <f>Q19</f>
        <v>0</v>
      </c>
      <c r="C40" s="3">
        <f t="shared" si="2"/>
        <v>0</v>
      </c>
      <c r="D40" s="3">
        <f t="shared" si="2"/>
        <v>0</v>
      </c>
      <c r="E40" s="3">
        <f t="shared" si="2"/>
        <v>0</v>
      </c>
      <c r="F40" s="3">
        <f t="shared" si="2"/>
        <v>0</v>
      </c>
      <c r="G40" s="3">
        <f t="shared" si="2"/>
        <v>0</v>
      </c>
      <c r="H40" s="3">
        <f t="shared" si="2"/>
        <v>0</v>
      </c>
      <c r="I40" s="3">
        <f t="shared" si="2"/>
        <v>0</v>
      </c>
      <c r="J40" s="3">
        <f t="shared" si="2"/>
        <v>0</v>
      </c>
      <c r="K40" s="3">
        <f t="shared" si="2"/>
        <v>0</v>
      </c>
      <c r="L40" s="3">
        <f t="shared" si="2"/>
        <v>0</v>
      </c>
      <c r="M40" s="3">
        <f t="shared" si="3"/>
        <v>0</v>
      </c>
      <c r="N40" s="3">
        <f t="shared" si="3"/>
        <v>0</v>
      </c>
      <c r="O40" s="3">
        <f t="shared" si="3"/>
        <v>0</v>
      </c>
      <c r="P40" s="3">
        <f t="shared" si="3"/>
        <v>0</v>
      </c>
      <c r="Q40" s="3">
        <f t="shared" si="3"/>
        <v>0</v>
      </c>
      <c r="R40" s="3">
        <f t="shared" si="3"/>
        <v>0</v>
      </c>
      <c r="S40" s="3">
        <f t="shared" si="3"/>
        <v>0</v>
      </c>
      <c r="T40" s="3">
        <f t="shared" si="3"/>
        <v>0</v>
      </c>
      <c r="U40" s="3">
        <f t="shared" si="3"/>
        <v>0</v>
      </c>
    </row>
    <row r="41" spans="1:38">
      <c r="A41" s="38">
        <v>16</v>
      </c>
      <c r="B41" s="36">
        <f>R19</f>
        <v>0</v>
      </c>
      <c r="C41" s="3">
        <f t="shared" ref="C41:R43" si="4">PRODUCT(C$24,$B41)</f>
        <v>0</v>
      </c>
      <c r="D41" s="3">
        <f t="shared" si="4"/>
        <v>0</v>
      </c>
      <c r="E41" s="3">
        <f t="shared" si="4"/>
        <v>0</v>
      </c>
      <c r="F41" s="3">
        <f t="shared" si="4"/>
        <v>0</v>
      </c>
      <c r="G41" s="3">
        <f t="shared" si="4"/>
        <v>0</v>
      </c>
      <c r="H41" s="3">
        <f t="shared" si="4"/>
        <v>0</v>
      </c>
      <c r="I41" s="3">
        <f t="shared" si="4"/>
        <v>0</v>
      </c>
      <c r="J41" s="3">
        <f t="shared" si="4"/>
        <v>0</v>
      </c>
      <c r="K41" s="3">
        <f t="shared" si="4"/>
        <v>0</v>
      </c>
      <c r="L41" s="3">
        <f t="shared" si="4"/>
        <v>0</v>
      </c>
      <c r="M41" s="3">
        <f t="shared" si="4"/>
        <v>0</v>
      </c>
      <c r="N41" s="3">
        <f t="shared" si="4"/>
        <v>0</v>
      </c>
      <c r="O41" s="3">
        <f t="shared" si="4"/>
        <v>0</v>
      </c>
      <c r="P41" s="3">
        <f t="shared" si="4"/>
        <v>0</v>
      </c>
      <c r="Q41" s="3">
        <f t="shared" si="4"/>
        <v>0</v>
      </c>
      <c r="R41" s="3">
        <f t="shared" si="4"/>
        <v>0</v>
      </c>
      <c r="S41" s="3">
        <f t="shared" ref="S41:U43" si="5">PRODUCT(S$24,$B41)</f>
        <v>0</v>
      </c>
      <c r="T41" s="3">
        <f t="shared" si="5"/>
        <v>0</v>
      </c>
      <c r="U41" s="3">
        <f t="shared" si="5"/>
        <v>0</v>
      </c>
    </row>
    <row r="42" spans="1:38">
      <c r="A42" s="38">
        <v>17</v>
      </c>
      <c r="B42" s="36">
        <f>S19</f>
        <v>0</v>
      </c>
      <c r="C42" s="3">
        <f t="shared" si="4"/>
        <v>0</v>
      </c>
      <c r="D42" s="3">
        <f t="shared" si="4"/>
        <v>0</v>
      </c>
      <c r="E42" s="3">
        <f t="shared" si="4"/>
        <v>0</v>
      </c>
      <c r="F42" s="3">
        <f t="shared" si="4"/>
        <v>0</v>
      </c>
      <c r="G42" s="3">
        <f t="shared" si="4"/>
        <v>0</v>
      </c>
      <c r="H42" s="3">
        <f t="shared" si="4"/>
        <v>0</v>
      </c>
      <c r="I42" s="3">
        <f t="shared" si="4"/>
        <v>0</v>
      </c>
      <c r="J42" s="3">
        <f t="shared" si="4"/>
        <v>0</v>
      </c>
      <c r="K42" s="3">
        <f t="shared" si="4"/>
        <v>0</v>
      </c>
      <c r="L42" s="3">
        <f t="shared" si="4"/>
        <v>0</v>
      </c>
      <c r="M42" s="3">
        <f t="shared" ref="M42:R43" si="6">PRODUCT(M$24,$B42)</f>
        <v>0</v>
      </c>
      <c r="N42" s="3">
        <f t="shared" si="6"/>
        <v>0</v>
      </c>
      <c r="O42" s="3">
        <f t="shared" si="6"/>
        <v>0</v>
      </c>
      <c r="P42" s="3">
        <f t="shared" si="6"/>
        <v>0</v>
      </c>
      <c r="Q42" s="3">
        <f t="shared" si="6"/>
        <v>0</v>
      </c>
      <c r="R42" s="3">
        <f t="shared" si="6"/>
        <v>0</v>
      </c>
      <c r="S42" s="3">
        <f t="shared" si="5"/>
        <v>0</v>
      </c>
      <c r="T42" s="3">
        <f t="shared" si="5"/>
        <v>0</v>
      </c>
      <c r="U42" s="3">
        <f t="shared" si="5"/>
        <v>0</v>
      </c>
    </row>
    <row r="43" spans="1:38">
      <c r="A43" s="38">
        <v>18</v>
      </c>
      <c r="B43" s="36">
        <f>T19</f>
        <v>0</v>
      </c>
      <c r="C43" s="3">
        <f t="shared" si="4"/>
        <v>0</v>
      </c>
      <c r="D43" s="3">
        <f t="shared" si="4"/>
        <v>0</v>
      </c>
      <c r="E43" s="3">
        <f t="shared" si="4"/>
        <v>0</v>
      </c>
      <c r="F43" s="3">
        <f t="shared" si="4"/>
        <v>0</v>
      </c>
      <c r="G43" s="3">
        <f t="shared" si="4"/>
        <v>0</v>
      </c>
      <c r="H43" s="3">
        <f t="shared" si="4"/>
        <v>0</v>
      </c>
      <c r="I43" s="3">
        <f t="shared" si="4"/>
        <v>0</v>
      </c>
      <c r="J43" s="3">
        <f t="shared" si="4"/>
        <v>0</v>
      </c>
      <c r="K43" s="3">
        <f t="shared" si="4"/>
        <v>0</v>
      </c>
      <c r="L43" s="3">
        <f t="shared" si="4"/>
        <v>0</v>
      </c>
      <c r="M43" s="3">
        <f t="shared" si="6"/>
        <v>0</v>
      </c>
      <c r="N43" s="3">
        <f t="shared" si="6"/>
        <v>0</v>
      </c>
      <c r="O43" s="3">
        <f t="shared" si="6"/>
        <v>0</v>
      </c>
      <c r="P43" s="3">
        <f t="shared" si="6"/>
        <v>0</v>
      </c>
      <c r="Q43" s="3">
        <f t="shared" si="6"/>
        <v>0</v>
      </c>
      <c r="R43" s="3">
        <f t="shared" si="6"/>
        <v>0</v>
      </c>
      <c r="S43" s="3">
        <f t="shared" si="5"/>
        <v>0</v>
      </c>
      <c r="T43" s="3">
        <f t="shared" si="5"/>
        <v>0</v>
      </c>
      <c r="U43" s="3">
        <f t="shared" si="5"/>
        <v>0</v>
      </c>
    </row>
    <row r="45" spans="1:38" ht="13.5">
      <c r="B45" s="39" t="s">
        <v>100</v>
      </c>
      <c r="C45" s="31">
        <v>1</v>
      </c>
      <c r="D45" s="31">
        <v>2</v>
      </c>
      <c r="E45" s="31">
        <v>3</v>
      </c>
      <c r="F45" s="31">
        <v>4</v>
      </c>
      <c r="G45" s="31">
        <v>5</v>
      </c>
      <c r="H45" s="31">
        <v>6</v>
      </c>
      <c r="I45" s="31">
        <v>7</v>
      </c>
      <c r="J45" s="31">
        <v>8</v>
      </c>
      <c r="K45" s="31">
        <v>9</v>
      </c>
      <c r="L45" s="31">
        <v>10</v>
      </c>
      <c r="M45" s="31">
        <v>11</v>
      </c>
      <c r="N45" s="31">
        <v>12</v>
      </c>
      <c r="O45" s="31">
        <v>13</v>
      </c>
      <c r="P45" s="31">
        <v>14</v>
      </c>
      <c r="Q45" s="31">
        <v>15</v>
      </c>
      <c r="R45" s="31">
        <v>16</v>
      </c>
      <c r="S45" s="31">
        <v>17</v>
      </c>
      <c r="T45" s="31">
        <v>18</v>
      </c>
      <c r="U45" s="3">
        <v>19</v>
      </c>
      <c r="V45" s="3">
        <v>20</v>
      </c>
      <c r="W45" s="3">
        <v>21</v>
      </c>
      <c r="X45" s="3">
        <v>22</v>
      </c>
      <c r="Y45" s="3">
        <v>23</v>
      </c>
      <c r="Z45" s="3">
        <v>24</v>
      </c>
      <c r="AA45" s="3">
        <v>25</v>
      </c>
      <c r="AB45" s="3">
        <v>26</v>
      </c>
      <c r="AC45" s="3">
        <v>27</v>
      </c>
      <c r="AD45" s="3">
        <v>28</v>
      </c>
      <c r="AE45" s="3">
        <v>29</v>
      </c>
      <c r="AF45" s="3">
        <v>30</v>
      </c>
      <c r="AG45" s="3">
        <v>31</v>
      </c>
      <c r="AH45" s="3">
        <v>32</v>
      </c>
      <c r="AI45" s="3">
        <v>33</v>
      </c>
      <c r="AJ45" s="3">
        <v>34</v>
      </c>
      <c r="AK45" s="3">
        <v>35</v>
      </c>
      <c r="AL45" s="3">
        <v>36</v>
      </c>
    </row>
    <row r="46" spans="1:38" ht="18" customHeight="1">
      <c r="A46" s="32" t="s">
        <v>32</v>
      </c>
      <c r="B46" s="33">
        <f>C25</f>
        <v>4.0960000000000001E-5</v>
      </c>
      <c r="C46" s="33">
        <f>D25+C26</f>
        <v>1.6384000000000001E-3</v>
      </c>
      <c r="D46" s="33">
        <f>E25+D26+C27</f>
        <v>2.4821760000000002E-2</v>
      </c>
      <c r="E46" s="33">
        <f>F25+E26+D27+C28</f>
        <v>0.17121280000000005</v>
      </c>
      <c r="F46" s="33">
        <f>G25+F26+E27+D28+C29</f>
        <v>0.4838809600000003</v>
      </c>
      <c r="G46" s="33">
        <f>H25+G26+F27+E28+D29+C30</f>
        <v>0.25681920000000008</v>
      </c>
      <c r="H46" s="33">
        <f>I25+H26+G27+F28+E29+D30+C31</f>
        <v>5.584896000000001E-2</v>
      </c>
      <c r="I46" s="33">
        <f>J25+I26+H27+G28+F29+E30+D31+C32</f>
        <v>5.5296E-3</v>
      </c>
      <c r="J46" s="33">
        <f>K25+J26+I27+H28+G29+F30+E31+D32+C33</f>
        <v>2.0735999999999999E-4</v>
      </c>
      <c r="K46" s="33">
        <f>L25+K26+J27+I28+H29+G30+F31+E32+D33+C34</f>
        <v>0</v>
      </c>
      <c r="L46" s="33">
        <f>M25+L26+K27+J28+I29+H30+G31+F32+E33+D34+C35</f>
        <v>0</v>
      </c>
      <c r="M46" s="33">
        <f>N25+M26+L27+K28+J29+I30+H31+G32+F33+E34+D35+C36</f>
        <v>0</v>
      </c>
      <c r="N46" s="33">
        <f>O25+N26+M27+L28+K29+J30+I31+H32+G33+F34+E35+D36+C37</f>
        <v>0</v>
      </c>
      <c r="O46" s="33">
        <f>P25+O26+N27+M28+L29+K30+J31+I32+H33+G34+F35+E36+D37+C38</f>
        <v>0</v>
      </c>
      <c r="P46" s="33">
        <f>Q25+P26+O27+N28+M29+L30+K31+J32+I33+H34+G35+F36+E37+D38+C39</f>
        <v>0</v>
      </c>
      <c r="Q46" s="33">
        <f>R25+Q26+P27+O28+N29+M30+L31+K32+J33+I34+H35+G36+F37+E38+D39+C40</f>
        <v>0</v>
      </c>
      <c r="R46" s="33">
        <f>S25+R26+Q27+P28+O29+N30+M31+L32+K33+J34+I35+H36+G37+F38+E39+D40+C41</f>
        <v>0</v>
      </c>
      <c r="S46" s="33">
        <f>SUM(T25,S26,R27,Q28,P29,O30,N31,M32,L33,K34,J35,I36,H37,G38,F39,E40,D41,C42)</f>
        <v>0</v>
      </c>
      <c r="T46" s="33">
        <f>SUM(U25,T26,S27,R28,Q29,P30,O31,N32,M33,L34,K35,J36,I37,H38,G39,F40,E41,D42,C43)</f>
        <v>0</v>
      </c>
      <c r="U46" s="37">
        <f>SUM(U26,T27,S28,R29,Q30,P31,O32,N33,M34,L35,K36,J37,I38,H39,G40,F41,E42,D43)</f>
        <v>0</v>
      </c>
      <c r="V46" s="37">
        <f>SUM(U27,T28,S29,R30,Q31,P32,O33,N34,M35,L36,K37,J38,I39,H40,G41,F42,E43)</f>
        <v>0</v>
      </c>
      <c r="W46" s="37">
        <f>SUM(U28,T29,S30,R31,Q32,P33,O34,N35,M36,L37,K38,J39,I40,H41,G42,F43)</f>
        <v>0</v>
      </c>
      <c r="X46" s="37">
        <f>SUM(G43,H42,I41,J40,K39,L38,M37,N36,O35,P34,Q33,R32,S31,T30,U29)</f>
        <v>0</v>
      </c>
      <c r="Y46" s="37">
        <f>SUM(U30,T31,S32,R33,Q34,P35,O36,N37,M38,L39,K40,J41,I42,H43)</f>
        <v>0</v>
      </c>
      <c r="Z46" s="37">
        <f>SUM(U31,T32,S33,R34,Q35,P36,O37,N38,M39,L40,K41,J42,I43)</f>
        <v>0</v>
      </c>
      <c r="AA46" s="37">
        <f>SUM(U32,T33,S34,R35,Q36,P37,O38,N39,M40,L41,K42,J43)</f>
        <v>0</v>
      </c>
      <c r="AB46" s="37">
        <f>SUM(U33,T34,S35,R36,Q37,P38,O39,N40,M41,L42,K43)</f>
        <v>0</v>
      </c>
      <c r="AC46" s="37">
        <f>SUM(U34,T35,S36,R37,Q38,P39,O40,N41,M42,L43)</f>
        <v>0</v>
      </c>
      <c r="AD46" s="37">
        <f>SUM(U35,T36,S37,R38,Q39,P40,O41,N42,M43)</f>
        <v>0</v>
      </c>
      <c r="AE46" s="37">
        <f>SUM(N43,O42,P41,Q40,R39,S38,T37,U36)</f>
        <v>0</v>
      </c>
      <c r="AF46" s="37">
        <f>SUM(O43,P42,Q41,R40,S39,T38,U37)</f>
        <v>0</v>
      </c>
      <c r="AG46" s="37">
        <f>SUM(P43,Q42,R41,S40,T39,U38)</f>
        <v>0</v>
      </c>
      <c r="AH46" s="37">
        <f>SUM(Q43,R42,S41,T40,U39)</f>
        <v>0</v>
      </c>
      <c r="AI46" s="37">
        <f>SUM(R43,S42,T41,U40)</f>
        <v>0</v>
      </c>
      <c r="AJ46" s="37">
        <f>SUM(S43,T42,U41)</f>
        <v>0</v>
      </c>
      <c r="AK46" s="37">
        <f>SUM(T43,U42)</f>
        <v>0</v>
      </c>
      <c r="AL46" s="37">
        <f>SUM(U43)</f>
        <v>0</v>
      </c>
    </row>
    <row r="47" spans="1:38" ht="18" customHeight="1">
      <c r="A47" s="34" t="s">
        <v>33</v>
      </c>
      <c r="B47" s="33">
        <f>SUM($B46:B46)</f>
        <v>4.0960000000000001E-5</v>
      </c>
      <c r="C47" s="33">
        <f>SUM($B46:C46)</f>
        <v>1.6793600000000002E-3</v>
      </c>
      <c r="D47" s="33">
        <f>SUM($B46:D46)</f>
        <v>2.6501120000000003E-2</v>
      </c>
      <c r="E47" s="33">
        <f>SUM($B46:E46)</f>
        <v>0.19771392000000004</v>
      </c>
      <c r="F47" s="33">
        <f>SUM($B46:F46)</f>
        <v>0.68159488000000035</v>
      </c>
      <c r="G47" s="33">
        <f>SUM($B46:G46)</f>
        <v>0.93841408000000048</v>
      </c>
      <c r="H47" s="33">
        <f>SUM($B46:H46)</f>
        <v>0.99426304000000054</v>
      </c>
      <c r="I47" s="33">
        <f>SUM($B46:I46)</f>
        <v>0.99979264000000057</v>
      </c>
      <c r="J47" s="33">
        <f>SUM($B46:J46)</f>
        <v>1.0000000000000007</v>
      </c>
      <c r="K47" s="33">
        <f>SUM($B46:K46)</f>
        <v>1.0000000000000007</v>
      </c>
      <c r="L47" s="33">
        <f>SUM($B46:L46)</f>
        <v>1.0000000000000007</v>
      </c>
      <c r="M47" s="33">
        <f>SUM($B46:M46)</f>
        <v>1.0000000000000007</v>
      </c>
      <c r="N47" s="33">
        <f>SUM($B46:N46)</f>
        <v>1.0000000000000007</v>
      </c>
      <c r="O47" s="33">
        <f>SUM($B46:O46)</f>
        <v>1.0000000000000007</v>
      </c>
      <c r="P47" s="33">
        <f>SUM($B46:P46)</f>
        <v>1.0000000000000007</v>
      </c>
      <c r="Q47" s="33">
        <f>SUM($B46:Q46)</f>
        <v>1.0000000000000007</v>
      </c>
      <c r="R47" s="33">
        <f>SUM($B46:R46)</f>
        <v>1.0000000000000007</v>
      </c>
      <c r="S47" s="33">
        <f>SUM($B46:S46)</f>
        <v>1.0000000000000007</v>
      </c>
      <c r="T47" s="33">
        <f>SUM($B46:T46)</f>
        <v>1.0000000000000007</v>
      </c>
      <c r="U47" s="33">
        <f>SUM($B46:U46)</f>
        <v>1.0000000000000007</v>
      </c>
      <c r="V47" s="33">
        <f>SUM($B46:V46)</f>
        <v>1.0000000000000007</v>
      </c>
      <c r="W47" s="33">
        <f>SUM($B46:W46)</f>
        <v>1.0000000000000007</v>
      </c>
      <c r="X47" s="33">
        <f>SUM($B46:X46)</f>
        <v>1.0000000000000007</v>
      </c>
      <c r="Y47" s="33">
        <f>SUM($B46:Y46)</f>
        <v>1.0000000000000007</v>
      </c>
      <c r="Z47" s="33">
        <f>SUM($B46:Z46)</f>
        <v>1.0000000000000007</v>
      </c>
      <c r="AA47" s="33">
        <f>SUM($B46:AA46)</f>
        <v>1.0000000000000007</v>
      </c>
      <c r="AB47" s="33">
        <f>SUM($B46:AB46)</f>
        <v>1.0000000000000007</v>
      </c>
      <c r="AC47" s="33">
        <f>SUM($B46:AC46)</f>
        <v>1.0000000000000007</v>
      </c>
      <c r="AD47" s="33">
        <f>SUM($B46:AD46)</f>
        <v>1.0000000000000007</v>
      </c>
      <c r="AE47" s="33">
        <f>SUM($B46:AE46)</f>
        <v>1.0000000000000007</v>
      </c>
      <c r="AF47" s="33">
        <f>SUM($B46:AF46)</f>
        <v>1.0000000000000007</v>
      </c>
      <c r="AG47" s="33">
        <f>SUM($B46:AG46)</f>
        <v>1.0000000000000007</v>
      </c>
      <c r="AH47" s="33">
        <f>SUM($B46:AH46)</f>
        <v>1.0000000000000007</v>
      </c>
      <c r="AI47" s="33">
        <f>SUM($B46:AI46)</f>
        <v>1.0000000000000007</v>
      </c>
      <c r="AJ47" s="33">
        <f>SUM($B46:AJ46)</f>
        <v>1.0000000000000007</v>
      </c>
      <c r="AK47" s="33">
        <f>SUM($B46:AK46)</f>
        <v>1.0000000000000007</v>
      </c>
      <c r="AL47" s="33">
        <f>SUM($B46:AL46)</f>
        <v>1.0000000000000007</v>
      </c>
    </row>
  </sheetData>
  <mergeCells count="2">
    <mergeCell ref="A1:P1"/>
    <mergeCell ref="C3:L3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DB8F-F5A9-AA49-9D2F-34C9680FDA33}">
  <dimension ref="A1:X33"/>
  <sheetViews>
    <sheetView showGridLines="0" topLeftCell="A12" zoomScale="110" zoomScaleNormal="110" workbookViewId="0">
      <selection activeCell="B12" sqref="B12:Q12"/>
    </sheetView>
  </sheetViews>
  <sheetFormatPr defaultColWidth="9" defaultRowHeight="11.25"/>
  <cols>
    <col min="1" max="1" width="12.42578125" style="18" customWidth="1"/>
    <col min="2" max="7" width="5.42578125" style="18" customWidth="1"/>
    <col min="8" max="8" width="8.85546875" style="18" bestFit="1" customWidth="1"/>
    <col min="9" max="9" width="5.42578125" style="18" customWidth="1"/>
    <col min="10" max="16" width="6.42578125" style="18" customWidth="1"/>
    <col min="17" max="18" width="9.42578125" style="18" customWidth="1"/>
    <col min="19" max="19" width="6.85546875" style="18" customWidth="1"/>
    <col min="20" max="20" width="5" style="18" customWidth="1"/>
    <col min="21" max="21" width="8" style="18" customWidth="1"/>
    <col min="22" max="16384" width="9" style="18"/>
  </cols>
  <sheetData>
    <row r="1" spans="1:24" s="2" customFormat="1" ht="12.75">
      <c r="A1" s="1" t="s">
        <v>66</v>
      </c>
      <c r="G1" s="69"/>
      <c r="O1" s="86" t="s">
        <v>101</v>
      </c>
      <c r="P1" s="86"/>
      <c r="Q1" s="86"/>
      <c r="R1" s="86"/>
      <c r="S1" s="86"/>
    </row>
    <row r="2" spans="1:24" s="3" customFormat="1" ht="12" customHeight="1">
      <c r="A2" s="19" t="s">
        <v>117</v>
      </c>
      <c r="O2" s="86"/>
      <c r="P2" s="86"/>
      <c r="Q2" s="86"/>
      <c r="R2" s="86"/>
      <c r="S2" s="86"/>
      <c r="T2" s="71"/>
    </row>
    <row r="3" spans="1:24" s="3" customFormat="1" ht="12">
      <c r="A3" s="19" t="s">
        <v>34</v>
      </c>
      <c r="O3" s="86"/>
      <c r="P3" s="86"/>
      <c r="Q3" s="86"/>
      <c r="R3" s="86"/>
      <c r="S3" s="86"/>
      <c r="T3" s="71"/>
    </row>
    <row r="4" spans="1:24" ht="12" customHeight="1">
      <c r="A4" s="92" t="s">
        <v>35</v>
      </c>
      <c r="B4" s="94" t="s">
        <v>113</v>
      </c>
      <c r="C4" s="95"/>
      <c r="D4" s="96"/>
      <c r="E4" s="90" t="s">
        <v>36</v>
      </c>
      <c r="F4" s="90"/>
      <c r="G4" s="90"/>
      <c r="H4" s="90"/>
      <c r="I4" s="90"/>
      <c r="K4" s="45" t="s">
        <v>37</v>
      </c>
      <c r="L4" s="46"/>
      <c r="M4" s="46"/>
      <c r="N4" s="46"/>
      <c r="O4" s="46"/>
    </row>
    <row r="5" spans="1:24" ht="22.7" customHeight="1">
      <c r="A5" s="93"/>
      <c r="B5" s="44" t="s">
        <v>41</v>
      </c>
      <c r="C5" s="44" t="s">
        <v>40</v>
      </c>
      <c r="D5" s="44" t="s">
        <v>111</v>
      </c>
      <c r="E5" s="90" t="s">
        <v>38</v>
      </c>
      <c r="F5" s="90"/>
      <c r="G5" s="90" t="s">
        <v>39</v>
      </c>
      <c r="H5" s="90"/>
      <c r="I5" s="44" t="s">
        <v>40</v>
      </c>
      <c r="J5" s="47"/>
      <c r="K5" s="97"/>
      <c r="L5" s="98"/>
      <c r="M5" s="44" t="s">
        <v>41</v>
      </c>
      <c r="N5" s="44" t="s">
        <v>40</v>
      </c>
      <c r="O5" s="44" t="s">
        <v>111</v>
      </c>
    </row>
    <row r="6" spans="1:24" ht="12" customHeight="1">
      <c r="A6" s="44" t="s">
        <v>42</v>
      </c>
      <c r="B6" s="77">
        <v>0.5</v>
      </c>
      <c r="C6" s="44">
        <v>0</v>
      </c>
      <c r="D6" s="44">
        <v>0.1</v>
      </c>
      <c r="E6" s="90">
        <v>1</v>
      </c>
      <c r="F6" s="90"/>
      <c r="G6" s="90">
        <v>0</v>
      </c>
      <c r="H6" s="90"/>
      <c r="I6" s="44">
        <v>8</v>
      </c>
      <c r="J6" s="48"/>
      <c r="K6" s="89" t="s">
        <v>42</v>
      </c>
      <c r="L6" s="89"/>
      <c r="M6" s="77">
        <v>0.5</v>
      </c>
      <c r="N6" s="44">
        <v>0</v>
      </c>
      <c r="O6" s="44">
        <v>0.1</v>
      </c>
      <c r="R6" s="49"/>
      <c r="S6" s="16"/>
      <c r="T6" s="51"/>
    </row>
    <row r="7" spans="1:24" ht="12" customHeight="1">
      <c r="A7" s="44" t="s">
        <v>43</v>
      </c>
      <c r="B7" s="77">
        <v>0.4</v>
      </c>
      <c r="C7" s="44">
        <v>0</v>
      </c>
      <c r="D7" s="44">
        <v>0.1</v>
      </c>
      <c r="E7" s="90">
        <v>2</v>
      </c>
      <c r="F7" s="90"/>
      <c r="G7" s="90">
        <v>0</v>
      </c>
      <c r="H7" s="90"/>
      <c r="I7" s="44">
        <v>9</v>
      </c>
      <c r="J7" s="48"/>
      <c r="K7" s="89" t="s">
        <v>43</v>
      </c>
      <c r="L7" s="89"/>
      <c r="M7" s="77">
        <v>0.4</v>
      </c>
      <c r="N7" s="44">
        <v>0</v>
      </c>
      <c r="O7" s="44">
        <v>0.1</v>
      </c>
      <c r="R7" s="49" t="s">
        <v>2</v>
      </c>
      <c r="S7" s="50">
        <v>0.98</v>
      </c>
      <c r="T7" s="18">
        <f>_xlfn.NORM.S.INV(S7)</f>
        <v>2.0537489106318221</v>
      </c>
    </row>
    <row r="8" spans="1:24" ht="12" customHeight="1">
      <c r="A8" s="44" t="s">
        <v>44</v>
      </c>
      <c r="B8" s="77">
        <v>0.9</v>
      </c>
      <c r="C8" s="44">
        <v>0</v>
      </c>
      <c r="D8" s="44">
        <v>0.7</v>
      </c>
      <c r="E8" s="90">
        <v>1</v>
      </c>
      <c r="F8" s="90"/>
      <c r="G8" s="90">
        <v>0</v>
      </c>
      <c r="H8" s="90"/>
      <c r="I8" s="44">
        <v>8</v>
      </c>
      <c r="J8" s="48"/>
      <c r="K8" s="89" t="s">
        <v>44</v>
      </c>
      <c r="L8" s="89"/>
      <c r="M8" s="77">
        <v>0.9</v>
      </c>
      <c r="N8" s="44">
        <v>0</v>
      </c>
      <c r="O8" s="44">
        <v>0.7</v>
      </c>
      <c r="R8" s="22" t="s">
        <v>45</v>
      </c>
      <c r="S8" s="2">
        <v>52</v>
      </c>
      <c r="T8" s="2" t="s">
        <v>1</v>
      </c>
    </row>
    <row r="9" spans="1:24" ht="12" customHeight="1">
      <c r="A9" s="44" t="s">
        <v>46</v>
      </c>
      <c r="B9" s="77">
        <v>0.3</v>
      </c>
      <c r="C9" s="44">
        <v>0</v>
      </c>
      <c r="D9" s="44">
        <v>0.05</v>
      </c>
      <c r="E9" s="90">
        <v>2</v>
      </c>
      <c r="F9" s="90"/>
      <c r="G9" s="90">
        <v>0</v>
      </c>
      <c r="H9" s="90"/>
      <c r="I9" s="44">
        <v>9</v>
      </c>
      <c r="J9" s="48"/>
      <c r="K9" s="89" t="s">
        <v>46</v>
      </c>
      <c r="L9" s="89"/>
      <c r="M9" s="77">
        <v>0.3</v>
      </c>
      <c r="N9" s="44">
        <v>0</v>
      </c>
      <c r="O9" s="44">
        <v>0.05</v>
      </c>
    </row>
    <row r="11" spans="1:24" ht="12">
      <c r="A11" s="19" t="s">
        <v>47</v>
      </c>
      <c r="M11" s="2" t="s">
        <v>14</v>
      </c>
    </row>
    <row r="12" spans="1:24" ht="43.35" customHeight="1">
      <c r="B12" s="8" t="s">
        <v>48</v>
      </c>
      <c r="C12" s="8" t="s">
        <v>51</v>
      </c>
      <c r="D12" s="91" t="s">
        <v>49</v>
      </c>
      <c r="E12" s="91"/>
      <c r="F12" s="8" t="s">
        <v>126</v>
      </c>
      <c r="G12" s="8" t="s">
        <v>50</v>
      </c>
      <c r="H12" s="91" t="s">
        <v>129</v>
      </c>
      <c r="I12" s="91"/>
      <c r="J12" s="8" t="s">
        <v>16</v>
      </c>
      <c r="K12" s="8" t="s">
        <v>67</v>
      </c>
      <c r="L12" s="8" t="s">
        <v>68</v>
      </c>
      <c r="M12" s="8" t="s">
        <v>133</v>
      </c>
      <c r="N12" s="8" t="s">
        <v>70</v>
      </c>
      <c r="O12" s="8" t="s">
        <v>52</v>
      </c>
      <c r="P12" s="8" t="s">
        <v>53</v>
      </c>
      <c r="Q12" s="8" t="s">
        <v>131</v>
      </c>
      <c r="R12" s="8"/>
    </row>
    <row r="13" spans="1:24" ht="22.7" customHeight="1">
      <c r="B13" s="51" t="s">
        <v>54</v>
      </c>
      <c r="C13" s="8"/>
      <c r="D13" s="8" t="s">
        <v>55</v>
      </c>
      <c r="E13" s="8" t="s">
        <v>56</v>
      </c>
      <c r="F13" s="8" t="s">
        <v>24</v>
      </c>
      <c r="G13" s="8" t="s">
        <v>57</v>
      </c>
      <c r="H13" s="8" t="s">
        <v>55</v>
      </c>
      <c r="I13" s="8" t="s">
        <v>56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58</v>
      </c>
      <c r="O13" s="8" t="s">
        <v>59</v>
      </c>
      <c r="P13" s="8" t="s">
        <v>58</v>
      </c>
      <c r="Q13" s="8" t="s">
        <v>58</v>
      </c>
      <c r="S13" s="18" t="s">
        <v>95</v>
      </c>
    </row>
    <row r="14" spans="1:24" ht="18" customHeight="1">
      <c r="A14" s="18" t="s">
        <v>119</v>
      </c>
      <c r="B14" s="53">
        <v>10</v>
      </c>
      <c r="C14" s="54">
        <v>0.2</v>
      </c>
      <c r="D14" s="53">
        <v>250</v>
      </c>
      <c r="E14" s="53">
        <v>42</v>
      </c>
      <c r="F14" s="53">
        <v>250</v>
      </c>
      <c r="G14" s="53">
        <v>1</v>
      </c>
      <c r="H14" s="53">
        <f>F14 * G14</f>
        <v>250</v>
      </c>
      <c r="I14" s="53">
        <f>E14/G14</f>
        <v>42</v>
      </c>
      <c r="J14" s="53">
        <f>$T$7*I14</f>
        <v>86.257454246536525</v>
      </c>
      <c r="K14" s="53">
        <f>H14</f>
        <v>250</v>
      </c>
      <c r="L14" s="53">
        <f>K14/2/G14</f>
        <v>125</v>
      </c>
      <c r="M14" s="53">
        <f>J14+K14+L14</f>
        <v>461.25745424653655</v>
      </c>
      <c r="N14" s="53">
        <f>M14*C14 * B14 / 52</f>
        <v>17.740671317174481</v>
      </c>
      <c r="O14" s="53">
        <f>B6*G6+(1-B6*E6)</f>
        <v>0.5</v>
      </c>
      <c r="P14" s="53">
        <f>D14*O14</f>
        <v>125</v>
      </c>
      <c r="Q14" s="53">
        <f t="shared" ref="Q14:Q19" si="0">SUM(N14,P14)</f>
        <v>142.74067131717447</v>
      </c>
      <c r="R14" s="51" t="s">
        <v>60</v>
      </c>
      <c r="S14" s="52">
        <f>SUM(Q14:Q15)</f>
        <v>1029.9184561754182</v>
      </c>
      <c r="U14" s="18" t="s">
        <v>145</v>
      </c>
    </row>
    <row r="15" spans="1:24" ht="18" customHeight="1">
      <c r="A15" s="18" t="s">
        <v>120</v>
      </c>
      <c r="B15" s="53">
        <v>10</v>
      </c>
      <c r="C15" s="54">
        <v>0.2</v>
      </c>
      <c r="D15" s="53">
        <v>700</v>
      </c>
      <c r="E15" s="53">
        <v>86</v>
      </c>
      <c r="F15" s="53">
        <v>700</v>
      </c>
      <c r="G15" s="53">
        <v>1</v>
      </c>
      <c r="H15" s="53">
        <f t="shared" ref="H15:H19" si="1">F15 * G15</f>
        <v>700</v>
      </c>
      <c r="I15" s="53">
        <f>E15*SQRT(G15)</f>
        <v>86</v>
      </c>
      <c r="J15" s="53">
        <f>$T$7*I15</f>
        <v>176.6224063143367</v>
      </c>
      <c r="K15" s="53">
        <f>H15</f>
        <v>700</v>
      </c>
      <c r="L15" s="53">
        <f>K15/2/G15</f>
        <v>350</v>
      </c>
      <c r="M15" s="53">
        <f t="shared" ref="M15:M19" si="2">J15+K15+L15</f>
        <v>1226.6224063143368</v>
      </c>
      <c r="N15" s="53">
        <f t="shared" ref="N15:N19" si="3">M15*C15 * B15 / 52</f>
        <v>47.177784858243726</v>
      </c>
      <c r="O15" s="53">
        <f>(B7*G7)+(1-B7)*E7</f>
        <v>1.2</v>
      </c>
      <c r="P15" s="53">
        <f t="shared" ref="P15:P19" si="4">D15*O15</f>
        <v>840</v>
      </c>
      <c r="Q15" s="53">
        <f t="shared" si="0"/>
        <v>887.17778485824374</v>
      </c>
      <c r="R15" s="51"/>
    </row>
    <row r="16" spans="1:24" ht="18" customHeight="1">
      <c r="A16" s="18" t="s">
        <v>121</v>
      </c>
      <c r="B16" s="53">
        <v>400</v>
      </c>
      <c r="C16" s="54">
        <v>0.4</v>
      </c>
      <c r="D16" s="53">
        <v>19</v>
      </c>
      <c r="E16" s="53">
        <v>6</v>
      </c>
      <c r="F16" s="53">
        <v>19</v>
      </c>
      <c r="G16" s="53">
        <v>2.5</v>
      </c>
      <c r="H16" s="53">
        <f>F16 * G16</f>
        <v>47.5</v>
      </c>
      <c r="I16" s="53">
        <f>E16*SQRT(G16)</f>
        <v>9.4868329805051381</v>
      </c>
      <c r="J16" s="53">
        <f>$T$7*I16</f>
        <v>19.483572899058469</v>
      </c>
      <c r="K16" s="53">
        <f>H16</f>
        <v>47.5</v>
      </c>
      <c r="L16" s="53">
        <f t="shared" ref="L16:L19" si="5">K16/2/G16</f>
        <v>9.5</v>
      </c>
      <c r="M16" s="53">
        <f t="shared" si="2"/>
        <v>76.483572899058473</v>
      </c>
      <c r="N16" s="53">
        <f t="shared" si="3"/>
        <v>235.33407045864149</v>
      </c>
      <c r="O16" s="53">
        <f>C6*G6+(1-C6)*I6</f>
        <v>8</v>
      </c>
      <c r="P16" s="53">
        <f t="shared" si="4"/>
        <v>152</v>
      </c>
      <c r="Q16" s="53">
        <f t="shared" si="0"/>
        <v>387.33407045864146</v>
      </c>
      <c r="R16" s="51" t="s">
        <v>61</v>
      </c>
      <c r="S16" s="52">
        <f>SUM(Q16:Q17)</f>
        <v>678.52271891776581</v>
      </c>
      <c r="X16" s="18" t="s">
        <v>146</v>
      </c>
    </row>
    <row r="17" spans="1:21" ht="18" customHeight="1">
      <c r="A17" s="18" t="s">
        <v>122</v>
      </c>
      <c r="B17" s="53">
        <v>400</v>
      </c>
      <c r="C17" s="54">
        <v>0.4</v>
      </c>
      <c r="D17" s="53">
        <v>14</v>
      </c>
      <c r="E17" s="53">
        <v>5</v>
      </c>
      <c r="F17" s="53">
        <v>14</v>
      </c>
      <c r="G17" s="53">
        <v>2.5</v>
      </c>
      <c r="H17" s="53">
        <f t="shared" si="1"/>
        <v>35</v>
      </c>
      <c r="I17" s="53">
        <f>E17*SQRT(G17)</f>
        <v>7.905694150420949</v>
      </c>
      <c r="J17" s="53">
        <f>$T$7*I17</f>
        <v>16.236310749215392</v>
      </c>
      <c r="K17" s="53">
        <f>H17</f>
        <v>35</v>
      </c>
      <c r="L17" s="53">
        <f t="shared" si="5"/>
        <v>7</v>
      </c>
      <c r="M17" s="53">
        <f t="shared" si="2"/>
        <v>58.236310749215392</v>
      </c>
      <c r="N17" s="53">
        <f t="shared" si="3"/>
        <v>179.18864845912429</v>
      </c>
      <c r="O17" s="53">
        <f>C8*G8+(1-C8)*I8</f>
        <v>8</v>
      </c>
      <c r="P17" s="53">
        <f t="shared" si="4"/>
        <v>112</v>
      </c>
      <c r="Q17" s="53">
        <f t="shared" si="0"/>
        <v>291.18864845912429</v>
      </c>
      <c r="R17" s="51"/>
    </row>
    <row r="18" spans="1:21" ht="18" customHeight="1">
      <c r="A18" s="18" t="s">
        <v>123</v>
      </c>
      <c r="B18" s="53">
        <v>800</v>
      </c>
      <c r="C18" s="54">
        <v>0.3</v>
      </c>
      <c r="D18" s="72">
        <v>2.09</v>
      </c>
      <c r="E18" s="74"/>
      <c r="F18" s="73">
        <v>2.09</v>
      </c>
      <c r="G18" s="53">
        <v>1</v>
      </c>
      <c r="H18" s="53">
        <f t="shared" si="1"/>
        <v>2.09</v>
      </c>
      <c r="I18" s="74"/>
      <c r="J18" s="53">
        <v>1.91</v>
      </c>
      <c r="K18" s="53">
        <f>D18*G18</f>
        <v>2.09</v>
      </c>
      <c r="L18" s="53">
        <f t="shared" si="5"/>
        <v>1.0449999999999999</v>
      </c>
      <c r="M18" s="53">
        <f t="shared" si="2"/>
        <v>5.0449999999999999</v>
      </c>
      <c r="N18" s="53">
        <f t="shared" si="3"/>
        <v>23.284615384615385</v>
      </c>
      <c r="O18" s="53">
        <f>D6*G6+(1-D6)*E6</f>
        <v>0.9</v>
      </c>
      <c r="P18" s="53">
        <f t="shared" si="4"/>
        <v>1.881</v>
      </c>
      <c r="Q18" s="53">
        <f t="shared" si="0"/>
        <v>25.165615384615386</v>
      </c>
      <c r="R18" s="51" t="s">
        <v>112</v>
      </c>
      <c r="S18" s="52">
        <f>SUM(Q18:Q19)</f>
        <v>49.077230769230766</v>
      </c>
      <c r="U18" s="18" t="s">
        <v>144</v>
      </c>
    </row>
    <row r="19" spans="1:21" ht="18" customHeight="1">
      <c r="A19" s="18" t="s">
        <v>124</v>
      </c>
      <c r="B19" s="53">
        <v>800</v>
      </c>
      <c r="C19" s="54">
        <v>0.3</v>
      </c>
      <c r="D19" s="72">
        <v>2.09</v>
      </c>
      <c r="E19" s="74"/>
      <c r="F19" s="73">
        <v>2.09</v>
      </c>
      <c r="G19" s="53">
        <v>1</v>
      </c>
      <c r="H19" s="53">
        <f t="shared" si="1"/>
        <v>2.09</v>
      </c>
      <c r="I19" s="74"/>
      <c r="J19" s="53">
        <v>1.91</v>
      </c>
      <c r="K19" s="53">
        <f>D19*G19</f>
        <v>2.09</v>
      </c>
      <c r="L19" s="53">
        <f t="shared" si="5"/>
        <v>1.0449999999999999</v>
      </c>
      <c r="M19" s="53">
        <f t="shared" si="2"/>
        <v>5.0449999999999999</v>
      </c>
      <c r="N19" s="53">
        <f t="shared" si="3"/>
        <v>23.284615384615385</v>
      </c>
      <c r="O19" s="53">
        <f>(D8*G8)+(1-D8)*E8</f>
        <v>0.30000000000000004</v>
      </c>
      <c r="P19" s="53">
        <f t="shared" si="4"/>
        <v>0.627</v>
      </c>
      <c r="Q19" s="53">
        <f t="shared" si="0"/>
        <v>23.911615384615384</v>
      </c>
    </row>
    <row r="21" spans="1:21" ht="12">
      <c r="A21" s="19" t="s">
        <v>118</v>
      </c>
    </row>
    <row r="22" spans="1:21" ht="51.95" customHeight="1">
      <c r="B22" s="8" t="s">
        <v>48</v>
      </c>
      <c r="C22" s="8" t="s">
        <v>51</v>
      </c>
      <c r="D22" s="91" t="s">
        <v>49</v>
      </c>
      <c r="E22" s="91"/>
      <c r="F22" s="8" t="s">
        <v>126</v>
      </c>
      <c r="G22" s="8" t="s">
        <v>50</v>
      </c>
      <c r="H22" s="91" t="s">
        <v>129</v>
      </c>
      <c r="I22" s="91"/>
      <c r="J22" s="8" t="s">
        <v>16</v>
      </c>
      <c r="K22" s="8" t="s">
        <v>67</v>
      </c>
      <c r="L22" s="8" t="s">
        <v>68</v>
      </c>
      <c r="M22" s="8" t="s">
        <v>69</v>
      </c>
      <c r="N22" s="8" t="s">
        <v>70</v>
      </c>
      <c r="O22" s="8" t="s">
        <v>62</v>
      </c>
      <c r="P22" s="8" t="s">
        <v>63</v>
      </c>
      <c r="Q22" s="8" t="s">
        <v>53</v>
      </c>
      <c r="R22" s="8" t="s">
        <v>132</v>
      </c>
    </row>
    <row r="23" spans="1:21" ht="20.85" customHeight="1">
      <c r="A23" s="7" t="s">
        <v>64</v>
      </c>
      <c r="B23" s="51" t="s">
        <v>54</v>
      </c>
      <c r="C23" s="8"/>
      <c r="D23" s="8" t="s">
        <v>55</v>
      </c>
      <c r="E23" s="8" t="s">
        <v>56</v>
      </c>
      <c r="F23" s="8" t="s">
        <v>24</v>
      </c>
      <c r="G23" s="8" t="s">
        <v>57</v>
      </c>
      <c r="H23" s="8" t="s">
        <v>55</v>
      </c>
      <c r="I23" s="8" t="s">
        <v>56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58</v>
      </c>
      <c r="O23" s="8" t="s">
        <v>59</v>
      </c>
      <c r="P23" s="8" t="s">
        <v>59</v>
      </c>
      <c r="Q23" s="8" t="s">
        <v>58</v>
      </c>
      <c r="R23" s="8" t="s">
        <v>58</v>
      </c>
    </row>
    <row r="24" spans="1:21" ht="14.25" customHeight="1">
      <c r="A24" s="18" t="s">
        <v>41</v>
      </c>
      <c r="B24" s="53">
        <v>10</v>
      </c>
      <c r="C24" s="54">
        <v>0.2</v>
      </c>
      <c r="D24" s="53">
        <v>950</v>
      </c>
      <c r="E24" s="53">
        <f>SQRT(E14^2+E15^2)</f>
        <v>95.707888912043188</v>
      </c>
      <c r="F24" s="53">
        <v>950</v>
      </c>
      <c r="G24" s="53">
        <v>1</v>
      </c>
      <c r="H24" s="53">
        <f>F24*G24</f>
        <v>950</v>
      </c>
      <c r="I24" s="53">
        <f>E24/G24</f>
        <v>95.707888912043188</v>
      </c>
      <c r="J24" s="53">
        <f>T$7*I24</f>
        <v>196.55997259198014</v>
      </c>
      <c r="K24" s="53">
        <f>H24</f>
        <v>950</v>
      </c>
      <c r="L24" s="53">
        <f>K24/2/G24</f>
        <v>475</v>
      </c>
      <c r="M24" s="53">
        <f>SUM(J24:L24)</f>
        <v>1621.5599725919801</v>
      </c>
      <c r="N24" s="53">
        <f>M24*B24*C24/52</f>
        <v>62.3676912535377</v>
      </c>
      <c r="O24" s="53">
        <f>B6*G6+(1-B6)*E6</f>
        <v>0.5</v>
      </c>
      <c r="P24" s="53">
        <f>B7*G7+(1-B7)*E7</f>
        <v>1.2</v>
      </c>
      <c r="Q24" s="53">
        <f>D14*O24+D15*P24</f>
        <v>965</v>
      </c>
      <c r="R24" s="55">
        <f>SUM(Q24,N24)</f>
        <v>1027.3676912535377</v>
      </c>
    </row>
    <row r="25" spans="1:21" ht="14.25" customHeight="1">
      <c r="A25" s="18" t="s">
        <v>40</v>
      </c>
      <c r="B25" s="53">
        <v>400</v>
      </c>
      <c r="C25" s="54">
        <v>0.4</v>
      </c>
      <c r="D25" s="53">
        <v>33</v>
      </c>
      <c r="E25" s="53">
        <f>SQRT(E16^2+E17^2)</f>
        <v>7.810249675906654</v>
      </c>
      <c r="F25" s="53">
        <v>33</v>
      </c>
      <c r="G25" s="53">
        <v>2.5</v>
      </c>
      <c r="H25" s="53">
        <f t="shared" ref="H25:H26" si="6">F25*G25</f>
        <v>82.5</v>
      </c>
      <c r="I25" s="53">
        <f>E25/G25</f>
        <v>3.1240998703626617</v>
      </c>
      <c r="J25" s="53">
        <f>T$7*I25</f>
        <v>6.4161167054623327</v>
      </c>
      <c r="K25" s="53">
        <f>H25</f>
        <v>82.5</v>
      </c>
      <c r="L25" s="53">
        <f>K25/2/G25</f>
        <v>16.5</v>
      </c>
      <c r="M25" s="53">
        <f>SUM(J25:L25)</f>
        <v>105.41611670546233</v>
      </c>
      <c r="N25" s="53">
        <f>M25*B25*C25/52</f>
        <v>324.35728217065332</v>
      </c>
      <c r="O25" s="53">
        <f>C6*G6+(1-C6)*I6</f>
        <v>8</v>
      </c>
      <c r="P25" s="53">
        <f>C8*G8+(1-C8)*I8</f>
        <v>8</v>
      </c>
      <c r="Q25" s="53">
        <f>O25*D16+D17*P25</f>
        <v>264</v>
      </c>
      <c r="R25" s="55">
        <f>SUM(Q25,N25)</f>
        <v>588.35728217065332</v>
      </c>
    </row>
    <row r="26" spans="1:21" ht="14.25" customHeight="1">
      <c r="A26" s="18" t="s">
        <v>111</v>
      </c>
      <c r="B26" s="53">
        <v>800</v>
      </c>
      <c r="C26" s="54">
        <v>0.3</v>
      </c>
      <c r="D26" s="53">
        <v>4.18</v>
      </c>
      <c r="E26" s="74"/>
      <c r="F26" s="53">
        <v>4.18</v>
      </c>
      <c r="G26" s="53">
        <v>1</v>
      </c>
      <c r="H26" s="53">
        <f t="shared" si="6"/>
        <v>4.18</v>
      </c>
      <c r="I26" s="74"/>
      <c r="J26" s="53">
        <f>J19</f>
        <v>1.91</v>
      </c>
      <c r="K26" s="53">
        <f>H26</f>
        <v>4.18</v>
      </c>
      <c r="L26" s="53">
        <f>K26/2/G26</f>
        <v>2.09</v>
      </c>
      <c r="M26" s="53">
        <f>SUM(J26:L26)</f>
        <v>8.18</v>
      </c>
      <c r="N26" s="53">
        <f>M26*B26*C26/52</f>
        <v>37.753846153846148</v>
      </c>
      <c r="O26" s="53">
        <f>D6*G6+(1-D6)*E6</f>
        <v>0.9</v>
      </c>
      <c r="P26" s="53">
        <f>D8*G8+(1-D8)*(E8)</f>
        <v>0.30000000000000004</v>
      </c>
      <c r="Q26" s="53">
        <f>O26*D18+D19*P26</f>
        <v>2.508</v>
      </c>
      <c r="R26" s="55">
        <f>SUM(N26,Q26)</f>
        <v>40.26184615384615</v>
      </c>
    </row>
    <row r="27" spans="1:21" ht="22.5">
      <c r="A27" s="7" t="s">
        <v>65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</row>
    <row r="28" spans="1:21" ht="12.95" customHeight="1">
      <c r="A28" s="18" t="s">
        <v>41</v>
      </c>
      <c r="B28" s="53">
        <v>10</v>
      </c>
      <c r="C28" s="54">
        <v>0.2</v>
      </c>
      <c r="D28" s="53">
        <v>950</v>
      </c>
      <c r="E28" s="53">
        <f>SQRT(E14^2+E15^2)</f>
        <v>95.707888912043188</v>
      </c>
      <c r="F28" s="53">
        <v>950</v>
      </c>
      <c r="G28" s="53">
        <v>1</v>
      </c>
      <c r="H28" s="53">
        <f>F28*G28</f>
        <v>950</v>
      </c>
      <c r="I28" s="53">
        <f>E28/G28</f>
        <v>95.707888912043188</v>
      </c>
      <c r="J28" s="53">
        <f>I28*$T$7</f>
        <v>196.55997259198014</v>
      </c>
      <c r="K28" s="53">
        <f>H28</f>
        <v>950</v>
      </c>
      <c r="L28" s="53">
        <f>K28/2/G28</f>
        <v>475</v>
      </c>
      <c r="M28" s="53">
        <f>SUM(J28:L28)</f>
        <v>1621.5599725919801</v>
      </c>
      <c r="N28" s="53">
        <f>M28*B28*C28/52</f>
        <v>62.3676912535377</v>
      </c>
      <c r="O28" s="53">
        <f>B9*G9+(1-B9*E9)</f>
        <v>0.4</v>
      </c>
      <c r="P28" s="53">
        <f>B8*G8+(1-B8*E8)</f>
        <v>9.9999999999999978E-2</v>
      </c>
      <c r="Q28" s="53">
        <f>O28*F14+P28*F15</f>
        <v>170</v>
      </c>
      <c r="R28" s="55">
        <f>SUM(Q28,N28)</f>
        <v>232.36769125353771</v>
      </c>
    </row>
    <row r="29" spans="1:21" ht="12.95" customHeight="1">
      <c r="A29" s="18" t="s">
        <v>40</v>
      </c>
      <c r="B29" s="53">
        <v>40</v>
      </c>
      <c r="C29" s="54">
        <v>0.4</v>
      </c>
      <c r="D29" s="53">
        <v>33</v>
      </c>
      <c r="E29" s="53">
        <f>SQRT(E16^2+E17^2)</f>
        <v>7.810249675906654</v>
      </c>
      <c r="F29" s="53">
        <v>33</v>
      </c>
      <c r="G29" s="53">
        <v>2.5</v>
      </c>
      <c r="H29" s="53">
        <f t="shared" ref="H29:H30" si="7">F29*G29</f>
        <v>82.5</v>
      </c>
      <c r="I29" s="53">
        <f>E29/G29</f>
        <v>3.1240998703626617</v>
      </c>
      <c r="J29" s="53">
        <f>I29*$T$7</f>
        <v>6.4161167054623327</v>
      </c>
      <c r="K29" s="53">
        <f>H29</f>
        <v>82.5</v>
      </c>
      <c r="L29" s="53">
        <f t="shared" ref="L29:L30" si="8">K29/2/G29</f>
        <v>16.5</v>
      </c>
      <c r="M29" s="53">
        <f t="shared" ref="M29:M30" si="9">SUM(J29:L29)</f>
        <v>105.41611670546233</v>
      </c>
      <c r="N29" s="53">
        <f t="shared" ref="N29:N30" si="10">M29*B29*C29/52</f>
        <v>32.435728217065339</v>
      </c>
      <c r="O29" s="53">
        <f>C9*G9+(1-C9)*I9</f>
        <v>9</v>
      </c>
      <c r="P29" s="53">
        <f>C8*G8+(1-C8)*I8</f>
        <v>8</v>
      </c>
      <c r="Q29" s="53">
        <f>D16*O29+D17*P29</f>
        <v>283</v>
      </c>
      <c r="R29" s="55">
        <f t="shared" ref="R29:R30" si="11">SUM(Q29,N29)</f>
        <v>315.43572821706533</v>
      </c>
    </row>
    <row r="30" spans="1:21" ht="12.95" customHeight="1">
      <c r="A30" s="18" t="s">
        <v>111</v>
      </c>
      <c r="B30" s="53">
        <v>800</v>
      </c>
      <c r="C30" s="54">
        <v>0.3</v>
      </c>
      <c r="D30" s="53">
        <v>4.18</v>
      </c>
      <c r="E30" s="74"/>
      <c r="F30" s="53">
        <v>4.18</v>
      </c>
      <c r="G30" s="53">
        <v>1</v>
      </c>
      <c r="H30" s="53">
        <f t="shared" si="7"/>
        <v>4.18</v>
      </c>
      <c r="I30" s="74"/>
      <c r="J30" s="53">
        <f>J19</f>
        <v>1.91</v>
      </c>
      <c r="K30" s="53">
        <f>H30</f>
        <v>4.18</v>
      </c>
      <c r="L30" s="53">
        <f t="shared" si="8"/>
        <v>2.09</v>
      </c>
      <c r="M30" s="53">
        <f t="shared" si="9"/>
        <v>8.18</v>
      </c>
      <c r="N30" s="53">
        <f t="shared" si="10"/>
        <v>37.753846153846148</v>
      </c>
      <c r="O30" s="53">
        <f>D9*G9+(1-D9)*E9</f>
        <v>1.9</v>
      </c>
      <c r="P30" s="53">
        <f>D8*G8+(1-D8)*E8</f>
        <v>0.30000000000000004</v>
      </c>
      <c r="Q30" s="53">
        <f>D18*O30+D19*P30</f>
        <v>4.5979999999999999</v>
      </c>
      <c r="R30" s="55">
        <f t="shared" si="11"/>
        <v>42.351846153846147</v>
      </c>
    </row>
    <row r="32" spans="1:21" ht="12">
      <c r="A32" s="10" t="s">
        <v>115</v>
      </c>
    </row>
    <row r="33" spans="1:1" ht="12">
      <c r="A33" s="10"/>
    </row>
  </sheetData>
  <mergeCells count="23">
    <mergeCell ref="K7:L7"/>
    <mergeCell ref="O1:S3"/>
    <mergeCell ref="K5:L5"/>
    <mergeCell ref="E6:F6"/>
    <mergeCell ref="G6:H6"/>
    <mergeCell ref="K6:L6"/>
    <mergeCell ref="E7:F7"/>
    <mergeCell ref="G7:H7"/>
    <mergeCell ref="D22:E22"/>
    <mergeCell ref="H22:I22"/>
    <mergeCell ref="A4:A5"/>
    <mergeCell ref="B4:D4"/>
    <mergeCell ref="E4:I4"/>
    <mergeCell ref="E5:F5"/>
    <mergeCell ref="G5:H5"/>
    <mergeCell ref="E8:F8"/>
    <mergeCell ref="G8:H8"/>
    <mergeCell ref="K8:L8"/>
    <mergeCell ref="E9:F9"/>
    <mergeCell ref="G9:H9"/>
    <mergeCell ref="K9:L9"/>
    <mergeCell ref="D12:E12"/>
    <mergeCell ref="H12:I12"/>
  </mergeCells>
  <phoneticPr fontId="7" type="noConversion"/>
  <pageMargins left="0.6" right="0" top="0.6" bottom="0.6" header="0.5" footer="0.5"/>
  <pageSetup orientation="landscape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76F2-A9FB-C54D-A584-69FE9B406C06}">
  <dimension ref="A1:N30"/>
  <sheetViews>
    <sheetView showGridLines="0" topLeftCell="A7" workbookViewId="0">
      <selection activeCell="I31" sqref="I31"/>
    </sheetView>
  </sheetViews>
  <sheetFormatPr defaultColWidth="9" defaultRowHeight="12.75"/>
  <cols>
    <col min="1" max="1" width="10" style="65" customWidth="1"/>
    <col min="2" max="2" width="12.7109375" style="65" customWidth="1"/>
    <col min="3" max="7" width="7.42578125" style="65" customWidth="1"/>
    <col min="8" max="12" width="8.7109375" style="65" customWidth="1"/>
    <col min="13" max="13" width="7.42578125" style="65" customWidth="1"/>
    <col min="14" max="16384" width="9" style="65"/>
  </cols>
  <sheetData>
    <row r="1" spans="1:14">
      <c r="A1" s="56" t="s">
        <v>71</v>
      </c>
      <c r="B1" s="16"/>
      <c r="C1" s="16"/>
      <c r="D1" s="16"/>
      <c r="E1" s="16"/>
      <c r="I1" s="86" t="s">
        <v>101</v>
      </c>
      <c r="J1" s="86"/>
      <c r="K1" s="86"/>
      <c r="L1" s="86"/>
      <c r="M1" s="86"/>
    </row>
    <row r="2" spans="1:14" ht="12.75" customHeight="1">
      <c r="A2" s="57"/>
      <c r="B2" s="49"/>
      <c r="C2" s="18"/>
      <c r="D2" s="18"/>
      <c r="I2" s="86"/>
      <c r="J2" s="86"/>
      <c r="K2" s="86"/>
      <c r="L2" s="86"/>
      <c r="M2" s="86"/>
    </row>
    <row r="3" spans="1:14">
      <c r="A3" s="57"/>
      <c r="B3" s="49"/>
      <c r="C3" s="76" t="s">
        <v>110</v>
      </c>
      <c r="D3" s="18"/>
      <c r="I3" s="86"/>
      <c r="J3" s="86"/>
      <c r="K3" s="86"/>
      <c r="L3" s="86"/>
      <c r="M3" s="86"/>
    </row>
    <row r="4" spans="1:14">
      <c r="A4" s="57"/>
      <c r="B4" s="49" t="s">
        <v>50</v>
      </c>
      <c r="C4" s="52">
        <v>1</v>
      </c>
      <c r="D4" s="18" t="s">
        <v>1</v>
      </c>
      <c r="F4" s="71"/>
      <c r="G4" s="71"/>
      <c r="H4" s="71"/>
      <c r="I4" s="71"/>
      <c r="J4" s="71"/>
      <c r="K4" s="18"/>
      <c r="L4" s="18"/>
      <c r="M4" s="18"/>
    </row>
    <row r="5" spans="1:14">
      <c r="A5" s="57"/>
      <c r="B5" s="49" t="s">
        <v>104</v>
      </c>
      <c r="C5" s="67">
        <v>0.94</v>
      </c>
      <c r="D5" s="18"/>
      <c r="F5" s="49" t="s">
        <v>105</v>
      </c>
      <c r="G5" s="54">
        <v>0.99</v>
      </c>
      <c r="H5" s="18"/>
      <c r="I5" s="49" t="s">
        <v>103</v>
      </c>
      <c r="J5" s="67">
        <v>0.95</v>
      </c>
      <c r="K5" s="18"/>
      <c r="L5" s="18"/>
      <c r="M5" s="18"/>
    </row>
    <row r="6" spans="1:14">
      <c r="A6" s="57"/>
      <c r="B6" s="49" t="s">
        <v>72</v>
      </c>
      <c r="C6" s="52">
        <f>NORMSINV(0.94)</f>
        <v>1.5547735945968528</v>
      </c>
      <c r="D6" s="18"/>
      <c r="F6" s="49" t="s">
        <v>72</v>
      </c>
      <c r="G6" s="52">
        <f>NORMSINV(0.99)</f>
        <v>2.3263478740408408</v>
      </c>
      <c r="H6" s="18"/>
      <c r="I6" s="49" t="s">
        <v>72</v>
      </c>
      <c r="J6" s="52">
        <f>NORMSINV(0.95)</f>
        <v>1.6448536269514715</v>
      </c>
      <c r="K6" s="18"/>
      <c r="L6" s="18"/>
      <c r="M6" s="18"/>
    </row>
    <row r="7" spans="1:14">
      <c r="A7" s="57"/>
      <c r="B7" s="49" t="s">
        <v>73</v>
      </c>
      <c r="C7" s="68">
        <v>0.3</v>
      </c>
      <c r="D7" s="18"/>
      <c r="E7" s="51"/>
      <c r="F7" s="18"/>
      <c r="G7" s="18"/>
      <c r="H7" s="18"/>
      <c r="I7" s="18"/>
      <c r="J7" s="18"/>
      <c r="K7" s="18"/>
      <c r="L7" s="18"/>
      <c r="M7" s="18"/>
    </row>
    <row r="8" spans="1:14">
      <c r="A8" s="57"/>
      <c r="B8" s="51" t="s">
        <v>93</v>
      </c>
      <c r="C8" s="18">
        <v>4</v>
      </c>
      <c r="D8" s="18" t="s">
        <v>74</v>
      </c>
      <c r="E8" s="51"/>
      <c r="F8" s="18"/>
      <c r="G8" s="18"/>
      <c r="H8" s="18"/>
      <c r="I8" s="18"/>
      <c r="J8" s="18"/>
      <c r="K8" s="18"/>
      <c r="L8" s="18"/>
      <c r="M8" s="18"/>
    </row>
    <row r="9" spans="1:14">
      <c r="A9" s="57"/>
      <c r="B9" s="8"/>
      <c r="C9" s="8"/>
      <c r="D9" s="8"/>
      <c r="E9" s="8"/>
      <c r="F9" s="8"/>
      <c r="G9" s="8"/>
      <c r="H9" s="8"/>
      <c r="I9" s="66"/>
      <c r="J9" s="18"/>
      <c r="K9" s="2"/>
      <c r="L9" s="18"/>
      <c r="M9" s="18"/>
    </row>
    <row r="10" spans="1:14" ht="56.25">
      <c r="A10" s="59" t="s">
        <v>75</v>
      </c>
      <c r="B10" s="8"/>
      <c r="C10" s="8" t="s">
        <v>76</v>
      </c>
      <c r="D10" s="91" t="s">
        <v>49</v>
      </c>
      <c r="E10" s="91"/>
      <c r="F10" s="91" t="s">
        <v>138</v>
      </c>
      <c r="G10" s="91"/>
      <c r="H10" s="8" t="s">
        <v>126</v>
      </c>
      <c r="I10" s="8" t="s">
        <v>16</v>
      </c>
      <c r="J10" s="8" t="s">
        <v>17</v>
      </c>
      <c r="K10" s="8" t="s">
        <v>18</v>
      </c>
      <c r="L10" s="8" t="s">
        <v>19</v>
      </c>
      <c r="M10" s="8" t="s">
        <v>94</v>
      </c>
      <c r="N10" s="18"/>
    </row>
    <row r="11" spans="1:14" ht="22.5">
      <c r="A11" s="57"/>
      <c r="B11" s="8"/>
      <c r="C11" s="58" t="s">
        <v>77</v>
      </c>
      <c r="D11" s="58" t="s">
        <v>55</v>
      </c>
      <c r="E11" s="58" t="s">
        <v>56</v>
      </c>
      <c r="F11" s="58" t="s">
        <v>55</v>
      </c>
      <c r="G11" s="58" t="s">
        <v>56</v>
      </c>
      <c r="H11" s="58" t="s">
        <v>24</v>
      </c>
      <c r="I11" s="58" t="s">
        <v>24</v>
      </c>
      <c r="J11" s="58" t="s">
        <v>24</v>
      </c>
      <c r="K11" s="58" t="s">
        <v>24</v>
      </c>
      <c r="L11" s="58" t="s">
        <v>24</v>
      </c>
      <c r="M11" s="58" t="s">
        <v>25</v>
      </c>
      <c r="N11" s="18"/>
    </row>
    <row r="12" spans="1:14" ht="18" customHeight="1">
      <c r="A12" s="57"/>
      <c r="B12" s="42" t="s">
        <v>78</v>
      </c>
      <c r="C12" s="60">
        <v>1900</v>
      </c>
      <c r="D12" s="53">
        <v>5</v>
      </c>
      <c r="E12" s="53">
        <v>2.5</v>
      </c>
      <c r="F12" s="53">
        <v>5</v>
      </c>
      <c r="G12" s="53">
        <v>2.5</v>
      </c>
      <c r="H12" s="53">
        <f t="shared" ref="H12:H17" si="0">F12/4</f>
        <v>1.25</v>
      </c>
      <c r="I12" s="42">
        <f t="shared" ref="I12:I17" si="1">$C$6*G12</f>
        <v>3.886933986492132</v>
      </c>
      <c r="J12" s="53">
        <v>5</v>
      </c>
      <c r="K12" s="42">
        <f t="shared" ref="K12:K17" si="2">H12/2</f>
        <v>0.625</v>
      </c>
      <c r="L12" s="42">
        <f t="shared" ref="L12:L17" si="3">SUM(I12:K12)</f>
        <v>9.5119339864921315</v>
      </c>
      <c r="M12" s="42">
        <f t="shared" ref="M12:M17" si="4">L12*$C$7/52*C12</f>
        <v>104.26543023654837</v>
      </c>
      <c r="N12" s="18"/>
    </row>
    <row r="13" spans="1:14" ht="18" customHeight="1">
      <c r="A13" s="57"/>
      <c r="B13" s="42" t="s">
        <v>79</v>
      </c>
      <c r="C13" s="60">
        <v>2000</v>
      </c>
      <c r="D13" s="53">
        <v>5</v>
      </c>
      <c r="E13" s="53">
        <v>2.5</v>
      </c>
      <c r="F13" s="53">
        <v>5</v>
      </c>
      <c r="G13" s="53">
        <v>2.5</v>
      </c>
      <c r="H13" s="53">
        <f t="shared" si="0"/>
        <v>1.25</v>
      </c>
      <c r="I13" s="42">
        <f t="shared" si="1"/>
        <v>3.886933986492132</v>
      </c>
      <c r="J13" s="53">
        <v>5</v>
      </c>
      <c r="K13" s="42">
        <f t="shared" si="2"/>
        <v>0.625</v>
      </c>
      <c r="L13" s="42">
        <f t="shared" si="3"/>
        <v>9.5119339864921315</v>
      </c>
      <c r="M13" s="42">
        <f t="shared" si="4"/>
        <v>109.7530844595246</v>
      </c>
      <c r="N13" s="18"/>
    </row>
    <row r="14" spans="1:14" ht="18" customHeight="1">
      <c r="A14" s="57"/>
      <c r="B14" s="42" t="s">
        <v>80</v>
      </c>
      <c r="C14" s="60">
        <v>3200</v>
      </c>
      <c r="D14" s="52">
        <v>4.5</v>
      </c>
      <c r="E14" s="53">
        <v>2.2999999999999998</v>
      </c>
      <c r="F14" s="52">
        <v>4.5</v>
      </c>
      <c r="G14" s="53">
        <v>2.2999999999999998</v>
      </c>
      <c r="H14" s="53">
        <f t="shared" si="0"/>
        <v>1.125</v>
      </c>
      <c r="I14" s="42">
        <f t="shared" si="1"/>
        <v>3.5759792675727611</v>
      </c>
      <c r="J14" s="52">
        <v>4.5</v>
      </c>
      <c r="K14" s="42">
        <f t="shared" si="2"/>
        <v>0.5625</v>
      </c>
      <c r="L14" s="42">
        <f t="shared" si="3"/>
        <v>8.6384792675727606</v>
      </c>
      <c r="M14" s="42">
        <f t="shared" si="4"/>
        <v>159.47961724749712</v>
      </c>
      <c r="N14" s="18"/>
    </row>
    <row r="15" spans="1:14" ht="18" customHeight="1">
      <c r="A15" s="57"/>
      <c r="B15" s="42" t="s">
        <v>81</v>
      </c>
      <c r="C15" s="60">
        <v>3300</v>
      </c>
      <c r="D15" s="53">
        <v>4.5</v>
      </c>
      <c r="E15" s="53">
        <v>2.2999999999999998</v>
      </c>
      <c r="F15" s="53">
        <v>4.5</v>
      </c>
      <c r="G15" s="53">
        <v>2.2999999999999998</v>
      </c>
      <c r="H15" s="53">
        <f t="shared" si="0"/>
        <v>1.125</v>
      </c>
      <c r="I15" s="42">
        <f t="shared" si="1"/>
        <v>3.5759792675727611</v>
      </c>
      <c r="J15" s="53">
        <v>4.5</v>
      </c>
      <c r="K15" s="42">
        <f t="shared" si="2"/>
        <v>0.5625</v>
      </c>
      <c r="L15" s="42">
        <f t="shared" si="3"/>
        <v>8.6384792675727606</v>
      </c>
      <c r="M15" s="42">
        <f t="shared" si="4"/>
        <v>164.4633552864814</v>
      </c>
      <c r="N15" s="18"/>
    </row>
    <row r="16" spans="1:14" ht="18" customHeight="1">
      <c r="A16" s="57"/>
      <c r="B16" s="42" t="s">
        <v>82</v>
      </c>
      <c r="C16" s="60">
        <v>10400</v>
      </c>
      <c r="D16" s="53">
        <v>4</v>
      </c>
      <c r="E16" s="53">
        <v>2</v>
      </c>
      <c r="F16" s="53">
        <v>4</v>
      </c>
      <c r="G16" s="53">
        <v>2</v>
      </c>
      <c r="H16" s="53">
        <f t="shared" si="0"/>
        <v>1</v>
      </c>
      <c r="I16" s="42">
        <f t="shared" si="1"/>
        <v>3.1095471891937057</v>
      </c>
      <c r="J16" s="53">
        <v>4</v>
      </c>
      <c r="K16" s="42">
        <f t="shared" si="2"/>
        <v>0.5</v>
      </c>
      <c r="L16" s="42">
        <f t="shared" si="3"/>
        <v>7.6095471891937052</v>
      </c>
      <c r="M16" s="42">
        <f t="shared" si="4"/>
        <v>456.57283135162226</v>
      </c>
      <c r="N16" s="18"/>
    </row>
    <row r="17" spans="1:14" ht="18" customHeight="1">
      <c r="A17" s="57"/>
      <c r="B17" s="42" t="s">
        <v>83</v>
      </c>
      <c r="C17" s="60">
        <v>10500</v>
      </c>
      <c r="D17" s="52">
        <v>4</v>
      </c>
      <c r="E17" s="53">
        <v>2</v>
      </c>
      <c r="F17" s="52">
        <v>4</v>
      </c>
      <c r="G17" s="53">
        <v>2</v>
      </c>
      <c r="H17" s="53">
        <f t="shared" si="0"/>
        <v>1</v>
      </c>
      <c r="I17" s="42">
        <f t="shared" si="1"/>
        <v>3.1095471891937057</v>
      </c>
      <c r="J17" s="52">
        <v>4</v>
      </c>
      <c r="K17" s="42">
        <f t="shared" si="2"/>
        <v>0.5</v>
      </c>
      <c r="L17" s="42">
        <f t="shared" si="3"/>
        <v>7.6095471891937052</v>
      </c>
      <c r="M17" s="42">
        <f t="shared" si="4"/>
        <v>460.96295473000328</v>
      </c>
      <c r="N17" s="18"/>
    </row>
    <row r="18" spans="1:14" ht="18" customHeight="1">
      <c r="A18" s="57"/>
      <c r="B18" s="8" t="s">
        <v>84</v>
      </c>
      <c r="C18" s="61"/>
      <c r="D18" s="52">
        <f>SUM(D12:D12:D17)</f>
        <v>27</v>
      </c>
      <c r="E18" s="18">
        <v>2</v>
      </c>
      <c r="F18" s="18"/>
      <c r="G18" s="18"/>
      <c r="H18" s="18"/>
      <c r="I18" s="52">
        <f>SUM(I12:I17)</f>
        <v>21.144920886517198</v>
      </c>
      <c r="J18" s="52">
        <f>SUM(J12:J17)</f>
        <v>27</v>
      </c>
      <c r="K18" s="52">
        <f>SUM(K12:K17)</f>
        <v>3.375</v>
      </c>
      <c r="M18" s="62" t="s">
        <v>85</v>
      </c>
      <c r="N18" s="63">
        <f>SUM(M12:M17)</f>
        <v>1455.497273311677</v>
      </c>
    </row>
    <row r="19" spans="1:14" ht="18" customHeight="1">
      <c r="A19" s="57"/>
      <c r="B19" s="18"/>
      <c r="C19" s="64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ht="56.25">
      <c r="A20" s="59" t="s">
        <v>86</v>
      </c>
      <c r="B20" s="8"/>
      <c r="C20" s="8" t="s">
        <v>76</v>
      </c>
      <c r="D20" s="91" t="s">
        <v>49</v>
      </c>
      <c r="E20" s="91"/>
      <c r="F20" s="91" t="s">
        <v>138</v>
      </c>
      <c r="G20" s="91"/>
      <c r="H20" s="8" t="s">
        <v>126</v>
      </c>
      <c r="I20" s="8" t="s">
        <v>16</v>
      </c>
      <c r="J20" s="8" t="s">
        <v>17</v>
      </c>
      <c r="K20" s="8" t="s">
        <v>18</v>
      </c>
      <c r="L20" s="8" t="s">
        <v>19</v>
      </c>
      <c r="M20" s="8" t="s">
        <v>94</v>
      </c>
      <c r="N20" s="18"/>
    </row>
    <row r="21" spans="1:14" ht="22.5">
      <c r="A21" s="57"/>
      <c r="B21" s="8"/>
      <c r="C21" s="58" t="s">
        <v>77</v>
      </c>
      <c r="D21" s="58" t="s">
        <v>55</v>
      </c>
      <c r="E21" s="58" t="s">
        <v>56</v>
      </c>
      <c r="F21" s="58" t="s">
        <v>55</v>
      </c>
      <c r="G21" s="58" t="s">
        <v>56</v>
      </c>
      <c r="H21" s="58" t="s">
        <v>24</v>
      </c>
      <c r="I21" s="58" t="s">
        <v>24</v>
      </c>
      <c r="J21" s="58" t="s">
        <v>24</v>
      </c>
      <c r="K21" s="58" t="s">
        <v>24</v>
      </c>
      <c r="L21" s="58" t="s">
        <v>24</v>
      </c>
      <c r="M21" s="58" t="s">
        <v>25</v>
      </c>
      <c r="N21" s="18"/>
    </row>
    <row r="22" spans="1:14" ht="18" customHeight="1">
      <c r="A22" s="57"/>
      <c r="B22" s="42" t="s">
        <v>87</v>
      </c>
      <c r="C22" s="83">
        <v>1500</v>
      </c>
      <c r="D22" s="53">
        <v>10</v>
      </c>
      <c r="E22" s="53">
        <f>SQRT(E12^2+E13^2)</f>
        <v>3.5355339059327378</v>
      </c>
      <c r="F22" s="53">
        <v>10</v>
      </c>
      <c r="G22" s="41">
        <f>E22</f>
        <v>3.5355339059327378</v>
      </c>
      <c r="H22" s="53">
        <f>F22/4</f>
        <v>2.5</v>
      </c>
      <c r="I22" s="42">
        <f>$J$6*G22</f>
        <v>5.8154357683833666</v>
      </c>
      <c r="J22" s="53">
        <v>10</v>
      </c>
      <c r="K22" s="42">
        <f>H22/2</f>
        <v>1.25</v>
      </c>
      <c r="L22" s="42">
        <f>SUM(I22:K22)</f>
        <v>17.065435768383367</v>
      </c>
      <c r="M22" s="42">
        <f>L22*C22*$C$7/52</f>
        <v>147.68165568793296</v>
      </c>
      <c r="N22" s="18"/>
    </row>
    <row r="23" spans="1:14" ht="18" customHeight="1">
      <c r="A23" s="57"/>
      <c r="B23" s="42" t="s">
        <v>88</v>
      </c>
      <c r="C23" s="60">
        <v>2800</v>
      </c>
      <c r="D23" s="53">
        <v>9</v>
      </c>
      <c r="E23" s="53">
        <f>SQRT(E14^2+E15^2)</f>
        <v>3.2526911934581184</v>
      </c>
      <c r="F23" s="53">
        <v>9</v>
      </c>
      <c r="G23" s="41">
        <f>E23</f>
        <v>3.2526911934581184</v>
      </c>
      <c r="H23" s="53">
        <f>F23/4</f>
        <v>2.25</v>
      </c>
      <c r="I23" s="42">
        <f>$J$6*G23</f>
        <v>5.350200906912697</v>
      </c>
      <c r="J23" s="53">
        <v>9</v>
      </c>
      <c r="K23" s="42">
        <f>H23/2</f>
        <v>1.125</v>
      </c>
      <c r="L23" s="42">
        <f>SUM(I23:K23)</f>
        <v>15.475200906912697</v>
      </c>
      <c r="M23" s="42">
        <f>L23*C23*$C$7/52</f>
        <v>249.98401465012819</v>
      </c>
      <c r="N23" s="18"/>
    </row>
    <row r="24" spans="1:14" ht="18" customHeight="1">
      <c r="A24" s="57"/>
      <c r="B24" s="42" t="s">
        <v>89</v>
      </c>
      <c r="C24" s="60">
        <v>10000</v>
      </c>
      <c r="D24" s="52">
        <v>8</v>
      </c>
      <c r="E24" s="53">
        <f>SQRT(E16^2+E17^2)</f>
        <v>2.8284271247461903</v>
      </c>
      <c r="F24" s="52">
        <v>8</v>
      </c>
      <c r="G24" s="41">
        <f>E24</f>
        <v>2.8284271247461903</v>
      </c>
      <c r="H24" s="53">
        <f>F24/4</f>
        <v>2</v>
      </c>
      <c r="I24" s="42">
        <f>$J$6*G24</f>
        <v>4.6523486147066935</v>
      </c>
      <c r="J24" s="52">
        <v>8</v>
      </c>
      <c r="K24" s="42">
        <f>H24/2</f>
        <v>1</v>
      </c>
      <c r="L24" s="42">
        <f>SUM(I24:K24)</f>
        <v>13.652348614706693</v>
      </c>
      <c r="M24" s="42">
        <f>L24*C24*$C$7/52</f>
        <v>787.63549700230919</v>
      </c>
      <c r="N24" s="18"/>
    </row>
    <row r="25" spans="1:14" ht="18" customHeight="1">
      <c r="A25" s="57"/>
      <c r="B25" s="42" t="s">
        <v>90</v>
      </c>
      <c r="C25" s="60">
        <v>400</v>
      </c>
      <c r="D25" s="53">
        <v>13.5</v>
      </c>
      <c r="E25" s="53">
        <f>SQRT(E16^2+E12^2)</f>
        <v>3.2015621187164243</v>
      </c>
      <c r="F25" s="53">
        <v>13.5</v>
      </c>
      <c r="G25" s="41">
        <f>E25</f>
        <v>3.2015621187164243</v>
      </c>
      <c r="H25" s="53">
        <f>F25/4</f>
        <v>3.375</v>
      </c>
      <c r="I25" s="42">
        <f>$G$6*G25</f>
        <v>7.4479472284856438</v>
      </c>
      <c r="J25" s="53">
        <v>13.5</v>
      </c>
      <c r="K25" s="42">
        <f>H25/2</f>
        <v>1.6875</v>
      </c>
      <c r="L25" s="42">
        <f>SUM(I25:K25)</f>
        <v>22.635447228485646</v>
      </c>
      <c r="M25" s="42">
        <f>L25*C25*$C$7/52</f>
        <v>52.235647450351493</v>
      </c>
      <c r="N25" s="18"/>
    </row>
    <row r="26" spans="1:14" ht="18" customHeight="1">
      <c r="A26" s="57"/>
      <c r="B26" s="42" t="s">
        <v>91</v>
      </c>
      <c r="C26" s="60">
        <v>500</v>
      </c>
      <c r="D26" s="53">
        <v>13.5</v>
      </c>
      <c r="E26" s="53">
        <f>SQRT(E17^2+E13^2)</f>
        <v>3.2015621187164243</v>
      </c>
      <c r="F26" s="53">
        <v>13.5</v>
      </c>
      <c r="G26" s="41">
        <f>E26</f>
        <v>3.2015621187164243</v>
      </c>
      <c r="H26" s="53">
        <f>F26/4</f>
        <v>3.375</v>
      </c>
      <c r="I26" s="42">
        <f>$G$6*G26</f>
        <v>7.4479472284856438</v>
      </c>
      <c r="J26" s="53">
        <v>13.5</v>
      </c>
      <c r="K26" s="42">
        <f>H26/2</f>
        <v>1.6875</v>
      </c>
      <c r="L26" s="42">
        <f>SUM(I26:K26)</f>
        <v>22.635447228485646</v>
      </c>
      <c r="M26" s="42">
        <f>L26*C26*$C$7/52</f>
        <v>65.294559312939356</v>
      </c>
      <c r="N26" s="18"/>
    </row>
    <row r="27" spans="1:14" ht="15.6" customHeight="1">
      <c r="A27" s="57"/>
      <c r="B27" s="8" t="s">
        <v>84</v>
      </c>
      <c r="C27" s="8" t="s">
        <v>106</v>
      </c>
      <c r="D27" s="52">
        <f>SUM(D22:D24)</f>
        <v>27</v>
      </c>
      <c r="E27" s="18"/>
      <c r="F27" s="18"/>
      <c r="G27" s="18"/>
      <c r="H27" s="18"/>
      <c r="I27" s="52">
        <f>SUM(I22:I24)</f>
        <v>15.817985290002756</v>
      </c>
      <c r="J27" s="52">
        <f>SUM(J22:J24)</f>
        <v>27</v>
      </c>
      <c r="K27" s="52">
        <f>SUM(K22:K24)</f>
        <v>3.375</v>
      </c>
      <c r="L27" s="8"/>
      <c r="M27" s="62" t="s">
        <v>85</v>
      </c>
      <c r="N27" s="63">
        <f>SUM(M22:M24)</f>
        <v>1185.3011673403703</v>
      </c>
    </row>
    <row r="28" spans="1:14" ht="15.6" customHeight="1">
      <c r="A28" s="57"/>
      <c r="B28" s="18"/>
      <c r="C28" s="18" t="s">
        <v>107</v>
      </c>
      <c r="D28" s="52">
        <f>SUM(D25:D26)</f>
        <v>27</v>
      </c>
      <c r="E28" s="18"/>
      <c r="F28" s="18"/>
      <c r="G28" s="18"/>
      <c r="H28" s="18"/>
      <c r="I28" s="52">
        <f>SUM(I25:I26)</f>
        <v>14.895894456971288</v>
      </c>
      <c r="J28" s="52">
        <f>SUM(J25:J26)</f>
        <v>27</v>
      </c>
      <c r="K28" s="52">
        <f>SUM(K25:K26)</f>
        <v>3.375</v>
      </c>
      <c r="L28" s="18"/>
      <c r="M28" s="62" t="s">
        <v>108</v>
      </c>
      <c r="N28" s="63">
        <f>SUM(M25:M26)</f>
        <v>117.53020676329085</v>
      </c>
    </row>
    <row r="29" spans="1:14" ht="15.6" customHeight="1">
      <c r="A29" s="57"/>
      <c r="B29" s="18"/>
      <c r="C29" s="18"/>
      <c r="D29" s="18"/>
      <c r="E29" s="18"/>
      <c r="F29" s="18"/>
      <c r="G29" s="18"/>
      <c r="H29" s="18"/>
      <c r="I29" s="18"/>
      <c r="J29" s="18">
        <f>J28+K28</f>
        <v>30.375</v>
      </c>
      <c r="K29" s="18"/>
      <c r="L29" s="18"/>
      <c r="M29" s="62" t="s">
        <v>92</v>
      </c>
      <c r="N29" s="63">
        <f>SUM(N27:N28)</f>
        <v>1302.8313741036611</v>
      </c>
    </row>
    <row r="30" spans="1:14">
      <c r="A30" s="10" t="s">
        <v>116</v>
      </c>
    </row>
  </sheetData>
  <mergeCells count="5">
    <mergeCell ref="I1:M3"/>
    <mergeCell ref="D10:E10"/>
    <mergeCell ref="F10:G10"/>
    <mergeCell ref="D20:E20"/>
    <mergeCell ref="F20:G20"/>
  </mergeCells>
  <phoneticPr fontId="7" type="noConversion"/>
  <pageMargins left="0.75" right="0.75" top="0.6" bottom="0.6" header="0.5" footer="0.5"/>
  <pageSetup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E247-D795-4E66-AC13-F5499508CF4C}">
  <dimension ref="C2:U247"/>
  <sheetViews>
    <sheetView tabSelected="1" topLeftCell="D35" workbookViewId="0">
      <selection activeCell="N63" sqref="N63"/>
    </sheetView>
  </sheetViews>
  <sheetFormatPr defaultRowHeight="12.75"/>
  <cols>
    <col min="3" max="3" width="26.85546875" bestFit="1" customWidth="1"/>
    <col min="4" max="4" width="31.5703125" bestFit="1" customWidth="1"/>
    <col min="5" max="5" width="13.28515625" bestFit="1" customWidth="1"/>
    <col min="6" max="6" width="19.85546875" bestFit="1" customWidth="1"/>
    <col min="7" max="7" width="14.5703125" bestFit="1" customWidth="1"/>
    <col min="8" max="8" width="12" bestFit="1" customWidth="1"/>
    <col min="9" max="9" width="27.85546875" bestFit="1" customWidth="1"/>
    <col min="10" max="10" width="16.7109375" bestFit="1" customWidth="1"/>
    <col min="11" max="11" width="22.5703125" bestFit="1" customWidth="1"/>
    <col min="12" max="12" width="12" bestFit="1" customWidth="1"/>
    <col min="13" max="13" width="27.85546875" bestFit="1" customWidth="1"/>
    <col min="14" max="14" width="14.85546875" bestFit="1" customWidth="1"/>
    <col min="15" max="15" width="12.85546875" bestFit="1" customWidth="1"/>
    <col min="16" max="16" width="12" bestFit="1" customWidth="1"/>
    <col min="17" max="17" width="18.5703125" bestFit="1" customWidth="1"/>
    <col min="18" max="18" width="29.42578125" bestFit="1" customWidth="1"/>
    <col min="19" max="19" width="29.85546875" bestFit="1" customWidth="1"/>
    <col min="20" max="20" width="22.85546875" bestFit="1" customWidth="1"/>
    <col min="21" max="21" width="33.140625" bestFit="1" customWidth="1"/>
  </cols>
  <sheetData>
    <row r="2" spans="4:21" ht="22.5">
      <c r="D2" s="85" t="s">
        <v>172</v>
      </c>
      <c r="E2" s="8" t="s">
        <v>48</v>
      </c>
      <c r="F2" s="8" t="s">
        <v>51</v>
      </c>
      <c r="G2" s="91" t="s">
        <v>49</v>
      </c>
      <c r="H2" s="91"/>
      <c r="I2" s="8" t="s">
        <v>126</v>
      </c>
      <c r="J2" s="8" t="s">
        <v>50</v>
      </c>
      <c r="K2" s="91" t="s">
        <v>129</v>
      </c>
      <c r="L2" s="91"/>
      <c r="M2" s="8" t="s">
        <v>16</v>
      </c>
      <c r="N2" s="8" t="s">
        <v>67</v>
      </c>
      <c r="O2" s="8" t="s">
        <v>68</v>
      </c>
      <c r="P2" s="8" t="s">
        <v>133</v>
      </c>
      <c r="Q2" s="8" t="s">
        <v>70</v>
      </c>
      <c r="R2" s="8" t="s">
        <v>52</v>
      </c>
      <c r="S2" s="8" t="s">
        <v>53</v>
      </c>
      <c r="T2" s="8" t="s">
        <v>131</v>
      </c>
    </row>
    <row r="3" spans="4:21">
      <c r="D3" t="s">
        <v>119</v>
      </c>
      <c r="E3">
        <v>10</v>
      </c>
      <c r="F3">
        <v>0.2</v>
      </c>
      <c r="G3">
        <v>250</v>
      </c>
      <c r="H3">
        <v>42</v>
      </c>
      <c r="I3">
        <v>250</v>
      </c>
      <c r="J3">
        <v>1</v>
      </c>
      <c r="K3">
        <v>250</v>
      </c>
      <c r="L3">
        <v>42</v>
      </c>
      <c r="M3">
        <v>86.257454246536525</v>
      </c>
      <c r="N3">
        <v>250</v>
      </c>
      <c r="O3">
        <v>125</v>
      </c>
      <c r="P3">
        <v>461.25745424653655</v>
      </c>
      <c r="Q3">
        <v>17.740671317174481</v>
      </c>
      <c r="R3">
        <v>0.5</v>
      </c>
      <c r="S3">
        <v>125</v>
      </c>
      <c r="T3">
        <v>142.74067131717447</v>
      </c>
    </row>
    <row r="4" spans="4:21">
      <c r="D4" t="s">
        <v>120</v>
      </c>
      <c r="E4">
        <v>10</v>
      </c>
      <c r="F4">
        <v>0.2</v>
      </c>
      <c r="G4">
        <v>700</v>
      </c>
      <c r="H4">
        <v>86</v>
      </c>
      <c r="I4">
        <v>700</v>
      </c>
      <c r="J4">
        <v>1</v>
      </c>
      <c r="K4">
        <v>700</v>
      </c>
      <c r="L4">
        <v>86</v>
      </c>
      <c r="M4">
        <v>176.6224063143367</v>
      </c>
      <c r="N4">
        <v>700</v>
      </c>
      <c r="O4">
        <v>350</v>
      </c>
      <c r="P4">
        <v>1226.6224063143368</v>
      </c>
      <c r="Q4">
        <v>47.177784858243726</v>
      </c>
      <c r="R4">
        <v>1.2</v>
      </c>
      <c r="S4">
        <v>840</v>
      </c>
      <c r="T4">
        <v>887.17778485824374</v>
      </c>
    </row>
    <row r="5" spans="4:21">
      <c r="D5" t="s">
        <v>121</v>
      </c>
      <c r="E5">
        <v>400</v>
      </c>
      <c r="F5">
        <v>0.4</v>
      </c>
      <c r="G5">
        <v>19</v>
      </c>
      <c r="H5">
        <v>6</v>
      </c>
      <c r="I5">
        <v>19</v>
      </c>
      <c r="J5">
        <v>2.5</v>
      </c>
      <c r="K5">
        <v>47.5</v>
      </c>
      <c r="L5">
        <v>9.4868329805051381</v>
      </c>
      <c r="M5">
        <v>19.483572899058469</v>
      </c>
      <c r="N5">
        <v>47.5</v>
      </c>
      <c r="O5">
        <v>9.5</v>
      </c>
      <c r="P5">
        <v>76.483572899058473</v>
      </c>
      <c r="Q5">
        <v>235.33407045864149</v>
      </c>
      <c r="R5">
        <v>8</v>
      </c>
      <c r="S5">
        <v>152</v>
      </c>
      <c r="T5">
        <v>387.33407045864146</v>
      </c>
    </row>
    <row r="6" spans="4:21">
      <c r="D6" t="s">
        <v>122</v>
      </c>
      <c r="E6">
        <v>400</v>
      </c>
      <c r="F6">
        <v>0.4</v>
      </c>
      <c r="G6">
        <v>14</v>
      </c>
      <c r="H6">
        <v>5</v>
      </c>
      <c r="I6">
        <v>14</v>
      </c>
      <c r="J6">
        <v>2.5</v>
      </c>
      <c r="K6">
        <v>35</v>
      </c>
      <c r="L6">
        <v>7.905694150420949</v>
      </c>
      <c r="M6">
        <v>16.236310749215392</v>
      </c>
      <c r="N6">
        <v>35</v>
      </c>
      <c r="O6">
        <v>7</v>
      </c>
      <c r="P6">
        <v>58.236310749215392</v>
      </c>
      <c r="Q6">
        <v>179.18864845912429</v>
      </c>
      <c r="R6">
        <v>8</v>
      </c>
      <c r="S6">
        <v>112</v>
      </c>
      <c r="T6">
        <v>291.18864845912429</v>
      </c>
    </row>
    <row r="8" spans="4:21">
      <c r="U8" t="s">
        <v>132</v>
      </c>
    </row>
    <row r="9" spans="4:21">
      <c r="E9" t="s">
        <v>48</v>
      </c>
      <c r="F9" t="s">
        <v>51</v>
      </c>
      <c r="G9" t="s">
        <v>49</v>
      </c>
      <c r="I9" t="s">
        <v>126</v>
      </c>
      <c r="J9" t="s">
        <v>50</v>
      </c>
      <c r="K9" t="s">
        <v>129</v>
      </c>
      <c r="M9" t="s">
        <v>16</v>
      </c>
      <c r="N9" t="s">
        <v>67</v>
      </c>
      <c r="O9" t="s">
        <v>68</v>
      </c>
      <c r="P9" t="s">
        <v>69</v>
      </c>
      <c r="Q9" t="s">
        <v>70</v>
      </c>
      <c r="R9" t="s">
        <v>62</v>
      </c>
      <c r="S9" t="s">
        <v>63</v>
      </c>
      <c r="T9" t="s">
        <v>53</v>
      </c>
      <c r="U9" t="s">
        <v>58</v>
      </c>
    </row>
    <row r="10" spans="4:21">
      <c r="D10" s="85" t="s">
        <v>64</v>
      </c>
      <c r="E10" t="s">
        <v>54</v>
      </c>
      <c r="G10" t="s">
        <v>55</v>
      </c>
      <c r="H10" t="s">
        <v>56</v>
      </c>
      <c r="I10" t="s">
        <v>24</v>
      </c>
      <c r="J10" t="s">
        <v>57</v>
      </c>
      <c r="K10" t="s">
        <v>55</v>
      </c>
      <c r="L10" t="s">
        <v>56</v>
      </c>
      <c r="M10" t="s">
        <v>24</v>
      </c>
      <c r="N10" t="s">
        <v>24</v>
      </c>
      <c r="O10" t="s">
        <v>24</v>
      </c>
      <c r="P10" t="s">
        <v>24</v>
      </c>
      <c r="Q10" t="s">
        <v>58</v>
      </c>
      <c r="R10" t="s">
        <v>59</v>
      </c>
      <c r="S10" t="s">
        <v>59</v>
      </c>
      <c r="T10" t="s">
        <v>58</v>
      </c>
      <c r="U10">
        <v>1027.3676912535377</v>
      </c>
    </row>
    <row r="11" spans="4:21">
      <c r="D11" t="s">
        <v>41</v>
      </c>
      <c r="E11">
        <v>10</v>
      </c>
      <c r="F11" s="84">
        <v>0.2</v>
      </c>
      <c r="G11">
        <v>950</v>
      </c>
      <c r="H11">
        <v>95.707888912043188</v>
      </c>
      <c r="I11">
        <v>950</v>
      </c>
      <c r="J11">
        <v>1</v>
      </c>
      <c r="K11">
        <v>950</v>
      </c>
      <c r="L11">
        <v>95.707888912043188</v>
      </c>
      <c r="M11">
        <v>196.55997259198</v>
      </c>
      <c r="N11">
        <v>950</v>
      </c>
      <c r="O11">
        <v>475</v>
      </c>
      <c r="P11">
        <v>1621.5599725919801</v>
      </c>
      <c r="Q11">
        <v>62.3676912535377</v>
      </c>
      <c r="R11">
        <v>0.5</v>
      </c>
      <c r="S11">
        <v>1.2</v>
      </c>
      <c r="T11">
        <v>965</v>
      </c>
      <c r="U11">
        <v>588.35728217065332</v>
      </c>
    </row>
    <row r="12" spans="4:21">
      <c r="D12" t="s">
        <v>40</v>
      </c>
      <c r="E12">
        <v>400</v>
      </c>
      <c r="F12" s="84">
        <v>0.4</v>
      </c>
      <c r="G12">
        <v>33</v>
      </c>
      <c r="H12">
        <v>7.810249675906654</v>
      </c>
      <c r="I12">
        <v>33</v>
      </c>
      <c r="J12">
        <v>2.5</v>
      </c>
      <c r="K12">
        <v>82.5</v>
      </c>
      <c r="L12">
        <v>3.1240998703626617</v>
      </c>
      <c r="M12">
        <v>6.4161167054623327</v>
      </c>
      <c r="N12">
        <v>82.5</v>
      </c>
      <c r="O12">
        <v>16.5</v>
      </c>
      <c r="P12">
        <v>105.41611670546233</v>
      </c>
      <c r="Q12">
        <v>324.35728217065332</v>
      </c>
      <c r="R12">
        <v>8</v>
      </c>
      <c r="S12">
        <v>8</v>
      </c>
      <c r="T12">
        <v>264</v>
      </c>
      <c r="U12">
        <v>40.26184615384615</v>
      </c>
    </row>
    <row r="13" spans="4:21">
      <c r="D13" t="s">
        <v>111</v>
      </c>
      <c r="E13">
        <v>800</v>
      </c>
      <c r="F13" s="84">
        <v>0.3</v>
      </c>
      <c r="G13">
        <v>4.18</v>
      </c>
      <c r="I13">
        <v>4.18</v>
      </c>
      <c r="J13">
        <v>1</v>
      </c>
      <c r="K13">
        <v>4.18</v>
      </c>
      <c r="M13">
        <v>1.91</v>
      </c>
      <c r="N13">
        <v>4.18</v>
      </c>
      <c r="O13">
        <v>2.09</v>
      </c>
      <c r="P13">
        <v>8.18</v>
      </c>
      <c r="Q13">
        <v>37.753846153846148</v>
      </c>
      <c r="R13">
        <v>0.9</v>
      </c>
      <c r="S13">
        <v>0.30000000000000004</v>
      </c>
      <c r="T13">
        <v>2.508</v>
      </c>
    </row>
    <row r="14" spans="4:21">
      <c r="D14" s="85" t="s">
        <v>65</v>
      </c>
      <c r="F14" s="84"/>
      <c r="U14">
        <v>232.36769125353771</v>
      </c>
    </row>
    <row r="15" spans="4:21">
      <c r="D15" t="s">
        <v>41</v>
      </c>
      <c r="E15">
        <v>10</v>
      </c>
      <c r="F15" s="84">
        <v>0.2</v>
      </c>
      <c r="G15">
        <v>950</v>
      </c>
      <c r="H15">
        <v>95.707888912043188</v>
      </c>
      <c r="I15">
        <v>950</v>
      </c>
      <c r="J15">
        <v>1</v>
      </c>
      <c r="K15">
        <v>950</v>
      </c>
      <c r="L15">
        <v>95.707888912043188</v>
      </c>
      <c r="M15">
        <v>196.55997259198014</v>
      </c>
      <c r="N15">
        <v>950</v>
      </c>
      <c r="O15">
        <v>475</v>
      </c>
      <c r="P15">
        <v>1621.5599725919801</v>
      </c>
      <c r="Q15">
        <v>62.3676912535377</v>
      </c>
      <c r="R15">
        <v>0.4</v>
      </c>
      <c r="S15">
        <v>9.9999999999999978E-2</v>
      </c>
      <c r="T15">
        <v>170</v>
      </c>
      <c r="U15">
        <v>315.43572821706533</v>
      </c>
    </row>
    <row r="16" spans="4:21">
      <c r="D16" t="s">
        <v>40</v>
      </c>
      <c r="E16">
        <v>40</v>
      </c>
      <c r="F16" s="84">
        <v>0.4</v>
      </c>
      <c r="G16">
        <v>33</v>
      </c>
      <c r="H16">
        <v>7.810249675906654</v>
      </c>
      <c r="I16">
        <v>33</v>
      </c>
      <c r="J16">
        <v>2.5</v>
      </c>
      <c r="K16">
        <v>82.5</v>
      </c>
      <c r="L16">
        <v>3.1240998703626617</v>
      </c>
      <c r="M16">
        <v>6.4161167054623327</v>
      </c>
      <c r="N16">
        <v>82.5</v>
      </c>
      <c r="O16">
        <v>16.5</v>
      </c>
      <c r="P16">
        <v>105.41611670546233</v>
      </c>
      <c r="Q16">
        <v>32.435728217065339</v>
      </c>
      <c r="R16">
        <v>9</v>
      </c>
      <c r="S16">
        <v>8</v>
      </c>
      <c r="T16">
        <v>283</v>
      </c>
      <c r="U16">
        <v>42.351846153846147</v>
      </c>
    </row>
    <row r="17" spans="3:20">
      <c r="D17" t="s">
        <v>111</v>
      </c>
      <c r="E17">
        <v>800</v>
      </c>
      <c r="F17">
        <v>0.3</v>
      </c>
      <c r="G17">
        <v>4.18</v>
      </c>
      <c r="I17">
        <v>4.18</v>
      </c>
      <c r="J17">
        <v>1</v>
      </c>
      <c r="K17">
        <v>4.18</v>
      </c>
      <c r="M17">
        <v>1.91</v>
      </c>
      <c r="N17">
        <v>4.18</v>
      </c>
      <c r="O17">
        <v>2.09</v>
      </c>
      <c r="P17">
        <v>8.18</v>
      </c>
      <c r="Q17">
        <v>37.753846153846148</v>
      </c>
      <c r="R17">
        <v>1.9</v>
      </c>
      <c r="S17">
        <v>0.30000000000000004</v>
      </c>
      <c r="T17">
        <v>4.5979999999999999</v>
      </c>
    </row>
    <row r="19" spans="3:20">
      <c r="C19" s="85" t="s">
        <v>164</v>
      </c>
      <c r="I19" s="85" t="s">
        <v>165</v>
      </c>
      <c r="M19" s="85" t="s">
        <v>167</v>
      </c>
    </row>
    <row r="22" spans="3:20">
      <c r="C22" t="s">
        <v>154</v>
      </c>
      <c r="D22">
        <f>_xlfn.NORM.S.INV(0.98)</f>
        <v>2.0537489106318221</v>
      </c>
      <c r="J22">
        <f>_xlfn.NORM.S.INV(0.98)</f>
        <v>2.0537489106318221</v>
      </c>
      <c r="M22">
        <f>_xlfn.NORM.S.INV(0.98)</f>
        <v>2.0537489106318221</v>
      </c>
    </row>
    <row r="23" spans="3:20">
      <c r="D23" t="s">
        <v>41</v>
      </c>
      <c r="E23" t="s">
        <v>40</v>
      </c>
      <c r="J23" t="s">
        <v>41</v>
      </c>
      <c r="K23" t="s">
        <v>40</v>
      </c>
      <c r="N23" t="s">
        <v>168</v>
      </c>
      <c r="O23" t="s">
        <v>169</v>
      </c>
      <c r="P23" t="s">
        <v>170</v>
      </c>
      <c r="Q23" t="s">
        <v>171</v>
      </c>
    </row>
    <row r="24" spans="3:20">
      <c r="C24" t="s">
        <v>149</v>
      </c>
      <c r="D24">
        <f>G11</f>
        <v>950</v>
      </c>
      <c r="E24">
        <f>EDN!D25</f>
        <v>33</v>
      </c>
      <c r="J24">
        <f>G15</f>
        <v>950</v>
      </c>
      <c r="K24">
        <f>G16</f>
        <v>33</v>
      </c>
      <c r="N24">
        <v>250</v>
      </c>
      <c r="O24">
        <v>700</v>
      </c>
      <c r="P24">
        <v>19</v>
      </c>
      <c r="Q24">
        <v>14</v>
      </c>
    </row>
    <row r="25" spans="3:20">
      <c r="C25" t="s">
        <v>150</v>
      </c>
      <c r="D25">
        <f>H11</f>
        <v>95.707888912043188</v>
      </c>
      <c r="E25">
        <f>EDN!E25</f>
        <v>7.810249675906654</v>
      </c>
      <c r="J25">
        <f>H15</f>
        <v>95.707888912043188</v>
      </c>
      <c r="K25">
        <f>H16</f>
        <v>7.810249675906654</v>
      </c>
      <c r="N25">
        <v>42</v>
      </c>
      <c r="O25">
        <v>86</v>
      </c>
      <c r="P25">
        <v>6</v>
      </c>
      <c r="Q25">
        <v>5</v>
      </c>
    </row>
    <row r="26" spans="3:20">
      <c r="C26" t="s">
        <v>152</v>
      </c>
      <c r="D26">
        <v>1</v>
      </c>
      <c r="E26">
        <f>EDN!G25</f>
        <v>2.5</v>
      </c>
      <c r="J26">
        <f>J15</f>
        <v>1</v>
      </c>
      <c r="K26">
        <f>J16</f>
        <v>2.5</v>
      </c>
      <c r="N26">
        <v>1</v>
      </c>
      <c r="O26">
        <v>1</v>
      </c>
      <c r="P26">
        <v>2.5</v>
      </c>
      <c r="Q26">
        <v>2.5</v>
      </c>
    </row>
    <row r="27" spans="3:20">
      <c r="C27" s="85" t="s">
        <v>148</v>
      </c>
      <c r="I27" s="85" t="s">
        <v>148</v>
      </c>
      <c r="L27" s="85" t="s">
        <v>148</v>
      </c>
    </row>
    <row r="28" spans="3:20">
      <c r="C28" t="s">
        <v>151</v>
      </c>
      <c r="D28">
        <f ca="1">RAND()</f>
        <v>0.76112744692098289</v>
      </c>
      <c r="E28">
        <f ca="1">RAND()</f>
        <v>0.91881125347026227</v>
      </c>
      <c r="I28" t="s">
        <v>151</v>
      </c>
      <c r="J28">
        <f ca="1">D28</f>
        <v>0.76112744692098289</v>
      </c>
      <c r="K28">
        <f ca="1">E28</f>
        <v>0.91881125347026227</v>
      </c>
      <c r="M28" t="s">
        <v>151</v>
      </c>
      <c r="N28">
        <f ca="1">D28</f>
        <v>0.76112744692098289</v>
      </c>
      <c r="O28">
        <f ca="1">E28</f>
        <v>0.91881125347026227</v>
      </c>
      <c r="P28">
        <f ca="1">RAND()</f>
        <v>0.35122404175467759</v>
      </c>
      <c r="Q28">
        <f ca="1">RAND()</f>
        <v>0.28120236630388296</v>
      </c>
    </row>
    <row r="29" spans="3:20">
      <c r="C29" t="s">
        <v>125</v>
      </c>
      <c r="D29">
        <f ca="1">_xlfn.NORM.INV(D28,D24,D25)</f>
        <v>1017.9462780698428</v>
      </c>
      <c r="E29">
        <f ca="1">_xlfn.NORM.INV(E28,E24,E25)</f>
        <v>43.911855908039684</v>
      </c>
      <c r="I29" t="s">
        <v>125</v>
      </c>
      <c r="J29">
        <f ca="1">_xlfn.NORM.INV(J28,J24,J25)</f>
        <v>1017.9462780698428</v>
      </c>
      <c r="K29">
        <f t="shared" ref="K29" ca="1" si="0">_xlfn.NORM.INV(K28,K24,K25)</f>
        <v>43.911855908039684</v>
      </c>
      <c r="M29" t="s">
        <v>125</v>
      </c>
      <c r="N29">
        <f ca="1">_xlfn.NORM.INV(N28,N24,N25)</f>
        <v>279.8172252190833</v>
      </c>
      <c r="O29">
        <f ca="1">_xlfn.NORM.INV(O28,O24,O25)</f>
        <v>820.15231868787555</v>
      </c>
      <c r="P29">
        <f ca="1">_xlfn.NORM.INV(P28,P24,P25)</f>
        <v>16.707892567783869</v>
      </c>
      <c r="Q29">
        <f ca="1">_xlfn.NORM.INV(Q28,Q24,Q25)</f>
        <v>11.103633160804572</v>
      </c>
    </row>
    <row r="31" spans="3:20">
      <c r="C31" t="s">
        <v>129</v>
      </c>
      <c r="D31">
        <f ca="1">D29*J11</f>
        <v>1017.9462780698428</v>
      </c>
      <c r="E31">
        <f ca="1">E29*J12</f>
        <v>109.77963977009921</v>
      </c>
      <c r="I31" t="s">
        <v>129</v>
      </c>
      <c r="J31">
        <f ca="1">J29*J26</f>
        <v>1017.9462780698428</v>
      </c>
      <c r="K31">
        <f ca="1">K29*K26</f>
        <v>109.77963977009921</v>
      </c>
      <c r="M31" t="s">
        <v>129</v>
      </c>
      <c r="N31">
        <f ca="1">N29*N26</f>
        <v>279.8172252190833</v>
      </c>
      <c r="O31">
        <f t="shared" ref="O31:Q31" ca="1" si="1">O29*O26</f>
        <v>820.15231868787555</v>
      </c>
      <c r="P31">
        <f t="shared" ca="1" si="1"/>
        <v>41.769731419459674</v>
      </c>
      <c r="Q31">
        <f t="shared" ca="1" si="1"/>
        <v>27.759082902011428</v>
      </c>
    </row>
    <row r="32" spans="3:20">
      <c r="C32" t="s">
        <v>162</v>
      </c>
      <c r="D32">
        <f ca="1">EDN!D14*D29/950</f>
        <v>267.88059949206388</v>
      </c>
      <c r="E32">
        <f ca="1">EDN!D16*E29/EDN!D25</f>
        <v>25.282583704628909</v>
      </c>
      <c r="I32" t="s">
        <v>162</v>
      </c>
      <c r="J32">
        <f ca="1">EDN!D14*J29/950</f>
        <v>267.88059949206388</v>
      </c>
      <c r="K32">
        <f ca="1">EDN!D16*K29/EDN!D25</f>
        <v>25.282583704628909</v>
      </c>
      <c r="M32" t="s">
        <v>162</v>
      </c>
      <c r="N32">
        <f ca="1">N29</f>
        <v>279.8172252190833</v>
      </c>
      <c r="O32">
        <v>0</v>
      </c>
      <c r="P32">
        <f t="shared" ref="P32" ca="1" si="2">P29</f>
        <v>16.707892567783869</v>
      </c>
      <c r="Q32">
        <v>0</v>
      </c>
    </row>
    <row r="33" spans="3:17">
      <c r="C33" t="s">
        <v>163</v>
      </c>
      <c r="D33">
        <f ca="1">EDN!D15*D29/950</f>
        <v>750.06567857777895</v>
      </c>
      <c r="E33">
        <f ca="1">EDN!D17*E29/EDN!D25</f>
        <v>18.629272203410775</v>
      </c>
      <c r="I33" t="s">
        <v>163</v>
      </c>
      <c r="J33">
        <f ca="1">EDN!D15*J29/950</f>
        <v>750.06567857777895</v>
      </c>
      <c r="K33">
        <f ca="1">EDN!D17*K29/EDN!D25</f>
        <v>18.629272203410775</v>
      </c>
      <c r="M33" t="s">
        <v>163</v>
      </c>
      <c r="N33">
        <v>0</v>
      </c>
      <c r="O33">
        <f ca="1">O31</f>
        <v>820.15231868787555</v>
      </c>
      <c r="P33">
        <v>0</v>
      </c>
      <c r="Q33">
        <f ca="1">Q31</f>
        <v>27.759082902011428</v>
      </c>
    </row>
    <row r="34" spans="3:17">
      <c r="C34" t="s">
        <v>153</v>
      </c>
      <c r="D34">
        <f>D25*SQRT(D26)*D22</f>
        <v>196.55997259198014</v>
      </c>
      <c r="E34">
        <f>D22*E25*SQRT(E26)</f>
        <v>25.361928153395848</v>
      </c>
      <c r="I34" t="s">
        <v>153</v>
      </c>
      <c r="J34">
        <f>J25*SQRT(J26)*J22</f>
        <v>196.55997259198014</v>
      </c>
      <c r="K34">
        <f>J22*K25*SQRT(K26)</f>
        <v>25.361928153395848</v>
      </c>
      <c r="M34" t="s">
        <v>153</v>
      </c>
      <c r="N34">
        <f>$M$22*SQRT(N26)*N25</f>
        <v>86.257454246536525</v>
      </c>
      <c r="O34">
        <f>$M$22*SQRT(O26)*O25</f>
        <v>176.6224063143367</v>
      </c>
      <c r="P34">
        <f>$M$22*SQRT(P26)*P25</f>
        <v>19.483572899058473</v>
      </c>
      <c r="Q34">
        <f>$M$22*SQRT(Q26)*Q25</f>
        <v>16.236310749215392</v>
      </c>
    </row>
    <row r="35" spans="3:17">
      <c r="C35" t="s">
        <v>155</v>
      </c>
      <c r="D35">
        <f ca="1">D29*D26</f>
        <v>1017.9462780698428</v>
      </c>
      <c r="E35">
        <f ca="1">E29*E26</f>
        <v>109.77963977009921</v>
      </c>
      <c r="I35" t="s">
        <v>155</v>
      </c>
      <c r="J35">
        <f ca="1">J29*J26</f>
        <v>1017.9462780698428</v>
      </c>
      <c r="K35">
        <f ca="1">K29*K26</f>
        <v>109.77963977009921</v>
      </c>
      <c r="M35" t="s">
        <v>155</v>
      </c>
      <c r="N35">
        <f ca="1">N29*N26</f>
        <v>279.8172252190833</v>
      </c>
      <c r="O35">
        <f t="shared" ref="O35:Q35" ca="1" si="3">O29*O26</f>
        <v>820.15231868787555</v>
      </c>
      <c r="P35">
        <f t="shared" ca="1" si="3"/>
        <v>41.769731419459674</v>
      </c>
      <c r="Q35">
        <f t="shared" ca="1" si="3"/>
        <v>27.759082902011428</v>
      </c>
    </row>
    <row r="36" spans="3:17">
      <c r="C36" t="s">
        <v>157</v>
      </c>
      <c r="D36">
        <f ca="1">D35/2/D26</f>
        <v>508.97313903492142</v>
      </c>
      <c r="E36">
        <f ca="1">E35/2/E26</f>
        <v>21.955927954019842</v>
      </c>
      <c r="I36" t="s">
        <v>157</v>
      </c>
      <c r="J36">
        <f ca="1">J35/2/J26</f>
        <v>508.97313903492142</v>
      </c>
      <c r="K36">
        <f ca="1">K35/2/K26</f>
        <v>21.955927954019842</v>
      </c>
      <c r="M36" t="s">
        <v>157</v>
      </c>
      <c r="N36">
        <f ca="1">N35/2/N26</f>
        <v>139.90861260954165</v>
      </c>
      <c r="O36">
        <f t="shared" ref="O36:Q36" ca="1" si="4">O35/2/O26</f>
        <v>410.07615934393777</v>
      </c>
      <c r="P36">
        <f t="shared" ca="1" si="4"/>
        <v>8.3539462838919345</v>
      </c>
      <c r="Q36">
        <f t="shared" ca="1" si="4"/>
        <v>5.5518165804022859</v>
      </c>
    </row>
    <row r="37" spans="3:17">
      <c r="C37" t="s">
        <v>156</v>
      </c>
      <c r="D37">
        <f ca="1">SUM(D34,D35,D36)</f>
        <v>1723.4793896967444</v>
      </c>
      <c r="E37">
        <f ca="1">SUM(E34,E35,E36)</f>
        <v>157.09749587751489</v>
      </c>
      <c r="I37" t="s">
        <v>156</v>
      </c>
      <c r="J37">
        <f ca="1">SUM(J34,J35,J36)</f>
        <v>1723.4793896967444</v>
      </c>
      <c r="K37">
        <f ca="1">SUM(K34,K35,K36)</f>
        <v>157.09749587751489</v>
      </c>
      <c r="M37" t="s">
        <v>156</v>
      </c>
      <c r="N37">
        <f ca="1">SUM(N34:N36)</f>
        <v>505.9832920751615</v>
      </c>
      <c r="O37">
        <f t="shared" ref="O37:Q37" ca="1" si="5">SUM(O34:O36)</f>
        <v>1406.85088434615</v>
      </c>
      <c r="P37">
        <f t="shared" ca="1" si="5"/>
        <v>69.607250602410076</v>
      </c>
      <c r="Q37">
        <f t="shared" ca="1" si="5"/>
        <v>49.547210231629109</v>
      </c>
    </row>
    <row r="38" spans="3:17">
      <c r="C38" t="s">
        <v>158</v>
      </c>
      <c r="D38">
        <f ca="1">D39/52</f>
        <v>66.287668834490177</v>
      </c>
      <c r="E38">
        <f ca="1">E39/52</f>
        <v>483.37691039235352</v>
      </c>
      <c r="I38" t="s">
        <v>158</v>
      </c>
      <c r="J38">
        <f ca="1">J39/52</f>
        <v>66.287668834490177</v>
      </c>
      <c r="K38">
        <f ca="1">K39/52</f>
        <v>48.337691039235359</v>
      </c>
      <c r="M38" t="s">
        <v>158</v>
      </c>
      <c r="N38">
        <f ca="1">N39/52</f>
        <v>19.460895849044675</v>
      </c>
      <c r="O38">
        <f t="shared" ref="O38:Q38" ca="1" si="6">O39/52</f>
        <v>54.109649397928848</v>
      </c>
      <c r="P38">
        <f t="shared" ca="1" si="6"/>
        <v>214.17615569972332</v>
      </c>
      <c r="Q38">
        <f t="shared" ca="1" si="6"/>
        <v>152.45295455885878</v>
      </c>
    </row>
    <row r="39" spans="3:17">
      <c r="C39" t="s">
        <v>159</v>
      </c>
      <c r="D39">
        <f ca="1">E11*F11*D37</f>
        <v>3446.9587793934888</v>
      </c>
      <c r="E39">
        <f ca="1">E37*E12*F12</f>
        <v>25135.599340402383</v>
      </c>
      <c r="I39" t="s">
        <v>159</v>
      </c>
      <c r="J39">
        <f ca="1">E15*F15*J37</f>
        <v>3446.9587793934888</v>
      </c>
      <c r="K39">
        <f ca="1">K37*E16*F16</f>
        <v>2513.5599340402387</v>
      </c>
      <c r="M39" t="s">
        <v>159</v>
      </c>
      <c r="N39">
        <f ca="1">N37*E$3*F$3</f>
        <v>1011.9665841503231</v>
      </c>
      <c r="O39">
        <f ca="1">E4*F4*O37</f>
        <v>2813.7017686923</v>
      </c>
      <c r="P39">
        <f ca="1">P37*E5*F5</f>
        <v>11137.160096385613</v>
      </c>
      <c r="Q39">
        <f ca="1">Q37*E6*F6</f>
        <v>7927.5536370606569</v>
      </c>
    </row>
    <row r="40" spans="3:17">
      <c r="C40" t="s">
        <v>160</v>
      </c>
      <c r="D40">
        <f ca="1">D41/52</f>
        <v>19.884982962295513</v>
      </c>
      <c r="E40">
        <f ca="1">E41/52</f>
        <v>3.8896282622506013</v>
      </c>
      <c r="I40" t="s">
        <v>160</v>
      </c>
      <c r="J40">
        <f>J41/52</f>
        <v>3.2692307692307692</v>
      </c>
      <c r="K40">
        <f>K41/52</f>
        <v>5.4423076923076925</v>
      </c>
      <c r="M40" t="s">
        <v>160</v>
      </c>
      <c r="N40">
        <f ca="1">N41/52</f>
        <v>4.8652239622611679</v>
      </c>
      <c r="O40">
        <f t="shared" ref="O40:Q40" ca="1" si="7">O41/52</f>
        <v>32.465789638757308</v>
      </c>
      <c r="P40">
        <f t="shared" ca="1" si="7"/>
        <v>10.708807784986165</v>
      </c>
      <c r="Q40">
        <f t="shared" ca="1" si="7"/>
        <v>7.6226477279429394</v>
      </c>
    </row>
    <row r="41" spans="3:17">
      <c r="C41" t="s">
        <v>161</v>
      </c>
      <c r="D41">
        <f ca="1">EDN!O24*Sheet4!D32+EDN!P24*Sheet4!D33</f>
        <v>1034.0191140393667</v>
      </c>
      <c r="E41">
        <f ca="1">EDN!O25*E32+Sheet4!P30*Sheet4!E33</f>
        <v>202.26066963703127</v>
      </c>
      <c r="I41" t="s">
        <v>161</v>
      </c>
      <c r="J41">
        <f>EDN!D14*EDN!O28+EDN!D15*EDN!P28</f>
        <v>170</v>
      </c>
      <c r="K41">
        <f>EDN!D16*EDN!O29+EDN!D17*EDN!P29</f>
        <v>283</v>
      </c>
      <c r="M41" t="s">
        <v>161</v>
      </c>
      <c r="N41">
        <f ca="1">N37*R3</f>
        <v>252.99164603758075</v>
      </c>
      <c r="O41">
        <f ca="1">O37*R4</f>
        <v>1688.2210612153799</v>
      </c>
      <c r="P41">
        <f ca="1">P37*R5</f>
        <v>556.85800481928061</v>
      </c>
      <c r="Q41">
        <f ca="1">Q37*R6</f>
        <v>396.37768185303287</v>
      </c>
    </row>
    <row r="43" spans="3:17">
      <c r="C43" t="s">
        <v>174</v>
      </c>
      <c r="D43">
        <f ca="1">SUM(D39:E39)</f>
        <v>28582.558119795871</v>
      </c>
      <c r="I43" t="s">
        <v>174</v>
      </c>
      <c r="J43">
        <f ca="1">SUM(J39:K39)</f>
        <v>5960.5187134337275</v>
      </c>
      <c r="M43" t="s">
        <v>174</v>
      </c>
      <c r="N43">
        <f ca="1">SUM(N39:Q39)</f>
        <v>22890.382086288893</v>
      </c>
    </row>
    <row r="44" spans="3:17">
      <c r="C44" t="s">
        <v>173</v>
      </c>
      <c r="D44">
        <f ca="1">SUM(D41:E41)</f>
        <v>1236.279783676398</v>
      </c>
      <c r="I44" t="s">
        <v>173</v>
      </c>
      <c r="J44">
        <f>SUM(J41:K41)</f>
        <v>453</v>
      </c>
      <c r="M44" t="s">
        <v>173</v>
      </c>
      <c r="N44">
        <f ca="1">SUM(N41:Q41)</f>
        <v>2894.4483939252741</v>
      </c>
    </row>
    <row r="45" spans="3:17">
      <c r="C45" t="s">
        <v>175</v>
      </c>
      <c r="D45" s="100">
        <f ca="1">SUM(D43:D44)</f>
        <v>29818.837903472267</v>
      </c>
      <c r="I45" t="s">
        <v>175</v>
      </c>
      <c r="J45" s="101">
        <f ca="1">SUM(J43:J44)</f>
        <v>6413.5187134337275</v>
      </c>
      <c r="M45" t="s">
        <v>175</v>
      </c>
      <c r="N45" s="99">
        <f ca="1">SUM(N43:N44)</f>
        <v>25784.830480214168</v>
      </c>
    </row>
    <row r="46" spans="3:17">
      <c r="D46" t="s">
        <v>176</v>
      </c>
      <c r="E46" t="s">
        <v>177</v>
      </c>
      <c r="F46" t="s">
        <v>167</v>
      </c>
      <c r="G46" t="s">
        <v>187</v>
      </c>
    </row>
    <row r="47" spans="3:17">
      <c r="C47" t="s">
        <v>166</v>
      </c>
      <c r="D47">
        <f ca="1">D45</f>
        <v>29818.837903472267</v>
      </c>
      <c r="E47">
        <f ca="1">J45</f>
        <v>6413.5187134337275</v>
      </c>
      <c r="F47">
        <f ca="1">N45</f>
        <v>25784.830480214168</v>
      </c>
    </row>
    <row r="48" spans="3:17">
      <c r="C48">
        <v>1</v>
      </c>
      <c r="D48">
        <f t="dataTable" ref="D48:F247" dt2D="0" dtr="0" r1="H48" ca="1"/>
        <v>26165.684603044589</v>
      </c>
      <c r="E48">
        <v>5809.7728790540914</v>
      </c>
      <c r="F48">
        <v>26198.245037573088</v>
      </c>
      <c r="G48" t="str">
        <f>IF(AND(D48&lt;E48,D48&lt;F48),"France",IF(AND(E48&lt;D48,E48&lt;F48),"Germany","France and Germany"))</f>
        <v>Germany</v>
      </c>
      <c r="I48" s="85" t="s">
        <v>178</v>
      </c>
      <c r="J48" t="s">
        <v>180</v>
      </c>
      <c r="K48" t="s">
        <v>181</v>
      </c>
      <c r="L48" t="s">
        <v>182</v>
      </c>
      <c r="M48" t="s">
        <v>183</v>
      </c>
      <c r="N48" t="s">
        <v>184</v>
      </c>
      <c r="O48" t="s">
        <v>185</v>
      </c>
      <c r="P48" t="s">
        <v>186</v>
      </c>
    </row>
    <row r="49" spans="3:16">
      <c r="C49">
        <v>2</v>
      </c>
      <c r="D49">
        <v>22874.200280642086</v>
      </c>
      <c r="E49">
        <v>5598.0718287418986</v>
      </c>
      <c r="F49">
        <v>29870.282501017133</v>
      </c>
      <c r="G49" t="str">
        <f t="shared" ref="G49:G112" si="8">IF(AND(D49&lt;E49,D49&lt;F49),"France",IF(AND(E49&lt;D49,E49&lt;F49),"Germany","France and Germany"))</f>
        <v>Germany</v>
      </c>
      <c r="I49" t="s">
        <v>179</v>
      </c>
      <c r="J49">
        <f>AVERAGE(D48:D247)</f>
        <v>24366.444699956315</v>
      </c>
      <c r="K49">
        <f>_xlfn.STDEV.S(D48:D247)</f>
        <v>3710.9444842171883</v>
      </c>
      <c r="L49">
        <f>K49/SQRT(COUNT(D48:D247))</f>
        <v>262.40340093967887</v>
      </c>
      <c r="M49">
        <f>_xlfn.NORM.S.INV(0.98)</f>
        <v>2.0537489106318221</v>
      </c>
      <c r="N49">
        <f>L49*M49</f>
        <v>538.9106988259507</v>
      </c>
      <c r="O49">
        <f>J49-N49</f>
        <v>23827.534001130363</v>
      </c>
      <c r="P49">
        <f>J49+N49</f>
        <v>24905.355398782267</v>
      </c>
    </row>
    <row r="50" spans="3:16">
      <c r="C50">
        <v>3</v>
      </c>
      <c r="D50">
        <v>16901.38588640705</v>
      </c>
      <c r="E50">
        <v>4690.1838579007072</v>
      </c>
      <c r="F50">
        <v>31119.196666035081</v>
      </c>
      <c r="G50" t="str">
        <f t="shared" si="8"/>
        <v>Germany</v>
      </c>
      <c r="I50" t="s">
        <v>177</v>
      </c>
      <c r="J50">
        <f>AVERAGE(E48:E247)</f>
        <v>5668.9934840143906</v>
      </c>
      <c r="K50">
        <f>_xlfn.STDEV.S(E48:E247)</f>
        <v>446.28777266309322</v>
      </c>
      <c r="L50">
        <f ca="1">K50/SQRT(COUNT(E47:E247))</f>
        <v>31.47871238592116</v>
      </c>
      <c r="M50">
        <f t="shared" ref="M50:M51" si="9">_xlfn.NORM.S.INV(0.98)</f>
        <v>2.0537489106318221</v>
      </c>
      <c r="N50">
        <f t="shared" ref="N50:N51" ca="1" si="10">L50*M50</f>
        <v>64.649371270678031</v>
      </c>
      <c r="O50">
        <f t="shared" ref="O50:O51" ca="1" si="11">J50-N50</f>
        <v>5604.3441127437127</v>
      </c>
      <c r="P50">
        <f t="shared" ref="P50:P51" ca="1" si="12">J50+N50</f>
        <v>5733.6428552850684</v>
      </c>
    </row>
    <row r="51" spans="3:16">
      <c r="C51">
        <v>4</v>
      </c>
      <c r="D51">
        <v>22953.052709451891</v>
      </c>
      <c r="E51">
        <v>5065.17926022341</v>
      </c>
      <c r="F51">
        <v>35399.008739440258</v>
      </c>
      <c r="G51" t="str">
        <f t="shared" si="8"/>
        <v>Germany</v>
      </c>
      <c r="I51" t="s">
        <v>167</v>
      </c>
      <c r="J51">
        <f>AVERAGE(F48:F247)</f>
        <v>28112.779837447157</v>
      </c>
      <c r="K51">
        <f>_xlfn.STDEV.S(F49:F247)</f>
        <v>3583.4842320534067</v>
      </c>
      <c r="L51">
        <f>K51/SQRT(COUNT(F48:F247))</f>
        <v>253.39060007600315</v>
      </c>
      <c r="M51">
        <f t="shared" si="9"/>
        <v>2.0537489106318221</v>
      </c>
      <c r="N51">
        <f t="shared" si="10"/>
        <v>520.4006688704352</v>
      </c>
      <c r="O51">
        <f t="shared" si="11"/>
        <v>27592.379168576721</v>
      </c>
      <c r="P51">
        <f t="shared" si="12"/>
        <v>28633.180506317593</v>
      </c>
    </row>
    <row r="52" spans="3:16">
      <c r="C52">
        <v>5</v>
      </c>
      <c r="D52">
        <v>23757.331531382872</v>
      </c>
      <c r="E52">
        <v>5336.3360350075909</v>
      </c>
      <c r="F52">
        <v>24381.812757576205</v>
      </c>
      <c r="G52" t="str">
        <f t="shared" si="8"/>
        <v>Germany</v>
      </c>
    </row>
    <row r="53" spans="3:16">
      <c r="C53">
        <v>6</v>
      </c>
      <c r="D53">
        <v>21725.310193570662</v>
      </c>
      <c r="E53">
        <v>5149.3578658787092</v>
      </c>
      <c r="F53">
        <v>25578.41489083659</v>
      </c>
      <c r="G53" t="str">
        <f t="shared" si="8"/>
        <v>Germany</v>
      </c>
    </row>
    <row r="54" spans="3:16">
      <c r="C54">
        <v>7</v>
      </c>
      <c r="D54">
        <v>23399.847769474607</v>
      </c>
      <c r="E54">
        <v>5698.7753410890382</v>
      </c>
      <c r="F54">
        <v>22566.398835120239</v>
      </c>
      <c r="G54" t="str">
        <f t="shared" si="8"/>
        <v>Germany</v>
      </c>
    </row>
    <row r="55" spans="3:16">
      <c r="C55">
        <v>8</v>
      </c>
      <c r="D55">
        <v>20142.022380682443</v>
      </c>
      <c r="E55">
        <v>5410.0821364132789</v>
      </c>
      <c r="F55">
        <v>32261.966760836876</v>
      </c>
      <c r="G55" t="str">
        <f t="shared" si="8"/>
        <v>Germany</v>
      </c>
    </row>
    <row r="56" spans="3:16">
      <c r="C56">
        <v>9</v>
      </c>
      <c r="D56">
        <v>24329.913015351511</v>
      </c>
      <c r="E56">
        <v>5526.913040899467</v>
      </c>
      <c r="F56">
        <v>22318.728237088715</v>
      </c>
      <c r="G56" t="str">
        <f t="shared" si="8"/>
        <v>Germany</v>
      </c>
    </row>
    <row r="57" spans="3:16">
      <c r="C57">
        <v>10</v>
      </c>
      <c r="D57">
        <v>25602.472586154632</v>
      </c>
      <c r="E57">
        <v>5632.8629773119637</v>
      </c>
      <c r="F57">
        <v>30823.919108363574</v>
      </c>
      <c r="G57" t="str">
        <f t="shared" si="8"/>
        <v>Germany</v>
      </c>
    </row>
    <row r="58" spans="3:16">
      <c r="C58">
        <v>11</v>
      </c>
      <c r="D58">
        <v>21808.996095679438</v>
      </c>
      <c r="E58">
        <v>5372.3355709715997</v>
      </c>
      <c r="F58">
        <v>30715.370741694253</v>
      </c>
      <c r="G58" t="str">
        <f t="shared" si="8"/>
        <v>Germany</v>
      </c>
    </row>
    <row r="59" spans="3:16">
      <c r="C59">
        <v>12</v>
      </c>
      <c r="D59">
        <v>19778.212936279469</v>
      </c>
      <c r="E59">
        <v>5167.7198989576809</v>
      </c>
      <c r="F59">
        <v>27699.973987994916</v>
      </c>
      <c r="G59" t="str">
        <f t="shared" si="8"/>
        <v>Germany</v>
      </c>
    </row>
    <row r="60" spans="3:16">
      <c r="C60">
        <v>13</v>
      </c>
      <c r="D60">
        <v>26708.487413183415</v>
      </c>
      <c r="E60">
        <v>5529.817837396693</v>
      </c>
      <c r="F60">
        <v>30566.179480513601</v>
      </c>
      <c r="G60" t="str">
        <f t="shared" si="8"/>
        <v>Germany</v>
      </c>
    </row>
    <row r="61" spans="3:16">
      <c r="C61">
        <v>14</v>
      </c>
      <c r="D61">
        <v>15326.743133587639</v>
      </c>
      <c r="E61">
        <v>4842.4088036068233</v>
      </c>
      <c r="F61">
        <v>32046.574700573776</v>
      </c>
      <c r="G61" t="str">
        <f t="shared" si="8"/>
        <v>Germany</v>
      </c>
    </row>
    <row r="62" spans="3:16">
      <c r="C62">
        <v>15</v>
      </c>
      <c r="D62">
        <v>26969.537243525898</v>
      </c>
      <c r="E62">
        <v>6003.6200546161836</v>
      </c>
      <c r="F62">
        <v>27742.182946672554</v>
      </c>
      <c r="G62" t="str">
        <f t="shared" si="8"/>
        <v>Germany</v>
      </c>
    </row>
    <row r="63" spans="3:16">
      <c r="C63">
        <v>16</v>
      </c>
      <c r="D63">
        <v>26583.081850759336</v>
      </c>
      <c r="E63">
        <v>6010.3092258561137</v>
      </c>
      <c r="F63">
        <v>27347.041032504516</v>
      </c>
      <c r="G63" t="str">
        <f t="shared" si="8"/>
        <v>Germany</v>
      </c>
    </row>
    <row r="64" spans="3:16">
      <c r="C64">
        <v>17</v>
      </c>
      <c r="D64">
        <v>27856.944137354589</v>
      </c>
      <c r="E64">
        <v>5855.0588410803048</v>
      </c>
      <c r="F64">
        <v>27807.052562104855</v>
      </c>
      <c r="G64" t="str">
        <f t="shared" si="8"/>
        <v>Germany</v>
      </c>
    </row>
    <row r="65" spans="3:7">
      <c r="C65">
        <v>18</v>
      </c>
      <c r="D65">
        <v>24314.433497341517</v>
      </c>
      <c r="E65">
        <v>5995.5403074478936</v>
      </c>
      <c r="F65">
        <v>25642.395791761468</v>
      </c>
      <c r="G65" t="str">
        <f t="shared" si="8"/>
        <v>Germany</v>
      </c>
    </row>
    <row r="66" spans="3:7">
      <c r="C66">
        <v>19</v>
      </c>
      <c r="D66">
        <v>21212.428139736909</v>
      </c>
      <c r="E66">
        <v>4895.1545590157166</v>
      </c>
      <c r="F66">
        <v>31257.737762586599</v>
      </c>
      <c r="G66" t="str">
        <f t="shared" si="8"/>
        <v>Germany</v>
      </c>
    </row>
    <row r="67" spans="3:7">
      <c r="C67">
        <v>20</v>
      </c>
      <c r="D67">
        <v>27991.377194168115</v>
      </c>
      <c r="E67">
        <v>5632.6046922575952</v>
      </c>
      <c r="F67">
        <v>22613.183863574632</v>
      </c>
      <c r="G67" t="str">
        <f t="shared" si="8"/>
        <v>Germany</v>
      </c>
    </row>
    <row r="68" spans="3:7">
      <c r="C68">
        <v>21</v>
      </c>
      <c r="D68">
        <v>25008.167050305194</v>
      </c>
      <c r="E68">
        <v>5603.5047118805705</v>
      </c>
      <c r="F68">
        <v>28436.256667915863</v>
      </c>
      <c r="G68" t="str">
        <f t="shared" si="8"/>
        <v>Germany</v>
      </c>
    </row>
    <row r="69" spans="3:7">
      <c r="C69">
        <v>22</v>
      </c>
      <c r="D69">
        <v>25501.33086200375</v>
      </c>
      <c r="E69">
        <v>5544.8628812936422</v>
      </c>
      <c r="F69">
        <v>29768.275312536731</v>
      </c>
      <c r="G69" t="str">
        <f t="shared" si="8"/>
        <v>Germany</v>
      </c>
    </row>
    <row r="70" spans="3:7">
      <c r="C70">
        <v>23</v>
      </c>
      <c r="D70">
        <v>29267.064973637272</v>
      </c>
      <c r="E70">
        <v>6078.2013862649492</v>
      </c>
      <c r="F70">
        <v>25139.753620596606</v>
      </c>
      <c r="G70" t="str">
        <f t="shared" si="8"/>
        <v>Germany</v>
      </c>
    </row>
    <row r="71" spans="3:7">
      <c r="C71">
        <v>24</v>
      </c>
      <c r="D71">
        <v>20242.90238826162</v>
      </c>
      <c r="E71">
        <v>5168.8731223795294</v>
      </c>
      <c r="F71">
        <v>35247.960885123677</v>
      </c>
      <c r="G71" t="str">
        <f t="shared" si="8"/>
        <v>Germany</v>
      </c>
    </row>
    <row r="72" spans="3:7">
      <c r="C72">
        <v>25</v>
      </c>
      <c r="D72">
        <v>28831.846332610858</v>
      </c>
      <c r="E72">
        <v>6141.9000661501486</v>
      </c>
      <c r="F72">
        <v>26474.557703978513</v>
      </c>
      <c r="G72" t="str">
        <f t="shared" si="8"/>
        <v>Germany</v>
      </c>
    </row>
    <row r="73" spans="3:7">
      <c r="C73">
        <v>26</v>
      </c>
      <c r="D73">
        <v>27462.006605608396</v>
      </c>
      <c r="E73">
        <v>6077.1517191270505</v>
      </c>
      <c r="F73">
        <v>21713.972403802924</v>
      </c>
      <c r="G73" t="str">
        <f t="shared" si="8"/>
        <v>Germany</v>
      </c>
    </row>
    <row r="74" spans="3:7">
      <c r="C74">
        <v>27</v>
      </c>
      <c r="D74">
        <v>27716.626530959962</v>
      </c>
      <c r="E74">
        <v>5895.6499145048492</v>
      </c>
      <c r="F74">
        <v>32519.674683913854</v>
      </c>
      <c r="G74" t="str">
        <f t="shared" si="8"/>
        <v>Germany</v>
      </c>
    </row>
    <row r="75" spans="3:7">
      <c r="C75">
        <v>28</v>
      </c>
      <c r="D75">
        <v>26098.05242522811</v>
      </c>
      <c r="E75">
        <v>5392.546824653381</v>
      </c>
      <c r="F75">
        <v>24278.278920172852</v>
      </c>
      <c r="G75" t="str">
        <f t="shared" si="8"/>
        <v>Germany</v>
      </c>
    </row>
    <row r="76" spans="3:7">
      <c r="C76">
        <v>29</v>
      </c>
      <c r="D76">
        <v>27707.288603908157</v>
      </c>
      <c r="E76">
        <v>6318.0364887489941</v>
      </c>
      <c r="F76">
        <v>26885.285085940483</v>
      </c>
      <c r="G76" t="str">
        <f t="shared" si="8"/>
        <v>Germany</v>
      </c>
    </row>
    <row r="77" spans="3:7">
      <c r="C77">
        <v>30</v>
      </c>
      <c r="D77">
        <v>24325.484462175296</v>
      </c>
      <c r="E77">
        <v>5873.881936107915</v>
      </c>
      <c r="F77">
        <v>30614.304748753788</v>
      </c>
      <c r="G77" t="str">
        <f t="shared" si="8"/>
        <v>Germany</v>
      </c>
    </row>
    <row r="78" spans="3:7">
      <c r="C78">
        <v>31</v>
      </c>
      <c r="D78">
        <v>25347.758994849311</v>
      </c>
      <c r="E78">
        <v>5896.7987034096886</v>
      </c>
      <c r="F78">
        <v>28079.122613327119</v>
      </c>
      <c r="G78" t="str">
        <f t="shared" si="8"/>
        <v>Germany</v>
      </c>
    </row>
    <row r="79" spans="3:7">
      <c r="C79">
        <v>32</v>
      </c>
      <c r="D79">
        <v>26734.743288998994</v>
      </c>
      <c r="E79">
        <v>6000.9657687295585</v>
      </c>
      <c r="F79">
        <v>35049.19848588312</v>
      </c>
      <c r="G79" t="str">
        <f t="shared" si="8"/>
        <v>Germany</v>
      </c>
    </row>
    <row r="80" spans="3:7">
      <c r="C80">
        <v>33</v>
      </c>
      <c r="D80">
        <v>23464.476889521269</v>
      </c>
      <c r="E80">
        <v>5695.192313350798</v>
      </c>
      <c r="F80">
        <v>26011.395144006143</v>
      </c>
      <c r="G80" t="str">
        <f t="shared" si="8"/>
        <v>Germany</v>
      </c>
    </row>
    <row r="81" spans="3:7">
      <c r="C81">
        <v>34</v>
      </c>
      <c r="D81">
        <v>20001.503496578298</v>
      </c>
      <c r="E81">
        <v>5133.8116841530536</v>
      </c>
      <c r="F81">
        <v>27545.204840226324</v>
      </c>
      <c r="G81" t="str">
        <f t="shared" si="8"/>
        <v>Germany</v>
      </c>
    </row>
    <row r="82" spans="3:7">
      <c r="C82">
        <v>35</v>
      </c>
      <c r="D82">
        <v>30030.493522678324</v>
      </c>
      <c r="E82">
        <v>5964.7278836444684</v>
      </c>
      <c r="F82">
        <v>27500.774860963378</v>
      </c>
      <c r="G82" t="str">
        <f t="shared" si="8"/>
        <v>Germany</v>
      </c>
    </row>
    <row r="83" spans="3:7">
      <c r="C83">
        <v>36</v>
      </c>
      <c r="D83">
        <v>22913.233467128306</v>
      </c>
      <c r="E83">
        <v>5613.4716533714536</v>
      </c>
      <c r="F83">
        <v>23201.749606576228</v>
      </c>
      <c r="G83" t="str">
        <f t="shared" si="8"/>
        <v>Germany</v>
      </c>
    </row>
    <row r="84" spans="3:7">
      <c r="C84">
        <v>37</v>
      </c>
      <c r="D84">
        <v>21566.648266028707</v>
      </c>
      <c r="E84">
        <v>5413.0847144219624</v>
      </c>
      <c r="F84">
        <v>26921.470146069132</v>
      </c>
      <c r="G84" t="str">
        <f t="shared" si="8"/>
        <v>Germany</v>
      </c>
    </row>
    <row r="85" spans="3:7">
      <c r="C85">
        <v>38</v>
      </c>
      <c r="D85">
        <v>19627.913261672864</v>
      </c>
      <c r="E85">
        <v>5137.4175728001537</v>
      </c>
      <c r="F85">
        <v>24339.669002041544</v>
      </c>
      <c r="G85" t="str">
        <f t="shared" si="8"/>
        <v>Germany</v>
      </c>
    </row>
    <row r="86" spans="3:7">
      <c r="C86">
        <v>39</v>
      </c>
      <c r="D86">
        <v>20780.184201545479</v>
      </c>
      <c r="E86">
        <v>5239.8302992940098</v>
      </c>
      <c r="F86">
        <v>21531.647174603459</v>
      </c>
      <c r="G86" t="str">
        <f t="shared" si="8"/>
        <v>Germany</v>
      </c>
    </row>
    <row r="87" spans="3:7">
      <c r="C87">
        <v>40</v>
      </c>
      <c r="D87">
        <v>28378.399053337358</v>
      </c>
      <c r="E87">
        <v>6277.6411196065674</v>
      </c>
      <c r="F87">
        <v>29032.801204956726</v>
      </c>
      <c r="G87" t="str">
        <f t="shared" si="8"/>
        <v>Germany</v>
      </c>
    </row>
    <row r="88" spans="3:7">
      <c r="C88">
        <v>41</v>
      </c>
      <c r="D88">
        <v>28619.446086253476</v>
      </c>
      <c r="E88">
        <v>6134.6486042182842</v>
      </c>
      <c r="F88">
        <v>38199.001902999044</v>
      </c>
      <c r="G88" t="str">
        <f t="shared" si="8"/>
        <v>Germany</v>
      </c>
    </row>
    <row r="89" spans="3:7">
      <c r="C89">
        <v>42</v>
      </c>
      <c r="D89">
        <v>32700.399028519885</v>
      </c>
      <c r="E89">
        <v>6445.6546312996943</v>
      </c>
      <c r="F89">
        <v>32100.928704968352</v>
      </c>
      <c r="G89" t="str">
        <f t="shared" si="8"/>
        <v>Germany</v>
      </c>
    </row>
    <row r="90" spans="3:7">
      <c r="C90">
        <v>43</v>
      </c>
      <c r="D90">
        <v>28522.42428099531</v>
      </c>
      <c r="E90">
        <v>5807.232053208958</v>
      </c>
      <c r="F90">
        <v>24662.613622648634</v>
      </c>
      <c r="G90" t="str">
        <f t="shared" si="8"/>
        <v>Germany</v>
      </c>
    </row>
    <row r="91" spans="3:7">
      <c r="C91">
        <v>44</v>
      </c>
      <c r="D91">
        <v>23991.457002257441</v>
      </c>
      <c r="E91">
        <v>5749.3405259617357</v>
      </c>
      <c r="F91">
        <v>26681.894162702116</v>
      </c>
      <c r="G91" t="str">
        <f t="shared" si="8"/>
        <v>Germany</v>
      </c>
    </row>
    <row r="92" spans="3:7">
      <c r="C92">
        <v>45</v>
      </c>
      <c r="D92">
        <v>21358.173750483315</v>
      </c>
      <c r="E92">
        <v>5413.5504493414574</v>
      </c>
      <c r="F92">
        <v>27227.302157185801</v>
      </c>
      <c r="G92" t="str">
        <f t="shared" si="8"/>
        <v>Germany</v>
      </c>
    </row>
    <row r="93" spans="3:7">
      <c r="C93">
        <v>46</v>
      </c>
      <c r="D93">
        <v>28657.518002732366</v>
      </c>
      <c r="E93">
        <v>6061.868740332171</v>
      </c>
      <c r="F93">
        <v>30016.551299535546</v>
      </c>
      <c r="G93" t="str">
        <f t="shared" si="8"/>
        <v>Germany</v>
      </c>
    </row>
    <row r="94" spans="3:7">
      <c r="C94">
        <v>47</v>
      </c>
      <c r="D94">
        <v>27326.576398595447</v>
      </c>
      <c r="E94">
        <v>5833.2173276705016</v>
      </c>
      <c r="F94">
        <v>29257.165952992382</v>
      </c>
      <c r="G94" t="str">
        <f t="shared" si="8"/>
        <v>Germany</v>
      </c>
    </row>
    <row r="95" spans="3:7">
      <c r="C95">
        <v>48</v>
      </c>
      <c r="D95">
        <v>24838.693938488614</v>
      </c>
      <c r="E95">
        <v>5676.0944139953481</v>
      </c>
      <c r="F95">
        <v>29574.532820691424</v>
      </c>
      <c r="G95" t="str">
        <f t="shared" si="8"/>
        <v>Germany</v>
      </c>
    </row>
    <row r="96" spans="3:7">
      <c r="C96">
        <v>49</v>
      </c>
      <c r="D96">
        <v>27273.91844879726</v>
      </c>
      <c r="E96">
        <v>5784.4912479447858</v>
      </c>
      <c r="F96">
        <v>23117.885227912589</v>
      </c>
      <c r="G96" t="str">
        <f t="shared" si="8"/>
        <v>Germany</v>
      </c>
    </row>
    <row r="97" spans="3:7">
      <c r="C97">
        <v>50</v>
      </c>
      <c r="D97">
        <v>17691.509391544489</v>
      </c>
      <c r="E97">
        <v>5501.5003656719955</v>
      </c>
      <c r="F97">
        <v>24710.72316826813</v>
      </c>
      <c r="G97" t="str">
        <f t="shared" si="8"/>
        <v>Germany</v>
      </c>
    </row>
    <row r="98" spans="3:7">
      <c r="C98">
        <v>51</v>
      </c>
      <c r="D98">
        <v>22943.047448688361</v>
      </c>
      <c r="E98">
        <v>5547.0494662290985</v>
      </c>
      <c r="F98">
        <v>27515.634307141165</v>
      </c>
      <c r="G98" t="str">
        <f t="shared" si="8"/>
        <v>Germany</v>
      </c>
    </row>
    <row r="99" spans="3:7">
      <c r="C99">
        <v>52</v>
      </c>
      <c r="D99">
        <v>24415.840491561481</v>
      </c>
      <c r="E99">
        <v>6141.4317776508997</v>
      </c>
      <c r="F99">
        <v>24350.124892871034</v>
      </c>
      <c r="G99" t="str">
        <f t="shared" si="8"/>
        <v>Germany</v>
      </c>
    </row>
    <row r="100" spans="3:7">
      <c r="C100">
        <v>53</v>
      </c>
      <c r="D100">
        <v>26144.349924289505</v>
      </c>
      <c r="E100">
        <v>5943.4860831562764</v>
      </c>
      <c r="F100">
        <v>33611.383508890045</v>
      </c>
      <c r="G100" t="str">
        <f t="shared" si="8"/>
        <v>Germany</v>
      </c>
    </row>
    <row r="101" spans="3:7">
      <c r="C101">
        <v>54</v>
      </c>
      <c r="D101">
        <v>21367.437980800441</v>
      </c>
      <c r="E101">
        <v>5255.4546342197218</v>
      </c>
      <c r="F101">
        <v>27679.318816912713</v>
      </c>
      <c r="G101" t="str">
        <f t="shared" si="8"/>
        <v>Germany</v>
      </c>
    </row>
    <row r="102" spans="3:7">
      <c r="C102">
        <v>55</v>
      </c>
      <c r="D102">
        <v>22453.816491017591</v>
      </c>
      <c r="E102">
        <v>5548.1943773729199</v>
      </c>
      <c r="F102">
        <v>31036.459067549178</v>
      </c>
      <c r="G102" t="str">
        <f t="shared" si="8"/>
        <v>Germany</v>
      </c>
    </row>
    <row r="103" spans="3:7">
      <c r="C103">
        <v>56</v>
      </c>
      <c r="D103">
        <v>31492.051114273156</v>
      </c>
      <c r="E103">
        <v>6997.049825463384</v>
      </c>
      <c r="F103">
        <v>34390.215364176271</v>
      </c>
      <c r="G103" t="str">
        <f t="shared" si="8"/>
        <v>Germany</v>
      </c>
    </row>
    <row r="104" spans="3:7">
      <c r="C104">
        <v>57</v>
      </c>
      <c r="D104">
        <v>18340.440463998621</v>
      </c>
      <c r="E104">
        <v>5138.736032671276</v>
      </c>
      <c r="F104">
        <v>26724.159936537002</v>
      </c>
      <c r="G104" t="str">
        <f t="shared" si="8"/>
        <v>Germany</v>
      </c>
    </row>
    <row r="105" spans="3:7">
      <c r="C105">
        <v>58</v>
      </c>
      <c r="D105">
        <v>24217.04755456666</v>
      </c>
      <c r="E105">
        <v>5378.4054917746598</v>
      </c>
      <c r="F105">
        <v>26858.984868525684</v>
      </c>
      <c r="G105" t="str">
        <f t="shared" si="8"/>
        <v>Germany</v>
      </c>
    </row>
    <row r="106" spans="3:7">
      <c r="C106">
        <v>59</v>
      </c>
      <c r="D106">
        <v>32429.705453486044</v>
      </c>
      <c r="E106">
        <v>6222.3401345516213</v>
      </c>
      <c r="F106">
        <v>28829.985754839068</v>
      </c>
      <c r="G106" t="str">
        <f t="shared" si="8"/>
        <v>Germany</v>
      </c>
    </row>
    <row r="107" spans="3:7">
      <c r="C107">
        <v>60</v>
      </c>
      <c r="D107">
        <v>21156.105587251153</v>
      </c>
      <c r="E107">
        <v>5463.2385834705128</v>
      </c>
      <c r="F107">
        <v>23376.27070570962</v>
      </c>
      <c r="G107" t="str">
        <f t="shared" si="8"/>
        <v>Germany</v>
      </c>
    </row>
    <row r="108" spans="3:7">
      <c r="C108">
        <v>61</v>
      </c>
      <c r="D108">
        <v>28743.190163741776</v>
      </c>
      <c r="E108">
        <v>6045.4114149687302</v>
      </c>
      <c r="F108">
        <v>24904.890234009883</v>
      </c>
      <c r="G108" t="str">
        <f t="shared" si="8"/>
        <v>Germany</v>
      </c>
    </row>
    <row r="109" spans="3:7">
      <c r="C109">
        <v>62</v>
      </c>
      <c r="D109">
        <v>25147.31875040536</v>
      </c>
      <c r="E109">
        <v>5775.8577012616315</v>
      </c>
      <c r="F109">
        <v>30140.154769602374</v>
      </c>
      <c r="G109" t="str">
        <f t="shared" si="8"/>
        <v>Germany</v>
      </c>
    </row>
    <row r="110" spans="3:7">
      <c r="C110">
        <v>63</v>
      </c>
      <c r="D110">
        <v>19188.354434844707</v>
      </c>
      <c r="E110">
        <v>5134.5306015937549</v>
      </c>
      <c r="F110">
        <v>32162.300527620911</v>
      </c>
      <c r="G110" t="str">
        <f t="shared" si="8"/>
        <v>Germany</v>
      </c>
    </row>
    <row r="111" spans="3:7">
      <c r="C111">
        <v>64</v>
      </c>
      <c r="D111">
        <v>17713.840103495189</v>
      </c>
      <c r="E111">
        <v>4828.807733218986</v>
      </c>
      <c r="F111">
        <v>26851.146242834999</v>
      </c>
      <c r="G111" t="str">
        <f t="shared" si="8"/>
        <v>Germany</v>
      </c>
    </row>
    <row r="112" spans="3:7">
      <c r="C112">
        <v>65</v>
      </c>
      <c r="D112">
        <v>19403.198690855665</v>
      </c>
      <c r="E112">
        <v>5555.8782251210414</v>
      </c>
      <c r="F112">
        <v>28658.742901182821</v>
      </c>
      <c r="G112" t="str">
        <f t="shared" si="8"/>
        <v>Germany</v>
      </c>
    </row>
    <row r="113" spans="3:7">
      <c r="C113">
        <v>66</v>
      </c>
      <c r="D113">
        <v>24411.571327441376</v>
      </c>
      <c r="E113">
        <v>5646.4138533650039</v>
      </c>
      <c r="F113">
        <v>22143.778713292519</v>
      </c>
      <c r="G113" t="str">
        <f t="shared" ref="G113:G176" si="13">IF(AND(D113&lt;E113,D113&lt;F113),"France",IF(AND(E113&lt;D113,E113&lt;F113),"Germany","France and Germany"))</f>
        <v>Germany</v>
      </c>
    </row>
    <row r="114" spans="3:7">
      <c r="C114">
        <v>67</v>
      </c>
      <c r="D114">
        <v>28082.217840963989</v>
      </c>
      <c r="E114">
        <v>5814.5440409823104</v>
      </c>
      <c r="F114">
        <v>24409.195776916877</v>
      </c>
      <c r="G114" t="str">
        <f t="shared" si="13"/>
        <v>Germany</v>
      </c>
    </row>
    <row r="115" spans="3:7">
      <c r="C115">
        <v>68</v>
      </c>
      <c r="D115">
        <v>30264.236003372833</v>
      </c>
      <c r="E115">
        <v>6312.113276334152</v>
      </c>
      <c r="F115">
        <v>25155.549469263249</v>
      </c>
      <c r="G115" t="str">
        <f t="shared" si="13"/>
        <v>Germany</v>
      </c>
    </row>
    <row r="116" spans="3:7">
      <c r="C116">
        <v>69</v>
      </c>
      <c r="D116">
        <v>18375.360367856985</v>
      </c>
      <c r="E116">
        <v>4973.529762884682</v>
      </c>
      <c r="F116">
        <v>20292.552128553805</v>
      </c>
      <c r="G116" t="str">
        <f t="shared" si="13"/>
        <v>Germany</v>
      </c>
    </row>
    <row r="117" spans="3:7">
      <c r="C117">
        <v>70</v>
      </c>
      <c r="D117">
        <v>25318.518952121914</v>
      </c>
      <c r="E117">
        <v>5485.2229111788474</v>
      </c>
      <c r="F117">
        <v>30512.984256621683</v>
      </c>
      <c r="G117" t="str">
        <f t="shared" si="13"/>
        <v>Germany</v>
      </c>
    </row>
    <row r="118" spans="3:7">
      <c r="C118">
        <v>71</v>
      </c>
      <c r="D118">
        <v>18913.477721086176</v>
      </c>
      <c r="E118">
        <v>5047.8446270272634</v>
      </c>
      <c r="F118">
        <v>34144.011588293135</v>
      </c>
      <c r="G118" t="str">
        <f t="shared" si="13"/>
        <v>Germany</v>
      </c>
    </row>
    <row r="119" spans="3:7">
      <c r="C119">
        <v>72</v>
      </c>
      <c r="D119">
        <v>23375.32586701028</v>
      </c>
      <c r="E119">
        <v>5408.4677586461585</v>
      </c>
      <c r="F119">
        <v>29599.352562145574</v>
      </c>
      <c r="G119" t="str">
        <f t="shared" si="13"/>
        <v>Germany</v>
      </c>
    </row>
    <row r="120" spans="3:7">
      <c r="C120">
        <v>73</v>
      </c>
      <c r="D120">
        <v>20040.398144308732</v>
      </c>
      <c r="E120">
        <v>5689.4574130128258</v>
      </c>
      <c r="F120">
        <v>30745.062408225484</v>
      </c>
      <c r="G120" t="str">
        <f t="shared" si="13"/>
        <v>Germany</v>
      </c>
    </row>
    <row r="121" spans="3:7">
      <c r="C121">
        <v>74</v>
      </c>
      <c r="D121">
        <v>25654.575607051876</v>
      </c>
      <c r="E121">
        <v>5833.0923960711161</v>
      </c>
      <c r="F121">
        <v>26828.75738501806</v>
      </c>
      <c r="G121" t="str">
        <f t="shared" si="13"/>
        <v>Germany</v>
      </c>
    </row>
    <row r="122" spans="3:7">
      <c r="C122">
        <v>75</v>
      </c>
      <c r="D122">
        <v>23278.83603559465</v>
      </c>
      <c r="E122">
        <v>5231.1664182178702</v>
      </c>
      <c r="F122">
        <v>25136.975334202652</v>
      </c>
      <c r="G122" t="str">
        <f t="shared" si="13"/>
        <v>Germany</v>
      </c>
    </row>
    <row r="123" spans="3:7">
      <c r="C123">
        <v>76</v>
      </c>
      <c r="D123">
        <v>25983.993137191093</v>
      </c>
      <c r="E123">
        <v>5557.5903112245178</v>
      </c>
      <c r="F123">
        <v>24432.79258556835</v>
      </c>
      <c r="G123" t="str">
        <f t="shared" si="13"/>
        <v>Germany</v>
      </c>
    </row>
    <row r="124" spans="3:7">
      <c r="C124">
        <v>77</v>
      </c>
      <c r="D124">
        <v>20941.239367639719</v>
      </c>
      <c r="E124">
        <v>5339.3685987584277</v>
      </c>
      <c r="F124">
        <v>27746.35864639112</v>
      </c>
      <c r="G124" t="str">
        <f t="shared" si="13"/>
        <v>Germany</v>
      </c>
    </row>
    <row r="125" spans="3:7">
      <c r="C125">
        <v>78</v>
      </c>
      <c r="D125">
        <v>27519.214154479261</v>
      </c>
      <c r="E125">
        <v>6157.6335948295964</v>
      </c>
      <c r="F125">
        <v>29206.0170408185</v>
      </c>
      <c r="G125" t="str">
        <f t="shared" si="13"/>
        <v>Germany</v>
      </c>
    </row>
    <row r="126" spans="3:7">
      <c r="C126">
        <v>79</v>
      </c>
      <c r="D126">
        <v>25685.215637534442</v>
      </c>
      <c r="E126">
        <v>5505.0457501602359</v>
      </c>
      <c r="F126">
        <v>29181.565920957863</v>
      </c>
      <c r="G126" t="str">
        <f t="shared" si="13"/>
        <v>Germany</v>
      </c>
    </row>
    <row r="127" spans="3:7">
      <c r="C127">
        <v>80</v>
      </c>
      <c r="D127">
        <v>23047.041090264211</v>
      </c>
      <c r="E127">
        <v>5082.0500465382884</v>
      </c>
      <c r="F127">
        <v>31506.125317016831</v>
      </c>
      <c r="G127" t="str">
        <f t="shared" si="13"/>
        <v>Germany</v>
      </c>
    </row>
    <row r="128" spans="3:7">
      <c r="C128">
        <v>81</v>
      </c>
      <c r="D128">
        <v>23511.373750308245</v>
      </c>
      <c r="E128">
        <v>5642.2575106561007</v>
      </c>
      <c r="F128">
        <v>21854.867308742094</v>
      </c>
      <c r="G128" t="str">
        <f t="shared" si="13"/>
        <v>Germany</v>
      </c>
    </row>
    <row r="129" spans="3:7">
      <c r="C129">
        <v>82</v>
      </c>
      <c r="D129">
        <v>22796.387254910056</v>
      </c>
      <c r="E129">
        <v>5579.7046079405736</v>
      </c>
      <c r="F129">
        <v>27354.629506850426</v>
      </c>
      <c r="G129" t="str">
        <f t="shared" si="13"/>
        <v>Germany</v>
      </c>
    </row>
    <row r="130" spans="3:7">
      <c r="C130">
        <v>83</v>
      </c>
      <c r="D130">
        <v>23897.159678413078</v>
      </c>
      <c r="E130">
        <v>5552.3352521299876</v>
      </c>
      <c r="F130">
        <v>31439.715627562644</v>
      </c>
      <c r="G130" t="str">
        <f t="shared" si="13"/>
        <v>Germany</v>
      </c>
    </row>
    <row r="131" spans="3:7">
      <c r="C131">
        <v>84</v>
      </c>
      <c r="D131">
        <v>20007.374196048033</v>
      </c>
      <c r="E131">
        <v>4904.217828667528</v>
      </c>
      <c r="F131">
        <v>27988.53602418174</v>
      </c>
      <c r="G131" t="str">
        <f t="shared" si="13"/>
        <v>Germany</v>
      </c>
    </row>
    <row r="132" spans="3:7">
      <c r="C132">
        <v>85</v>
      </c>
      <c r="D132">
        <v>30672.232209076628</v>
      </c>
      <c r="E132">
        <v>5989.4482809755918</v>
      </c>
      <c r="F132">
        <v>33279.42701740397</v>
      </c>
      <c r="G132" t="str">
        <f t="shared" si="13"/>
        <v>Germany</v>
      </c>
    </row>
    <row r="133" spans="3:7">
      <c r="C133">
        <v>86</v>
      </c>
      <c r="D133">
        <v>21665.981466437333</v>
      </c>
      <c r="E133">
        <v>5448.6936884129263</v>
      </c>
      <c r="F133">
        <v>20967.241865466734</v>
      </c>
      <c r="G133" t="str">
        <f t="shared" si="13"/>
        <v>Germany</v>
      </c>
    </row>
    <row r="134" spans="3:7">
      <c r="C134">
        <v>87</v>
      </c>
      <c r="D134">
        <v>29849.080695140095</v>
      </c>
      <c r="E134">
        <v>6262.100140306291</v>
      </c>
      <c r="F134">
        <v>23130.367157513978</v>
      </c>
      <c r="G134" t="str">
        <f t="shared" si="13"/>
        <v>Germany</v>
      </c>
    </row>
    <row r="135" spans="3:7">
      <c r="C135">
        <v>88</v>
      </c>
      <c r="D135">
        <v>23701.015888326205</v>
      </c>
      <c r="E135">
        <v>5933.2971116572407</v>
      </c>
      <c r="F135">
        <v>26247.823289525943</v>
      </c>
      <c r="G135" t="str">
        <f t="shared" si="13"/>
        <v>Germany</v>
      </c>
    </row>
    <row r="136" spans="3:7">
      <c r="C136">
        <v>89</v>
      </c>
      <c r="D136">
        <v>19347.954416660828</v>
      </c>
      <c r="E136">
        <v>4693.6945339824742</v>
      </c>
      <c r="F136">
        <v>29549.57002749047</v>
      </c>
      <c r="G136" t="str">
        <f t="shared" si="13"/>
        <v>Germany</v>
      </c>
    </row>
    <row r="137" spans="3:7">
      <c r="C137">
        <v>90</v>
      </c>
      <c r="D137">
        <v>21191.473489719912</v>
      </c>
      <c r="E137">
        <v>5400.7407946222847</v>
      </c>
      <c r="F137">
        <v>28483.332657556653</v>
      </c>
      <c r="G137" t="str">
        <f t="shared" si="13"/>
        <v>Germany</v>
      </c>
    </row>
    <row r="138" spans="3:7">
      <c r="C138">
        <v>91</v>
      </c>
      <c r="D138">
        <v>23201.509052081132</v>
      </c>
      <c r="E138">
        <v>5350.3234759571897</v>
      </c>
      <c r="F138">
        <v>29099.942014656375</v>
      </c>
      <c r="G138" t="str">
        <f t="shared" si="13"/>
        <v>Germany</v>
      </c>
    </row>
    <row r="139" spans="3:7">
      <c r="C139">
        <v>92</v>
      </c>
      <c r="D139">
        <v>23087.956092234275</v>
      </c>
      <c r="E139">
        <v>5721.1869098368752</v>
      </c>
      <c r="F139">
        <v>32196.613486265549</v>
      </c>
      <c r="G139" t="str">
        <f t="shared" si="13"/>
        <v>Germany</v>
      </c>
    </row>
    <row r="140" spans="3:7">
      <c r="C140">
        <v>93</v>
      </c>
      <c r="D140">
        <v>28903.524508375522</v>
      </c>
      <c r="E140">
        <v>6447.4114795065798</v>
      </c>
      <c r="F140">
        <v>26607.914030516047</v>
      </c>
      <c r="G140" t="str">
        <f t="shared" si="13"/>
        <v>Germany</v>
      </c>
    </row>
    <row r="141" spans="3:7">
      <c r="C141">
        <v>94</v>
      </c>
      <c r="D141">
        <v>26723.415284684168</v>
      </c>
      <c r="E141">
        <v>5702.1063184986879</v>
      </c>
      <c r="F141">
        <v>23683.436037743795</v>
      </c>
      <c r="G141" t="str">
        <f t="shared" si="13"/>
        <v>Germany</v>
      </c>
    </row>
    <row r="142" spans="3:7">
      <c r="C142">
        <v>95</v>
      </c>
      <c r="D142">
        <v>26895.965482635344</v>
      </c>
      <c r="E142">
        <v>5742.6156884912061</v>
      </c>
      <c r="F142">
        <v>31582.025724245719</v>
      </c>
      <c r="G142" t="str">
        <f t="shared" si="13"/>
        <v>Germany</v>
      </c>
    </row>
    <row r="143" spans="3:7">
      <c r="C143">
        <v>96</v>
      </c>
      <c r="D143">
        <v>25012.784938975718</v>
      </c>
      <c r="E143">
        <v>5402.4861648654969</v>
      </c>
      <c r="F143">
        <v>31897.180871333549</v>
      </c>
      <c r="G143" t="str">
        <f t="shared" si="13"/>
        <v>Germany</v>
      </c>
    </row>
    <row r="144" spans="3:7">
      <c r="C144">
        <v>97</v>
      </c>
      <c r="D144">
        <v>22729.688499128828</v>
      </c>
      <c r="E144">
        <v>5120.180469072252</v>
      </c>
      <c r="F144">
        <v>28399.417384560569</v>
      </c>
      <c r="G144" t="str">
        <f t="shared" si="13"/>
        <v>Germany</v>
      </c>
    </row>
    <row r="145" spans="3:7">
      <c r="C145">
        <v>98</v>
      </c>
      <c r="D145">
        <v>20167.033478142126</v>
      </c>
      <c r="E145">
        <v>5365.0337992325149</v>
      </c>
      <c r="F145">
        <v>22416.333679781324</v>
      </c>
      <c r="G145" t="str">
        <f t="shared" si="13"/>
        <v>Germany</v>
      </c>
    </row>
    <row r="146" spans="3:7">
      <c r="C146">
        <v>99</v>
      </c>
      <c r="D146">
        <v>28002.669811485335</v>
      </c>
      <c r="E146">
        <v>5930.1945537516076</v>
      </c>
      <c r="F146">
        <v>31679.344205204881</v>
      </c>
      <c r="G146" t="str">
        <f t="shared" si="13"/>
        <v>Germany</v>
      </c>
    </row>
    <row r="147" spans="3:7">
      <c r="C147">
        <v>100</v>
      </c>
      <c r="D147">
        <v>29080.209890848</v>
      </c>
      <c r="E147">
        <v>5973.2655865704664</v>
      </c>
      <c r="F147">
        <v>29235.966662252486</v>
      </c>
      <c r="G147" t="str">
        <f t="shared" si="13"/>
        <v>Germany</v>
      </c>
    </row>
    <row r="148" spans="3:7">
      <c r="C148">
        <v>101</v>
      </c>
      <c r="D148">
        <v>24080.085487933389</v>
      </c>
      <c r="E148">
        <v>5407.3660933282799</v>
      </c>
      <c r="F148">
        <v>23668.180921140298</v>
      </c>
      <c r="G148" t="str">
        <f t="shared" si="13"/>
        <v>Germany</v>
      </c>
    </row>
    <row r="149" spans="3:7">
      <c r="C149">
        <v>102</v>
      </c>
      <c r="D149">
        <v>23575.132582967672</v>
      </c>
      <c r="E149">
        <v>5726.5891179019854</v>
      </c>
      <c r="F149">
        <v>26937.055576932446</v>
      </c>
      <c r="G149" t="str">
        <f t="shared" si="13"/>
        <v>Germany</v>
      </c>
    </row>
    <row r="150" spans="3:7">
      <c r="C150">
        <v>103</v>
      </c>
      <c r="D150">
        <v>23768.381771652013</v>
      </c>
      <c r="E150">
        <v>6068.3040224218685</v>
      </c>
      <c r="F150">
        <v>26106.257832813564</v>
      </c>
      <c r="G150" t="str">
        <f t="shared" si="13"/>
        <v>Germany</v>
      </c>
    </row>
    <row r="151" spans="3:7">
      <c r="C151">
        <v>104</v>
      </c>
      <c r="D151">
        <v>23655.481925626038</v>
      </c>
      <c r="E151">
        <v>5812.6528932554047</v>
      </c>
      <c r="F151">
        <v>27379.850419831157</v>
      </c>
      <c r="G151" t="str">
        <f t="shared" si="13"/>
        <v>Germany</v>
      </c>
    </row>
    <row r="152" spans="3:7">
      <c r="C152">
        <v>105</v>
      </c>
      <c r="D152">
        <v>29813.530298562673</v>
      </c>
      <c r="E152">
        <v>6586.7399545647322</v>
      </c>
      <c r="F152">
        <v>29550.982083622879</v>
      </c>
      <c r="G152" t="str">
        <f t="shared" si="13"/>
        <v>Germany</v>
      </c>
    </row>
    <row r="153" spans="3:7">
      <c r="C153">
        <v>106</v>
      </c>
      <c r="D153">
        <v>30947.347698649701</v>
      </c>
      <c r="E153">
        <v>6365.5598831355519</v>
      </c>
      <c r="F153">
        <v>28576.275058095463</v>
      </c>
      <c r="G153" t="str">
        <f t="shared" si="13"/>
        <v>Germany</v>
      </c>
    </row>
    <row r="154" spans="3:7">
      <c r="C154">
        <v>107</v>
      </c>
      <c r="D154">
        <v>20270.589566828075</v>
      </c>
      <c r="E154">
        <v>5530.6069495479578</v>
      </c>
      <c r="F154">
        <v>29042.195468516089</v>
      </c>
      <c r="G154" t="str">
        <f t="shared" si="13"/>
        <v>Germany</v>
      </c>
    </row>
    <row r="155" spans="3:7">
      <c r="C155">
        <v>108</v>
      </c>
      <c r="D155">
        <v>27066.330578598143</v>
      </c>
      <c r="E155">
        <v>6341.5010127512787</v>
      </c>
      <c r="F155">
        <v>21674.042080737403</v>
      </c>
      <c r="G155" t="str">
        <f t="shared" si="13"/>
        <v>Germany</v>
      </c>
    </row>
    <row r="156" spans="3:7">
      <c r="C156">
        <v>109</v>
      </c>
      <c r="D156">
        <v>24311.500359635316</v>
      </c>
      <c r="E156">
        <v>5864.8960151729198</v>
      </c>
      <c r="F156">
        <v>23909.47645022393</v>
      </c>
      <c r="G156" t="str">
        <f t="shared" si="13"/>
        <v>Germany</v>
      </c>
    </row>
    <row r="157" spans="3:7">
      <c r="C157">
        <v>110</v>
      </c>
      <c r="D157">
        <v>22559.739482455116</v>
      </c>
      <c r="E157">
        <v>5433.0306482381948</v>
      </c>
      <c r="F157">
        <v>28872.580943211899</v>
      </c>
      <c r="G157" t="str">
        <f t="shared" si="13"/>
        <v>Germany</v>
      </c>
    </row>
    <row r="158" spans="3:7">
      <c r="C158">
        <v>111</v>
      </c>
      <c r="D158">
        <v>24402.164953110536</v>
      </c>
      <c r="E158">
        <v>5894.1067756707698</v>
      </c>
      <c r="F158">
        <v>35814.374176544006</v>
      </c>
      <c r="G158" t="str">
        <f t="shared" si="13"/>
        <v>Germany</v>
      </c>
    </row>
    <row r="159" spans="3:7">
      <c r="C159">
        <v>112</v>
      </c>
      <c r="D159">
        <v>24980.344408894183</v>
      </c>
      <c r="E159">
        <v>6434.1746150478903</v>
      </c>
      <c r="F159">
        <v>26740.326915120626</v>
      </c>
      <c r="G159" t="str">
        <f t="shared" si="13"/>
        <v>Germany</v>
      </c>
    </row>
    <row r="160" spans="3:7">
      <c r="C160">
        <v>113</v>
      </c>
      <c r="D160">
        <v>26838.702029982989</v>
      </c>
      <c r="E160">
        <v>5799.0060490862888</v>
      </c>
      <c r="F160">
        <v>28718.168522390457</v>
      </c>
      <c r="G160" t="str">
        <f t="shared" si="13"/>
        <v>Germany</v>
      </c>
    </row>
    <row r="161" spans="3:7">
      <c r="C161">
        <v>114</v>
      </c>
      <c r="D161">
        <v>22597.422994782701</v>
      </c>
      <c r="E161">
        <v>5331.1955361863538</v>
      </c>
      <c r="F161">
        <v>36352.978941706904</v>
      </c>
      <c r="G161" t="str">
        <f t="shared" si="13"/>
        <v>Germany</v>
      </c>
    </row>
    <row r="162" spans="3:7">
      <c r="C162">
        <v>115</v>
      </c>
      <c r="D162">
        <v>21643.338416556744</v>
      </c>
      <c r="E162">
        <v>5398.6845690589862</v>
      </c>
      <c r="F162">
        <v>29219.089968406948</v>
      </c>
      <c r="G162" t="str">
        <f t="shared" si="13"/>
        <v>Germany</v>
      </c>
    </row>
    <row r="163" spans="3:7">
      <c r="C163">
        <v>116</v>
      </c>
      <c r="D163">
        <v>24315.133061335004</v>
      </c>
      <c r="E163">
        <v>5811.8578217415561</v>
      </c>
      <c r="F163">
        <v>26138.310169561752</v>
      </c>
      <c r="G163" t="str">
        <f t="shared" si="13"/>
        <v>Germany</v>
      </c>
    </row>
    <row r="164" spans="3:7">
      <c r="C164">
        <v>117</v>
      </c>
      <c r="D164">
        <v>24001.443670452416</v>
      </c>
      <c r="E164">
        <v>5915.9536097684959</v>
      </c>
      <c r="F164">
        <v>29812.514388972217</v>
      </c>
      <c r="G164" t="str">
        <f t="shared" si="13"/>
        <v>Germany</v>
      </c>
    </row>
    <row r="165" spans="3:7">
      <c r="C165">
        <v>118</v>
      </c>
      <c r="D165">
        <v>26056.871728534894</v>
      </c>
      <c r="E165">
        <v>6100.6580249934705</v>
      </c>
      <c r="F165">
        <v>26478.894108072407</v>
      </c>
      <c r="G165" t="str">
        <f t="shared" si="13"/>
        <v>Germany</v>
      </c>
    </row>
    <row r="166" spans="3:7">
      <c r="C166">
        <v>119</v>
      </c>
      <c r="D166">
        <v>21027.902867184839</v>
      </c>
      <c r="E166">
        <v>4959.7584172383331</v>
      </c>
      <c r="F166">
        <v>27731.517132610963</v>
      </c>
      <c r="G166" t="str">
        <f t="shared" si="13"/>
        <v>Germany</v>
      </c>
    </row>
    <row r="167" spans="3:7">
      <c r="C167">
        <v>120</v>
      </c>
      <c r="D167">
        <v>16939.728957448748</v>
      </c>
      <c r="E167">
        <v>4776.2277225584266</v>
      </c>
      <c r="F167">
        <v>23323.124428507959</v>
      </c>
      <c r="G167" t="str">
        <f t="shared" si="13"/>
        <v>Germany</v>
      </c>
    </row>
    <row r="168" spans="3:7">
      <c r="C168">
        <v>121</v>
      </c>
      <c r="D168">
        <v>29550.482155071637</v>
      </c>
      <c r="E168">
        <v>6286.0331545835188</v>
      </c>
      <c r="F168">
        <v>27877.759380858031</v>
      </c>
      <c r="G168" t="str">
        <f t="shared" si="13"/>
        <v>Germany</v>
      </c>
    </row>
    <row r="169" spans="3:7">
      <c r="C169">
        <v>122</v>
      </c>
      <c r="D169">
        <v>24073.946292274748</v>
      </c>
      <c r="E169">
        <v>5696.9260984912853</v>
      </c>
      <c r="F169">
        <v>31074.907308914884</v>
      </c>
      <c r="G169" t="str">
        <f t="shared" si="13"/>
        <v>Germany</v>
      </c>
    </row>
    <row r="170" spans="3:7">
      <c r="C170">
        <v>123</v>
      </c>
      <c r="D170">
        <v>22127.037291177006</v>
      </c>
      <c r="E170">
        <v>5168.8087355243524</v>
      </c>
      <c r="F170">
        <v>27222.681028543018</v>
      </c>
      <c r="G170" t="str">
        <f t="shared" si="13"/>
        <v>Germany</v>
      </c>
    </row>
    <row r="171" spans="3:7">
      <c r="C171">
        <v>124</v>
      </c>
      <c r="D171">
        <v>27408.953001894279</v>
      </c>
      <c r="E171">
        <v>5862.737772624173</v>
      </c>
      <c r="F171">
        <v>27168.242191676618</v>
      </c>
      <c r="G171" t="str">
        <f t="shared" si="13"/>
        <v>Germany</v>
      </c>
    </row>
    <row r="172" spans="3:7">
      <c r="C172">
        <v>125</v>
      </c>
      <c r="D172">
        <v>23659.55476992832</v>
      </c>
      <c r="E172">
        <v>5820.8286232040582</v>
      </c>
      <c r="F172">
        <v>30117.531523778496</v>
      </c>
      <c r="G172" t="str">
        <f t="shared" si="13"/>
        <v>Germany</v>
      </c>
    </row>
    <row r="173" spans="3:7">
      <c r="C173">
        <v>126</v>
      </c>
      <c r="D173">
        <v>33671.815639118162</v>
      </c>
      <c r="E173">
        <v>6595.8708620816833</v>
      </c>
      <c r="F173">
        <v>29927.383224544064</v>
      </c>
      <c r="G173" t="str">
        <f t="shared" si="13"/>
        <v>Germany</v>
      </c>
    </row>
    <row r="174" spans="3:7">
      <c r="C174">
        <v>127</v>
      </c>
      <c r="D174">
        <v>23448.064998737038</v>
      </c>
      <c r="E174">
        <v>5535.0047368397127</v>
      </c>
      <c r="F174">
        <v>25187.340849193239</v>
      </c>
      <c r="G174" t="str">
        <f t="shared" si="13"/>
        <v>Germany</v>
      </c>
    </row>
    <row r="175" spans="3:7">
      <c r="C175">
        <v>128</v>
      </c>
      <c r="D175">
        <v>28695.589047194539</v>
      </c>
      <c r="E175">
        <v>6497.4223810951898</v>
      </c>
      <c r="F175">
        <v>32485.57232069406</v>
      </c>
      <c r="G175" t="str">
        <f t="shared" si="13"/>
        <v>Germany</v>
      </c>
    </row>
    <row r="176" spans="3:7">
      <c r="C176">
        <v>129</v>
      </c>
      <c r="D176">
        <v>27474.157950619156</v>
      </c>
      <c r="E176">
        <v>5785.4946673516288</v>
      </c>
      <c r="F176">
        <v>30823.764103756981</v>
      </c>
      <c r="G176" t="str">
        <f t="shared" si="13"/>
        <v>Germany</v>
      </c>
    </row>
    <row r="177" spans="3:7">
      <c r="C177">
        <v>130</v>
      </c>
      <c r="D177">
        <v>18900.722022533522</v>
      </c>
      <c r="E177">
        <v>4823.14946782076</v>
      </c>
      <c r="F177">
        <v>27951.143175670491</v>
      </c>
      <c r="G177" t="str">
        <f t="shared" ref="G177:G240" si="14">IF(AND(D177&lt;E177,D177&lt;F177),"France",IF(AND(E177&lt;D177,E177&lt;F177),"Germany","France and Germany"))</f>
        <v>Germany</v>
      </c>
    </row>
    <row r="178" spans="3:7">
      <c r="C178">
        <v>131</v>
      </c>
      <c r="D178">
        <v>23209.957277700905</v>
      </c>
      <c r="E178">
        <v>5435.4328830621334</v>
      </c>
      <c r="F178">
        <v>27966.904714250148</v>
      </c>
      <c r="G178" t="str">
        <f t="shared" si="14"/>
        <v>Germany</v>
      </c>
    </row>
    <row r="179" spans="3:7">
      <c r="C179">
        <v>132</v>
      </c>
      <c r="D179">
        <v>24164.245881094332</v>
      </c>
      <c r="E179">
        <v>5490.8855813594519</v>
      </c>
      <c r="F179">
        <v>30380.093492884913</v>
      </c>
      <c r="G179" t="str">
        <f t="shared" si="14"/>
        <v>Germany</v>
      </c>
    </row>
    <row r="180" spans="3:7">
      <c r="C180">
        <v>133</v>
      </c>
      <c r="D180">
        <v>27029.662745014844</v>
      </c>
      <c r="E180">
        <v>5722.3989863207898</v>
      </c>
      <c r="F180">
        <v>33876.284585297813</v>
      </c>
      <c r="G180" t="str">
        <f t="shared" si="14"/>
        <v>Germany</v>
      </c>
    </row>
    <row r="181" spans="3:7">
      <c r="C181">
        <v>134</v>
      </c>
      <c r="D181">
        <v>20739.369168154688</v>
      </c>
      <c r="E181">
        <v>5699.6002598693376</v>
      </c>
      <c r="F181">
        <v>32725.340809178084</v>
      </c>
      <c r="G181" t="str">
        <f t="shared" si="14"/>
        <v>Germany</v>
      </c>
    </row>
    <row r="182" spans="3:7">
      <c r="C182">
        <v>135</v>
      </c>
      <c r="D182">
        <v>26018.543139189522</v>
      </c>
      <c r="E182">
        <v>6327.1126596081594</v>
      </c>
      <c r="F182">
        <v>22117.580473275077</v>
      </c>
      <c r="G182" t="str">
        <f t="shared" si="14"/>
        <v>Germany</v>
      </c>
    </row>
    <row r="183" spans="3:7">
      <c r="C183">
        <v>136</v>
      </c>
      <c r="D183">
        <v>19234.971319882941</v>
      </c>
      <c r="E183">
        <v>5310.8713893012373</v>
      </c>
      <c r="F183">
        <v>23665.955615693943</v>
      </c>
      <c r="G183" t="str">
        <f t="shared" si="14"/>
        <v>Germany</v>
      </c>
    </row>
    <row r="184" spans="3:7">
      <c r="C184">
        <v>137</v>
      </c>
      <c r="D184">
        <v>23553.007448771961</v>
      </c>
      <c r="E184">
        <v>5181.006225272271</v>
      </c>
      <c r="F184">
        <v>26169.660719898897</v>
      </c>
      <c r="G184" t="str">
        <f t="shared" si="14"/>
        <v>Germany</v>
      </c>
    </row>
    <row r="185" spans="3:7">
      <c r="C185">
        <v>138</v>
      </c>
      <c r="D185">
        <v>26819.047757629007</v>
      </c>
      <c r="E185">
        <v>5940.6071402639154</v>
      </c>
      <c r="F185">
        <v>33478.676805172901</v>
      </c>
      <c r="G185" t="str">
        <f t="shared" si="14"/>
        <v>Germany</v>
      </c>
    </row>
    <row r="186" spans="3:7">
      <c r="C186">
        <v>139</v>
      </c>
      <c r="D186">
        <v>27759.140592403764</v>
      </c>
      <c r="E186">
        <v>5820.1421166811433</v>
      </c>
      <c r="F186">
        <v>29624.446839464541</v>
      </c>
      <c r="G186" t="str">
        <f t="shared" si="14"/>
        <v>Germany</v>
      </c>
    </row>
    <row r="187" spans="3:7">
      <c r="C187">
        <v>140</v>
      </c>
      <c r="D187">
        <v>26972.352164653377</v>
      </c>
      <c r="E187">
        <v>6155.8992137268087</v>
      </c>
      <c r="F187">
        <v>30432.14406645608</v>
      </c>
      <c r="G187" t="str">
        <f t="shared" si="14"/>
        <v>Germany</v>
      </c>
    </row>
    <row r="188" spans="3:7">
      <c r="C188">
        <v>141</v>
      </c>
      <c r="D188">
        <v>24640.34642588034</v>
      </c>
      <c r="E188">
        <v>5480.7956789372447</v>
      </c>
      <c r="F188">
        <v>28233.695294937344</v>
      </c>
      <c r="G188" t="str">
        <f t="shared" si="14"/>
        <v>Germany</v>
      </c>
    </row>
    <row r="189" spans="3:7">
      <c r="C189">
        <v>142</v>
      </c>
      <c r="D189">
        <v>23276.836136479866</v>
      </c>
      <c r="E189">
        <v>5252.3973174176999</v>
      </c>
      <c r="F189">
        <v>31183.467282080426</v>
      </c>
      <c r="G189" t="str">
        <f t="shared" si="14"/>
        <v>Germany</v>
      </c>
    </row>
    <row r="190" spans="3:7">
      <c r="C190">
        <v>143</v>
      </c>
      <c r="D190">
        <v>22044.424798036409</v>
      </c>
      <c r="E190">
        <v>5641.0378670823357</v>
      </c>
      <c r="F190">
        <v>22037.913828518165</v>
      </c>
      <c r="G190" t="str">
        <f t="shared" si="14"/>
        <v>Germany</v>
      </c>
    </row>
    <row r="191" spans="3:7">
      <c r="C191">
        <v>144</v>
      </c>
      <c r="D191">
        <v>16641.798225606344</v>
      </c>
      <c r="E191">
        <v>4651.6537576588735</v>
      </c>
      <c r="F191">
        <v>28280.642464435572</v>
      </c>
      <c r="G191" t="str">
        <f t="shared" si="14"/>
        <v>Germany</v>
      </c>
    </row>
    <row r="192" spans="3:7">
      <c r="C192">
        <v>145</v>
      </c>
      <c r="D192">
        <v>22777.526062543653</v>
      </c>
      <c r="E192">
        <v>5614.214988426349</v>
      </c>
      <c r="F192">
        <v>30355.939521898232</v>
      </c>
      <c r="G192" t="str">
        <f t="shared" si="14"/>
        <v>Germany</v>
      </c>
    </row>
    <row r="193" spans="3:7">
      <c r="C193">
        <v>146</v>
      </c>
      <c r="D193">
        <v>24990.795776517443</v>
      </c>
      <c r="E193">
        <v>5542.180297971081</v>
      </c>
      <c r="F193">
        <v>30333.031858539696</v>
      </c>
      <c r="G193" t="str">
        <f t="shared" si="14"/>
        <v>Germany</v>
      </c>
    </row>
    <row r="194" spans="3:7">
      <c r="C194">
        <v>147</v>
      </c>
      <c r="D194">
        <v>14943.974069736856</v>
      </c>
      <c r="E194">
        <v>4853.1729208603019</v>
      </c>
      <c r="F194">
        <v>22676.811748785887</v>
      </c>
      <c r="G194" t="str">
        <f t="shared" si="14"/>
        <v>Germany</v>
      </c>
    </row>
    <row r="195" spans="3:7">
      <c r="C195">
        <v>148</v>
      </c>
      <c r="D195">
        <v>15267.026153360779</v>
      </c>
      <c r="E195">
        <v>4750.9015300891415</v>
      </c>
      <c r="F195">
        <v>28880.477376117458</v>
      </c>
      <c r="G195" t="str">
        <f t="shared" si="14"/>
        <v>Germany</v>
      </c>
    </row>
    <row r="196" spans="3:7">
      <c r="C196">
        <v>149</v>
      </c>
      <c r="D196">
        <v>24870.681187777667</v>
      </c>
      <c r="E196">
        <v>5888.1119754804349</v>
      </c>
      <c r="F196">
        <v>25289.038024372861</v>
      </c>
      <c r="G196" t="str">
        <f t="shared" si="14"/>
        <v>Germany</v>
      </c>
    </row>
    <row r="197" spans="3:7">
      <c r="C197">
        <v>150</v>
      </c>
      <c r="D197">
        <v>31727.639034878157</v>
      </c>
      <c r="E197">
        <v>6113.4594561977046</v>
      </c>
      <c r="F197">
        <v>22227.461762832838</v>
      </c>
      <c r="G197" t="str">
        <f t="shared" si="14"/>
        <v>Germany</v>
      </c>
    </row>
    <row r="198" spans="3:7">
      <c r="C198">
        <v>151</v>
      </c>
      <c r="D198">
        <v>22078.450698664834</v>
      </c>
      <c r="E198">
        <v>5831.4444239535587</v>
      </c>
      <c r="F198">
        <v>26804.353857279089</v>
      </c>
      <c r="G198" t="str">
        <f t="shared" si="14"/>
        <v>Germany</v>
      </c>
    </row>
    <row r="199" spans="3:7">
      <c r="C199">
        <v>152</v>
      </c>
      <c r="D199">
        <v>25427.847122728534</v>
      </c>
      <c r="E199">
        <v>6037.5648559612146</v>
      </c>
      <c r="F199">
        <v>29683.192370905468</v>
      </c>
      <c r="G199" t="str">
        <f t="shared" si="14"/>
        <v>Germany</v>
      </c>
    </row>
    <row r="200" spans="3:7">
      <c r="C200">
        <v>153</v>
      </c>
      <c r="D200">
        <v>26623.591911132011</v>
      </c>
      <c r="E200">
        <v>5832.1932336565797</v>
      </c>
      <c r="F200">
        <v>23996.80013826627</v>
      </c>
      <c r="G200" t="str">
        <f t="shared" si="14"/>
        <v>Germany</v>
      </c>
    </row>
    <row r="201" spans="3:7">
      <c r="C201">
        <v>154</v>
      </c>
      <c r="D201">
        <v>29459.701803678439</v>
      </c>
      <c r="E201">
        <v>6289.7810875075993</v>
      </c>
      <c r="F201">
        <v>31073.542089983868</v>
      </c>
      <c r="G201" t="str">
        <f t="shared" si="14"/>
        <v>Germany</v>
      </c>
    </row>
    <row r="202" spans="3:7">
      <c r="C202">
        <v>155</v>
      </c>
      <c r="D202">
        <v>24944.616766110477</v>
      </c>
      <c r="E202">
        <v>5719.3427244353425</v>
      </c>
      <c r="F202">
        <v>27022.038319289702</v>
      </c>
      <c r="G202" t="str">
        <f t="shared" si="14"/>
        <v>Germany</v>
      </c>
    </row>
    <row r="203" spans="3:7">
      <c r="C203">
        <v>156</v>
      </c>
      <c r="D203">
        <v>32161.121568943199</v>
      </c>
      <c r="E203">
        <v>6333.2893173362918</v>
      </c>
      <c r="F203">
        <v>23472.176727653212</v>
      </c>
      <c r="G203" t="str">
        <f t="shared" si="14"/>
        <v>Germany</v>
      </c>
    </row>
    <row r="204" spans="3:7">
      <c r="C204">
        <v>157</v>
      </c>
      <c r="D204">
        <v>24962.374731448199</v>
      </c>
      <c r="E204">
        <v>6071.957559281981</v>
      </c>
      <c r="F204">
        <v>35634.152668251663</v>
      </c>
      <c r="G204" t="str">
        <f t="shared" si="14"/>
        <v>Germany</v>
      </c>
    </row>
    <row r="205" spans="3:7">
      <c r="C205">
        <v>158</v>
      </c>
      <c r="D205">
        <v>23604.512924745646</v>
      </c>
      <c r="E205">
        <v>5196.1373164577417</v>
      </c>
      <c r="F205">
        <v>25588.996030261158</v>
      </c>
      <c r="G205" t="str">
        <f t="shared" si="14"/>
        <v>Germany</v>
      </c>
    </row>
    <row r="206" spans="3:7">
      <c r="C206">
        <v>159</v>
      </c>
      <c r="D206">
        <v>26056.018083746087</v>
      </c>
      <c r="E206">
        <v>5606.2232838138298</v>
      </c>
      <c r="F206">
        <v>22907.289461415348</v>
      </c>
      <c r="G206" t="str">
        <f t="shared" si="14"/>
        <v>Germany</v>
      </c>
    </row>
    <row r="207" spans="3:7">
      <c r="C207">
        <v>160</v>
      </c>
      <c r="D207">
        <v>23472.217864909304</v>
      </c>
      <c r="E207">
        <v>5074.8247173474738</v>
      </c>
      <c r="F207">
        <v>25979.120195334435</v>
      </c>
      <c r="G207" t="str">
        <f t="shared" si="14"/>
        <v>Germany</v>
      </c>
    </row>
    <row r="208" spans="3:7">
      <c r="C208">
        <v>161</v>
      </c>
      <c r="D208">
        <v>30968.671489709974</v>
      </c>
      <c r="E208">
        <v>6198.3883253010181</v>
      </c>
      <c r="F208">
        <v>30457.239580433819</v>
      </c>
      <c r="G208" t="str">
        <f t="shared" si="14"/>
        <v>Germany</v>
      </c>
    </row>
    <row r="209" spans="3:7">
      <c r="C209">
        <v>162</v>
      </c>
      <c r="D209">
        <v>17632.808120065278</v>
      </c>
      <c r="E209">
        <v>5021.470994519801</v>
      </c>
      <c r="F209">
        <v>28422.501875048736</v>
      </c>
      <c r="G209" t="str">
        <f t="shared" si="14"/>
        <v>Germany</v>
      </c>
    </row>
    <row r="210" spans="3:7">
      <c r="C210">
        <v>163</v>
      </c>
      <c r="D210">
        <v>32394.392165884983</v>
      </c>
      <c r="E210">
        <v>6122.4523083336098</v>
      </c>
      <c r="F210">
        <v>29018.122794128925</v>
      </c>
      <c r="G210" t="str">
        <f t="shared" si="14"/>
        <v>Germany</v>
      </c>
    </row>
    <row r="211" spans="3:7">
      <c r="C211">
        <v>164</v>
      </c>
      <c r="D211">
        <v>14648.817319667218</v>
      </c>
      <c r="E211">
        <v>4711.8880860985673</v>
      </c>
      <c r="F211">
        <v>23226.342252002956</v>
      </c>
      <c r="G211" t="str">
        <f t="shared" si="14"/>
        <v>Germany</v>
      </c>
    </row>
    <row r="212" spans="3:7">
      <c r="C212">
        <v>165</v>
      </c>
      <c r="D212">
        <v>25348.658198031204</v>
      </c>
      <c r="E212">
        <v>5942.8096199147985</v>
      </c>
      <c r="F212">
        <v>30381.102035559754</v>
      </c>
      <c r="G212" t="str">
        <f t="shared" si="14"/>
        <v>Germany</v>
      </c>
    </row>
    <row r="213" spans="3:7">
      <c r="C213">
        <v>166</v>
      </c>
      <c r="D213">
        <v>24676.213113488902</v>
      </c>
      <c r="E213">
        <v>5502.0832070515517</v>
      </c>
      <c r="F213">
        <v>29690.605959802397</v>
      </c>
      <c r="G213" t="str">
        <f t="shared" si="14"/>
        <v>Germany</v>
      </c>
    </row>
    <row r="214" spans="3:7">
      <c r="C214">
        <v>167</v>
      </c>
      <c r="D214">
        <v>27371.550864541696</v>
      </c>
      <c r="E214">
        <v>5855.6373408169893</v>
      </c>
      <c r="F214">
        <v>29050.233352311465</v>
      </c>
      <c r="G214" t="str">
        <f t="shared" si="14"/>
        <v>Germany</v>
      </c>
    </row>
    <row r="215" spans="3:7">
      <c r="C215">
        <v>168</v>
      </c>
      <c r="D215">
        <v>18852.805949927315</v>
      </c>
      <c r="E215">
        <v>4813.0901689610564</v>
      </c>
      <c r="F215">
        <v>32976.618592008468</v>
      </c>
      <c r="G215" t="str">
        <f t="shared" si="14"/>
        <v>Germany</v>
      </c>
    </row>
    <row r="216" spans="3:7">
      <c r="C216">
        <v>169</v>
      </c>
      <c r="D216">
        <v>24742.877969449211</v>
      </c>
      <c r="E216">
        <v>5448.0864965222099</v>
      </c>
      <c r="F216">
        <v>29684.302868803217</v>
      </c>
      <c r="G216" t="str">
        <f t="shared" si="14"/>
        <v>Germany</v>
      </c>
    </row>
    <row r="217" spans="3:7">
      <c r="C217">
        <v>170</v>
      </c>
      <c r="D217">
        <v>23954.128304791881</v>
      </c>
      <c r="E217">
        <v>5801.7109542223061</v>
      </c>
      <c r="F217">
        <v>27293.300367154836</v>
      </c>
      <c r="G217" t="str">
        <f t="shared" si="14"/>
        <v>Germany</v>
      </c>
    </row>
    <row r="218" spans="3:7">
      <c r="C218">
        <v>171</v>
      </c>
      <c r="D218">
        <v>25973.296480057626</v>
      </c>
      <c r="E218">
        <v>5801.2564005453032</v>
      </c>
      <c r="F218">
        <v>22865.771852016747</v>
      </c>
      <c r="G218" t="str">
        <f t="shared" si="14"/>
        <v>Germany</v>
      </c>
    </row>
    <row r="219" spans="3:7">
      <c r="C219">
        <v>172</v>
      </c>
      <c r="D219">
        <v>28671.953778351155</v>
      </c>
      <c r="E219">
        <v>6292.2475707758203</v>
      </c>
      <c r="F219">
        <v>25250.072228113608</v>
      </c>
      <c r="G219" t="str">
        <f t="shared" si="14"/>
        <v>Germany</v>
      </c>
    </row>
    <row r="220" spans="3:7">
      <c r="C220">
        <v>173</v>
      </c>
      <c r="D220">
        <v>29363.730990062293</v>
      </c>
      <c r="E220">
        <v>6606.5554152262139</v>
      </c>
      <c r="F220">
        <v>32952.39285026805</v>
      </c>
      <c r="G220" t="str">
        <f t="shared" si="14"/>
        <v>Germany</v>
      </c>
    </row>
    <row r="221" spans="3:7">
      <c r="C221">
        <v>174</v>
      </c>
      <c r="D221">
        <v>27555.29487226094</v>
      </c>
      <c r="E221">
        <v>5943.0617748065861</v>
      </c>
      <c r="F221">
        <v>34909.851547103579</v>
      </c>
      <c r="G221" t="str">
        <f t="shared" si="14"/>
        <v>Germany</v>
      </c>
    </row>
    <row r="222" spans="3:7">
      <c r="C222">
        <v>175</v>
      </c>
      <c r="D222">
        <v>25768.260564602504</v>
      </c>
      <c r="E222">
        <v>5856.6815107751891</v>
      </c>
      <c r="F222">
        <v>28854.412751188374</v>
      </c>
      <c r="G222" t="str">
        <f t="shared" si="14"/>
        <v>Germany</v>
      </c>
    </row>
    <row r="223" spans="3:7">
      <c r="C223">
        <v>176</v>
      </c>
      <c r="D223">
        <v>27839.737500985189</v>
      </c>
      <c r="E223">
        <v>6481.436740367315</v>
      </c>
      <c r="F223">
        <v>26578.540656242891</v>
      </c>
      <c r="G223" t="str">
        <f t="shared" si="14"/>
        <v>Germany</v>
      </c>
    </row>
    <row r="224" spans="3:7">
      <c r="C224">
        <v>177</v>
      </c>
      <c r="D224">
        <v>25686.254854993516</v>
      </c>
      <c r="E224">
        <v>5964.3451832771825</v>
      </c>
      <c r="F224">
        <v>32721.254604499569</v>
      </c>
      <c r="G224" t="str">
        <f t="shared" si="14"/>
        <v>Germany</v>
      </c>
    </row>
    <row r="225" spans="3:7">
      <c r="C225">
        <v>178</v>
      </c>
      <c r="D225">
        <v>23784.960948921558</v>
      </c>
      <c r="E225">
        <v>5617.9482925690763</v>
      </c>
      <c r="F225">
        <v>27338.544541778574</v>
      </c>
      <c r="G225" t="str">
        <f t="shared" si="14"/>
        <v>Germany</v>
      </c>
    </row>
    <row r="226" spans="3:7">
      <c r="C226">
        <v>179</v>
      </c>
      <c r="D226">
        <v>28613.358053393047</v>
      </c>
      <c r="E226">
        <v>6232.7428578840481</v>
      </c>
      <c r="F226">
        <v>32473.464392166534</v>
      </c>
      <c r="G226" t="str">
        <f t="shared" si="14"/>
        <v>Germany</v>
      </c>
    </row>
    <row r="227" spans="3:7">
      <c r="C227">
        <v>180</v>
      </c>
      <c r="D227">
        <v>23454.81903869169</v>
      </c>
      <c r="E227">
        <v>5504.2476823671841</v>
      </c>
      <c r="F227">
        <v>30841.712588369013</v>
      </c>
      <c r="G227" t="str">
        <f t="shared" si="14"/>
        <v>Germany</v>
      </c>
    </row>
    <row r="228" spans="3:7">
      <c r="C228">
        <v>181</v>
      </c>
      <c r="D228">
        <v>21874.702010128822</v>
      </c>
      <c r="E228">
        <v>5452.8580313910852</v>
      </c>
      <c r="F228">
        <v>29677.79578139506</v>
      </c>
      <c r="G228" t="str">
        <f t="shared" si="14"/>
        <v>Germany</v>
      </c>
    </row>
    <row r="229" spans="3:7">
      <c r="C229">
        <v>182</v>
      </c>
      <c r="D229">
        <v>21954.634176292682</v>
      </c>
      <c r="E229">
        <v>5627.7956747551689</v>
      </c>
      <c r="F229">
        <v>27874.475277189016</v>
      </c>
      <c r="G229" t="str">
        <f t="shared" si="14"/>
        <v>Germany</v>
      </c>
    </row>
    <row r="230" spans="3:7">
      <c r="C230">
        <v>183</v>
      </c>
      <c r="D230">
        <v>26071.407708169336</v>
      </c>
      <c r="E230">
        <v>6131.8078676350688</v>
      </c>
      <c r="F230">
        <v>29498.118662705787</v>
      </c>
      <c r="G230" t="str">
        <f t="shared" si="14"/>
        <v>Germany</v>
      </c>
    </row>
    <row r="231" spans="3:7">
      <c r="C231">
        <v>184</v>
      </c>
      <c r="D231">
        <v>20669.905330502894</v>
      </c>
      <c r="E231">
        <v>5154.577035504597</v>
      </c>
      <c r="F231">
        <v>30497.068072915354</v>
      </c>
      <c r="G231" t="str">
        <f t="shared" si="14"/>
        <v>Germany</v>
      </c>
    </row>
    <row r="232" spans="3:7">
      <c r="C232">
        <v>185</v>
      </c>
      <c r="D232">
        <v>22291.895290012693</v>
      </c>
      <c r="E232">
        <v>5682.781966750239</v>
      </c>
      <c r="F232">
        <v>32911.18496026811</v>
      </c>
      <c r="G232" t="str">
        <f t="shared" si="14"/>
        <v>Germany</v>
      </c>
    </row>
    <row r="233" spans="3:7">
      <c r="C233">
        <v>186</v>
      </c>
      <c r="D233">
        <v>19484.297275321114</v>
      </c>
      <c r="E233">
        <v>5400.4746561197289</v>
      </c>
      <c r="F233">
        <v>29418.559587693635</v>
      </c>
      <c r="G233" t="str">
        <f t="shared" si="14"/>
        <v>Germany</v>
      </c>
    </row>
    <row r="234" spans="3:7">
      <c r="C234">
        <v>187</v>
      </c>
      <c r="D234">
        <v>22575.170187770276</v>
      </c>
      <c r="E234">
        <v>5710.891077198994</v>
      </c>
      <c r="F234">
        <v>20675.71205704036</v>
      </c>
      <c r="G234" t="str">
        <f t="shared" si="14"/>
        <v>Germany</v>
      </c>
    </row>
    <row r="235" spans="3:7">
      <c r="C235">
        <v>188</v>
      </c>
      <c r="D235">
        <v>22285.873196204568</v>
      </c>
      <c r="E235">
        <v>5291.0315335180694</v>
      </c>
      <c r="F235">
        <v>33052.181945428783</v>
      </c>
      <c r="G235" t="str">
        <f t="shared" si="14"/>
        <v>Germany</v>
      </c>
    </row>
    <row r="236" spans="3:7">
      <c r="C236">
        <v>189</v>
      </c>
      <c r="D236">
        <v>20081.680705451141</v>
      </c>
      <c r="E236">
        <v>5284.8677337139625</v>
      </c>
      <c r="F236">
        <v>28164.27568329918</v>
      </c>
      <c r="G236" t="str">
        <f t="shared" si="14"/>
        <v>Germany</v>
      </c>
    </row>
    <row r="237" spans="3:7">
      <c r="C237">
        <v>190</v>
      </c>
      <c r="D237">
        <v>24322.337721908007</v>
      </c>
      <c r="E237">
        <v>6219.8424614590949</v>
      </c>
      <c r="F237">
        <v>32928.983001457142</v>
      </c>
      <c r="G237" t="str">
        <f t="shared" si="14"/>
        <v>Germany</v>
      </c>
    </row>
    <row r="238" spans="3:7">
      <c r="C238">
        <v>191</v>
      </c>
      <c r="D238">
        <v>27197.973417654539</v>
      </c>
      <c r="E238">
        <v>6299.367014632644</v>
      </c>
      <c r="F238">
        <v>32850.732781538965</v>
      </c>
      <c r="G238" t="str">
        <f t="shared" si="14"/>
        <v>Germany</v>
      </c>
    </row>
    <row r="239" spans="3:7">
      <c r="C239">
        <v>192</v>
      </c>
      <c r="D239">
        <v>21899.726950545133</v>
      </c>
      <c r="E239">
        <v>5654.9249243874219</v>
      </c>
      <c r="F239">
        <v>22779.262382688612</v>
      </c>
      <c r="G239" t="str">
        <f t="shared" si="14"/>
        <v>Germany</v>
      </c>
    </row>
    <row r="240" spans="3:7">
      <c r="C240">
        <v>193</v>
      </c>
      <c r="D240">
        <v>21686.107489966962</v>
      </c>
      <c r="E240">
        <v>5170.219372969058</v>
      </c>
      <c r="F240">
        <v>28159.208712993408</v>
      </c>
      <c r="G240" t="str">
        <f t="shared" si="14"/>
        <v>Germany</v>
      </c>
    </row>
    <row r="241" spans="3:7">
      <c r="C241">
        <v>194</v>
      </c>
      <c r="D241">
        <v>26105.72301346279</v>
      </c>
      <c r="E241">
        <v>5968.3248667265125</v>
      </c>
      <c r="F241">
        <v>24013.508594859821</v>
      </c>
      <c r="G241" t="str">
        <f t="shared" ref="G241:G247" si="15">IF(AND(D241&lt;E241,D241&lt;F241),"France",IF(AND(E241&lt;D241,E241&lt;F241),"Germany","France and Germany"))</f>
        <v>Germany</v>
      </c>
    </row>
    <row r="242" spans="3:7">
      <c r="C242">
        <v>195</v>
      </c>
      <c r="D242">
        <v>28499.301118727039</v>
      </c>
      <c r="E242">
        <v>6102.3968048213774</v>
      </c>
      <c r="F242">
        <v>27311.47083446521</v>
      </c>
      <c r="G242" t="str">
        <f t="shared" si="15"/>
        <v>Germany</v>
      </c>
    </row>
    <row r="243" spans="3:7">
      <c r="C243">
        <v>196</v>
      </c>
      <c r="D243">
        <v>27020.675361536873</v>
      </c>
      <c r="E243">
        <v>6056.3334453878397</v>
      </c>
      <c r="F243">
        <v>25234.516528637927</v>
      </c>
      <c r="G243" t="str">
        <f t="shared" si="15"/>
        <v>Germany</v>
      </c>
    </row>
    <row r="244" spans="3:7">
      <c r="C244">
        <v>197</v>
      </c>
      <c r="D244">
        <v>20191.734858619388</v>
      </c>
      <c r="E244">
        <v>5579.3979066959837</v>
      </c>
      <c r="F244">
        <v>26599.732139041418</v>
      </c>
      <c r="G244" t="str">
        <f t="shared" si="15"/>
        <v>Germany</v>
      </c>
    </row>
    <row r="245" spans="3:7">
      <c r="C245">
        <v>198</v>
      </c>
      <c r="D245">
        <v>21911.21724619302</v>
      </c>
      <c r="E245">
        <v>4997.8310848588926</v>
      </c>
      <c r="F245">
        <v>24079.416568799446</v>
      </c>
      <c r="G245" t="str">
        <f t="shared" si="15"/>
        <v>Germany</v>
      </c>
    </row>
    <row r="246" spans="3:7">
      <c r="C246">
        <v>199</v>
      </c>
      <c r="D246">
        <v>25085.51757902246</v>
      </c>
      <c r="E246">
        <v>6093.8852904843707</v>
      </c>
      <c r="F246">
        <v>30884.952716338899</v>
      </c>
      <c r="G246" t="str">
        <f t="shared" si="15"/>
        <v>Germany</v>
      </c>
    </row>
    <row r="247" spans="3:7">
      <c r="C247">
        <v>200</v>
      </c>
      <c r="D247">
        <v>22563.714330428578</v>
      </c>
      <c r="E247">
        <v>5387.1989525547187</v>
      </c>
      <c r="F247">
        <v>27958.519528590492</v>
      </c>
      <c r="G247" t="str">
        <f t="shared" si="15"/>
        <v>Germany</v>
      </c>
    </row>
  </sheetData>
  <mergeCells count="2">
    <mergeCell ref="G2:H2"/>
    <mergeCell ref="K2:L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Drop Ship</vt:lpstr>
      <vt:lpstr>LT Demand</vt:lpstr>
      <vt:lpstr>LT Demand (2)</vt:lpstr>
      <vt:lpstr>EDN</vt:lpstr>
      <vt:lpstr>Ring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Pan, James</cp:lastModifiedBy>
  <cp:lastPrinted>2010-10-08T02:25:21Z</cp:lastPrinted>
  <dcterms:created xsi:type="dcterms:W3CDTF">1996-10-14T23:33:28Z</dcterms:created>
  <dcterms:modified xsi:type="dcterms:W3CDTF">2025-05-07T23:13:31Z</dcterms:modified>
</cp:coreProperties>
</file>