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drawings/drawing2.xml" ContentType="application/vnd.openxmlformats-officedocument.drawing+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showInkAnnotation="0" codeName="ThisWorkbook" defaultThemeVersion="124226"/>
  <mc:AlternateContent xmlns:mc="http://schemas.openxmlformats.org/markup-compatibility/2006">
    <mc:Choice Requires="x15">
      <x15ac:absPath xmlns:x15ac="http://schemas.microsoft.com/office/spreadsheetml/2010/11/ac" url="https://richardhsmithconsulting-my.sharepoint.com/personal/ckarapuz_westcongress_com/Documents/OMS/Phase2B/Submission Intake Items/"/>
    </mc:Choice>
  </mc:AlternateContent>
  <xr:revisionPtr revIDLastSave="0" documentId="8_{407A14D2-60B4-4C5A-98DE-E9D2DA6F8B5D}" xr6:coauthVersionLast="47" xr6:coauthVersionMax="47" xr10:uidLastSave="{00000000-0000-0000-0000-000000000000}"/>
  <bookViews>
    <workbookView xWindow="28680" yWindow="-120" windowWidth="29040" windowHeight="15840" tabRatio="380" firstSheet="4" activeTab="4"/>
  </bookViews>
  <sheets>
    <sheet name="Misc_Info" sheetId="11" state="hidden" r:id="rId1"/>
    <sheet name="Underwriter_Information" sheetId="9" state="hidden" r:id="rId2"/>
    <sheet name="Broker_Listing" sheetId="10" state="hidden" r:id="rId3"/>
    <sheet name="Named Ranges" sheetId="34" state="hidden" r:id="rId4"/>
    <sheet name="NOTES &amp; RATING" sheetId="1" r:id="rId5"/>
    <sheet name="XS NOTES &amp; RATING" sheetId="47" r:id="rId6"/>
    <sheet name="COMMISSION CALCULATOR" sheetId="33" state="hidden" r:id="rId7"/>
    <sheet name="LOSS EVALUATION" sheetId="2" r:id="rId8"/>
  </sheets>
  <externalReferences>
    <externalReference r:id="rId9"/>
  </externalReferences>
  <definedNames>
    <definedName name="_xlnm._FilterDatabase" localSheetId="2" hidden="1">Broker_Listing!$A$1:$B$4238</definedName>
    <definedName name="_xlnm._FilterDatabase" localSheetId="1" hidden="1">Underwriter_Information!$AB$3:$AB$47</definedName>
    <definedName name="AdditionalLargeLosses">'LOSS EVALUATION'!$C$85</definedName>
    <definedName name="AddressList">#REF!</definedName>
    <definedName name="ALLStateListing">#REF!</definedName>
    <definedName name="AllTypes">Misc_Info!$BC$1:$BC$16</definedName>
    <definedName name="AmendLimitsCounter" localSheetId="5">'XS NOTES &amp; RATING'!#REF!</definedName>
    <definedName name="AmendLimitsCounter">'NOTES &amp; RATING'!#REF!</definedName>
    <definedName name="AmusementWaivers" localSheetId="5">'XS NOTES &amp; RATING'!#REF!</definedName>
    <definedName name="AmusementWaivers">'NOTES &amp; RATING'!#REF!</definedName>
    <definedName name="AssaultBatteryTreatment">Misc_Info!$DT$1</definedName>
    <definedName name="Attachment" localSheetId="5">'XS NOTES &amp; RATING'!#REF!</definedName>
    <definedName name="Attachment">'NOTES &amp; RATING'!$J$37</definedName>
    <definedName name="AuditBasis">Misc_Info!$C$13:$C$18</definedName>
    <definedName name="AuditPeriod" localSheetId="5">'XS NOTES &amp; RATING'!#REF!</definedName>
    <definedName name="AuditPeriod">'NOTES &amp; RATING'!$Y$38</definedName>
    <definedName name="AutoUnderSelect">#REF!</definedName>
    <definedName name="AverageIncurred" localSheetId="6">'COMMISSION CALCULATOR'!#REF!</definedName>
    <definedName name="AverageIncurred">'LOSS EVALUATION'!$I$17</definedName>
    <definedName name="AvgNumClaims" localSheetId="6">'COMMISSION CALCULATOR'!#REF!</definedName>
    <definedName name="AvgNumClaims">'LOSS EVALUATION'!$N$17</definedName>
    <definedName name="Basis" localSheetId="5">'XS NOTES &amp; RATING'!#REF!</definedName>
    <definedName name="Basis">'NOTES &amp; RATING'!#REF!</definedName>
    <definedName name="BinderRevisions">Misc_Info!$DN$1:$DN$8</definedName>
    <definedName name="Blank">Misc_Info!$CI$9</definedName>
    <definedName name="BrokerCompanyName" localSheetId="5">'XS NOTES &amp; RATING'!$Z$3</definedName>
    <definedName name="BrokerCompanyName">'NOTES &amp; RATING'!$Z$3</definedName>
    <definedName name="BrokerData">Broker_Listing!$A$2:$A$587</definedName>
    <definedName name="BrokerEmail" localSheetId="5">'XS NOTES &amp; RATING'!$AL$4</definedName>
    <definedName name="BrokerEmail">'NOTES &amp; RATING'!$AL$4</definedName>
    <definedName name="BrokerName" localSheetId="5">'XS NOTES &amp; RATING'!$Z$4</definedName>
    <definedName name="BrokerName">'NOTES &amp; RATING'!$Z$4</definedName>
    <definedName name="BrokerPriority">Broker_Listing!$A$2:$A$578</definedName>
    <definedName name="Brokers" localSheetId="5">Broker_Listing!$A$2:$A$15</definedName>
    <definedName name="BS" localSheetId="6">Broker_Listing!#REF!</definedName>
    <definedName name="BucketList">Misc_Info!$D$1:$D$10</definedName>
    <definedName name="BusinessDescription">Misc_Info!$E$1:$E$71</definedName>
    <definedName name="CDClaimCnt">'LOSS EVALUATION'!$F$14</definedName>
    <definedName name="CDClaimInc">'LOSS EVALUATION'!$F$15</definedName>
    <definedName name="CDClaimYN">'LOSS EVALUATION'!$F$13</definedName>
    <definedName name="CentralStates">Misc_Info!$BI$2:$BI$28</definedName>
    <definedName name="CFExp" localSheetId="5">'XS NOTES &amp; RATING'!#REF!</definedName>
    <definedName name="CFExp">'NOTES &amp; RATING'!#REF!</definedName>
    <definedName name="cg2037Bmp">Misc_Info!$O$13</definedName>
    <definedName name="CG2037Chart">Misc_Info!$M$12:$O$15</definedName>
    <definedName name="CG2037Choice">Misc_Info!$M$12:$M$15</definedName>
    <definedName name="CG2037Cmp">Misc_Info!$O$14</definedName>
    <definedName name="CG2037StateChart">Misc_Info!$T$1:$V$50</definedName>
    <definedName name="ChosenState" localSheetId="5">'XS NOTES &amp; RATING'!$I$9</definedName>
    <definedName name="ChosenState">'NOTES &amp; RATING'!$I$9</definedName>
    <definedName name="ClaimsMadeFactor">#REF!</definedName>
    <definedName name="Class">Misc_Info!$K$1:$K$49</definedName>
    <definedName name="ClassCode" localSheetId="5">'XS NOTES &amp; RATING'!#REF!</definedName>
    <definedName name="ClassListing">#REF!</definedName>
    <definedName name="ClassLossRatios">Misc_Info!$AA$1:$AC$689</definedName>
    <definedName name="Comments">#REF!</definedName>
    <definedName name="CommercialTypes">Misc_Info!$CI$1:$CI$7</definedName>
    <definedName name="Commission" localSheetId="5">'XS NOTES &amp; RATING'!$BB$3</definedName>
    <definedName name="Commission">'NOTES &amp; RATING'!$BB$3</definedName>
    <definedName name="ConnieMayBavis">Broker_Listing!$BP$2:$BP$4236</definedName>
    <definedName name="ConstructionClassCodes" localSheetId="6">Broker_Listing!#REF!</definedName>
    <definedName name="ConstructionTypes">Misc_Info!$BD$1:$BD$7</definedName>
    <definedName name="CoverageForms">Misc_Info!$I$1:$I$5</definedName>
    <definedName name="CPECounter" localSheetId="5">'XS NOTES &amp; RATING'!#REF!</definedName>
    <definedName name="CPECounter">'NOTES &amp; RATING'!#REF!</definedName>
    <definedName name="CriticalCounter">#REF!</definedName>
    <definedName name="CurrentBrokers">Broker_Listing!$A$2:$A$587</definedName>
    <definedName name="DedApply">#REF!</definedName>
    <definedName name="DedMedPay">Misc_Info!$BW$1:$BW$4</definedName>
    <definedName name="DedSubline">#REF!</definedName>
    <definedName name="DeductibleConversion">#REF!</definedName>
    <definedName name="DefaultProFee">Misc_Info!$BN$54</definedName>
    <definedName name="Defense">'NOTES &amp; RATING'!$AZ$37</definedName>
    <definedName name="Dram">Misc_Info!$AW$1:$AY$51</definedName>
    <definedName name="DueDates">Misc_Info!$DG$1:$DG$9</definedName>
    <definedName name="DueDatesRange">Misc_Info!$DG$1:$DH$9</definedName>
    <definedName name="EachCommonCause">Misc_Info!$F$1:$F$2</definedName>
    <definedName name="EBL" localSheetId="5">'XS NOTES &amp; RATING'!#REF!</definedName>
    <definedName name="EBL">'NOTES &amp; RATING'!$BB$19</definedName>
    <definedName name="EdgarJordan" localSheetId="6">Broker_Listing!#REF!</definedName>
    <definedName name="EdLaFramboise" localSheetId="6">Broker_Listing!#REF!</definedName>
    <definedName name="EffectiveDate" localSheetId="5">'XS NOTES &amp; RATING'!$BB$6</definedName>
    <definedName name="EffectiveDate">'NOTES &amp; RATING'!$BB$6</definedName>
    <definedName name="ELUnderSelect">#REF!</definedName>
    <definedName name="EmeraldLogo">#REF!</definedName>
    <definedName name="EndSelect">#REF!</definedName>
    <definedName name="ExpiringPolicyNumber" localSheetId="5">'XS NOTES &amp; RATING'!$I$7</definedName>
    <definedName name="ExpiringPolicyNumber">'NOTES &amp; RATING'!$I$7</definedName>
    <definedName name="ExposureBases">Misc_Info!$AF$1:$AF$17</definedName>
    <definedName name="ExposureMatrix">Misc_Info!$AF$1:$AH$17</definedName>
    <definedName name="ExposureRange" localSheetId="5">'XS NOTES &amp; RATING'!#REF!</definedName>
    <definedName name="ExposureRange">'NOTES &amp; RATING'!#REF!</definedName>
    <definedName name="Exposures" localSheetId="5">'XS NOTES &amp; RATING'!#REF!</definedName>
    <definedName name="Exposures">'NOTES &amp; RATING'!$A$26</definedName>
    <definedName name="FastTrackEmailLine1">#REF!</definedName>
    <definedName name="FastTrackEmailLine10">#REF!</definedName>
    <definedName name="FastTrackEmailLine11">#REF!</definedName>
    <definedName name="FastTrackEmailLine12">#REF!</definedName>
    <definedName name="FastTrackEmailLine13">#REF!</definedName>
    <definedName name="FastTrackEmailLine14">#REF!</definedName>
    <definedName name="FastTrackEmailLine15">#REF!</definedName>
    <definedName name="FastTrackEmailLine16">#REF!</definedName>
    <definedName name="FastTrackEmailLine17">#REF!</definedName>
    <definedName name="FastTrackEmailLine18">#REF!</definedName>
    <definedName name="FastTrackEmailLine19">#REF!</definedName>
    <definedName name="FastTrackEmailLine2">#REF!</definedName>
    <definedName name="FastTrackEmailLine3">#REF!</definedName>
    <definedName name="FastTrackEmailLine4">#REF!</definedName>
    <definedName name="FastTrackEmailLine5">#REF!</definedName>
    <definedName name="FastTrackEmailLine6">#REF!</definedName>
    <definedName name="FastTrackEmailLine7">#REF!</definedName>
    <definedName name="FastTrackEmailLine8">#REF!</definedName>
    <definedName name="FastTrackEmailLine9">#REF!</definedName>
    <definedName name="FastTrackEmailSubject">#REF!</definedName>
    <definedName name="FawnNichols">Broker_Listing!$BV$2:$BV$4236</definedName>
    <definedName name="FireDamage" localSheetId="5">'XS NOTES &amp; RATING'!#REF!</definedName>
    <definedName name="FireDamage">'NOTES &amp; RATING'!$BB$17</definedName>
    <definedName name="Flat">Misc_Info!$C$20:$C$21</definedName>
    <definedName name="FlatChargeOptions">Misc_Info!$BT$41:$BT$45</definedName>
    <definedName name="fmCededPremium" localSheetId="5">'XS NOTES &amp; RATING'!#REF!</definedName>
    <definedName name="fmCededPremium">'NOTES &amp; RATING'!#REF!</definedName>
    <definedName name="fmContractCosts" localSheetId="5">'XS NOTES &amp; RATING'!#REF!</definedName>
    <definedName name="fmContractCosts">'NOTES &amp; RATING'!$AA$18</definedName>
    <definedName name="FMEISrate" localSheetId="5">'XS NOTES &amp; RATING'!#REF!</definedName>
    <definedName name="FMEISrate">'NOTES &amp; RATING'!#REF!</definedName>
    <definedName name="FMIC2008">Misc_Info!$A$151:$A$157</definedName>
    <definedName name="FMIC2009">Misc_Info!$A$169:$A$170</definedName>
    <definedName name="FMIC2016">Misc_Info!$A$229:$A$231</definedName>
    <definedName name="FMIC2017" localSheetId="6">Misc_Info!#REF!</definedName>
    <definedName name="FMIC2017" localSheetId="5">Misc_Info!#REF!</definedName>
    <definedName name="FMIC2017">Misc_Info!#REF!</definedName>
    <definedName name="FMIC2018" localSheetId="6">Misc_Info!#REF!</definedName>
    <definedName name="FMIC2018" localSheetId="5">Misc_Info!#REF!</definedName>
    <definedName name="FMIC2018">Misc_Info!#REF!</definedName>
    <definedName name="FMIC2019">Misc_Info!$A$215:$A$219</definedName>
    <definedName name="FMIC2062" localSheetId="6">Misc_Info!#REF!</definedName>
    <definedName name="FMIC2062" localSheetId="5">Misc_Info!#REF!</definedName>
    <definedName name="FMIC2062">Misc_Info!#REF!</definedName>
    <definedName name="FMIC2099">Misc_Info!$A$160:$A$162</definedName>
    <definedName name="FMIC2103">Misc_Info!$A$165:$A$166</definedName>
    <definedName name="FMIC2125">Misc_Info!$A$176:$A$181</definedName>
    <definedName name="FMIC2140">Misc_Info!$A$201:$A$203</definedName>
    <definedName name="FMIC2146" localSheetId="6">Misc_Info!#REF!</definedName>
    <definedName name="FMIC2146" localSheetId="5">Misc_Info!#REF!</definedName>
    <definedName name="FMIC2146">Misc_Info!#REF!</definedName>
    <definedName name="FMIC2147">Misc_Info!$A$234:$A$236</definedName>
    <definedName name="FMIC2167" localSheetId="6">Misc_Info!#REF!</definedName>
    <definedName name="FMIC2167" localSheetId="5">Misc_Info!#REF!</definedName>
    <definedName name="FMIC2167">Misc_Info!#REF!</definedName>
    <definedName name="FMIC2176">Misc_Info!$A$277:$A$278</definedName>
    <definedName name="FMIC2251">Misc_Info!$A$184:$A$186</definedName>
    <definedName name="FMIC2258">Misc_Info!$A$211:$A$212</definedName>
    <definedName name="FMIC2328" localSheetId="6">Misc_Info!#REF!</definedName>
    <definedName name="FMIC2328" localSheetId="5">Misc_Info!#REF!</definedName>
    <definedName name="FMIC2328">Misc_Info!#REF!</definedName>
    <definedName name="FMIC2356" localSheetId="6">Misc_Info!#REF!</definedName>
    <definedName name="FMIC2356" localSheetId="5">Misc_Info!#REF!</definedName>
    <definedName name="FMIC2356">Misc_Info!#REF!</definedName>
    <definedName name="FMIC2428">Misc_Info!$A$189:$A$190</definedName>
    <definedName name="FMIC2490" localSheetId="6">Misc_Info!#REF!</definedName>
    <definedName name="FMIC2490" localSheetId="5">Misc_Info!#REF!</definedName>
    <definedName name="FMIC2490">Misc_Info!#REF!</definedName>
    <definedName name="FMIC2527">Misc_Info!$A$206:$A$208</definedName>
    <definedName name="FMIC2617">Misc_Info!$A$239:$A$253</definedName>
    <definedName name="FMIC2618">Misc_Info!$A$258:$A$272</definedName>
    <definedName name="FMICLL2021">Misc_Info!$A$193:$A$198</definedName>
    <definedName name="fmPayroll" localSheetId="5">'XS NOTES &amp; RATING'!#REF!</definedName>
    <definedName name="fmPayroll">'NOTES &amp; RATING'!$R$18</definedName>
    <definedName name="FMrate" localSheetId="5">'XS NOTES &amp; RATING'!#REF!</definedName>
    <definedName name="FMrate">'NOTES &amp; RATING'!$J$44</definedName>
    <definedName name="fmSales" localSheetId="5">'XS NOTES &amp; RATING'!#REF!</definedName>
    <definedName name="fmSales">'NOTES &amp; RATING'!$I$18</definedName>
    <definedName name="fmUnitDescription" localSheetId="6">'NOTES &amp; RATING'!#REF!</definedName>
    <definedName name="fmUnitDescription" localSheetId="5">'XS NOTES &amp; RATING'!#REF!</definedName>
    <definedName name="fmUnitDescription">'NOTES &amp; RATING'!#REF!</definedName>
    <definedName name="fmUnits" localSheetId="5">'XS NOTES &amp; RATING'!#REF!</definedName>
    <definedName name="fmUnits">'NOTES &amp; RATING'!#REF!</definedName>
    <definedName name="ForeignUnderSelect">#REF!</definedName>
    <definedName name="FormName1">#REF!</definedName>
    <definedName name="FormName10">#REF!</definedName>
    <definedName name="FormName11">#REF!</definedName>
    <definedName name="FormName12">#REF!</definedName>
    <definedName name="FormName13">#REF!</definedName>
    <definedName name="FormName14">#REF!</definedName>
    <definedName name="FormName15">#REF!</definedName>
    <definedName name="FormName16">#REF!</definedName>
    <definedName name="FormName17">#REF!</definedName>
    <definedName name="FormName18">#REF!</definedName>
    <definedName name="FormName19">#REF!</definedName>
    <definedName name="FormName2">#REF!</definedName>
    <definedName name="FormName20">#REF!</definedName>
    <definedName name="FormName21">#REF!</definedName>
    <definedName name="FormName22">#REF!</definedName>
    <definedName name="FormName23">#REF!</definedName>
    <definedName name="FormName24">#REF!</definedName>
    <definedName name="FormName25">#REF!</definedName>
    <definedName name="FormName26">#REF!</definedName>
    <definedName name="FormName27">#REF!</definedName>
    <definedName name="FormName28">#REF!</definedName>
    <definedName name="FormName29">#REF!</definedName>
    <definedName name="FormName3">#REF!</definedName>
    <definedName name="FormName30">#REF!</definedName>
    <definedName name="FormName31">#REF!</definedName>
    <definedName name="FormName32">#REF!</definedName>
    <definedName name="FormName33">#REF!</definedName>
    <definedName name="FormName34">#REF!</definedName>
    <definedName name="FormName35">#REF!</definedName>
    <definedName name="FormName36">#REF!</definedName>
    <definedName name="FormName37">#REF!</definedName>
    <definedName name="FormName38">#REF!</definedName>
    <definedName name="FormName39">#REF!</definedName>
    <definedName name="FormName4">#REF!</definedName>
    <definedName name="FormName40">#REF!</definedName>
    <definedName name="FormName41">#REF!</definedName>
    <definedName name="FormName42">#REF!</definedName>
    <definedName name="FormName43">#REF!</definedName>
    <definedName name="FormName44">#REF!</definedName>
    <definedName name="FormName45">#REF!</definedName>
    <definedName name="FormName46">#REF!</definedName>
    <definedName name="FormName47">#REF!</definedName>
    <definedName name="FormName48">#REF!</definedName>
    <definedName name="FormName49">#REF!</definedName>
    <definedName name="FormName5">#REF!</definedName>
    <definedName name="FormName50">#REF!</definedName>
    <definedName name="FormName51">#REF!</definedName>
    <definedName name="FormName52">#REF!</definedName>
    <definedName name="FormName53">#REF!</definedName>
    <definedName name="FormName54">#REF!</definedName>
    <definedName name="FormName55">#REF!</definedName>
    <definedName name="FormName56">#REF!</definedName>
    <definedName name="FormName57">#REF!</definedName>
    <definedName name="FormName58">#REF!</definedName>
    <definedName name="FormName59">#REF!</definedName>
    <definedName name="FormName6">#REF!</definedName>
    <definedName name="FormName60">#REF!</definedName>
    <definedName name="FormName7">#REF!</definedName>
    <definedName name="FormName8">#REF!</definedName>
    <definedName name="FormName9">#REF!</definedName>
    <definedName name="FormNumber1">#REF!</definedName>
    <definedName name="FormNumber10">#REF!</definedName>
    <definedName name="FormNumber11">#REF!</definedName>
    <definedName name="FormNumber12">#REF!</definedName>
    <definedName name="FormNumber13">#REF!</definedName>
    <definedName name="FormNumber14">#REF!</definedName>
    <definedName name="FormNumber15">#REF!</definedName>
    <definedName name="FormNumber16">#REF!</definedName>
    <definedName name="FormNumber17">#REF!</definedName>
    <definedName name="FormNumber18">#REF!</definedName>
    <definedName name="FormNumber19">#REF!</definedName>
    <definedName name="FormNumber2">#REF!</definedName>
    <definedName name="FormNumber20">#REF!</definedName>
    <definedName name="FormNumber21">#REF!</definedName>
    <definedName name="FormNumber22">#REF!</definedName>
    <definedName name="FormNumber23">#REF!</definedName>
    <definedName name="FormNumber24">#REF!</definedName>
    <definedName name="FormNumber25">#REF!</definedName>
    <definedName name="FormNumber26">#REF!</definedName>
    <definedName name="FormNumber27">#REF!</definedName>
    <definedName name="FormNumber28">#REF!</definedName>
    <definedName name="FormNumber29">#REF!</definedName>
    <definedName name="FormNumber3">#REF!</definedName>
    <definedName name="FormNumber30">#REF!</definedName>
    <definedName name="FormNumber31">#REF!</definedName>
    <definedName name="FormNumber32">#REF!</definedName>
    <definedName name="FormNumber33">#REF!</definedName>
    <definedName name="FormNumber34">#REF!</definedName>
    <definedName name="FormNumber35">#REF!</definedName>
    <definedName name="FormNumber36">#REF!</definedName>
    <definedName name="FormNumber37">#REF!</definedName>
    <definedName name="FormNumber38">#REF!</definedName>
    <definedName name="FormNumber39">#REF!</definedName>
    <definedName name="FormNumber4">#REF!</definedName>
    <definedName name="FormNumber40">#REF!</definedName>
    <definedName name="FormNumber41">#REF!</definedName>
    <definedName name="FormNumber42">#REF!</definedName>
    <definedName name="FormNumber43">#REF!</definedName>
    <definedName name="FormNumber44">#REF!</definedName>
    <definedName name="FormNumber45">#REF!</definedName>
    <definedName name="FormNumber46">#REF!</definedName>
    <definedName name="FormNumber47">#REF!</definedName>
    <definedName name="FormNumber48">#REF!</definedName>
    <definedName name="FormNumber49">#REF!</definedName>
    <definedName name="FormNumber5">#REF!</definedName>
    <definedName name="FormNumber50">#REF!</definedName>
    <definedName name="FormNumber51">#REF!</definedName>
    <definedName name="FormNumber52">#REF!</definedName>
    <definedName name="FormNumber53">#REF!</definedName>
    <definedName name="FormNumber54">#REF!</definedName>
    <definedName name="FormNumber55">#REF!</definedName>
    <definedName name="FormNumber56">#REF!</definedName>
    <definedName name="FormNumber57">#REF!</definedName>
    <definedName name="FormNumber58">#REF!</definedName>
    <definedName name="FormNumber59">#REF!</definedName>
    <definedName name="FormNumber6">#REF!</definedName>
    <definedName name="FormNumber60">#REF!</definedName>
    <definedName name="FormNumber7">#REF!</definedName>
    <definedName name="FormNumber8">#REF!</definedName>
    <definedName name="FormNumber9">#REF!</definedName>
    <definedName name="FormNumberRange">#REF!</definedName>
    <definedName name="FormsToDisplay">Misc_Info!$BK$1:$BK$9</definedName>
    <definedName name="FoundInBL">#REF!</definedName>
    <definedName name="FoundInSubs">#REF!</definedName>
    <definedName name="GCorSub">#REF!</definedName>
    <definedName name="GeneralAggregateLimit" localSheetId="5">'XS NOTES &amp; RATING'!#REF!</definedName>
    <definedName name="GeneralAggregateLimit">'NOTES &amp; RATING'!$BB$13</definedName>
    <definedName name="GeoffreyGrush">Broker_Listing!$BN$2:$BN$4236</definedName>
    <definedName name="GinaColosuonno">Broker_Listing!$AK$2:$AK$22</definedName>
    <definedName name="GinaDelfino">Broker_Listing!$AL$2:$AL$24</definedName>
    <definedName name="GLUnderSelect">#REF!</definedName>
    <definedName name="Hab">Broker_Listing!$N$1:$N$49</definedName>
    <definedName name="HabCalculation1" localSheetId="5">'XS NOTES &amp; RATING'!#REF!</definedName>
    <definedName name="HabCalculation1">'NOTES &amp; RATING'!#REF!</definedName>
    <definedName name="HabCalculation2" localSheetId="5">'XS NOTES &amp; RATING'!#REF!</definedName>
    <definedName name="HabCalculation2">'NOTES &amp; RATING'!#REF!</definedName>
    <definedName name="HabCalculation3" localSheetId="5">'XS NOTES &amp; RATING'!#REF!</definedName>
    <definedName name="HabCalculation3">'NOTES &amp; RATING'!#REF!</definedName>
    <definedName name="HabCalculation4" localSheetId="5">'XS NOTES &amp; RATING'!#REF!</definedName>
    <definedName name="HabCalculation4">'NOTES &amp; RATING'!#REF!</definedName>
    <definedName name="HabCalculation5" localSheetId="5">'XS NOTES &amp; RATING'!#REF!</definedName>
    <definedName name="HabCalculation5">'NOTES &amp; RATING'!#REF!</definedName>
    <definedName name="HabCalculation6" localSheetId="5">'XS NOTES &amp; RATING'!#REF!</definedName>
    <definedName name="HabCalculation6">'NOTES &amp; RATING'!#REF!</definedName>
    <definedName name="HabCalculation7" localSheetId="5">'XS NOTES &amp; RATING'!#REF!</definedName>
    <definedName name="HabCalculation7">'NOTES &amp; RATING'!#REF!</definedName>
    <definedName name="HabCrimeScore1" localSheetId="5">'XS NOTES &amp; RATING'!#REF!</definedName>
    <definedName name="HabCrimeScore1">'NOTES &amp; RATING'!#REF!</definedName>
    <definedName name="HabCrimeScore2" localSheetId="5">'XS NOTES &amp; RATING'!#REF!</definedName>
    <definedName name="HabCrimeScore2">'NOTES &amp; RATING'!#REF!</definedName>
    <definedName name="HabNotesCrime" localSheetId="5">'XS NOTES &amp; RATING'!#REF!</definedName>
    <definedName name="HabNotesCrime">'NOTES &amp; RATING'!#REF!</definedName>
    <definedName name="HabNotesFireLife" localSheetId="5">'XS NOTES &amp; RATING'!#REF!</definedName>
    <definedName name="HabNotesFireLife">'NOTES &amp; RATING'!#REF!</definedName>
    <definedName name="HabNotesPoolPlayground" localSheetId="5">'XS NOTES &amp; RATING'!#REF!</definedName>
    <definedName name="HabNotesPoolPlayground">'NOTES &amp; RATING'!#REF!</definedName>
    <definedName name="HabNotesProperty" localSheetId="5">'XS NOTES &amp; RATING'!#REF!</definedName>
    <definedName name="HabNotesProperty">'NOTES &amp; RATING'!#REF!</definedName>
    <definedName name="HabNum42" localSheetId="5">'XS NOTES &amp; RATING'!#REF!</definedName>
    <definedName name="HabNum42">'NOTES &amp; RATING'!#REF!</definedName>
    <definedName name="HabNumAluminum" localSheetId="5">'XS NOTES &amp; RATING'!#REF!</definedName>
    <definedName name="HabNumAluminum">'NOTES &amp; RATING'!#REF!</definedName>
    <definedName name="HabNumArmedSecurity" localSheetId="5">'XS NOTES &amp; RATING'!#REF!</definedName>
    <definedName name="HabNumArmedSecurity">'NOTES &amp; RATING'!#REF!</definedName>
    <definedName name="HabNumComplexes" localSheetId="5">'XS NOTES &amp; RATING'!#REF!</definedName>
    <definedName name="HabNumComplexes">'NOTES &amp; RATING'!#REF!</definedName>
    <definedName name="HabNumHUD" localSheetId="5">'XS NOTES &amp; RATING'!#REF!</definedName>
    <definedName name="HabNumHUD">'NOTES &amp; RATING'!#REF!</definedName>
    <definedName name="HabNumPlaygrounds" localSheetId="5">'XS NOTES &amp; RATING'!#REF!</definedName>
    <definedName name="HabNumPlaygrounds">'NOTES &amp; RATING'!#REF!</definedName>
    <definedName name="HabNumPools" localSheetId="5">'XS NOTES &amp; RATING'!#REF!</definedName>
    <definedName name="HabNumPools">'NOTES &amp; RATING'!#REF!</definedName>
    <definedName name="HabNumSenior" localSheetId="5">'XS NOTES &amp; RATING'!#REF!</definedName>
    <definedName name="HabNumSenior">'NOTES &amp; RATING'!#REF!</definedName>
    <definedName name="HabNumSprink" localSheetId="5">'XS NOTES &amp; RATING'!#REF!</definedName>
    <definedName name="HabNumSprink">'NOTES &amp; RATING'!#REF!</definedName>
    <definedName name="HabNumStudent" localSheetId="5">'XS NOTES &amp; RATING'!#REF!</definedName>
    <definedName name="HabNumStudent">'NOTES &amp; RATING'!#REF!</definedName>
    <definedName name="HabNumWired" localSheetId="5">'XS NOTES &amp; RATING'!#REF!</definedName>
    <definedName name="HabNumWired">'NOTES &amp; RATING'!#REF!</definedName>
    <definedName name="HabPercOccupied" localSheetId="5">'XS NOTES &amp; RATING'!#REF!</definedName>
    <definedName name="HabPercOccupied">'NOTES &amp; RATING'!#REF!</definedName>
    <definedName name="HB">Broker_Listing!$I$1:$I$3</definedName>
    <definedName name="HBAI" localSheetId="5">'XS NOTES &amp; RATING'!#REF!</definedName>
    <definedName name="HBAI">'NOTES &amp; RATING'!#REF!</definedName>
    <definedName name="HBAnnualStarts" localSheetId="5">'XS NOTES &amp; RATING'!#REF!</definedName>
    <definedName name="HBAnnualStarts">'NOTES &amp; RATING'!#REF!</definedName>
    <definedName name="HBCD" localSheetId="5">'XS NOTES &amp; RATING'!#REF!</definedName>
    <definedName name="HBCD">'NOTES &amp; RATING'!#REF!</definedName>
    <definedName name="HBDirect" localSheetId="5">'XS NOTES &amp; RATING'!#REF!</definedName>
    <definedName name="HBDirect">'NOTES &amp; RATING'!#REF!</definedName>
    <definedName name="HBMostInLast10" localSheetId="5">'XS NOTES &amp; RATING'!#REF!</definedName>
    <definedName name="HBMostInLast10">'NOTES &amp; RATING'!#REF!</definedName>
    <definedName name="HBRight" localSheetId="5">'XS NOTES &amp; RATING'!#REF!</definedName>
    <definedName name="HBRight">'NOTES &amp; RATING'!#REF!</definedName>
    <definedName name="HBSingleAverage" localSheetId="5">'XS NOTES &amp; RATING'!#REF!</definedName>
    <definedName name="HBSingleAverage">'NOTES &amp; RATING'!#REF!</definedName>
    <definedName name="HBSingleMaximum" localSheetId="5">'XS NOTES &amp; RATING'!#REF!</definedName>
    <definedName name="HBSingleMaximum">'NOTES &amp; RATING'!#REF!</definedName>
    <definedName name="HBSubcontracted" localSheetId="5">'XS NOTES &amp; RATING'!#REF!</definedName>
    <definedName name="HBSubcontracted">'NOTES &amp; RATING'!#REF!</definedName>
    <definedName name="HBTier1" localSheetId="5">'XS NOTES &amp; RATING'!#REF!</definedName>
    <definedName name="HBTier1">'NOTES &amp; RATING'!#REF!</definedName>
    <definedName name="HighCDState">Misc_Info!$BY$1</definedName>
    <definedName name="HistoricalProjectedRange" localSheetId="5">'XS NOTES &amp; RATING'!$I$25:$AI$26</definedName>
    <definedName name="HistoricalProjectedRange">'NOTES &amp; RATING'!$I$17:$AI$22</definedName>
    <definedName name="HNOACharge">Misc_Info!$CZ$2</definedName>
    <definedName name="HNOACounter" localSheetId="5">'XS NOTES &amp; RATING'!#REF!</definedName>
    <definedName name="HNOACounter">'NOTES &amp; RATING'!#REF!</definedName>
    <definedName name="Hosp">Broker_Listing!$M$1:$M$33</definedName>
    <definedName name="HospEstablishment">Misc_Info!$BA$1:$BA$7</definedName>
    <definedName name="HospitalityClientele" localSheetId="5">'XS NOTES &amp; RATING'!#REF!</definedName>
    <definedName name="HospitalityClientele">'NOTES &amp; RATING'!#REF!</definedName>
    <definedName name="HospitalityDanceFloor" localSheetId="5">'XS NOTES &amp; RATING'!#REF!</definedName>
    <definedName name="HospitalityDanceFloor">'NOTES &amp; RATING'!#REF!</definedName>
    <definedName name="HospitalityEntertainment" localSheetId="5">'XS NOTES &amp; RATING'!#REF!</definedName>
    <definedName name="HospitalityEntertainment">'NOTES &amp; RATING'!#REF!</definedName>
    <definedName name="HospitalityISODram" localSheetId="5">'XS NOTES &amp; RATING'!#REF!</definedName>
    <definedName name="HospitalityISODram">'NOTES &amp; RATING'!#REF!</definedName>
    <definedName name="HospitalityLiquorSales" localSheetId="5">'XS NOTES &amp; RATING'!#REF!</definedName>
    <definedName name="HospitalityLiquorSales">'NOTES &amp; RATING'!#REF!</definedName>
    <definedName name="HospitalityLoc1LiquorSales" localSheetId="5">'XS NOTES &amp; RATING'!#REF!</definedName>
    <definedName name="HospitalityLoc1LiquorSales">'NOTES &amp; RATING'!#REF!</definedName>
    <definedName name="HospitalityLoc1Name" localSheetId="5">'XS NOTES &amp; RATING'!#REF!</definedName>
    <definedName name="HospitalityLoc1Name">'NOTES &amp; RATING'!#REF!</definedName>
    <definedName name="HospitalityLoc1NonLiquorSales" localSheetId="5">'XS NOTES &amp; RATING'!#REF!</definedName>
    <definedName name="HospitalityLoc1NonLiquorSales">'NOTES &amp; RATING'!#REF!</definedName>
    <definedName name="HospitalityLoc1SquareFootage" localSheetId="5">'XS NOTES &amp; RATING'!#REF!</definedName>
    <definedName name="HospitalityLoc1SquareFootage">'NOTES &amp; RATING'!#REF!</definedName>
    <definedName name="HospitalityLoc1State" localSheetId="5">'XS NOTES &amp; RATING'!#REF!</definedName>
    <definedName name="HospitalityLoc1State">'NOTES &amp; RATING'!#REF!</definedName>
    <definedName name="HospitalityLoc1Type" localSheetId="5">'XS NOTES &amp; RATING'!#REF!</definedName>
    <definedName name="HospitalityLoc1Type">'NOTES &amp; RATING'!#REF!</definedName>
    <definedName name="HospitalityLoc2LiquorSales" localSheetId="5">'XS NOTES &amp; RATING'!#REF!</definedName>
    <definedName name="HospitalityLoc2LiquorSales">'NOTES &amp; RATING'!#REF!</definedName>
    <definedName name="HospitalityLoc2Name" localSheetId="5">'XS NOTES &amp; RATING'!#REF!</definedName>
    <definedName name="HospitalityLoc2Name">'NOTES &amp; RATING'!#REF!</definedName>
    <definedName name="HospitalityLoc2NonLiquorSales" localSheetId="5">'XS NOTES &amp; RATING'!#REF!</definedName>
    <definedName name="HospitalityLoc2NonLiquorSales">'NOTES &amp; RATING'!#REF!</definedName>
    <definedName name="HospitalityLoc2SquareFootage" localSheetId="5">'XS NOTES &amp; RATING'!#REF!</definedName>
    <definedName name="HospitalityLoc2SquareFootage">'NOTES &amp; RATING'!#REF!</definedName>
    <definedName name="HospitalityLoc2State" localSheetId="5">'XS NOTES &amp; RATING'!#REF!</definedName>
    <definedName name="HospitalityLoc2State">'NOTES &amp; RATING'!#REF!</definedName>
    <definedName name="HospitalityLoc2Type" localSheetId="5">'XS NOTES &amp; RATING'!#REF!</definedName>
    <definedName name="HospitalityLoc2Type">'NOTES &amp; RATING'!#REF!</definedName>
    <definedName name="HospitalityLoc3LiquorSales" localSheetId="5">'XS NOTES &amp; RATING'!#REF!</definedName>
    <definedName name="HospitalityLoc3LiquorSales">'NOTES &amp; RATING'!#REF!</definedName>
    <definedName name="HospitalityLoc3Name" localSheetId="5">'XS NOTES &amp; RATING'!#REF!</definedName>
    <definedName name="HospitalityLoc3Name">'NOTES &amp; RATING'!#REF!</definedName>
    <definedName name="HospitalityLoc3NonLiquorSales" localSheetId="5">'XS NOTES &amp; RATING'!#REF!</definedName>
    <definedName name="HospitalityLoc3NonLiquorSales">'NOTES &amp; RATING'!#REF!</definedName>
    <definedName name="HospitalityLoc3SquareFootage" localSheetId="5">'XS NOTES &amp; RATING'!#REF!</definedName>
    <definedName name="HospitalityLoc3SquareFootage">'NOTES &amp; RATING'!#REF!</definedName>
    <definedName name="HospitalityLoc3State" localSheetId="5">'XS NOTES &amp; RATING'!#REF!</definedName>
    <definedName name="HospitalityLoc3State">'NOTES &amp; RATING'!#REF!</definedName>
    <definedName name="HospitalityLoc3Type" localSheetId="5">'XS NOTES &amp; RATING'!#REF!</definedName>
    <definedName name="HospitalityLoc3Type">'NOTES &amp; RATING'!#REF!</definedName>
    <definedName name="HospitalityLoc4LiquorSales" localSheetId="5">'XS NOTES &amp; RATING'!#REF!</definedName>
    <definedName name="HospitalityLoc4LiquorSales">'NOTES &amp; RATING'!#REF!</definedName>
    <definedName name="HospitalityLoc4Name" localSheetId="5">'XS NOTES &amp; RATING'!#REF!</definedName>
    <definedName name="HospitalityLoc4Name">'NOTES &amp; RATING'!#REF!</definedName>
    <definedName name="HospitalityLoc4NonLiquorSales" localSheetId="5">'XS NOTES &amp; RATING'!#REF!</definedName>
    <definedName name="HospitalityLoc4NonLiquorSales">'NOTES &amp; RATING'!#REF!</definedName>
    <definedName name="HospitalityLoc4SquareFootage" localSheetId="5">'XS NOTES &amp; RATING'!#REF!</definedName>
    <definedName name="HospitalityLoc4SquareFootage">'NOTES &amp; RATING'!#REF!</definedName>
    <definedName name="HospitalityLoc4State" localSheetId="5">'XS NOTES &amp; RATING'!#REF!</definedName>
    <definedName name="HospitalityLoc4State">'NOTES &amp; RATING'!#REF!</definedName>
    <definedName name="HospitalityLoc4Type" localSheetId="5">'XS NOTES &amp; RATING'!#REF!</definedName>
    <definedName name="HospitalityLoc4Type">'NOTES &amp; RATING'!#REF!</definedName>
    <definedName name="HospitalityLoc5LiquorSales" localSheetId="5">'XS NOTES &amp; RATING'!#REF!</definedName>
    <definedName name="HospitalityLoc5LiquorSales">'NOTES &amp; RATING'!#REF!</definedName>
    <definedName name="HospitalityLoc5Name" localSheetId="5">'XS NOTES &amp; RATING'!#REF!</definedName>
    <definedName name="HospitalityLoc5Name">'NOTES &amp; RATING'!#REF!</definedName>
    <definedName name="HospitalityLoc5NonLiquorSales" localSheetId="5">'XS NOTES &amp; RATING'!#REF!</definedName>
    <definedName name="HospitalityLoc5NonLiquorSales">'NOTES &amp; RATING'!#REF!</definedName>
    <definedName name="HospitalityLoc5SquareFootage" localSheetId="5">'XS NOTES &amp; RATING'!#REF!</definedName>
    <definedName name="HospitalityLoc5SquareFootage">'NOTES &amp; RATING'!#REF!</definedName>
    <definedName name="HospitalityLoc5State" localSheetId="5">'XS NOTES &amp; RATING'!#REF!</definedName>
    <definedName name="HospitalityLoc5State">'NOTES &amp; RATING'!#REF!</definedName>
    <definedName name="HospitalityLoc5Type" localSheetId="5">'XS NOTES &amp; RATING'!#REF!</definedName>
    <definedName name="HospitalityLoc5Type">'NOTES &amp; RATING'!#REF!</definedName>
    <definedName name="HospitalityNonLiquorSales" localSheetId="5">'XS NOTES &amp; RATING'!#REF!</definedName>
    <definedName name="HospitalityNonLiquorSales">'NOTES &amp; RATING'!#REF!</definedName>
    <definedName name="HospitalitySecurity1" localSheetId="5">'XS NOTES &amp; RATING'!#REF!</definedName>
    <definedName name="HospitalitySecurity1">'NOTES &amp; RATING'!#REF!</definedName>
    <definedName name="HospitalitySecurity2" localSheetId="5">'XS NOTES &amp; RATING'!#REF!</definedName>
    <definedName name="HospitalitySecurity2">'NOTES &amp; RATING'!#REF!</definedName>
    <definedName name="HospitalityTIPS" localSheetId="5">'XS NOTES &amp; RATING'!#REF!</definedName>
    <definedName name="HospitalityTIPS">'NOTES &amp; RATING'!#REF!</definedName>
    <definedName name="HospitalityVideo" localSheetId="5">'XS NOTES &amp; RATING'!#REF!</definedName>
    <definedName name="HospitalityVideo">'NOTES &amp; RATING'!#REF!</definedName>
    <definedName name="HotTarSafety" localSheetId="5">'XS NOTES &amp; RATING'!#REF!</definedName>
    <definedName name="HotTarSafety">'NOTES &amp; RATING'!#REF!</definedName>
    <definedName name="HPEFirst2YearsBack" localSheetId="5">'XS NOTES &amp; RATING'!#REF!</definedName>
    <definedName name="HPEFirst2YearsBack">'NOTES &amp; RATING'!$I$20</definedName>
    <definedName name="HPEFirst3YearsBack" localSheetId="5">'XS NOTES &amp; RATING'!#REF!</definedName>
    <definedName name="HPEFirst3YearsBack">'NOTES &amp; RATING'!$I$21</definedName>
    <definedName name="HPEFirst4YearsBack" localSheetId="5">'XS NOTES &amp; RATING'!#REF!</definedName>
    <definedName name="HPEFirst4YearsBack">'NOTES &amp; RATING'!$I$22</definedName>
    <definedName name="HPEFirstCalculation1" localSheetId="5">'XS NOTES &amp; RATING'!$BA$13</definedName>
    <definedName name="HPEFirstCalculation1">'NOTES &amp; RATING'!$P$18</definedName>
    <definedName name="HPEFirstCalculation2" localSheetId="5">'XS NOTES &amp; RATING'!$AQ$14</definedName>
    <definedName name="HPEFirstCalculation2">'NOTES &amp; RATING'!$P$19</definedName>
    <definedName name="HPEFirstCalculation3" localSheetId="5">'XS NOTES &amp; RATING'!#REF!</definedName>
    <definedName name="HPEFirstCalculation3">'NOTES &amp; RATING'!$P$20</definedName>
    <definedName name="HPEFirstCalculation4" localSheetId="5">'XS NOTES &amp; RATING'!#REF!</definedName>
    <definedName name="HPEFirstCalculation4">'NOTES &amp; RATING'!$P$21</definedName>
    <definedName name="HPEFirstChosen" localSheetId="5">'XS NOTES &amp; RATING'!#REF!</definedName>
    <definedName name="HPEFirstChosen">'NOTES &amp; RATING'!$I$17</definedName>
    <definedName name="HPEFirstCurrent" localSheetId="5">'XS NOTES &amp; RATING'!#REF!</definedName>
    <definedName name="HPEFirstCurrent">'NOTES &amp; RATING'!$I$19</definedName>
    <definedName name="HPESecond2YearsBack" localSheetId="5">'XS NOTES &amp; RATING'!#REF!</definedName>
    <definedName name="HPESecond2YearsBack">'NOTES &amp; RATING'!$R$20</definedName>
    <definedName name="HPESecond3YearsBack" localSheetId="5">'XS NOTES &amp; RATING'!#REF!</definedName>
    <definedName name="HPESecond3YearsBack">'NOTES &amp; RATING'!#REF!</definedName>
    <definedName name="HPESecond4YearsBack" localSheetId="5">'XS NOTES &amp; RATING'!#REF!</definedName>
    <definedName name="HPESecond4YearsBack">'NOTES &amp; RATING'!$R$22</definedName>
    <definedName name="HPESecondCalculation1" localSheetId="5">'XS NOTES &amp; RATING'!#REF!</definedName>
    <definedName name="HPESecondCalculation1">'NOTES &amp; RATING'!$Y$18</definedName>
    <definedName name="HPESecondCalculation2" localSheetId="5">'XS NOTES &amp; RATING'!#REF!</definedName>
    <definedName name="HPESecondCalculation2">'NOTES &amp; RATING'!$Y$19</definedName>
    <definedName name="HPESecondCalculation3" localSheetId="5">'XS NOTES &amp; RATING'!#REF!</definedName>
    <definedName name="HPESecondCalculation3">'NOTES &amp; RATING'!$Y$20</definedName>
    <definedName name="HPESecondCalculation4" localSheetId="5">'XS NOTES &amp; RATING'!#REF!</definedName>
    <definedName name="HPESecondCalculation4">'NOTES &amp; RATING'!$Y$21</definedName>
    <definedName name="HPESecondChosen" localSheetId="5">'XS NOTES &amp; RATING'!#REF!</definedName>
    <definedName name="HPESecondChosen">'NOTES &amp; RATING'!$R$17</definedName>
    <definedName name="HPESecondCurrent" localSheetId="5">'XS NOTES &amp; RATING'!#REF!</definedName>
    <definedName name="HPESecondCurrent">'NOTES &amp; RATING'!$R$19</definedName>
    <definedName name="HPEThird2YearsBack" localSheetId="5">'XS NOTES &amp; RATING'!#REF!</definedName>
    <definedName name="HPEThird2YearsBack">'NOTES &amp; RATING'!$AA$20</definedName>
    <definedName name="HPEThird3YearsBack" localSheetId="5">'XS NOTES &amp; RATING'!#REF!</definedName>
    <definedName name="HPEThird3YearsBack">'NOTES &amp; RATING'!$AA$21</definedName>
    <definedName name="HPEThird4YearsBack" localSheetId="5">'XS NOTES &amp; RATING'!#REF!</definedName>
    <definedName name="HPEThird4YearsBack">'NOTES &amp; RATING'!$AA$22</definedName>
    <definedName name="HPEThirdCalculation1" localSheetId="5">'XS NOTES &amp; RATING'!#REF!</definedName>
    <definedName name="HPEThirdCalculation1">'NOTES &amp; RATING'!$AH$18</definedName>
    <definedName name="HPEThirdCalculation2" localSheetId="5">'XS NOTES &amp; RATING'!#REF!</definedName>
    <definedName name="HPEThirdCalculation2">'NOTES &amp; RATING'!$AH$19</definedName>
    <definedName name="HPEThirdCalculation3" localSheetId="5">'XS NOTES &amp; RATING'!#REF!</definedName>
    <definedName name="HPEThirdCalculation3">'NOTES &amp; RATING'!$AH$20</definedName>
    <definedName name="HPEThirdCalculation4" localSheetId="5">'XS NOTES &amp; RATING'!#REF!</definedName>
    <definedName name="HPEThirdCalculation4">'NOTES &amp; RATING'!$AH$21</definedName>
    <definedName name="HPEThirdChosen" localSheetId="5">'XS NOTES &amp; RATING'!$R$26</definedName>
    <definedName name="HPEThirdChosen">'NOTES &amp; RATING'!$AA$17</definedName>
    <definedName name="HPEThirdCurrent" localSheetId="5">'XS NOTES &amp; RATING'!$AA$26</definedName>
    <definedName name="HPEThirdCurrent">'NOTES &amp; RATING'!$AA$19</definedName>
    <definedName name="InspectionFee" localSheetId="5">'XS NOTES &amp; RATING'!#REF!</definedName>
    <definedName name="InspectionFee">'NOTES &amp; RATING'!$AN$37</definedName>
    <definedName name="InstanceName">"Version 1"</definedName>
    <definedName name="InsuredID" localSheetId="5">'XS NOTES &amp; RATING'!$I$3</definedName>
    <definedName name="InsuredID">'NOTES &amp; RATING'!$I$3</definedName>
    <definedName name="InsuredName" localSheetId="5">'XS NOTES &amp; RATING'!$Z$6</definedName>
    <definedName name="InsuredName">'NOTES &amp; RATING'!$Z$6</definedName>
    <definedName name="InsuredRetAmt">Underwriter_Information!$C$3:$C$32</definedName>
    <definedName name="_ISO0435" localSheetId="6">Misc_Info!#REF!</definedName>
    <definedName name="_ISO0435" localSheetId="5">Misc_Info!#REF!</definedName>
    <definedName name="_ISO0435">Misc_Info!#REF!</definedName>
    <definedName name="_ISO0440">Misc_Info!$A$61:$A$63</definedName>
    <definedName name="_ISO0441">Misc_Info!$A$66:$A$68</definedName>
    <definedName name="_ISO0442">Misc_Info!$A$71:$A$73</definedName>
    <definedName name="_ISO0443">Misc_Info!$A$76:$A$78</definedName>
    <definedName name="_ISO0444">Misc_Info!$A$81:$A$83</definedName>
    <definedName name="_ISO2003">Misc_Info!$A$86:$A$87</definedName>
    <definedName name="_ISO2010">Misc_Info!$A$90:$A$91</definedName>
    <definedName name="_ISO2011">Misc_Info!$A$94:$A$95</definedName>
    <definedName name="_ISO2012">Misc_Info!$A$98:$A$99</definedName>
    <definedName name="_ISO2013">Misc_Info!$A$102:$A$103</definedName>
    <definedName name="_ISO2015">Misc_Info!$A$106:$A$107</definedName>
    <definedName name="_ISO2018">Misc_Info!$A$110:$A$111</definedName>
    <definedName name="_ISO2024">Misc_Info!$A$114:$A$115</definedName>
    <definedName name="_ISO2026">Misc_Info!$A$118:$A$119</definedName>
    <definedName name="_ISO2028">Misc_Info!$A$122:$A$123</definedName>
    <definedName name="_ISO2029">Misc_Info!$A$126:$A$127</definedName>
    <definedName name="_ISO2032">Misc_Info!$A$130:$A$131</definedName>
    <definedName name="_ISO2037">Misc_Info!$A$134:$A$139</definedName>
    <definedName name="_ISO2135" localSheetId="6">Misc_Info!#REF!</definedName>
    <definedName name="_ISO2135" localSheetId="5">Misc_Info!#REF!</definedName>
    <definedName name="_ISO2135">Misc_Info!#REF!</definedName>
    <definedName name="_ISO2144">Misc_Info!$A$222:$A$226</definedName>
    <definedName name="_ISO2154" localSheetId="6">Misc_Info!#REF!</definedName>
    <definedName name="_ISO2154" localSheetId="5">Misc_Info!#REF!</definedName>
    <definedName name="_ISO2154">Misc_Info!#REF!</definedName>
    <definedName name="_iso2262">Misc_Info!$A$142:$A$144</definedName>
    <definedName name="_ISO2404" localSheetId="6">Misc_Info!#REF!</definedName>
    <definedName name="_ISO2404" localSheetId="5">Misc_Info!#REF!</definedName>
    <definedName name="_ISO2404">Misc_Info!#REF!</definedName>
    <definedName name="_ISO2503" localSheetId="6">Misc_Info!#REF!</definedName>
    <definedName name="_ISO2503" localSheetId="5">Misc_Info!#REF!</definedName>
    <definedName name="_ISO2503">Misc_Info!#REF!</definedName>
    <definedName name="_ISO2504" localSheetId="6">Misc_Info!#REF!</definedName>
    <definedName name="_ISO2504" localSheetId="5">Misc_Info!#REF!</definedName>
    <definedName name="_ISO2504">Misc_Info!#REF!</definedName>
    <definedName name="_ISO2935">Misc_Info!$A$147:$A$148</definedName>
    <definedName name="ISOClassCodes">Underwriter_Information!$E$3:$E$1152</definedName>
    <definedName name="JJHerrington">Broker_Listing!$BI$2:$BI$19</definedName>
    <definedName name="JoeOConnor">Broker_Listing!$AW$2:$AW$20</definedName>
    <definedName name="KimberlyWauson">Broker_Listing!$BU$2:$BU$4236</definedName>
    <definedName name="LargeLoss10Description">'LOSS EVALUATION'!$F$83</definedName>
    <definedName name="LargeLoss10DOL">'LOSS EVALUATION'!$A$83</definedName>
    <definedName name="LargeLoss10Incurred">'LOSS EVALUATION'!$B$83</definedName>
    <definedName name="LargeLoss10OpenClosed">'LOSS EVALUATION'!$C$83</definedName>
    <definedName name="LargeLoss10ValuationDate">'LOSS EVALUATION'!$D$83</definedName>
    <definedName name="LargeLoss11Description">'LOSS EVALUATION'!#REF!</definedName>
    <definedName name="LargeLoss11DOL">'LOSS EVALUATION'!#REF!</definedName>
    <definedName name="LargeLoss11Incurred">'LOSS EVALUATION'!#REF!</definedName>
    <definedName name="LargeLoss11OpenClosed">'LOSS EVALUATION'!#REF!</definedName>
    <definedName name="LargeLoss11ValuationDate">'LOSS EVALUATION'!#REF!</definedName>
    <definedName name="LargeLoss12Description">'LOSS EVALUATION'!#REF!</definedName>
    <definedName name="LargeLoss12DOL">'LOSS EVALUATION'!#REF!</definedName>
    <definedName name="LargeLoss12Incurred">'LOSS EVALUATION'!#REF!</definedName>
    <definedName name="LargeLoss12OpenClosed">'LOSS EVALUATION'!#REF!</definedName>
    <definedName name="LargeLoss12ValuationDate">'LOSS EVALUATION'!#REF!</definedName>
    <definedName name="LargeLoss13Description">'LOSS EVALUATION'!#REF!</definedName>
    <definedName name="LargeLoss13DOL">'LOSS EVALUATION'!#REF!</definedName>
    <definedName name="LargeLoss13Incurred">'LOSS EVALUATION'!#REF!</definedName>
    <definedName name="LargeLoss13OpenClosed">'LOSS EVALUATION'!#REF!</definedName>
    <definedName name="LargeLoss13ValuationDate">'LOSS EVALUATION'!#REF!</definedName>
    <definedName name="LargeLoss14Description">'LOSS EVALUATION'!#REF!</definedName>
    <definedName name="LargeLoss14DOL">'LOSS EVALUATION'!#REF!</definedName>
    <definedName name="LargeLoss14Incurred">'LOSS EVALUATION'!#REF!</definedName>
    <definedName name="LargeLoss14OpenClosed">'LOSS EVALUATION'!#REF!</definedName>
    <definedName name="LargeLoss14ValuationDate">'LOSS EVALUATION'!#REF!</definedName>
    <definedName name="LargeLoss15Description">'LOSS EVALUATION'!#REF!</definedName>
    <definedName name="LargeLoss15DOL">'LOSS EVALUATION'!#REF!</definedName>
    <definedName name="LargeLoss15Incurred">'LOSS EVALUATION'!#REF!</definedName>
    <definedName name="LargeLoss15OpenClosed">'LOSS EVALUATION'!#REF!</definedName>
    <definedName name="LargeLoss15ValuationDate">'LOSS EVALUATION'!#REF!</definedName>
    <definedName name="LargeLoss16Description">'LOSS EVALUATION'!#REF!</definedName>
    <definedName name="LargeLoss16DOL">'LOSS EVALUATION'!#REF!</definedName>
    <definedName name="LargeLoss16Incurred">'LOSS EVALUATION'!#REF!</definedName>
    <definedName name="LargeLoss16OpenClosed">'LOSS EVALUATION'!#REF!</definedName>
    <definedName name="LargeLoss16ValuationDate">'LOSS EVALUATION'!#REF!</definedName>
    <definedName name="LargeLoss17Description">'LOSS EVALUATION'!#REF!</definedName>
    <definedName name="LargeLoss17DOL">'LOSS EVALUATION'!#REF!</definedName>
    <definedName name="LargeLoss17Incurred">'LOSS EVALUATION'!#REF!</definedName>
    <definedName name="LargeLoss17OpenClosed">'LOSS EVALUATION'!#REF!</definedName>
    <definedName name="LargeLoss17ValuationDate">'LOSS EVALUATION'!#REF!</definedName>
    <definedName name="LargeLoss18Description">'LOSS EVALUATION'!#REF!</definedName>
    <definedName name="LargeLoss18DOL">'LOSS EVALUATION'!#REF!</definedName>
    <definedName name="LargeLoss18Incurred">'LOSS EVALUATION'!#REF!</definedName>
    <definedName name="LargeLoss18OpenClosed">'LOSS EVALUATION'!#REF!</definedName>
    <definedName name="LargeLoss18ValuationDate">'LOSS EVALUATION'!#REF!</definedName>
    <definedName name="LargeLoss19Description">'LOSS EVALUATION'!#REF!</definedName>
    <definedName name="LargeLoss19DOL">'LOSS EVALUATION'!#REF!</definedName>
    <definedName name="LargeLoss19Incurred">'LOSS EVALUATION'!#REF!</definedName>
    <definedName name="LargeLoss19OpenClosed">'LOSS EVALUATION'!#REF!</definedName>
    <definedName name="LargeLoss19ValuationDate">'LOSS EVALUATION'!#REF!</definedName>
    <definedName name="LargeLoss1Description">'LOSS EVALUATION'!$F$74</definedName>
    <definedName name="LargeLoss1DOL">'LOSS EVALUATION'!$A$74</definedName>
    <definedName name="LargeLoss1Incurred">'LOSS EVALUATION'!$B$74</definedName>
    <definedName name="LargeLoss1OpenClosed">'LOSS EVALUATION'!$C$74</definedName>
    <definedName name="LargeLoss1ValuationDate">'LOSS EVALUATION'!$D$74</definedName>
    <definedName name="LargeLoss20Description">'LOSS EVALUATION'!#REF!</definedName>
    <definedName name="LargeLoss20DOL">'LOSS EVALUATION'!#REF!</definedName>
    <definedName name="LargeLoss20Incurred">'LOSS EVALUATION'!#REF!</definedName>
    <definedName name="LargeLoss20OpenClosed">'LOSS EVALUATION'!#REF!</definedName>
    <definedName name="LargeLoss20ValuationDate">'LOSS EVALUATION'!#REF!</definedName>
    <definedName name="LargeLoss21Description">'LOSS EVALUATION'!#REF!</definedName>
    <definedName name="LargeLoss21DOL">'LOSS EVALUATION'!#REF!</definedName>
    <definedName name="LargeLoss21Incurred">'LOSS EVALUATION'!#REF!</definedName>
    <definedName name="LargeLoss21OpenClosed">'LOSS EVALUATION'!#REF!</definedName>
    <definedName name="LargeLoss21ValuationDate">'LOSS EVALUATION'!#REF!</definedName>
    <definedName name="LargeLoss22Description">'LOSS EVALUATION'!#REF!</definedName>
    <definedName name="LargeLoss22DOL">'LOSS EVALUATION'!#REF!</definedName>
    <definedName name="LargeLoss22Incurred">'LOSS EVALUATION'!#REF!</definedName>
    <definedName name="LargeLoss22OpenClosed">'LOSS EVALUATION'!#REF!</definedName>
    <definedName name="LargeLoss22ValuationDate">'LOSS EVALUATION'!#REF!</definedName>
    <definedName name="LargeLoss23Description">'LOSS EVALUATION'!#REF!</definedName>
    <definedName name="LargeLoss23DOL">'LOSS EVALUATION'!#REF!</definedName>
    <definedName name="LargeLoss23Incurred">'LOSS EVALUATION'!#REF!</definedName>
    <definedName name="LargeLoss23OpenClosed">'LOSS EVALUATION'!#REF!</definedName>
    <definedName name="LargeLoss23ValuationDate">'LOSS EVALUATION'!#REF!</definedName>
    <definedName name="LargeLoss24Description">'LOSS EVALUATION'!#REF!</definedName>
    <definedName name="LargeLoss24DOL">'LOSS EVALUATION'!#REF!</definedName>
    <definedName name="LargeLoss24Incurred">'LOSS EVALUATION'!#REF!</definedName>
    <definedName name="LargeLoss24OpenClosed">'LOSS EVALUATION'!#REF!</definedName>
    <definedName name="LargeLoss24ValuationDate">'LOSS EVALUATION'!#REF!</definedName>
    <definedName name="LargeLoss25Description">'LOSS EVALUATION'!#REF!</definedName>
    <definedName name="LargeLoss25DOL">'LOSS EVALUATION'!#REF!</definedName>
    <definedName name="LargeLoss25Incurred">'LOSS EVALUATION'!#REF!</definedName>
    <definedName name="LargeLoss25OpenClosed">'LOSS EVALUATION'!#REF!</definedName>
    <definedName name="LargeLoss25ValuationDate">'LOSS EVALUATION'!#REF!</definedName>
    <definedName name="LargeLoss26Description">'LOSS EVALUATION'!#REF!</definedName>
    <definedName name="LargeLoss26DOL">'LOSS EVALUATION'!#REF!</definedName>
    <definedName name="LargeLoss26Incurred">'LOSS EVALUATION'!#REF!</definedName>
    <definedName name="LargeLoss26OpenClosed">'LOSS EVALUATION'!#REF!</definedName>
    <definedName name="LargeLoss26ValuationDate">'LOSS EVALUATION'!#REF!</definedName>
    <definedName name="LargeLoss27Description">'LOSS EVALUATION'!#REF!</definedName>
    <definedName name="LargeLoss27DOL">'LOSS EVALUATION'!#REF!</definedName>
    <definedName name="LargeLoss27Incurred">'LOSS EVALUATION'!#REF!</definedName>
    <definedName name="LargeLoss27OpenClosed">'LOSS EVALUATION'!#REF!</definedName>
    <definedName name="LargeLoss27ValuationDate">'LOSS EVALUATION'!#REF!</definedName>
    <definedName name="LargeLoss28Description">'LOSS EVALUATION'!#REF!</definedName>
    <definedName name="LargeLoss28DOL">'LOSS EVALUATION'!#REF!</definedName>
    <definedName name="LargeLoss28Incurred">'LOSS EVALUATION'!#REF!</definedName>
    <definedName name="LargeLoss28OpenClosed">'LOSS EVALUATION'!#REF!</definedName>
    <definedName name="LargeLoss28ValuationDate">'LOSS EVALUATION'!#REF!</definedName>
    <definedName name="LargeLoss29Description">'LOSS EVALUATION'!#REF!</definedName>
    <definedName name="LargeLoss29DOL">'LOSS EVALUATION'!#REF!</definedName>
    <definedName name="LargeLoss29Incurred">'LOSS EVALUATION'!#REF!</definedName>
    <definedName name="LargeLoss29OpenClosed">'LOSS EVALUATION'!#REF!</definedName>
    <definedName name="LargeLoss29ValuationDate">'LOSS EVALUATION'!#REF!</definedName>
    <definedName name="LargeLoss2Description">'LOSS EVALUATION'!$F$75</definedName>
    <definedName name="LargeLoss2DOL">'LOSS EVALUATION'!$A$75</definedName>
    <definedName name="LargeLoss2Incurred">'LOSS EVALUATION'!$B$75</definedName>
    <definedName name="LargeLoss2OpenClosed">'LOSS EVALUATION'!$C$75</definedName>
    <definedName name="LargeLoss2ValuationDate">'LOSS EVALUATION'!$D$75</definedName>
    <definedName name="LargeLoss30Description">'LOSS EVALUATION'!#REF!</definedName>
    <definedName name="LargeLoss30DOL">'LOSS EVALUATION'!#REF!</definedName>
    <definedName name="LargeLoss30Incurred">'LOSS EVALUATION'!#REF!</definedName>
    <definedName name="LargeLoss30OpenClosed">'LOSS EVALUATION'!#REF!</definedName>
    <definedName name="LargeLoss30ValuationDate">'LOSS EVALUATION'!#REF!</definedName>
    <definedName name="LargeLoss3Description">'LOSS EVALUATION'!$F$76</definedName>
    <definedName name="LargeLoss3DOL">'LOSS EVALUATION'!$A$76</definedName>
    <definedName name="LargeLoss3Incurred">'LOSS EVALUATION'!$B$76</definedName>
    <definedName name="LargeLoss3OpenClosed">'LOSS EVALUATION'!$C$76</definedName>
    <definedName name="LargeLoss3ValuationDate">'LOSS EVALUATION'!$D$76</definedName>
    <definedName name="LargeLoss4Description">'LOSS EVALUATION'!$F$77</definedName>
    <definedName name="LargeLoss4DOL">'LOSS EVALUATION'!$A$77</definedName>
    <definedName name="LargeLoss4Incurred">'LOSS EVALUATION'!$B$77</definedName>
    <definedName name="LargeLoss4OpenClosed">'LOSS EVALUATION'!$C$77</definedName>
    <definedName name="LargeLoss4ValuationDate">'LOSS EVALUATION'!$D$77</definedName>
    <definedName name="LargeLoss5Description">'LOSS EVALUATION'!$F$78</definedName>
    <definedName name="LargeLoss5DOL">'LOSS EVALUATION'!$A$78</definedName>
    <definedName name="LargeLoss5Incurred">'LOSS EVALUATION'!$B$78</definedName>
    <definedName name="LargeLoss5OpenClosed">'LOSS EVALUATION'!$C$78</definedName>
    <definedName name="LargeLoss5ValuationDate">'LOSS EVALUATION'!$D$78</definedName>
    <definedName name="LargeLoss6Description">'LOSS EVALUATION'!$F$79</definedName>
    <definedName name="LargeLoss6DOL">'LOSS EVALUATION'!$A$79</definedName>
    <definedName name="LargeLoss6Incurred">'LOSS EVALUATION'!$B$79</definedName>
    <definedName name="LargeLoss6OpenClosed">'LOSS EVALUATION'!$C$79</definedName>
    <definedName name="LargeLoss6ValuationDate">'LOSS EVALUATION'!$D$79</definedName>
    <definedName name="LargeLoss7Description">'LOSS EVALUATION'!$F$80</definedName>
    <definedName name="LargeLoss7DOL">'LOSS EVALUATION'!$A$80</definedName>
    <definedName name="LargeLoss7Incurred">'LOSS EVALUATION'!$B$80</definedName>
    <definedName name="LargeLoss7OpenClosed">'LOSS EVALUATION'!$C$80</definedName>
    <definedName name="LargeLoss7ValuationDate">'LOSS EVALUATION'!$D$80</definedName>
    <definedName name="LargeLoss8Description">'LOSS EVALUATION'!$F$81</definedName>
    <definedName name="LargeLoss8DOL">'LOSS EVALUATION'!$A$81</definedName>
    <definedName name="LargeLoss8Incurred">'LOSS EVALUATION'!$B$81</definedName>
    <definedName name="LargeLoss8OpenClosed">'LOSS EVALUATION'!$C$81</definedName>
    <definedName name="LargeLoss8ValuationDate">'LOSS EVALUATION'!$D$81</definedName>
    <definedName name="LargeLoss9Description">'LOSS EVALUATION'!$F$82</definedName>
    <definedName name="LargeLoss9DOL">'LOSS EVALUATION'!$A$82</definedName>
    <definedName name="LargeLoss9Incurred">'LOSS EVALUATION'!$B$82</definedName>
    <definedName name="LargeLoss9OpenClosed">'LOSS EVALUATION'!$C$82</definedName>
    <definedName name="LargeLoss9ValuationDate">'LOSS EVALUATION'!$D$82</definedName>
    <definedName name="Length" localSheetId="5">'XS NOTES &amp; RATING'!#REF!</definedName>
    <definedName name="Length">'NOTES &amp; RATING'!#REF!</definedName>
    <definedName name="LennoxMarshall">Broker_Listing!$AM$2:$AM$23</definedName>
    <definedName name="LimitsInShorthand">Misc_Info!$CG$10</definedName>
    <definedName name="LiquorAgg">Misc_Info!$F$6:$F$8</definedName>
    <definedName name="LiquorAggregateLimit" localSheetId="5">'XS NOTES &amp; RATING'!#REF!</definedName>
    <definedName name="LiquorAggregateLimit">'NOTES &amp; RATING'!$BB$21</definedName>
    <definedName name="LiquorCredits">Misc_Info!$F$87:$F$93</definedName>
    <definedName name="LiquorCreditsF">Misc_Info!$F$89:$G$92</definedName>
    <definedName name="LiquorDebitsF">Misc_Info!$F$78:$G$87</definedName>
    <definedName name="LiquorEachCommonCause" localSheetId="5">'XS NOTES &amp; RATING'!#REF!</definedName>
    <definedName name="LiquorEachCommonCause">'NOTES &amp; RATING'!$BB$20</definedName>
    <definedName name="LoriYoung">Broker_Listing!$BJ$2:$BJ$11</definedName>
    <definedName name="LossEval" localSheetId="6">'COMMISSION CALCULATOR'!#REF!</definedName>
    <definedName name="LossEval">'LOSS EVALUATION'!$A$22</definedName>
    <definedName name="LossEval1Carrier">'LOSS EVALUATION'!$P$4</definedName>
    <definedName name="LossEval1Incurred">'LOSS EVALUATION'!$L$4</definedName>
    <definedName name="LossEval1PaidExpense">'LOSS EVALUATION'!$H$4</definedName>
    <definedName name="LossEval1PaidLoss">'LOSS EVALUATION'!$F$4</definedName>
    <definedName name="LossEval1ReportClaims">'LOSS EVALUATION'!$E$4</definedName>
    <definedName name="LossEval1Reserves">'LOSS EVALUATION'!$J$4</definedName>
    <definedName name="LossEval1TotalClaims">'LOSS EVALUATION'!$C$4</definedName>
    <definedName name="LossEval1ValuationDate">'LOSS EVALUATION'!$N$4</definedName>
    <definedName name="LossEval1Year">'LOSS EVALUATION'!$A$4</definedName>
    <definedName name="LossEval2Carrier">'LOSS EVALUATION'!$P$5</definedName>
    <definedName name="LossEval2Incurred">'LOSS EVALUATION'!$L$5</definedName>
    <definedName name="LossEval2PaidExpense">'LOSS EVALUATION'!$H$5</definedName>
    <definedName name="LossEval2PaidLoss">'LOSS EVALUATION'!$F$5</definedName>
    <definedName name="LossEval2ReportClaims">'LOSS EVALUATION'!$E$5</definedName>
    <definedName name="LossEval2Reserves">'LOSS EVALUATION'!$J$5</definedName>
    <definedName name="LossEval2TotalClaims">'LOSS EVALUATION'!$C$5</definedName>
    <definedName name="LossEval2ValuationDate">'LOSS EVALUATION'!$N$5</definedName>
    <definedName name="LossEval2Year">'LOSS EVALUATION'!$A$5</definedName>
    <definedName name="LossEval3Carrier">'LOSS EVALUATION'!$P$6</definedName>
    <definedName name="LossEval3Incurred">'LOSS EVALUATION'!$L$6</definedName>
    <definedName name="LossEval3PaidExpense">'LOSS EVALUATION'!$H$6</definedName>
    <definedName name="LossEval3PaidLoss">'LOSS EVALUATION'!$F$6</definedName>
    <definedName name="LossEval3ReportClaims">'LOSS EVALUATION'!$E$6</definedName>
    <definedName name="LossEval3Reserves">'LOSS EVALUATION'!$J$6</definedName>
    <definedName name="LossEval3TotalClaims">'LOSS EVALUATION'!$C$6</definedName>
    <definedName name="LossEval3ValuationDate">'LOSS EVALUATION'!$N$6</definedName>
    <definedName name="LossEval3Year">'LOSS EVALUATION'!$A$6</definedName>
    <definedName name="LossEval4Carrier">'LOSS EVALUATION'!$P$7</definedName>
    <definedName name="LossEval4Incurred">'LOSS EVALUATION'!$L$7</definedName>
    <definedName name="LossEval4PaidExpense">'LOSS EVALUATION'!$H$7</definedName>
    <definedName name="LossEval4PaidLoss">'LOSS EVALUATION'!$F$7</definedName>
    <definedName name="LossEval4ReportClaims">'LOSS EVALUATION'!$E$7</definedName>
    <definedName name="LossEval4Reserves">'LOSS EVALUATION'!$J$7</definedName>
    <definedName name="LossEval4TotalClaims">'LOSS EVALUATION'!$C$7</definedName>
    <definedName name="LossEval4ValuationDate">'LOSS EVALUATION'!$N$7</definedName>
    <definedName name="LossEval4Year">'LOSS EVALUATION'!$A$7</definedName>
    <definedName name="LossEval5Carrier">'LOSS EVALUATION'!$P$8</definedName>
    <definedName name="LossEval5Incurred">'LOSS EVALUATION'!$L$8</definedName>
    <definedName name="LossEval5PaidExpense">'LOSS EVALUATION'!$H$8</definedName>
    <definedName name="LossEval5PaidLoss">'LOSS EVALUATION'!$F$8</definedName>
    <definedName name="LossEval5ReportClaims">'LOSS EVALUATION'!$E$8</definedName>
    <definedName name="LossEval5Reserves">'LOSS EVALUATION'!$J$8</definedName>
    <definedName name="LossEval5TotalClaims">'LOSS EVALUATION'!$C$8</definedName>
    <definedName name="LossEval5ValuationDate">'LOSS EVALUATION'!$N$8</definedName>
    <definedName name="LossEval5Year">'LOSS EVALUATION'!$A$8</definedName>
    <definedName name="LossEval6Carrier">'LOSS EVALUATION'!$P$9</definedName>
    <definedName name="LossEval6Incurred">'LOSS EVALUATION'!$L$9</definedName>
    <definedName name="LossEval6PaidExpense">'LOSS EVALUATION'!$H$9</definedName>
    <definedName name="LossEval6PaidLoss">'LOSS EVALUATION'!$F$9</definedName>
    <definedName name="LossEval6ReportClaims">'LOSS EVALUATION'!$E$9</definedName>
    <definedName name="LossEval6Reserves">'LOSS EVALUATION'!$J$9</definedName>
    <definedName name="LossEval6TotalClaims">'LOSS EVALUATION'!$C$9</definedName>
    <definedName name="LossEval6ValuationDate">'LOSS EVALUATION'!$N$9</definedName>
    <definedName name="LossEval6Year">'LOSS EVALUATION'!$A$9</definedName>
    <definedName name="LossEval7Carrier">'LOSS EVALUATION'!$P$10</definedName>
    <definedName name="LossEval7Incurred">'LOSS EVALUATION'!$L$10</definedName>
    <definedName name="LossEval7PaidExpense">'LOSS EVALUATION'!$H$10</definedName>
    <definedName name="LossEval7PaidLoss">'LOSS EVALUATION'!$F$10</definedName>
    <definedName name="LossEval7ReportClaims">'LOSS EVALUATION'!$E$10</definedName>
    <definedName name="LossEval7Reserves">'LOSS EVALUATION'!$J$10</definedName>
    <definedName name="LossEval7TotalClaims">'LOSS EVALUATION'!$C$10</definedName>
    <definedName name="LossEval7ValuationDate">'LOSS EVALUATION'!$N$10</definedName>
    <definedName name="LossEval7Year">'LOSS EVALUATION'!$A$10</definedName>
    <definedName name="LossEval8Carrier">'LOSS EVALUATION'!$P$11</definedName>
    <definedName name="LossEval8Incurred">'LOSS EVALUATION'!$L$11</definedName>
    <definedName name="LossEval8PaidExpense">'LOSS EVALUATION'!$H$11</definedName>
    <definedName name="LossEval8PaidLoss">'LOSS EVALUATION'!$F$11</definedName>
    <definedName name="LossEval8ReportClaims">'LOSS EVALUATION'!$E$11</definedName>
    <definedName name="LossEval8Reserves">'LOSS EVALUATION'!$J$11</definedName>
    <definedName name="LossEval8TotalClaims">'LOSS EVALUATION'!$C$11</definedName>
    <definedName name="LossEval8ValuationDate">'LOSS EVALUATION'!$N$11</definedName>
    <definedName name="LossEval8Year">'LOSS EVALUATION'!$A$11</definedName>
    <definedName name="LuAldorisio">Broker_Listing!$BT$2:$BT$4236</definedName>
    <definedName name="ManualFormName">Misc_Info!$BV$1:$BV$3</definedName>
    <definedName name="ManualFormNumber">Misc_Info!$BU$1:$BU$3</definedName>
    <definedName name="MarkHerrington">Broker_Listing!$AN$2:$AN$24</definedName>
    <definedName name="MaryBethRusso">Broker_Listing!$AO$2:$AO$23</definedName>
    <definedName name="MaximumWorkHeight" localSheetId="5">'XS NOTES &amp; RATING'!#REF!</definedName>
    <definedName name="MaximumWorkHeight">'NOTES &amp; RATING'!#REF!</definedName>
    <definedName name="MaxProFee">Misc_Info!$BO$54</definedName>
    <definedName name="Maybe">Misc_Info!$AI$1:$AK$1</definedName>
    <definedName name="MedPay" localSheetId="5">'XS NOTES &amp; RATING'!#REF!</definedName>
    <definedName name="MedPay">'NOTES &amp; RATING'!$BB$18</definedName>
    <definedName name="MedPayDropdown">Misc_Info!$BW$1:$BW$4</definedName>
    <definedName name="MelissaHarris">Broker_Listing!$AP$2:$AP$26</definedName>
    <definedName name="MichaelEnwright">Broker_Listing!$AX$2:$AX$21</definedName>
    <definedName name="MikeHernandez">Broker_Listing!$BK$2:$BK$24</definedName>
    <definedName name="MinAudit" localSheetId="5">'XS NOTES &amp; RATING'!#REF!</definedName>
    <definedName name="MinAudit">'NOTES &amp; RATING'!$AZ$37</definedName>
    <definedName name="MinInception" localSheetId="5">'XS NOTES &amp; RATING'!#REF!</definedName>
    <definedName name="MinInception">'NOTES &amp; RATING'!$J$38</definedName>
    <definedName name="MissingInfoCounter">#REF!</definedName>
    <definedName name="MissingInfoEmailLine1">#REF!</definedName>
    <definedName name="MissingInfoEmailLine2">#REF!</definedName>
    <definedName name="MissingInfoEmailLine3">#REF!</definedName>
    <definedName name="MissingInfoEmailLine4">#REF!</definedName>
    <definedName name="MissingInfoEmailLine5">#REF!</definedName>
    <definedName name="MissingInfoEmailLine6">#REF!</definedName>
    <definedName name="MissingInfoEmailSubject">#REF!</definedName>
    <definedName name="NadyaBorst">Broker_Listing!$AQ$2:$AQ$24</definedName>
    <definedName name="NancyFlodmand">Broker_Listing!$AY$2:$AY$22</definedName>
    <definedName name="New?" localSheetId="5">'XS NOTES &amp; RATING'!$I$6</definedName>
    <definedName name="New?">'NOTES &amp; RATING'!$I$6</definedName>
    <definedName name="NextStepInterestedEmailLine1">#REF!</definedName>
    <definedName name="NextStepInterestedEmailLine2">#REF!</definedName>
    <definedName name="NextStepInterestedEmailLine3">#REF!</definedName>
    <definedName name="NextStepInterestedEmailLine4">#REF!</definedName>
    <definedName name="NextStepInterestedEmailLine5">#REF!</definedName>
    <definedName name="NextStepInterestedEmailLine6">#REF!</definedName>
    <definedName name="NextStepInterestedEmailSubject">#REF!</definedName>
    <definedName name="NextStepInterestedShortEmailLine1">#REF!</definedName>
    <definedName name="NextStepInterestedShortEmailLine2">#REF!</definedName>
    <definedName name="NicoleWhitehead">Broker_Listing!$AR$2:$AR$20</definedName>
    <definedName name="NonT1StateListing">#REF!</definedName>
    <definedName name="NonTier1">#REF!</definedName>
    <definedName name="NortheastStates">Misc_Info!$BJ$2:$BJ$13</definedName>
    <definedName name="Nothing">Misc_Info!$BT$47</definedName>
    <definedName name="Occurrence" localSheetId="5">'XS NOTES &amp; RATING'!#REF!</definedName>
    <definedName name="Occurrence">'NOTES &amp; RATING'!$BB$15</definedName>
    <definedName name="OCIPCCIPCPECounter" localSheetId="5">'XS NOTES &amp; RATING'!#REF!</definedName>
    <definedName name="OCIPCCIPCPECounter">'NOTES &amp; RATING'!#REF!</definedName>
    <definedName name="OCP">Broker_Listing!$P$1:$P$12</definedName>
    <definedName name="OCPContractCosts" localSheetId="5">'XS NOTES &amp; RATING'!#REF!</definedName>
    <definedName name="OCPContractCosts">'NOTES &amp; RATING'!#REF!</definedName>
    <definedName name="OCPContractor" localSheetId="5">'XS NOTES &amp; RATING'!#REF!</definedName>
    <definedName name="OCPContractor">'NOTES &amp; RATING'!#REF!</definedName>
    <definedName name="OCPcoverageform">Misc_Info!$I$7</definedName>
    <definedName name="OCPDuration" localSheetId="5">'XS NOTES &amp; RATING'!#REF!</definedName>
    <definedName name="OCPDuration">'NOTES &amp; RATING'!#REF!</definedName>
    <definedName name="OCPLocation" localSheetId="5">'XS NOTES &amp; RATING'!#REF!</definedName>
    <definedName name="OCPLocation">'NOTES &amp; RATING'!#REF!</definedName>
    <definedName name="OCPMailing" localSheetId="5">'XS NOTES &amp; RATING'!#REF!</definedName>
    <definedName name="OCPMailing">'NOTES &amp; RATING'!#REF!</definedName>
    <definedName name="OCPType">Misc_Info!$BF$1:$BF$2</definedName>
    <definedName name="OG">Broker_Listing!$Q$1:$Q$66</definedName>
    <definedName name="OGEmployeesOnePlace" localSheetId="5">'XS NOTES &amp; RATING'!#REF!</definedName>
    <definedName name="OGEmployeesOnePlace">'NOTES &amp; RATING'!#REF!</definedName>
    <definedName name="OGEmployeesOneTime" localSheetId="5">'XS NOTES &amp; RATING'!#REF!</definedName>
    <definedName name="OGEmployeesOneTime">'NOTES &amp; RATING'!#REF!</definedName>
    <definedName name="OGJonesActPayroll" localSheetId="5">'XS NOTES &amp; RATING'!#REF!</definedName>
    <definedName name="OGJonesActPayroll">'NOTES &amp; RATING'!#REF!</definedName>
    <definedName name="OGMELPremium" localSheetId="5">'XS NOTES &amp; RATING'!#REF!</definedName>
    <definedName name="OGMELPremium">'NOTES &amp; RATING'!#REF!</definedName>
    <definedName name="OGOverwaterPayroll" localSheetId="5">'XS NOTES &amp; RATING'!#REF!</definedName>
    <definedName name="OGOverwaterPayroll">'NOTES &amp; RATING'!#REF!</definedName>
    <definedName name="OGPercentOverwater" localSheetId="5">'XS NOTES &amp; RATING'!#REF!</definedName>
    <definedName name="OGPercentOverwater">'NOTES &amp; RATING'!#REF!</definedName>
    <definedName name="OGSouthOfI10" localSheetId="5">'XS NOTES &amp; RATING'!#REF!</definedName>
    <definedName name="OGSouthOfI10">'NOTES &amp; RATING'!#REF!</definedName>
    <definedName name="OGType">Misc_Info!$BF$4:$BF$5</definedName>
    <definedName name="OGUSLHPayroll" localSheetId="5">'XS NOTES &amp; RATING'!#REF!</definedName>
    <definedName name="OGUSLHPayroll">'NOTES &amp; RATING'!#REF!</definedName>
    <definedName name="OICPECounter" localSheetId="5">'XS NOTES &amp; RATING'!#REF!</definedName>
    <definedName name="OICPECounter">'NOTES &amp; RATING'!#REF!</definedName>
    <definedName name="OperateNYState" localSheetId="5">'XS NOTES &amp; RATING'!#REF!</definedName>
    <definedName name="OperateNYState">'NOTES &amp; RATING'!#REF!</definedName>
    <definedName name="OperateTier1" localSheetId="5">'XS NOTES &amp; RATING'!#REF!</definedName>
    <definedName name="OperateTier1">'NOTES &amp; RATING'!#REF!</definedName>
    <definedName name="Operations" localSheetId="5">'XS NOTES &amp; RATING'!#REF!</definedName>
    <definedName name="Operations">'NOTES &amp; RATING'!#REF!</definedName>
    <definedName name="OtherInsuranceCounter" localSheetId="5">'XS NOTES &amp; RATING'!#REF!</definedName>
    <definedName name="OtherInsuranceCounter">'NOTES &amp; RATING'!#REF!</definedName>
    <definedName name="OutstandingCounter">#REF!</definedName>
    <definedName name="PamelaGarrett">Broker_Listing!$AZ$2:$AZ$23</definedName>
    <definedName name="PayrollToSales" localSheetId="5">'XS NOTES &amp; RATING'!#REF!</definedName>
    <definedName name="PayrollToSales">'NOTES &amp; RATING'!#REF!</definedName>
    <definedName name="PCO" localSheetId="5">'XS NOTES &amp; RATING'!#REF!</definedName>
    <definedName name="PCO">'NOTES &amp; RATING'!$BB$14</definedName>
    <definedName name="PercentExterior" localSheetId="5">'XS NOTES &amp; RATING'!#REF!</definedName>
    <definedName name="PercentExterior">'NOTES &amp; RATING'!#REF!</definedName>
    <definedName name="PercentInterior" localSheetId="5">'XS NOTES &amp; RATING'!#REF!</definedName>
    <definedName name="PercentInterior">'NOTES &amp; RATING'!#REF!</definedName>
    <definedName name="PercentNew" localSheetId="5">'XS NOTES &amp; RATING'!#REF!</definedName>
    <definedName name="PercentNew">'NOTES &amp; RATING'!#REF!</definedName>
    <definedName name="PercentNewCondos" localSheetId="5">'XS NOTES &amp; RATING'!#REF!</definedName>
    <definedName name="PercentNewCondos">'NOTES &amp; RATING'!#REF!</definedName>
    <definedName name="PercentNewTracts" localSheetId="5">'XS NOTES &amp; RATING'!#REF!</definedName>
    <definedName name="PercentNewTracts">'NOTES &amp; RATING'!#REF!</definedName>
    <definedName name="PercentRepair" localSheetId="5">'XS NOTES &amp; RATING'!#REF!</definedName>
    <definedName name="PercentRepair">'NOTES &amp; RATING'!#REF!</definedName>
    <definedName name="PeriodLength">Misc_Info!$C$1:$C$10</definedName>
    <definedName name="PerProjAggSel" localSheetId="6">#REF!</definedName>
    <definedName name="PerProjAggSel" localSheetId="5">#REF!</definedName>
    <definedName name="PerProjAggSel">#REF!</definedName>
    <definedName name="PIAI" localSheetId="5">'XS NOTES &amp; RATING'!#REF!</definedName>
    <definedName name="PIAI">'NOTES &amp; RATING'!$BB$16</definedName>
    <definedName name="PicTable">#REF!</definedName>
    <definedName name="PicTable2">#REF!</definedName>
    <definedName name="Policy_Premium" localSheetId="5">'XS NOTES &amp; RATING'!#REF!</definedName>
    <definedName name="Policy_Premium">'NOTES &amp; RATING'!AQ27</definedName>
    <definedName name="PolicyForm" localSheetId="5">'XS NOTES &amp; RATING'!$Z$9</definedName>
    <definedName name="PolicyForm">'NOTES &amp; RATING'!$Z$9</definedName>
    <definedName name="PolicyIssued">#REF!</definedName>
    <definedName name="PolicyNum">#REF!</definedName>
    <definedName name="PolicyNumberEmail1">#REF!</definedName>
    <definedName name="PolicyNumberEmail10">#REF!</definedName>
    <definedName name="PolicyNumberEmail11">#REF!</definedName>
    <definedName name="PolicyNumberEmail12">#REF!</definedName>
    <definedName name="PolicyNumberEmail2">#REF!</definedName>
    <definedName name="PolicyNumberEmail3">#REF!</definedName>
    <definedName name="PolicyNumberEmail4">#REF!</definedName>
    <definedName name="PolicyNumberEmail5">#REF!</definedName>
    <definedName name="PolicyNumberEmail6">#REF!</definedName>
    <definedName name="PolicyNumberEmail7">#REF!</definedName>
    <definedName name="PolicyNumberEmail8">#REF!</definedName>
    <definedName name="PolicyNumberEmail9">#REF!</definedName>
    <definedName name="PolicyNumberEmailPolicyNumber">#REF!</definedName>
    <definedName name="PolicyNumberEmailPremium">#REF!</definedName>
    <definedName name="PolicyNumberEmailTerm">#REF!</definedName>
    <definedName name="PolicyTerm" localSheetId="5">'XS NOTES &amp; RATING'!$BB$7</definedName>
    <definedName name="PolicyTerm">'NOTES &amp; RATING'!$BB$7</definedName>
    <definedName name="PollutionCounter" localSheetId="5">'XS NOTES &amp; RATING'!#REF!</definedName>
    <definedName name="PollutionCounter">'NOTES &amp; RATING'!#REF!</definedName>
    <definedName name="Premium_Bucket" localSheetId="5">'XS NOTES &amp; RATING'!#REF!</definedName>
    <definedName name="Premium_Bucket">'NOTES &amp; RATING'!#REF!</definedName>
    <definedName name="Pricing" localSheetId="5">'XS NOTES &amp; RATING'!#REF!</definedName>
    <definedName name="Pricing">'NOTES &amp; RATING'!$AB$41</definedName>
    <definedName name="PricingNew" localSheetId="5">'XS NOTES &amp; RATING'!$A$30</definedName>
    <definedName name="PricingNew">'NOTES &amp; RATING'!$A$33</definedName>
    <definedName name="_xlnm.Print_Area" localSheetId="6">'COMMISSION CALCULATOR'!$A$1:$H$17</definedName>
    <definedName name="_xlnm.Print_Area" localSheetId="7">'LOSS EVALUATION'!$A$1:$P$86</definedName>
    <definedName name="_xlnm.Print_Area" localSheetId="3">'Named Ranges'!$A$1:$B$554</definedName>
    <definedName name="_xlnm.Print_Area" localSheetId="4">'NOTES &amp; RATING'!$A$1:$BH$39</definedName>
    <definedName name="_xlnm.Print_Area" localSheetId="5">'XS NOTES &amp; RATING'!$A$1:$BH$32</definedName>
    <definedName name="_xlnm.Print_Titles" localSheetId="6">'COMMISSION CALCULATOR'!$2:$2</definedName>
    <definedName name="_xlnm.Print_Titles" localSheetId="3">'Named Ranges'!$1:$2</definedName>
    <definedName name="Prioritization">#REF!</definedName>
    <definedName name="ProcessingFee" localSheetId="5">'XS NOTES &amp; RATING'!#REF!</definedName>
    <definedName name="ProcessingFee">'NOTES &amp; RATING'!$AN$38</definedName>
    <definedName name="Prod">Broker_Listing!$O$1:$O$416</definedName>
    <definedName name="ProdDesignSelf" localSheetId="6">'NOTES &amp; RATING'!#REF!</definedName>
    <definedName name="ProdDesignSelf" localSheetId="5">'XS NOTES &amp; RATING'!#REF!</definedName>
    <definedName name="ProdDesignSelf">'NOTES &amp; RATING'!#REF!</definedName>
    <definedName name="ProdIso9000" localSheetId="6">'NOTES &amp; RATING'!#REF!</definedName>
    <definedName name="ProdIso9000" localSheetId="5">'XS NOTES &amp; RATING'!#REF!</definedName>
    <definedName name="ProdIso9000">'NOTES &amp; RATING'!#REF!</definedName>
    <definedName name="ProdRecallYes" localSheetId="6">'NOTES &amp; RATING'!#REF!</definedName>
    <definedName name="ProdRecallYes" localSheetId="5">'XS NOTES &amp; RATING'!#REF!</definedName>
    <definedName name="ProdRecallYes">'NOTES &amp; RATING'!#REF!</definedName>
    <definedName name="ProductsCalculation1" localSheetId="5">'XS NOTES &amp; RATING'!#REF!</definedName>
    <definedName name="ProductsCalculation1">'NOTES &amp; RATING'!#REF!</definedName>
    <definedName name="ProductsCalculation2" localSheetId="5">'XS NOTES &amp; RATING'!#REF!</definedName>
    <definedName name="ProductsCalculation2">'NOTES &amp; RATING'!#REF!</definedName>
    <definedName name="ProductsCalculation3" localSheetId="5">'XS NOTES &amp; RATING'!#REF!</definedName>
    <definedName name="ProductsCalculation3">'NOTES &amp; RATING'!#REF!</definedName>
    <definedName name="ProductsCalculation4" localSheetId="5">'XS NOTES &amp; RATING'!#REF!</definedName>
    <definedName name="ProductsCalculation4">'NOTES &amp; RATING'!#REF!</definedName>
    <definedName name="ProductsCommercialPercent" localSheetId="5">'XS NOTES &amp; RATING'!#REF!</definedName>
    <definedName name="ProductsCommercialPercent">'NOTES &amp; RATING'!#REF!</definedName>
    <definedName name="ProductsConsumerPercent" localSheetId="5">'XS NOTES &amp; RATING'!#REF!</definedName>
    <definedName name="ProductsConsumerPercent">'NOTES &amp; RATING'!#REF!</definedName>
    <definedName name="ProductsDomesticCurrent" localSheetId="5">'XS NOTES &amp; RATING'!#REF!</definedName>
    <definedName name="ProductsDomesticCurrent">'NOTES &amp; RATING'!#REF!</definedName>
    <definedName name="ProductsDomesticProjected" localSheetId="5">'XS NOTES &amp; RATING'!#REF!</definedName>
    <definedName name="ProductsDomesticProjected">'NOTES &amp; RATING'!#REF!</definedName>
    <definedName name="ProductsForeignCurrent" localSheetId="5">'XS NOTES &amp; RATING'!#REF!</definedName>
    <definedName name="ProductsForeignCurrent">'NOTES &amp; RATING'!#REF!</definedName>
    <definedName name="ProductsForeignProjected" localSheetId="5">'XS NOTES &amp; RATING'!#REF!</definedName>
    <definedName name="ProductsForeignProjected">'NOTES &amp; RATING'!#REF!</definedName>
    <definedName name="ProductsUse" localSheetId="5">'XS NOTES &amp; RATING'!#REF!</definedName>
    <definedName name="ProductsUse">'NOTES &amp; RATING'!#REF!</definedName>
    <definedName name="ProFees">Misc_Info!$BM$2:$BO$52</definedName>
    <definedName name="ProjectFactor">#REF!</definedName>
    <definedName name="ProjectSpecificCPECounter" localSheetId="5">'XS NOTES &amp; RATING'!#REF!</definedName>
    <definedName name="ProjectSpecificCPECounter">'NOTES &amp; RATING'!#REF!</definedName>
    <definedName name="ProjectType">#REF!</definedName>
    <definedName name="Q_STATES" localSheetId="6">#REF!</definedName>
    <definedName name="Q_STATES" localSheetId="5">#REF!</definedName>
    <definedName name="Q_STATES">#REF!</definedName>
    <definedName name="QuoteEmail1">Misc_Info!$DI$1</definedName>
    <definedName name="QuoteEmail2">Misc_Info!$DI$2</definedName>
    <definedName name="QuoteRate1">#REF!</definedName>
    <definedName name="QuoteRate2">#REF!</definedName>
    <definedName name="QuoteRate3">#REF!</definedName>
    <definedName name="QuoteRate4">#REF!</definedName>
    <definedName name="QuoteRate5">#REF!</definedName>
    <definedName name="QuoteRevisions">Misc_Info!$DM$1:$DM$8</definedName>
    <definedName name="Rackley_Premium" localSheetId="5">'XS NOTES &amp; RATING'!#REF!</definedName>
    <definedName name="Rackley_Premium">'NOTES &amp; RATING'!$BB$27</definedName>
    <definedName name="RackleyClassExp">Broker_Listing!$F$1:$G$1048</definedName>
    <definedName name="RackleyDeductible" localSheetId="5">'XS NOTES &amp; RATING'!#REF!</definedName>
    <definedName name="RackleyDeductible">'NOTES &amp; RATING'!#REF!</definedName>
    <definedName name="RackleyExpBases">Broker_Listing!$S$1:$S$49</definedName>
    <definedName name="RackleyExposure" localSheetId="5">'XS NOTES &amp; RATING'!#REF!</definedName>
    <definedName name="RackleyExposure">'NOTES &amp; RATING'!#REF!</definedName>
    <definedName name="RackleyExposureBasis" localSheetId="5">'XS NOTES &amp; RATING'!#REF!</definedName>
    <definedName name="RackleyExposureBasis">'NOTES &amp; RATING'!#REF!</definedName>
    <definedName name="RackleyLimits" localSheetId="5">'XS NOTES &amp; RATING'!#REF!</definedName>
    <definedName name="RackleyLimits">'NOTES &amp; RATING'!#REF!</definedName>
    <definedName name="RackleyPCOPercent" localSheetId="5">'XS NOTES &amp; RATING'!#REF!</definedName>
    <definedName name="RackleyPCOPercent">'NOTES &amp; RATING'!$BF$39</definedName>
    <definedName name="RackleyPCOPremium" localSheetId="5">'XS NOTES &amp; RATING'!#REF!</definedName>
    <definedName name="RackleyPCOPremium">'NOTES &amp; RATING'!$BB$39</definedName>
    <definedName name="RackleyPercent" localSheetId="5">'XS NOTES &amp; RATING'!#REF!</definedName>
    <definedName name="RackleyPercent">'NOTES &amp; RATING'!#REF!</definedName>
    <definedName name="RackleyPremOpsPercent" localSheetId="5">'XS NOTES &amp; RATING'!#REF!</definedName>
    <definedName name="RackleyPremOpsPercent">'NOTES &amp; RATING'!$BF$38</definedName>
    <definedName name="RackleyPremOpsPremium" localSheetId="5">'XS NOTES &amp; RATING'!#REF!</definedName>
    <definedName name="RackleyPremOpsPremium">'NOTES &amp; RATING'!$BB$38</definedName>
    <definedName name="RateOptions1">Misc_Info!$BT$1:$BT$6</definedName>
    <definedName name="RateOptions2">Misc_Info!$BT$9:$BT$14</definedName>
    <definedName name="RateOptions3">Misc_Info!$BT$17:$BT$22</definedName>
    <definedName name="RateOptions4">Misc_Info!$BT$25:$BT$30</definedName>
    <definedName name="RateOptions5">Misc_Info!$BT$33:$BT$38</definedName>
    <definedName name="RateRange" localSheetId="5">'XS NOTES &amp; RATING'!#REF!</definedName>
    <definedName name="RateRange">'NOTES &amp; RATING'!#REF!</definedName>
    <definedName name="Rating1ExposureAmount" localSheetId="5">'XS NOTES &amp; RATING'!#REF!</definedName>
    <definedName name="Rating1ExposureAmount">'NOTES &amp; RATING'!#REF!</definedName>
    <definedName name="Rating1ExposureBasis" localSheetId="5">'XS NOTES &amp; RATING'!#REF!</definedName>
    <definedName name="Rating1ExposureBasis">'NOTES &amp; RATING'!#REF!</definedName>
    <definedName name="Rating1Notes" localSheetId="5">'XS NOTES &amp; RATING'!#REF!</definedName>
    <definedName name="Rating1Notes">'NOTES &amp; RATING'!#REF!</definedName>
    <definedName name="Rating1Premium" localSheetId="5">'XS NOTES &amp; RATING'!#REF!</definedName>
    <definedName name="Rating1Premium">'NOTES &amp; RATING'!#REF!</definedName>
    <definedName name="Rating1Type" localSheetId="5">'XS NOTES &amp; RATING'!#REF!</definedName>
    <definedName name="Rating1Type">'NOTES &amp; RATING'!#REF!</definedName>
    <definedName name="Rating2ExposureAmount" localSheetId="5">'XS NOTES &amp; RATING'!#REF!</definedName>
    <definedName name="Rating2ExposureAmount">'NOTES &amp; RATING'!#REF!</definedName>
    <definedName name="Rating2ExposureBasis" localSheetId="5">'XS NOTES &amp; RATING'!#REF!</definedName>
    <definedName name="Rating2ExposureBasis">'NOTES &amp; RATING'!#REF!</definedName>
    <definedName name="Rating2Notes" localSheetId="5">'XS NOTES &amp; RATING'!#REF!</definedName>
    <definedName name="Rating2Notes">'NOTES &amp; RATING'!#REF!</definedName>
    <definedName name="Rating2Premium" localSheetId="5">'XS NOTES &amp; RATING'!#REF!</definedName>
    <definedName name="Rating2Premium">'NOTES &amp; RATING'!#REF!</definedName>
    <definedName name="Rating2Rate" localSheetId="5">'XS NOTES &amp; RATING'!#REF!</definedName>
    <definedName name="Rating2Rate">'NOTES &amp; RATING'!#REF!</definedName>
    <definedName name="Rating2Type" localSheetId="5">'XS NOTES &amp; RATING'!#REF!</definedName>
    <definedName name="Rating2Type">'NOTES &amp; RATING'!#REF!</definedName>
    <definedName name="Rating3ExposureAmount" localSheetId="5">'XS NOTES &amp; RATING'!#REF!</definedName>
    <definedName name="Rating3ExposureAmount">'NOTES &amp; RATING'!#REF!</definedName>
    <definedName name="Rating3ExposureBasis" localSheetId="5">'XS NOTES &amp; RATING'!#REF!</definedName>
    <definedName name="Rating3ExposureBasis">'NOTES &amp; RATING'!#REF!</definedName>
    <definedName name="Rating3Notes" localSheetId="5">'XS NOTES &amp; RATING'!#REF!</definedName>
    <definedName name="Rating3Notes">'NOTES &amp; RATING'!#REF!</definedName>
    <definedName name="Rating3Premium" localSheetId="5">'XS NOTES &amp; RATING'!#REF!</definedName>
    <definedName name="Rating3Premium">'NOTES &amp; RATING'!#REF!</definedName>
    <definedName name="Rating3Rate" localSheetId="5">'XS NOTES &amp; RATING'!#REF!</definedName>
    <definedName name="Rating3Rate">'NOTES &amp; RATING'!#REF!</definedName>
    <definedName name="Rating3Type" localSheetId="5">'XS NOTES &amp; RATING'!#REF!</definedName>
    <definedName name="Rating3Type">'NOTES &amp; RATING'!#REF!</definedName>
    <definedName name="Rating4ExposureAmount" localSheetId="5">'XS NOTES &amp; RATING'!#REF!</definedName>
    <definedName name="Rating4ExposureAmount">'NOTES &amp; RATING'!#REF!</definedName>
    <definedName name="Rating4ExposureBasis" localSheetId="5">'XS NOTES &amp; RATING'!#REF!</definedName>
    <definedName name="Rating4ExposureBasis">'NOTES &amp; RATING'!#REF!</definedName>
    <definedName name="Rating4Notes" localSheetId="5">'XS NOTES &amp; RATING'!#REF!</definedName>
    <definedName name="Rating4Notes">'NOTES &amp; RATING'!#REF!</definedName>
    <definedName name="Rating4Premium" localSheetId="5">'XS NOTES &amp; RATING'!#REF!</definedName>
    <definedName name="Rating4Premium">'NOTES &amp; RATING'!#REF!</definedName>
    <definedName name="Rating4Rate" localSheetId="5">'XS NOTES &amp; RATING'!#REF!</definedName>
    <definedName name="Rating4Rate">'NOTES &amp; RATING'!#REF!</definedName>
    <definedName name="Rating4Type" localSheetId="5">'XS NOTES &amp; RATING'!#REF!</definedName>
    <definedName name="Rating4Type">'NOTES &amp; RATING'!#REF!</definedName>
    <definedName name="Rating5ExposureAmount" localSheetId="5">'XS NOTES &amp; RATING'!#REF!</definedName>
    <definedName name="Rating5ExposureAmount">'NOTES &amp; RATING'!#REF!</definedName>
    <definedName name="Rating5ExposureBasis" localSheetId="5">'XS NOTES &amp; RATING'!#REF!</definedName>
    <definedName name="Rating5ExposureBasis">'NOTES &amp; RATING'!#REF!</definedName>
    <definedName name="Rating5Notes" localSheetId="5">'XS NOTES &amp; RATING'!#REF!</definedName>
    <definedName name="Rating5Notes">'NOTES &amp; RATING'!#REF!</definedName>
    <definedName name="Rating5Premium" localSheetId="5">'XS NOTES &amp; RATING'!#REF!</definedName>
    <definedName name="Rating5Premium">'NOTES &amp; RATING'!#REF!</definedName>
    <definedName name="Rating5Rate" localSheetId="5">'XS NOTES &amp; RATING'!#REF!</definedName>
    <definedName name="Rating5Rate">'NOTES &amp; RATING'!#REF!</definedName>
    <definedName name="Rating5Type" localSheetId="5">'XS NOTES &amp; RATING'!#REF!</definedName>
    <definedName name="Rating5Type">'NOTES &amp; RATING'!#REF!</definedName>
    <definedName name="RefEmailBroker">Misc_Info!$CY$1</definedName>
    <definedName name="RefEmailExpNotes">Misc_Info!$CY$5</definedName>
    <definedName name="RefEmailIL">Misc_Info!$CY$6</definedName>
    <definedName name="RefEmailLimits">Misc_Info!$CY$8</definedName>
    <definedName name="RefEmailLossNotes">Misc_Info!$CY$7</definedName>
    <definedName name="RefEmailOpsNotes">Misc_Info!$CY$4</definedName>
    <definedName name="RefEmailPremiumBucket">Misc_Info!$CY$13</definedName>
    <definedName name="RefEmailPremiumRackley">Misc_Info!$CY$11</definedName>
    <definedName name="RefEmailPricingNotes">Misc_Info!$CY$12</definedName>
    <definedName name="RefEmailRateExp">Misc_Info!$CY$10</definedName>
    <definedName name="RefEmailRefNotes">Misc_Info!$CY$2</definedName>
    <definedName name="RefEmailRetention">Misc_Info!$CY$9</definedName>
    <definedName name="RefEmailState">Misc_Info!$CY$3</definedName>
    <definedName name="ReferralNotes">#REF!</definedName>
    <definedName name="Reinsurance" localSheetId="5">'XS NOTES &amp; RATING'!#REF!</definedName>
    <definedName name="ResiComm" localSheetId="5">'XS NOTES &amp; RATING'!#REF!</definedName>
    <definedName name="ResiComm">'NOTES &amp; RATING'!#REF!</definedName>
    <definedName name="ResiCommKey">Misc_Info!$DO$1:$DP$6</definedName>
    <definedName name="Residential" localSheetId="5">'XS NOTES &amp; RATING'!#REF!</definedName>
    <definedName name="Residential">'NOTES &amp; RATING'!#REF!</definedName>
    <definedName name="ResidentialTypes">Misc_Info!$CI$11:$CI$15</definedName>
    <definedName name="Retention" localSheetId="5">'XS NOTES &amp; RATING'!#REF!</definedName>
    <definedName name="Retention">'NOTES &amp; RATING'!$A$37</definedName>
    <definedName name="RetroDate" localSheetId="5">'XS NOTES &amp; RATING'!#REF!</definedName>
    <definedName name="RetroDate">'NOTES &amp; RATING'!$Z$10</definedName>
    <definedName name="RiskOfWrap">Misc_Info!$BY$2</definedName>
    <definedName name="RobertDickinson">Broker_Listing!$AS$2:$AS$23</definedName>
    <definedName name="RogerKolbII">Broker_Listing!$BA$2:$BA$32</definedName>
    <definedName name="Roof">Broker_Listing!$J$1:$J$3</definedName>
    <definedName name="RoofAvgHeight" localSheetId="5">'XS NOTES &amp; RATING'!#REF!</definedName>
    <definedName name="RoofAvgHeight">'NOTES &amp; RATING'!#REF!</definedName>
    <definedName name="RoofComPay" localSheetId="5">'XS NOTES &amp; RATING'!#REF!</definedName>
    <definedName name="RoofComPay">'NOTES &amp; RATING'!#REF!</definedName>
    <definedName name="RoofHotTarYes" localSheetId="5">'XS NOTES &amp; RATING'!#REF!</definedName>
    <definedName name="RoofHotTarYes">'NOTES &amp; RATING'!#REF!</definedName>
    <definedName name="RoofingESPayroll" localSheetId="5">'XS NOTES &amp; RATING'!#REF!</definedName>
    <definedName name="RoofingESPayroll">'NOTES &amp; RATING'!#REF!</definedName>
    <definedName name="RoofingJobSite" localSheetId="5">'XS NOTES &amp; RATING'!#REF!</definedName>
    <definedName name="RoofingJobSite">'NOTES &amp; RATING'!#REF!</definedName>
    <definedName name="RoofingOtherWork" localSheetId="5">'XS NOTES &amp; RATING'!#REF!</definedName>
    <definedName name="RoofingOtherWork">'NOTES &amp; RATING'!#REF!</definedName>
    <definedName name="RoofingPayroll" localSheetId="5">'XS NOTES &amp; RATING'!#REF!</definedName>
    <definedName name="RoofingPayroll">'NOTES &amp; RATING'!#REF!</definedName>
    <definedName name="RoofingWorkingPayroll" localSheetId="5">'XS NOTES &amp; RATING'!#REF!</definedName>
    <definedName name="RoofingWorkingPayroll">'NOTES &amp; RATING'!#REF!</definedName>
    <definedName name="RoofMaxHeight" localSheetId="5">'XS NOTES &amp; RATING'!#REF!</definedName>
    <definedName name="RoofMaxHeight">'NOTES &amp; RATING'!#REF!</definedName>
    <definedName name="RoofNew" localSheetId="5">'XS NOTES &amp; RATING'!#REF!</definedName>
    <definedName name="RoofNew">'NOTES &amp; RATING'!#REF!</definedName>
    <definedName name="RoofReplacement" localSheetId="5">'XS NOTES &amp; RATING'!#REF!</definedName>
    <definedName name="RoofReplacement">'NOTES &amp; RATING'!#REF!</definedName>
    <definedName name="RoofResPay" localSheetId="5">'XS NOTES &amp; RATING'!#REF!</definedName>
    <definedName name="RoofResPay">'NOTES &amp; RATING'!#REF!</definedName>
    <definedName name="RoofTorchDownYes" localSheetId="5">'XS NOTES &amp; RATING'!#REF!</definedName>
    <definedName name="RoofTorchDownYes">'NOTES &amp; RATING'!#REF!</definedName>
    <definedName name="RVECommissionChange" localSheetId="5">'XS NOTES &amp; RATING'!#REF!</definedName>
    <definedName name="RVECommissionChange">'NOTES &amp; RATING'!$V$46</definedName>
    <definedName name="RVEExpiringCommission" localSheetId="5">'XS NOTES &amp; RATING'!#REF!</definedName>
    <definedName name="RVEExpiringCommission">'NOTES &amp; RATING'!$J$46</definedName>
    <definedName name="RVEExpiringExposure" localSheetId="5">'XS NOTES &amp; RATING'!#REF!</definedName>
    <definedName name="RVEExpiringExposure">'NOTES &amp; RATING'!$J$43</definedName>
    <definedName name="RVEExpiringPY" localSheetId="5">'XS NOTES &amp; RATING'!#REF!</definedName>
    <definedName name="RVEExpiringPY">'NOTES &amp; RATING'!$J$41</definedName>
    <definedName name="RVEExpiringRate" localSheetId="5">'XS NOTES &amp; RATING'!#REF!</definedName>
    <definedName name="RVEExpiringRate">'NOTES &amp; RATING'!$J$42</definedName>
    <definedName name="RVEExpiringRetention" localSheetId="5">'XS NOTES &amp; RATING'!#REF!</definedName>
    <definedName name="RVEExpiringRetention">'NOTES &amp; RATING'!$J$45</definedName>
    <definedName name="RVEExposureChange" localSheetId="5">'XS NOTES &amp; RATING'!#REF!</definedName>
    <definedName name="RVEExposureChange">'NOTES &amp; RATING'!$V$43</definedName>
    <definedName name="RVEPremiumChange" localSheetId="5">'XS NOTES &amp; RATING'!#REF!</definedName>
    <definedName name="RVEPremiumChange">'NOTES &amp; RATING'!$V$44</definedName>
    <definedName name="RVERateChange" localSheetId="5">'XS NOTES &amp; RATING'!#REF!</definedName>
    <definedName name="RVERateChange">'NOTES &amp; RATING'!$V$42</definedName>
    <definedName name="RVERenewalCommission" localSheetId="5">'XS NOTES &amp; RATING'!#REF!</definedName>
    <definedName name="RVERenewalCommission">'NOTES &amp; RATING'!$P$46</definedName>
    <definedName name="RVERenewalExposure" localSheetId="5">'XS NOTES &amp; RATING'!#REF!</definedName>
    <definedName name="RVERenewalExposure">'NOTES &amp; RATING'!$P$43</definedName>
    <definedName name="RVERenewalPremium" localSheetId="5">'XS NOTES &amp; RATING'!#REF!</definedName>
    <definedName name="RVERenewalPremium">'NOTES &amp; RATING'!$P$44</definedName>
    <definedName name="RVERenewalPY" localSheetId="5">'XS NOTES &amp; RATING'!#REF!</definedName>
    <definedName name="RVERenewalPY">'NOTES &amp; RATING'!$P$41</definedName>
    <definedName name="RVERenewalRate" localSheetId="5">'XS NOTES &amp; RATING'!#REF!</definedName>
    <definedName name="RVERenewalRate">'NOTES &amp; RATING'!$P$42</definedName>
    <definedName name="RVERenewalRetention" localSheetId="5">'XS NOTES &amp; RATING'!#REF!</definedName>
    <definedName name="RVERenewalRetention">'NOTES &amp; RATING'!$P$45</definedName>
    <definedName name="RVERetentionChange" localSheetId="5">'XS NOTES &amp; RATING'!#REF!</definedName>
    <definedName name="RVERetentionChange">'NOTES &amp; RATING'!$V$45</definedName>
    <definedName name="RyanShance">Broker_Listing!$BB$2:$BB$23</definedName>
    <definedName name="SafetyRecordNotes" localSheetId="5">'XS NOTES &amp; RATING'!#REF!</definedName>
    <definedName name="SafetyRecordNotes">'NOTES &amp; RATING'!#REF!</definedName>
    <definedName name="SandraRachild">Broker_Listing!$BC$2:$BC$27</definedName>
    <definedName name="SarahBenjamin">Broker_Listing!$AT$2:$AT$22</definedName>
    <definedName name="SarahNichols">Broker_Listing!$BD$2:$BD$21</definedName>
    <definedName name="ScottDavis">Broker_Listing!$BE$2:$BE$23</definedName>
    <definedName name="Security">Misc_Info!$M$30:$M$33</definedName>
    <definedName name="Segment" localSheetId="5">'XS NOTES &amp; RATING'!#REF!</definedName>
    <definedName name="Segment">'NOTES &amp; RATING'!#REF!</definedName>
    <definedName name="SpecialtyTypes">Misc_Info!$BE$1:$BE$8</definedName>
    <definedName name="StateAbbreviations">Misc_Info!$DJ$1:$DJ$51</definedName>
    <definedName name="StateKey">Misc_Info!$DB$1:$DC$51</definedName>
    <definedName name="StateLiquorRates">Misc_Info!$A$1:$B$49</definedName>
    <definedName name="StateList">Misc_Info!$A$1:$A$51</definedName>
    <definedName name="StateListing">#REF!</definedName>
    <definedName name="statelistingT1">#REF!</definedName>
    <definedName name="StateLossRatios">Misc_Info!$X$1:$Y$49</definedName>
    <definedName name="StephenGunn">Broker_Listing!$BO$2:$BO$4236</definedName>
    <definedName name="SubControls" localSheetId="5">'XS NOTES &amp; RATING'!#REF!</definedName>
    <definedName name="SubControls">'NOTES &amp; RATING'!#REF!</definedName>
    <definedName name="Subjectivities">Misc_Info!$A$286:$A$314</definedName>
    <definedName name="Subjectivity1">#REF!</definedName>
    <definedName name="Subjectivity10">#REF!</definedName>
    <definedName name="Subjectivity2">#REF!</definedName>
    <definedName name="Subjectivity3">#REF!</definedName>
    <definedName name="Subjectivity4">#REF!</definedName>
    <definedName name="Subjectivity5">#REF!</definedName>
    <definedName name="Subjectivity6">#REF!</definedName>
    <definedName name="Subjectivity7">#REF!</definedName>
    <definedName name="Subjectivity8">#REF!</definedName>
    <definedName name="Subjectivity9">#REF!</definedName>
    <definedName name="SubjectivityDate1">#REF!</definedName>
    <definedName name="SubjectivityDate10">#REF!</definedName>
    <definedName name="SubjectivityDate2">#REF!</definedName>
    <definedName name="SubjectivityDate3">#REF!</definedName>
    <definedName name="SubjectivityDate4">#REF!</definedName>
    <definedName name="SubjectivityDate5">#REF!</definedName>
    <definedName name="SubjectivityDate6">#REF!</definedName>
    <definedName name="SubjectivityDate7">#REF!</definedName>
    <definedName name="SubjectivityDate8">#REF!</definedName>
    <definedName name="SubjectivityDate9">#REF!</definedName>
    <definedName name="SubsNotReceived">Misc_Info!$DI$16:$DI$18</definedName>
    <definedName name="SubsNoTria" localSheetId="6">Misc_Info!#REF!</definedName>
    <definedName name="SubsNoTria" localSheetId="5">Misc_Info!#REF!</definedName>
    <definedName name="SubsNoTria">Misc_Info!#REF!</definedName>
    <definedName name="SueRothberg">Broker_Listing!$BF$2:$BF$22</definedName>
    <definedName name="T1statelisting">#REF!</definedName>
    <definedName name="TargetPremium" localSheetId="5">'XS NOTES &amp; RATING'!$BB$4</definedName>
    <definedName name="TargetPremium">'NOTES &amp; RATING'!$BB$4</definedName>
    <definedName name="Team" localSheetId="5">'XS NOTES &amp; RATING'!#REF!</definedName>
    <definedName name="Team">'NOTES &amp; RATING'!#REF!</definedName>
    <definedName name="TeamColor" localSheetId="5">'XS NOTES &amp; RATING'!#REF!</definedName>
    <definedName name="TeamColor">'NOTES &amp; RATING'!#REF!</definedName>
    <definedName name="Tier1">#REF!</definedName>
    <definedName name="Tier1StateOrNot" localSheetId="5">'XS NOTES &amp; RATING'!#REF!</definedName>
    <definedName name="Tier1StateOrNot">'NOTES &amp; RATING'!#REF!</definedName>
    <definedName name="TierOneListing">#REF!</definedName>
    <definedName name="Today" localSheetId="5">'XS NOTES &amp; RATING'!#REF!</definedName>
    <definedName name="Today">'NOTES &amp; RATING'!#REF!</definedName>
    <definedName name="TomHaupt">Broker_Listing!$AU$2:$AU$23</definedName>
    <definedName name="TorchDownSafety" localSheetId="5">'XS NOTES &amp; RATING'!#REF!</definedName>
    <definedName name="TorchDownSafety">'NOTES &amp; RATING'!#REF!</definedName>
    <definedName name="TRIA">#REF!</definedName>
    <definedName name="TRIAdropdown">#REF!</definedName>
    <definedName name="TriageAdjPrem1">#REF!</definedName>
    <definedName name="TriageAdjPrem2">#REF!</definedName>
    <definedName name="TriageAdjPrem3">#REF!</definedName>
    <definedName name="TriageAdjPrem4">#REF!</definedName>
    <definedName name="TriageAdjPrem5">#REF!</definedName>
    <definedName name="TriageAdjPrem6">#REF!</definedName>
    <definedName name="TriageAdjPrem7">#REF!</definedName>
    <definedName name="TriageAdjPrem8">#REF!</definedName>
    <definedName name="TriageAge1">#REF!</definedName>
    <definedName name="TriageAge2">#REF!</definedName>
    <definedName name="TriageAge3">#REF!</definedName>
    <definedName name="TriageAge4">#REF!</definedName>
    <definedName name="TriageAge5">#REF!</definedName>
    <definedName name="TriageAge6">#REF!</definedName>
    <definedName name="TriageAge7">#REF!</definedName>
    <definedName name="TriageAge8">#REF!</definedName>
    <definedName name="TriageBroker">#REF!</definedName>
    <definedName name="TriageBrokerPriority">#REF!</definedName>
    <definedName name="TriageClassCode">#REF!</definedName>
    <definedName name="TriageClassProfitability">#REF!</definedName>
    <definedName name="TriageClmCtExRO1">#REF!</definedName>
    <definedName name="TriageClmCtExRO2">#REF!</definedName>
    <definedName name="TriageClmCtExRO3">#REF!</definedName>
    <definedName name="TriageClmCtExRO4">#REF!</definedName>
    <definedName name="TriageClmCtExRO5">#REF!</definedName>
    <definedName name="TriageClmCtExRO6">#REF!</definedName>
    <definedName name="TriageClmCtExRO7">#REF!</definedName>
    <definedName name="TriageClmCtExRO8">#REF!</definedName>
    <definedName name="TriageCSUAction">#REF!</definedName>
    <definedName name="TriageEffDt1">#REF!</definedName>
    <definedName name="TriageEffDt2">#REF!</definedName>
    <definedName name="TriageEffDt3">#REF!</definedName>
    <definedName name="TriageEffDt4">#REF!</definedName>
    <definedName name="TriageEffDt5">#REF!</definedName>
    <definedName name="TriageEffDt6">#REF!</definedName>
    <definedName name="TriageEffDt7">#REF!</definedName>
    <definedName name="TriageEffDt8">#REF!</definedName>
    <definedName name="TriageExpoBasis">#REF!</definedName>
    <definedName name="TriageFrequencyRatio">#REF!</definedName>
    <definedName name="TriageHistExpo1">#REF!</definedName>
    <definedName name="TriageHistExpo2">#REF!</definedName>
    <definedName name="TriageHistExpo3">#REF!</definedName>
    <definedName name="TriageHistExpo4">#REF!</definedName>
    <definedName name="TriageHistExpo5">#REF!</definedName>
    <definedName name="TriageHistExpo6">#REF!</definedName>
    <definedName name="TriageHistExpo7">#REF!</definedName>
    <definedName name="TriageHistExpo8">#REF!</definedName>
    <definedName name="TriageImageRightFileNumber">#REF!</definedName>
    <definedName name="TriagePctClmCtRptd1">#REF!</definedName>
    <definedName name="TriagePctClmCtRptd2">#REF!</definedName>
    <definedName name="TriagePctClmCtRptd3">#REF!</definedName>
    <definedName name="TriagePctClmCtRptd4">#REF!</definedName>
    <definedName name="TriagePctClmCtRptd5">#REF!</definedName>
    <definedName name="TriagePctClmCtRptd6">#REF!</definedName>
    <definedName name="TriagePctClmCtRptd7">#REF!</definedName>
    <definedName name="TriagePctClmCtRptd8">#REF!</definedName>
    <definedName name="TriagePremCurrISO1">#REF!</definedName>
    <definedName name="TriagePremCurrISO2">#REF!</definedName>
    <definedName name="TriagePremCurrISO3">#REF!</definedName>
    <definedName name="TriagePremCurrISO4">#REF!</definedName>
    <definedName name="TriagePremCurrISO5">#REF!</definedName>
    <definedName name="TriagePremCurrISO6">#REF!</definedName>
    <definedName name="TriagePremCurrISO7">#REF!</definedName>
    <definedName name="TriagePremCurrISO8">#REF!</definedName>
    <definedName name="TriagePriorFrequencyBand">#REF!</definedName>
    <definedName name="TriagePriority">#REF!</definedName>
    <definedName name="TriageProfitPotential">#REF!</definedName>
    <definedName name="TriageYearsOfLossData">#REF!</definedName>
    <definedName name="TRIAOptions">Misc_Info!$DD$1:$DD$2</definedName>
    <definedName name="TriaPerc">Misc_Info!$G$1:$G$24</definedName>
    <definedName name="TRIAPercent" localSheetId="5">'XS NOTES &amp; RATING'!#REF!</definedName>
    <definedName name="TRIAPercent">'NOTES &amp; RATING'!$AN$37</definedName>
    <definedName name="TrueBoundPremium">#REF!</definedName>
    <definedName name="TrueRiskPremium">#REF!</definedName>
    <definedName name="TrueTRIAPremium">#REF!</definedName>
    <definedName name="TypeOfContractor" localSheetId="5">'XS NOTES &amp; RATING'!#REF!</definedName>
    <definedName name="TypeOfContractor">'NOTES &amp; RATING'!#REF!</definedName>
    <definedName name="TypeOfOI" localSheetId="5">'XS NOTES &amp; RATING'!#REF!</definedName>
    <definedName name="TypeOfOI">'NOTES &amp; RATING'!#REF!</definedName>
    <definedName name="TypeOfProjectSpecific" localSheetId="5">'XS NOTES &amp; RATING'!#REF!</definedName>
    <definedName name="TypeOfProjectSpecific">'NOTES &amp; RATING'!#REF!</definedName>
    <definedName name="TypeOfRiskExp">Broker_Listing!$U$1:$V$17</definedName>
    <definedName name="TypeOfWrap" localSheetId="5">'XS NOTES &amp; RATING'!#REF!</definedName>
    <definedName name="TypeOfWrap">'NOTES &amp; RATING'!#REF!</definedName>
    <definedName name="TypesOfRoofs" localSheetId="5">'XS NOTES &amp; RATING'!#REF!</definedName>
    <definedName name="TypesOfRoofs">'NOTES &amp; RATING'!#REF!</definedName>
    <definedName name="TypesOfWraps">Misc_Info!$BX$1:$BX$5</definedName>
    <definedName name="Underwriter" localSheetId="5">'XS NOTES &amp; RATING'!$I$4</definedName>
    <definedName name="Underwriter">'NOTES &amp; RATING'!$I$4</definedName>
    <definedName name="UnitEquals">Misc_Info!$BT$48</definedName>
    <definedName name="UWContact">Underwriter_Information!$A$7:$A$23</definedName>
    <definedName name="UWInfo">Underwriter_Information!$A$7:$A$23</definedName>
    <definedName name="UwList">Underwriter_Information!$A$7:$A$31</definedName>
    <definedName name="UwPlatform" localSheetId="5">'XS NOTES &amp; RATING'!#REF!</definedName>
    <definedName name="UwPlatform">'NOTES &amp; RATING'!#REF!</definedName>
    <definedName name="UWPrefs">Underwriter_Information!$A$3:$AX$47</definedName>
    <definedName name="UWs">Underwriter_Information!$A$3:$A$20</definedName>
    <definedName name="UwTable">Underwriter_Information!$A$3:$E$46</definedName>
    <definedName name="VariableLimit1">#REF!</definedName>
    <definedName name="VariableLimit1Value">#REF!</definedName>
    <definedName name="VariableLimit2">#REF!</definedName>
    <definedName name="VariableLimit2Value">#REF!</definedName>
    <definedName name="VariableLimit3">#REF!</definedName>
    <definedName name="VariableLimit3Value">#REF!</definedName>
    <definedName name="VariableLimit4">#REF!</definedName>
    <definedName name="VariableLimit4Value">#REF!</definedName>
    <definedName name="VariableLimits">#REF!</definedName>
    <definedName name="WCISClassCodes">Underwriter_Information!$D$3:$D$481</definedName>
    <definedName name="WebSite" localSheetId="5">'XS NOTES &amp; RATING'!$Z$7</definedName>
    <definedName name="WebSite">'NOTES &amp; RATING'!$Z$7</definedName>
    <definedName name="WestStates">Misc_Info!$BH$2:$BH$13</definedName>
    <definedName name="WrapExclusionCounter" localSheetId="5">'XS NOTES &amp; RATING'!#REF!</definedName>
    <definedName name="WrapExclusionCounter">'NOTES &amp; RATING'!#REF!</definedName>
    <definedName name="WrapTeam" localSheetId="5">'XS NOTES &amp; RATING'!#REF!</definedName>
    <definedName name="WrapTeam">'NOTES &amp; RATING'!#REF!</definedName>
    <definedName name="xblank">Misc_Info!$F$11:$F$12</definedName>
    <definedName name="YIB" localSheetId="5">'XS NOTES &amp; RATING'!$BB$9</definedName>
    <definedName name="YIB">'NOTES &amp; RATING'!$BB$9</definedName>
    <definedName name="YulandaDudley">Broker_Listing!$BS$2:$BS$4236</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8" i="1" l="1"/>
  <c r="Q7" i="2"/>
  <c r="Q6" i="2"/>
  <c r="Q5" i="2"/>
  <c r="Q4" i="2"/>
  <c r="A4" i="2"/>
  <c r="V4" i="2"/>
  <c r="AI1" i="11"/>
  <c r="AJ1" i="11"/>
  <c r="AK1" i="11"/>
  <c r="AP1" i="11"/>
  <c r="AP5" i="11"/>
  <c r="BW1" i="11"/>
  <c r="BY1" i="11"/>
  <c r="CA1" i="11"/>
  <c r="CG1" i="11"/>
  <c r="CK1" i="11"/>
  <c r="CM1" i="11"/>
  <c r="CP1" i="11"/>
  <c r="CT1" i="11"/>
  <c r="CV1" i="11"/>
  <c r="CY1" i="11"/>
  <c r="CZ1" i="11"/>
  <c r="DF1" i="11"/>
  <c r="DI1" i="11"/>
  <c r="DL1" i="11"/>
  <c r="DM1" i="11"/>
  <c r="DN1" i="11"/>
  <c r="DP1" i="11"/>
  <c r="DR1" i="11"/>
  <c r="DS1" i="11"/>
  <c r="DT1" i="11"/>
  <c r="N2" i="11"/>
  <c r="AP2" i="11"/>
  <c r="BR2" i="11"/>
  <c r="BW2" i="11"/>
  <c r="BY2" i="11"/>
  <c r="CA2" i="11"/>
  <c r="CB2" i="11"/>
  <c r="CG2" i="11"/>
  <c r="CK2" i="11"/>
  <c r="CM2" i="11"/>
  <c r="CP2" i="11"/>
  <c r="CT2" i="11"/>
  <c r="CV2" i="11"/>
  <c r="CY2" i="11"/>
  <c r="CZ2" i="11"/>
  <c r="DF2" i="11"/>
  <c r="DI2" i="11"/>
  <c r="DL2" i="11"/>
  <c r="DM2" i="11"/>
  <c r="DN2" i="11"/>
  <c r="DP2" i="11"/>
  <c r="DR2" i="11"/>
  <c r="DS2" i="11"/>
  <c r="N3" i="11"/>
  <c r="AP3" i="11"/>
  <c r="BR3" i="11"/>
  <c r="BW3" i="11"/>
  <c r="CA3" i="11"/>
  <c r="CB3" i="11"/>
  <c r="CG3" i="11"/>
  <c r="CK3" i="11"/>
  <c r="CM3" i="11"/>
  <c r="CP3" i="11"/>
  <c r="CT3" i="11"/>
  <c r="CV3" i="11"/>
  <c r="CY3" i="11"/>
  <c r="DF3" i="11"/>
  <c r="DL3" i="11"/>
  <c r="DM3" i="11"/>
  <c r="DN3" i="11"/>
  <c r="DP3" i="11"/>
  <c r="DR3" i="11"/>
  <c r="DS3" i="11"/>
  <c r="DT3" i="11"/>
  <c r="AJ4" i="11"/>
  <c r="AJ17" i="11"/>
  <c r="BR4" i="11"/>
  <c r="BW4" i="11"/>
  <c r="CA4" i="11"/>
  <c r="CB4" i="11"/>
  <c r="CG4" i="11"/>
  <c r="CK4" i="11"/>
  <c r="CM4" i="11"/>
  <c r="CP4" i="11"/>
  <c r="CT4" i="11"/>
  <c r="CV4" i="11"/>
  <c r="CY4" i="11"/>
  <c r="DF4" i="11"/>
  <c r="DM4" i="11"/>
  <c r="DN4" i="11"/>
  <c r="DP4" i="11"/>
  <c r="DR4" i="11"/>
  <c r="DS4" i="11"/>
  <c r="AJ5" i="11"/>
  <c r="BN5" i="11"/>
  <c r="BO5" i="11"/>
  <c r="BR5" i="11"/>
  <c r="BT5" i="11"/>
  <c r="CA5" i="11"/>
  <c r="CB5" i="11"/>
  <c r="CE5" i="11"/>
  <c r="CG5" i="11"/>
  <c r="CK5" i="11"/>
  <c r="CM5" i="11"/>
  <c r="CP5" i="11"/>
  <c r="CT5" i="11"/>
  <c r="CV5" i="11"/>
  <c r="CY5" i="11"/>
  <c r="DF5" i="11"/>
  <c r="DM5" i="11"/>
  <c r="DN5" i="11"/>
  <c r="DP5" i="11"/>
  <c r="DR5" i="11"/>
  <c r="DS5" i="11"/>
  <c r="N6" i="11"/>
  <c r="AJ6" i="11"/>
  <c r="BR6" i="11"/>
  <c r="BT6" i="11"/>
  <c r="CA6" i="11"/>
  <c r="CB6" i="11"/>
  <c r="CE6" i="11"/>
  <c r="CG6" i="11"/>
  <c r="CK6" i="11"/>
  <c r="CT6" i="11"/>
  <c r="CV6" i="11"/>
  <c r="DF6" i="11"/>
  <c r="DM6" i="11"/>
  <c r="DN6" i="11"/>
  <c r="DP6" i="11"/>
  <c r="DR6" i="11"/>
  <c r="DS6" i="11"/>
  <c r="N7" i="11"/>
  <c r="AJ7" i="11"/>
  <c r="BT7" i="11"/>
  <c r="CA7" i="11"/>
  <c r="CB7" i="11"/>
  <c r="CE7" i="11"/>
  <c r="CG7" i="11"/>
  <c r="CK7" i="11"/>
  <c r="CT7" i="11"/>
  <c r="CY7" i="11"/>
  <c r="DF7" i="11"/>
  <c r="DM7" i="11"/>
  <c r="DN7" i="11"/>
  <c r="DR7" i="11"/>
  <c r="DS7" i="11"/>
  <c r="AJ8" i="11"/>
  <c r="AJ9" i="11"/>
  <c r="BO8" i="11"/>
  <c r="CA8" i="11"/>
  <c r="CB8" i="11"/>
  <c r="CE8" i="11"/>
  <c r="CG8" i="11"/>
  <c r="CK8" i="11"/>
  <c r="CT8" i="11"/>
  <c r="CY8" i="11"/>
  <c r="DM8" i="11"/>
  <c r="DN8" i="11"/>
  <c r="CE9" i="11"/>
  <c r="CG9" i="11"/>
  <c r="CT9" i="11"/>
  <c r="CV9" i="11"/>
  <c r="CY9" i="11"/>
  <c r="AJ10" i="11"/>
  <c r="AJ11" i="11"/>
  <c r="BR10" i="11"/>
  <c r="CE10" i="11"/>
  <c r="CG10" i="11"/>
  <c r="CT10" i="11"/>
  <c r="CV10" i="11"/>
  <c r="CY10" i="11"/>
  <c r="BR11" i="11"/>
  <c r="CE11" i="11"/>
  <c r="CM11" i="11"/>
  <c r="CT11" i="11"/>
  <c r="CV11" i="11"/>
  <c r="CY11" i="11"/>
  <c r="AJ12" i="11"/>
  <c r="BR12" i="11"/>
  <c r="CE12" i="11"/>
  <c r="CT12" i="11"/>
  <c r="CV12" i="11"/>
  <c r="CY12" i="11"/>
  <c r="DR12" i="11"/>
  <c r="DR12" i="11" a="1"/>
  <c r="AJ13" i="11"/>
  <c r="BR13" i="11"/>
  <c r="BT13" i="11"/>
  <c r="CT13" i="11"/>
  <c r="CV13" i="11"/>
  <c r="CY13" i="11"/>
  <c r="DR13" i="11"/>
  <c r="DR13" i="11" a="1"/>
  <c r="AJ14" i="11"/>
  <c r="BR14" i="11"/>
  <c r="BT14" i="11"/>
  <c r="CM14" i="11"/>
  <c r="CT14" i="11"/>
  <c r="CV14" i="11"/>
  <c r="DR14" i="11"/>
  <c r="DR14" i="11" a="1"/>
  <c r="AJ15" i="11"/>
  <c r="BT15" i="11"/>
  <c r="CD15" i="11"/>
  <c r="CT15" i="11"/>
  <c r="DR15" i="11"/>
  <c r="DR15" i="11" a="1"/>
  <c r="CD16" i="11"/>
  <c r="CT16" i="11"/>
  <c r="CD17" i="11"/>
  <c r="CT17" i="11"/>
  <c r="CV17" i="11"/>
  <c r="CD18" i="11"/>
  <c r="CT18" i="11"/>
  <c r="CV18" i="11"/>
  <c r="N19" i="11"/>
  <c r="CD19" i="11"/>
  <c r="CT19" i="11"/>
  <c r="CV19" i="11"/>
  <c r="N20" i="11"/>
  <c r="CD20" i="11"/>
  <c r="CV20" i="11"/>
  <c r="N21" i="11"/>
  <c r="BT21" i="11"/>
  <c r="CD21" i="11"/>
  <c r="CV21" i="11"/>
  <c r="N22" i="11"/>
  <c r="AJ22" i="11"/>
  <c r="BT22" i="11"/>
  <c r="CD22" i="11"/>
  <c r="CV22" i="11"/>
  <c r="AJ23" i="11"/>
  <c r="BT23" i="11"/>
  <c r="N24" i="11"/>
  <c r="AG24" i="11"/>
  <c r="AJ24" i="11"/>
  <c r="N25" i="11"/>
  <c r="AG25" i="11"/>
  <c r="AJ25" i="11"/>
  <c r="CV25" i="11"/>
  <c r="N26" i="11"/>
  <c r="AG26" i="11"/>
  <c r="AJ26" i="11"/>
  <c r="CV26" i="11"/>
  <c r="N27" i="11"/>
  <c r="AG27" i="11"/>
  <c r="AJ27" i="11"/>
  <c r="CV27" i="11"/>
  <c r="AG28" i="11"/>
  <c r="AJ28" i="11"/>
  <c r="CV28" i="11"/>
  <c r="AG29" i="11"/>
  <c r="BT29" i="11"/>
  <c r="CV29" i="11"/>
  <c r="AG30" i="11"/>
  <c r="BN30" i="11"/>
  <c r="BO30" i="11"/>
  <c r="BT30" i="11"/>
  <c r="CV30" i="11"/>
  <c r="AG31" i="11"/>
  <c r="BT31" i="11"/>
  <c r="AG32" i="11"/>
  <c r="BN32" i="11"/>
  <c r="BO32" i="11"/>
  <c r="AG33" i="11"/>
  <c r="BT37" i="11"/>
  <c r="BT38" i="11"/>
  <c r="BT39" i="11"/>
  <c r="A54" i="11"/>
  <c r="BN54" i="11"/>
  <c r="BO54" i="11"/>
  <c r="H7" i="1"/>
  <c r="E18" i="1"/>
  <c r="A19" i="1"/>
  <c r="E19" i="1"/>
  <c r="A20" i="1"/>
  <c r="E20" i="1"/>
  <c r="A21" i="1"/>
  <c r="E21" i="1"/>
  <c r="A22" i="1"/>
  <c r="E22" i="1"/>
  <c r="T28" i="1"/>
  <c r="AD28" i="1"/>
  <c r="AD29" i="1"/>
  <c r="BA29" i="1"/>
  <c r="H30" i="1"/>
  <c r="T30" i="1"/>
  <c r="AD30" i="1"/>
  <c r="AO30" i="1"/>
  <c r="H31" i="1"/>
  <c r="J41" i="1"/>
  <c r="P41" i="1"/>
  <c r="P42" i="1"/>
  <c r="A43" i="1"/>
  <c r="J43" i="1"/>
  <c r="V43" i="1"/>
  <c r="P43" i="1"/>
  <c r="P44" i="1"/>
  <c r="V44" i="1"/>
  <c r="A45" i="1"/>
  <c r="J45" i="1"/>
  <c r="V45" i="1"/>
  <c r="P45" i="1"/>
  <c r="J46" i="1"/>
  <c r="V46" i="1"/>
  <c r="P46" i="1"/>
  <c r="Z3" i="47"/>
  <c r="BB3" i="47"/>
  <c r="I4" i="47"/>
  <c r="Z4" i="47"/>
  <c r="AL4" i="47"/>
  <c r="Z6" i="47"/>
  <c r="BB6" i="47"/>
  <c r="H7" i="47"/>
  <c r="Z7" i="47"/>
  <c r="BB7" i="47"/>
  <c r="I9" i="47"/>
  <c r="BB9" i="47"/>
  <c r="G20" i="47"/>
  <c r="A22" i="47"/>
  <c r="A24" i="47"/>
  <c r="Y26" i="47"/>
  <c r="AC26" i="47"/>
  <c r="P27" i="47"/>
  <c r="A30" i="47"/>
  <c r="A32" i="47"/>
  <c r="J1" i="33"/>
  <c r="J3" i="33"/>
  <c r="V1" i="2"/>
  <c r="X3" i="2"/>
  <c r="L4" i="2"/>
  <c r="O4" i="2"/>
  <c r="P4" i="2"/>
  <c r="R4" i="2"/>
  <c r="S4" i="2"/>
  <c r="T4" i="2"/>
  <c r="U4" i="2"/>
  <c r="X4" i="2"/>
  <c r="A5" i="2"/>
  <c r="V5" i="2"/>
  <c r="L5" i="2"/>
  <c r="O5" i="2"/>
  <c r="P5" i="2"/>
  <c r="R5" i="2"/>
  <c r="S5" i="2"/>
  <c r="T5" i="2"/>
  <c r="U5" i="2"/>
  <c r="X5" i="2"/>
  <c r="A6" i="2"/>
  <c r="L6" i="2"/>
  <c r="O6" i="2"/>
  <c r="P6" i="2"/>
  <c r="R6" i="2"/>
  <c r="S6" i="2"/>
  <c r="T6" i="2"/>
  <c r="U6" i="2"/>
  <c r="V6" i="2"/>
  <c r="X6" i="2"/>
  <c r="A7" i="2"/>
  <c r="T7" i="2"/>
  <c r="U7" i="2"/>
  <c r="L7" i="2"/>
  <c r="O7" i="2"/>
  <c r="P7" i="2"/>
  <c r="R7" i="2"/>
  <c r="S7" i="2"/>
  <c r="A8" i="2"/>
  <c r="V8" i="2"/>
  <c r="L8" i="2"/>
  <c r="O8" i="2"/>
  <c r="P8" i="2"/>
  <c r="R8" i="2"/>
  <c r="S8" i="2"/>
  <c r="A9" i="2"/>
  <c r="L9" i="2"/>
  <c r="O9" i="2"/>
  <c r="P9" i="2"/>
  <c r="A10" i="2"/>
  <c r="L10" i="2"/>
  <c r="O10" i="2"/>
  <c r="P10" i="2"/>
  <c r="A11" i="2"/>
  <c r="L11" i="2"/>
  <c r="O11" i="2"/>
  <c r="P11" i="2"/>
  <c r="D16" i="2"/>
  <c r="D17" i="2"/>
  <c r="L17" i="2"/>
  <c r="D18" i="2"/>
  <c r="L18" i="2"/>
  <c r="D19" i="2"/>
  <c r="A26" i="2"/>
  <c r="L26" i="2"/>
  <c r="O26" i="2"/>
  <c r="P26" i="2"/>
  <c r="A27" i="2"/>
  <c r="L27" i="2"/>
  <c r="O27" i="2"/>
  <c r="P27" i="2"/>
  <c r="A28" i="2"/>
  <c r="L28" i="2"/>
  <c r="O28" i="2"/>
  <c r="P28" i="2"/>
  <c r="A29" i="2"/>
  <c r="L29" i="2"/>
  <c r="O29" i="2"/>
  <c r="P29" i="2"/>
  <c r="A30" i="2"/>
  <c r="L30" i="2"/>
  <c r="O30" i="2"/>
  <c r="P30" i="2"/>
  <c r="A31" i="2"/>
  <c r="L31" i="2"/>
  <c r="O31" i="2"/>
  <c r="P31" i="2"/>
  <c r="A32" i="2"/>
  <c r="L32" i="2"/>
  <c r="O32" i="2"/>
  <c r="P32" i="2"/>
  <c r="A33" i="2"/>
  <c r="L33" i="2"/>
  <c r="O33" i="2"/>
  <c r="P33" i="2"/>
  <c r="D34" i="2"/>
  <c r="D35" i="2"/>
  <c r="D36" i="2"/>
  <c r="D37" i="2"/>
  <c r="A42" i="2"/>
  <c r="L42" i="2"/>
  <c r="O42" i="2"/>
  <c r="P42" i="2"/>
  <c r="Q42" i="2"/>
  <c r="Q42" i="2" a="1"/>
  <c r="R42" i="2"/>
  <c r="S42" i="2"/>
  <c r="T42" i="2"/>
  <c r="U42" i="2"/>
  <c r="V42" i="2"/>
  <c r="A43" i="2"/>
  <c r="L43" i="2"/>
  <c r="O43" i="2"/>
  <c r="P43" i="2"/>
  <c r="Q43" i="2"/>
  <c r="Q43" i="2" a="1"/>
  <c r="R43" i="2"/>
  <c r="S43" i="2"/>
  <c r="T43" i="2"/>
  <c r="U43" i="2"/>
  <c r="V43" i="2"/>
  <c r="A44" i="2"/>
  <c r="L44" i="2"/>
  <c r="O44" i="2"/>
  <c r="P44" i="2"/>
  <c r="Q44" i="2"/>
  <c r="Q44" i="2" a="1"/>
  <c r="R44" i="2"/>
  <c r="S44" i="2"/>
  <c r="T44" i="2"/>
  <c r="U44" i="2"/>
  <c r="V44" i="2"/>
  <c r="A45" i="2"/>
  <c r="L45" i="2"/>
  <c r="O45" i="2"/>
  <c r="P45" i="2"/>
  <c r="Q45" i="2"/>
  <c r="Q45" i="2" a="1"/>
  <c r="R45" i="2"/>
  <c r="S45" i="2"/>
  <c r="T45" i="2"/>
  <c r="U45" i="2"/>
  <c r="V45" i="2"/>
  <c r="A46" i="2"/>
  <c r="L46" i="2"/>
  <c r="O46" i="2"/>
  <c r="P46" i="2"/>
  <c r="Q46" i="2"/>
  <c r="Q46" i="2" a="1"/>
  <c r="R46" i="2"/>
  <c r="S46" i="2"/>
  <c r="T46" i="2"/>
  <c r="U46" i="2"/>
  <c r="V46" i="2"/>
  <c r="A47" i="2"/>
  <c r="L47" i="2"/>
  <c r="O47" i="2"/>
  <c r="P47" i="2"/>
  <c r="A48" i="2"/>
  <c r="L48" i="2"/>
  <c r="O48" i="2"/>
  <c r="P48" i="2"/>
  <c r="A49" i="2"/>
  <c r="L49" i="2"/>
  <c r="O49" i="2"/>
  <c r="P49" i="2"/>
  <c r="D50" i="2"/>
  <c r="D51" i="2"/>
  <c r="D52" i="2"/>
  <c r="D53" i="2"/>
  <c r="A58" i="2"/>
  <c r="L58" i="2"/>
  <c r="O58" i="2"/>
  <c r="P58" i="2"/>
  <c r="A59" i="2"/>
  <c r="L59" i="2"/>
  <c r="O59" i="2"/>
  <c r="P59" i="2"/>
  <c r="A60" i="2"/>
  <c r="L60" i="2"/>
  <c r="O60" i="2"/>
  <c r="P60" i="2"/>
  <c r="A61" i="2"/>
  <c r="L61" i="2"/>
  <c r="O61" i="2"/>
  <c r="P61" i="2"/>
  <c r="A62" i="2"/>
  <c r="L62" i="2"/>
  <c r="O62" i="2"/>
  <c r="P62" i="2"/>
  <c r="A63" i="2"/>
  <c r="L63" i="2"/>
  <c r="O63" i="2"/>
  <c r="P63" i="2"/>
  <c r="A64" i="2"/>
  <c r="L64" i="2"/>
  <c r="O64" i="2"/>
  <c r="P64" i="2"/>
  <c r="A65" i="2"/>
  <c r="L65" i="2"/>
  <c r="O65" i="2"/>
  <c r="P65" i="2"/>
  <c r="D66" i="2"/>
  <c r="D67" i="2"/>
  <c r="D68" i="2"/>
  <c r="D69" i="2"/>
  <c r="BA28" i="1"/>
  <c r="W7" i="2"/>
  <c r="CA11" i="11"/>
  <c r="CA14" i="11"/>
  <c r="V7" i="2"/>
  <c r="W5" i="2"/>
  <c r="T8" i="2"/>
  <c r="U8" i="2"/>
  <c r="W8" i="2"/>
  <c r="R17" i="2"/>
  <c r="R18" i="2"/>
  <c r="CT20" i="11"/>
  <c r="W6" i="2"/>
  <c r="CB1" i="11"/>
  <c r="CA17" i="11"/>
  <c r="W4" i="2"/>
  <c r="AP6" i="11"/>
  <c r="AP7" i="11"/>
  <c r="J42" i="1"/>
  <c r="V42" i="1"/>
  <c r="CA20" i="11"/>
  <c r="CY6" i="11"/>
  <c r="R19" i="2"/>
  <c r="R20" i="2"/>
  <c r="R21" i="2"/>
  <c r="A291" i="11"/>
</calcChain>
</file>

<file path=xl/sharedStrings.xml><?xml version="1.0" encoding="utf-8"?>
<sst xmlns="http://schemas.openxmlformats.org/spreadsheetml/2006/main" count="6401" uniqueCount="4480">
  <si>
    <t>Rate:</t>
  </si>
  <si>
    <t>Defense Costs:</t>
  </si>
  <si>
    <t>Risk State:</t>
  </si>
  <si>
    <t>Carnivals/Amusements</t>
  </si>
  <si>
    <t>Commission:</t>
  </si>
  <si>
    <t>Chemical MFR and/or Distributor (CLAIMS MADE ONLY)</t>
  </si>
  <si>
    <t>Racing Products</t>
  </si>
  <si>
    <t>Packaging MFR</t>
  </si>
  <si>
    <t>CG 00 01 12 07 Commercial General Liability (Occurrence)</t>
  </si>
  <si>
    <t>CG 00 02 12 07 Commercial General Liability (Claims Made)</t>
  </si>
  <si>
    <t>Carrier</t>
  </si>
  <si>
    <t>All Other Construction</t>
  </si>
  <si>
    <t xml:space="preserve">91111 Air conditioning systems or equipment </t>
  </si>
  <si>
    <t>91150 Appliances and accessories installation - commercial</t>
  </si>
  <si>
    <t>91155 Appliances and accessories – household</t>
  </si>
  <si>
    <t>91341 Carpentry – interior</t>
  </si>
  <si>
    <t>91342 Carpentry</t>
  </si>
  <si>
    <t>91405 Carpet, rug, furniture or upholstery cleaning</t>
  </si>
  <si>
    <t>91560 Concrete construction</t>
  </si>
  <si>
    <t>91581, 91583, 91585 – General Contractors</t>
  </si>
  <si>
    <t>91580 Executive supervisors</t>
  </si>
  <si>
    <t>91629 Debris Removal</t>
  </si>
  <si>
    <t>91746 Door (Garage Only) Installation</t>
  </si>
  <si>
    <t>92215 Driveway, parking area or sidewalk – paving or repaving</t>
  </si>
  <si>
    <t>92338 Drywall or wallboard</t>
  </si>
  <si>
    <t>92451 Electrical Apparatus – installation, servicing, repair</t>
  </si>
  <si>
    <t>92478 Electrical Work – within buildings</t>
  </si>
  <si>
    <t>94276 Fence Erection</t>
  </si>
  <si>
    <t>94569 Floor covering Installation Not ceramic or stone</t>
  </si>
  <si>
    <t>95410 Grading of land</t>
  </si>
  <si>
    <t>94007 Excavation</t>
  </si>
  <si>
    <t>95648 HVAC</t>
  </si>
  <si>
    <t>95647 HVAC</t>
  </si>
  <si>
    <t>96408 Insulation Work Plastic</t>
  </si>
  <si>
    <t>96409 Insulation work – Organic</t>
  </si>
  <si>
    <t>96410 Insulation work – Mineral</t>
  </si>
  <si>
    <t>97047 Landscape Gardening</t>
  </si>
  <si>
    <t>97050 Lawn care</t>
  </si>
  <si>
    <t>97447 Masonry</t>
  </si>
  <si>
    <t>98304 Painting Exterior</t>
  </si>
  <si>
    <t>98305 Painting Interior</t>
  </si>
  <si>
    <t>98449 Plastering or Stucco work</t>
  </si>
  <si>
    <t>98482 Plumbing - Commercial/Industrial</t>
  </si>
  <si>
    <t>98483 Plumbing - Residential</t>
  </si>
  <si>
    <t>98806 Septic Tank Installation</t>
  </si>
  <si>
    <t>98820 Sewer Mains or Connections Construction</t>
  </si>
  <si>
    <t>98884 Sheet Metal Work – outside</t>
  </si>
  <si>
    <t>98967 Siding installation</t>
  </si>
  <si>
    <t>99746 Tile, Stone, marble, mosaic or terrazzo work – interior</t>
  </si>
  <si>
    <t>99777 Tree Pruning</t>
  </si>
  <si>
    <t xml:space="preserve">99946 Water Mains or Connections Construction </t>
  </si>
  <si>
    <t>99952 Waterproofing Pressure apparatus</t>
  </si>
  <si>
    <t>99954 Waterproofing – by trowel – exterior</t>
  </si>
  <si>
    <t>99955 Waterproofing</t>
  </si>
  <si>
    <t>CG 04 43 02 04</t>
  </si>
  <si>
    <t>CG 04 42 11 03</t>
  </si>
  <si>
    <t>CG 04 41 12 04</t>
  </si>
  <si>
    <t>Massachusetts (MA)</t>
  </si>
  <si>
    <t>Products</t>
  </si>
  <si>
    <t>Limits:</t>
  </si>
  <si>
    <t>Reserves</t>
  </si>
  <si>
    <t>Year</t>
  </si>
  <si>
    <t>Insured Name:</t>
  </si>
  <si>
    <t>OL&amp;T</t>
  </si>
  <si>
    <t>Fuel oil</t>
  </si>
  <si>
    <t>Pizza Delivery</t>
  </si>
  <si>
    <t>Messenger/courier</t>
  </si>
  <si>
    <t>Specified job</t>
  </si>
  <si>
    <t>Shell Corporations</t>
  </si>
  <si>
    <t>D.I.C.E. Producers</t>
  </si>
  <si>
    <t>Reality television Productions</t>
  </si>
  <si>
    <t>Special Events/concert Promoters/Venues</t>
  </si>
  <si>
    <t>motorsports</t>
  </si>
  <si>
    <t>Amusement Parks</t>
  </si>
  <si>
    <t>traveling Carnivals</t>
  </si>
  <si>
    <t>Fairs</t>
  </si>
  <si>
    <t>Medical Products - invasive/non-invasive</t>
  </si>
  <si>
    <t>Medical Products - dental</t>
  </si>
  <si>
    <t>Medical Products - Surgical</t>
  </si>
  <si>
    <t>Medical Products - Diagnostic Equipment MFR</t>
  </si>
  <si>
    <t>Component Part MFR</t>
  </si>
  <si>
    <t>Industrial Machinery MFR and/or Distributor</t>
  </si>
  <si>
    <t>Valves</t>
  </si>
  <si>
    <t>Pipe EXCLUDING PVC &amp; Polypropylene pipe</t>
  </si>
  <si>
    <t>Construction Equipment</t>
  </si>
  <si>
    <t>Lift Equipment</t>
  </si>
  <si>
    <t>Farm Machinery &amp; related agricultural equipment/products</t>
  </si>
  <si>
    <t>CG 04 44 11 03</t>
  </si>
  <si>
    <t>N/A</t>
  </si>
  <si>
    <t>[A]  CG 20 37 07 04 AI - Comp Operations (Commercial Work Only)</t>
  </si>
  <si>
    <t>[B]  CG 20 37 07 04 AI - Comp Operations (Excluding any tract/condo work)</t>
  </si>
  <si>
    <t>[C]  CG 20 37 07 04 AI - Comp Operations (BLANKET)</t>
  </si>
  <si>
    <t>[D]  CG 20 37 04 04 AI - Comp Operations (Specific Entity)</t>
  </si>
  <si>
    <t>Select State</t>
  </si>
  <si>
    <t>Anti-Indemnity</t>
  </si>
  <si>
    <t>Tier One</t>
  </si>
  <si>
    <t>Exercise Equipment</t>
  </si>
  <si>
    <t>Playground Equipment</t>
  </si>
  <si>
    <t>Fire safety Equipment</t>
  </si>
  <si>
    <t>Appliances</t>
  </si>
  <si>
    <t>Hotels (High rise/sprinklered) including Las Vegas</t>
  </si>
  <si>
    <t>Motels/Hotels</t>
  </si>
  <si>
    <t>Garden Apartments</t>
  </si>
  <si>
    <t>Commercial Building (sprinklered)</t>
  </si>
  <si>
    <t>Restaurants</t>
  </si>
  <si>
    <t>Bars &amp; Taverns</t>
  </si>
  <si>
    <t>Shopping Centers</t>
  </si>
  <si>
    <t>Residential Contractor</t>
  </si>
  <si>
    <t>Commercial Contractor</t>
  </si>
  <si>
    <t>Artisan Contractor</t>
  </si>
  <si>
    <t>Municipality</t>
  </si>
  <si>
    <t>Social Service - CAMPS</t>
  </si>
  <si>
    <t>Social Service - YMCA/YWCA</t>
  </si>
  <si>
    <t>Social Service - Schools</t>
  </si>
  <si>
    <t>Alcoholic Beverage MFR</t>
  </si>
  <si>
    <t>Baby Food MFR</t>
  </si>
  <si>
    <t>Ceramic refractory fiber MFR</t>
  </si>
  <si>
    <t>Chemical MFR and/or Distributing</t>
  </si>
  <si>
    <t>Crop Spraying</t>
  </si>
  <si>
    <t>Dentist Professional</t>
  </si>
  <si>
    <t>Drug MFR</t>
  </si>
  <si>
    <t>Drug Distributing</t>
  </si>
  <si>
    <t>Engine &amp; Turbine MFR</t>
  </si>
  <si>
    <t>Feed MFR</t>
  </si>
  <si>
    <t>Fertilizer MFR</t>
  </si>
  <si>
    <t>Pest Control</t>
  </si>
  <si>
    <t>Security Guard</t>
  </si>
  <si>
    <t>Fireproofing</t>
  </si>
  <si>
    <t>Fumigating</t>
  </si>
  <si>
    <t>Insulating material MFR</t>
  </si>
  <si>
    <t>Housing MFR/Mobile homes</t>
  </si>
  <si>
    <t>Orthopedic/Ambulation/Prosthetic device MFR</t>
  </si>
  <si>
    <t>Paint/paint products MFR</t>
  </si>
  <si>
    <t>Ship repair/conversion</t>
  </si>
  <si>
    <t>Storage tank building</t>
  </si>
  <si>
    <t>Venues/Arenas</t>
  </si>
  <si>
    <t>Social Service - rehabilitation center</t>
  </si>
  <si>
    <t>Social Service - Distressed Centers/Abused women/children</t>
  </si>
  <si>
    <t>Life Science</t>
  </si>
  <si>
    <t>Contractors</t>
  </si>
  <si>
    <t>Entertainment</t>
  </si>
  <si>
    <t>Sports/Leisure</t>
  </si>
  <si>
    <t>Municipalities</t>
  </si>
  <si>
    <t>Schools</t>
  </si>
  <si>
    <t>YMCA/Camps</t>
  </si>
  <si>
    <t>Alabama (AL)</t>
  </si>
  <si>
    <t>Arizona (AZ)</t>
  </si>
  <si>
    <t>New York (NY)</t>
  </si>
  <si>
    <t>New Jersey (NJ)</t>
  </si>
  <si>
    <t>Vermont (VT)</t>
  </si>
  <si>
    <t>Maine (ME)</t>
  </si>
  <si>
    <t>Delaware (DE)</t>
  </si>
  <si>
    <t>Maryland (MD)</t>
  </si>
  <si>
    <t>West Virginia (WV)</t>
  </si>
  <si>
    <t>Virginia (VA)</t>
  </si>
  <si>
    <t>Georgia (GA)</t>
  </si>
  <si>
    <t>North Carolina (NC)</t>
  </si>
  <si>
    <t>South Carolina (SC)</t>
  </si>
  <si>
    <t>Florida (FL)</t>
  </si>
  <si>
    <t>Tennessee (TN)</t>
  </si>
  <si>
    <t>Kentucky (KY)</t>
  </si>
  <si>
    <t>Kansas (KS)</t>
  </si>
  <si>
    <t>Indiana (IN)</t>
  </si>
  <si>
    <t>Iowa (IA)</t>
  </si>
  <si>
    <t>Illinois (IL)</t>
  </si>
  <si>
    <t>Minnesota (MN)</t>
  </si>
  <si>
    <t>Michigan (MI)</t>
  </si>
  <si>
    <t>Idaho (ID)</t>
  </si>
  <si>
    <t>North Dakota (ND)</t>
  </si>
  <si>
    <t>South Dakota (SD)</t>
  </si>
  <si>
    <t>Colorado (CO)</t>
  </si>
  <si>
    <t>Nevada (NV)</t>
  </si>
  <si>
    <t>California (CA)</t>
  </si>
  <si>
    <t>Oregon (OR)</t>
  </si>
  <si>
    <t>Washington (WA)</t>
  </si>
  <si>
    <t>District of Columbia (DC)</t>
  </si>
  <si>
    <t>Hawaii (HI)</t>
  </si>
  <si>
    <t>Alaska (AK)</t>
  </si>
  <si>
    <t>Arkansas (AR)</t>
  </si>
  <si>
    <t>Texas (TX)</t>
  </si>
  <si>
    <t>New Mexico (NM)</t>
  </si>
  <si>
    <t>New Hampshire (NH)</t>
  </si>
  <si>
    <t>Connecticut (CT)</t>
  </si>
  <si>
    <t>Louisiana (LA)</t>
  </si>
  <si>
    <t>Mississippi (MS)</t>
  </si>
  <si>
    <t>Missouri (MO)</t>
  </si>
  <si>
    <t>Montana (MT)</t>
  </si>
  <si>
    <t>Nebraska (NE)</t>
  </si>
  <si>
    <t>Ohio (OH)</t>
  </si>
  <si>
    <t>Oklahoma (OK)</t>
  </si>
  <si>
    <t>Pennsylvania (PA)</t>
  </si>
  <si>
    <t>Utah (UT)</t>
  </si>
  <si>
    <t>Wisconsin (WI)</t>
  </si>
  <si>
    <t>Email:</t>
  </si>
  <si>
    <t>Processing Fee:</t>
  </si>
  <si>
    <t>Sporting goods EXCLUDING gun/ammunition MFR</t>
  </si>
  <si>
    <t>Furniture MFR</t>
  </si>
  <si>
    <t>Automobile Parts EXCLUDING tires, brakes, critical working components</t>
  </si>
  <si>
    <t>Select Debit</t>
  </si>
  <si>
    <t>Select Credit</t>
  </si>
  <si>
    <t>Near Public Transporation</t>
  </si>
  <si>
    <t>Located in Motel</t>
  </si>
  <si>
    <t>Located on Water</t>
  </si>
  <si>
    <t>Dance Floor</t>
  </si>
  <si>
    <t>Happy Hour</t>
  </si>
  <si>
    <t>Package Liquor</t>
  </si>
  <si>
    <t>Nightclub</t>
  </si>
  <si>
    <t>Gentlemen's Club</t>
  </si>
  <si>
    <t>Sports/ Concert</t>
  </si>
  <si>
    <t>Casino</t>
  </si>
  <si>
    <t>A/B Excluded</t>
  </si>
  <si>
    <t>Rural Area</t>
  </si>
  <si>
    <t>Country Club</t>
  </si>
  <si>
    <t>TABC</t>
  </si>
  <si>
    <t>FRVA</t>
  </si>
  <si>
    <t>No</t>
  </si>
  <si>
    <t>Habitational</t>
  </si>
  <si>
    <t>Risk Premium:</t>
  </si>
  <si>
    <t>Effective Date:</t>
  </si>
  <si>
    <t>Home Builders</t>
  </si>
  <si>
    <t>Select Here</t>
  </si>
  <si>
    <t>98678 Roofing-Residential</t>
  </si>
  <si>
    <t>98677 Roofing-Commercial</t>
  </si>
  <si>
    <t>FMIC GL 2099 (07/11)</t>
  </si>
  <si>
    <t>FMIC GL 2125 (07/11)</t>
  </si>
  <si>
    <t>FMIC GL 2140 (07/11)</t>
  </si>
  <si>
    <t>x</t>
  </si>
  <si>
    <t>Annual</t>
  </si>
  <si>
    <t>Monthly</t>
  </si>
  <si>
    <t>Quarterly</t>
  </si>
  <si>
    <t>Semi-Annual</t>
  </si>
  <si>
    <t>Term</t>
  </si>
  <si>
    <t>Excluded</t>
  </si>
  <si>
    <t>FMIC GL 2251 (03/12)</t>
  </si>
  <si>
    <t>FMIC GL 2253 (03/12)</t>
  </si>
  <si>
    <t>Exposure Basis:</t>
  </si>
  <si>
    <t>General Contractor</t>
  </si>
  <si>
    <t>Roofing</t>
  </si>
  <si>
    <t>Manufacturing</t>
  </si>
  <si>
    <t>Oil &amp; Gas</t>
  </si>
  <si>
    <t>Other ‐ Contracting</t>
  </si>
  <si>
    <t>Concrete/Masonry/Paving</t>
  </si>
  <si>
    <t>Carpentry</t>
  </si>
  <si>
    <t>Other ‐ Non‐Contracting</t>
  </si>
  <si>
    <t>Hospitality</t>
  </si>
  <si>
    <t>Metal Erection</t>
  </si>
  <si>
    <t>Excavation</t>
  </si>
  <si>
    <t>Dealers/Distributors</t>
  </si>
  <si>
    <t>Plumbing</t>
  </si>
  <si>
    <t>Equipment Installation</t>
  </si>
  <si>
    <t>Stores and Supermarkets</t>
  </si>
  <si>
    <t>Siding/Stucco</t>
  </si>
  <si>
    <t>Amusement</t>
  </si>
  <si>
    <t>Electrical Work</t>
  </si>
  <si>
    <t>Janitorial Services</t>
  </si>
  <si>
    <t>Painting</t>
  </si>
  <si>
    <t>Drywall</t>
  </si>
  <si>
    <t>Welding</t>
  </si>
  <si>
    <t>Wrecking</t>
  </si>
  <si>
    <t>HVAC</t>
  </si>
  <si>
    <t>Equipment Dealers/Rental</t>
  </si>
  <si>
    <t>Vacant Land &amp; Buildings</t>
  </si>
  <si>
    <t>Waterproofing</t>
  </si>
  <si>
    <t>Life Sciences</t>
  </si>
  <si>
    <t>Hotels &amp; Motels</t>
  </si>
  <si>
    <t>Trucking/Livery</t>
  </si>
  <si>
    <t>Unknown</t>
  </si>
  <si>
    <t>Inspection Fee:</t>
  </si>
  <si>
    <t>CG 22 62 05 09</t>
  </si>
  <si>
    <t>Years In Business:</t>
  </si>
  <si>
    <t>Policy Year:</t>
  </si>
  <si>
    <t>LOSS HISTORY</t>
  </si>
  <si>
    <t>Receipt of favorable inspection &amp; compliance with reasonable recommendations.</t>
  </si>
  <si>
    <t>Account Executive:</t>
  </si>
  <si>
    <t>Paid
Losses</t>
  </si>
  <si>
    <t>Paid
Expenses</t>
  </si>
  <si>
    <t>Incurred
Loss</t>
  </si>
  <si>
    <t>Valuation
Date</t>
  </si>
  <si>
    <t>CG 04 40 11 03</t>
  </si>
  <si>
    <t>Risk Transfer Partners</t>
  </si>
  <si>
    <t>Min. Earned At Inception:</t>
  </si>
  <si>
    <t>Min. Earned At Audit:</t>
  </si>
  <si>
    <t>Non-Auditable</t>
  </si>
  <si>
    <t>FMIC GL 2103 (10/13)</t>
  </si>
  <si>
    <t>FMIC GL 2428 (10/13)</t>
  </si>
  <si>
    <t>1 Day</t>
  </si>
  <si>
    <t>1 Month</t>
  </si>
  <si>
    <t>3 Months</t>
  </si>
  <si>
    <t>6 Months</t>
  </si>
  <si>
    <t>9 Months</t>
  </si>
  <si>
    <t>12 Months</t>
  </si>
  <si>
    <t>15 Months (job-specific)</t>
  </si>
  <si>
    <t>18 Months (job-specific)</t>
  </si>
  <si>
    <t>24 Months (job-specific)</t>
  </si>
  <si>
    <t>30 Months (job-specific)</t>
  </si>
  <si>
    <t>General Aggregate:</t>
  </si>
  <si>
    <t>Each Occurrence:</t>
  </si>
  <si>
    <t>All Other Contracting</t>
  </si>
  <si>
    <t>Broker Contact:</t>
  </si>
  <si>
    <t>OL&amp;T/ Habitational</t>
  </si>
  <si>
    <t>Change</t>
  </si>
  <si>
    <t>RENEWAL VS. EXPIRING</t>
  </si>
  <si>
    <t>ADDITIONAL TERMS</t>
  </si>
  <si>
    <t>INDIVIDUAL LARGE LOSSES</t>
  </si>
  <si>
    <t>New/ Renewal:</t>
  </si>
  <si>
    <t>CG 20 03 04 13</t>
  </si>
  <si>
    <t>CG 20 10 04 13</t>
  </si>
  <si>
    <t>CG 20 11 04 13</t>
  </si>
  <si>
    <t>CG 20 12 04 13</t>
  </si>
  <si>
    <t>CG 20 13 04 13</t>
  </si>
  <si>
    <t>CG 20 15 04 13</t>
  </si>
  <si>
    <t>CG 20 18 04 13</t>
  </si>
  <si>
    <t>CG 20 24 04 13</t>
  </si>
  <si>
    <t>CG 20 26 04 13</t>
  </si>
  <si>
    <t>CG 20 28 04 13</t>
  </si>
  <si>
    <t>CG 20 29 04 13</t>
  </si>
  <si>
    <t>CG 20 32 04 13</t>
  </si>
  <si>
    <t>CG 20 37 04 13 (D)</t>
  </si>
  <si>
    <t>CG 29 35 04 13</t>
  </si>
  <si>
    <t>Broker:</t>
  </si>
  <si>
    <t>Per $1,000 Of Gross Sales</t>
  </si>
  <si>
    <t>Gross Sales</t>
  </si>
  <si>
    <t>Per $1,000 Of Payroll</t>
  </si>
  <si>
    <t>Payroll</t>
  </si>
  <si>
    <t>Per $1,000 Of Subcontracted Cost</t>
  </si>
  <si>
    <t>Sub Costs</t>
  </si>
  <si>
    <t>Per $1,000 Of Total Cost</t>
  </si>
  <si>
    <t>Total Cost</t>
  </si>
  <si>
    <t>Per 1,000 Gallons</t>
  </si>
  <si>
    <t>Gallons</t>
  </si>
  <si>
    <t>Per 1,000 Square Feet</t>
  </si>
  <si>
    <t>Square Feet</t>
  </si>
  <si>
    <t>Acres</t>
  </si>
  <si>
    <t>Adult Rides</t>
  </si>
  <si>
    <t>Kid Rides</t>
  </si>
  <si>
    <t>Shows</t>
  </si>
  <si>
    <t>Dwellings</t>
  </si>
  <si>
    <t>Pupils</t>
  </si>
  <si>
    <t>Units</t>
  </si>
  <si>
    <t>Per Acre</t>
  </si>
  <si>
    <t>Per Adult Ride</t>
  </si>
  <si>
    <t>Per Kid Ride</t>
  </si>
  <si>
    <t>Per Show</t>
  </si>
  <si>
    <t>Per Dwelling</t>
  </si>
  <si>
    <t>Per Pupil</t>
  </si>
  <si>
    <t>Per Unit</t>
  </si>
  <si>
    <t>Applicable Conversion:</t>
  </si>
  <si>
    <t>Exposure (N&amp;R tab):</t>
  </si>
  <si>
    <t>HISTORICAL &amp; PROJECTED EXPOSURES</t>
  </si>
  <si>
    <t>LIMITS</t>
  </si>
  <si>
    <t>Completed Acord application signed and dated by the insured.</t>
  </si>
  <si>
    <t>Completed Contractors supplemental signed and dated by the insured.</t>
  </si>
  <si>
    <t>Completed Habitational supplemental signed and dated by the insured.</t>
  </si>
  <si>
    <t>Completed Roofing supplemental signed and dated by the insured.</t>
  </si>
  <si>
    <t>Completed supplemental signed and dated by the insured.</t>
  </si>
  <si>
    <t xml:space="preserve">Maximum broker fee is 5% of quoted premium or $500 (whichever is greater) without prior approval. </t>
  </si>
  <si>
    <t>5 years of currently valued (within 90 days of proposed inception) carrier loss runs.</t>
  </si>
  <si>
    <t>5 years of currently valued (within 90 days of proposed inception) carrier loss runs.  Must reflect 0 claims.</t>
  </si>
  <si>
    <t>Completed Products supplemental signed and dated by the insured.</t>
  </si>
  <si>
    <t>Completed Liquor Liability supplemental signed and dated by the insured.</t>
  </si>
  <si>
    <t>Completed Hired And Non-Owned Auto supplemental signed and dated by the insured.</t>
  </si>
  <si>
    <t>Completed Oil &amp; Gas supplemental signed and dated by the insured.</t>
  </si>
  <si>
    <t>Completed Hospitality supplemental signed and dated by the insured.</t>
  </si>
  <si>
    <t>Attach Forms function = FillEndorsementsOnButton macro</t>
  </si>
  <si>
    <t>Create Quote function = InsertEndorsements macro</t>
  </si>
  <si>
    <t>Bind Account = Binding macro</t>
  </si>
  <si>
    <t>As respects formatting for Q/B, the magic row is 77 (one above where the coverage form is listed).  Whatever formatting that row has is what the forms schedule will be.</t>
  </si>
  <si>
    <t>Payroll + Sub Costs / Sales =</t>
  </si>
  <si>
    <t>Payroll / Sales =</t>
  </si>
  <si>
    <t xml:space="preserve">Sub Costs / Sales = </t>
  </si>
  <si>
    <t>FMIC GL 2008 (01/14)</t>
  </si>
  <si>
    <t>FMIC LL 2021 (01/14)</t>
  </si>
  <si>
    <t>Independent contractors</t>
  </si>
  <si>
    <t>There is no security</t>
  </si>
  <si>
    <t>Insured's employees</t>
  </si>
  <si>
    <t>Domestic Sales</t>
  </si>
  <si>
    <t>Foreign Sales</t>
  </si>
  <si>
    <t>Hud</t>
  </si>
  <si>
    <t>Section 42</t>
  </si>
  <si>
    <t>Senior</t>
  </si>
  <si>
    <t>Student</t>
  </si>
  <si>
    <t>Sprinkler</t>
  </si>
  <si>
    <t>Aluminum</t>
  </si>
  <si>
    <t>Smoke</t>
  </si>
  <si>
    <t>Security</t>
  </si>
  <si>
    <t>Waivers are enforceable in Alaska and there are statutes that reflect this.</t>
  </si>
  <si>
    <t>Waivers are enforceable in California and there are statutes that reflect this.</t>
  </si>
  <si>
    <t>Waivers are enforceable in Colorado and there are statutes that reflect this.</t>
  </si>
  <si>
    <t>Waivers are enforceable in Delaware and there are statutes that reflect this.</t>
  </si>
  <si>
    <t>Waivers are enforceable in Florida and there are statutes that reflect this.</t>
  </si>
  <si>
    <t>Waivers are enforceable in Georgia and there are statutes that reflect this.</t>
  </si>
  <si>
    <t>Waivers are enforceable in Idaho and there are statutes that reflect this.</t>
  </si>
  <si>
    <t>Waivers are enforceable in Illinois and there are statutes that reflect this.</t>
  </si>
  <si>
    <t>Waivers are enforceable in Indiana and there are statutes that reflect this.</t>
  </si>
  <si>
    <t>Waivers are enforceable in Iowa and there are statutes that reflect this.</t>
  </si>
  <si>
    <t>Waivers are enforceable in Kentucky and there are statutes that reflect this.</t>
  </si>
  <si>
    <t>Waivers are enforceable in Maryland and there are statutes that reflect this.</t>
  </si>
  <si>
    <t>Waivers are enforceable in Michigan and there are statutes that reflect this.</t>
  </si>
  <si>
    <t>Waivers are enforceable in Minnesota and there are statutes that reflect this.</t>
  </si>
  <si>
    <t>Waivers are enforceable in Nevada and there are statutes that reflect this.</t>
  </si>
  <si>
    <t>Waivers are enforceable in New Jersey and there are statutes that reflect this.</t>
  </si>
  <si>
    <t>Waivers are enforceable in New Mexico and there are statutes that reflect this.</t>
  </si>
  <si>
    <t>Waivers are enforceable in New York and there are statutes that reflect this.</t>
  </si>
  <si>
    <t>Waivers are enforceable in North Carolina and there are statutes that reflect this.</t>
  </si>
  <si>
    <t>Waivers are enforceable in North Dakota and there are statutes that reflect this.</t>
  </si>
  <si>
    <t>Waivers are enforceable in Oklahoma and there are statutes that reflect this.</t>
  </si>
  <si>
    <t>Waivers are enforceable in South Dakota and there are statutes that reflect this.</t>
  </si>
  <si>
    <t>Waivers are enforceable in Tennessee and there are statutes that reflect this.</t>
  </si>
  <si>
    <t>Waivers are enforceable in Texas and there are statutes that reflect this.</t>
  </si>
  <si>
    <t>Waivers are enforceable in Utah and there are statutes that reflect this.</t>
  </si>
  <si>
    <t>Waivers are enforceable in Washington and there are statutes that reflect this.</t>
  </si>
  <si>
    <t>Waivers are enforceable in West Virginia and there are statutes that reflect this.</t>
  </si>
  <si>
    <t>Waivers are enforceable in Wisconsin and there are statutes that reflect this.</t>
  </si>
  <si>
    <t>Waivers are enforceable in Alabama, but there are no statutes that reflect this.</t>
  </si>
  <si>
    <t>Waivers are enforceable in Arkansas, but there are no statutes that reflect this.</t>
  </si>
  <si>
    <t>Waivers are enforceable in Kansas, but there are no statutes that reflect this.</t>
  </si>
  <si>
    <t>Waivers are enforceable in Massachusetts, but there are no statutes that reflect this.</t>
  </si>
  <si>
    <t>Waivers are enforceable in Mississippi, but there are no statutes that reflect this.</t>
  </si>
  <si>
    <t>Waivers are enforceable in Missouri, but there are no statutes that reflect this.</t>
  </si>
  <si>
    <t>Waivers are enforceable in Nebraska, but there are no statutes that reflect this.</t>
  </si>
  <si>
    <t>Waivers are enforceable in New Hampshire, but there are no statutes that reflect this.</t>
  </si>
  <si>
    <t>Waivers are enforceable in Ohio, but there are no statutes that reflect this.</t>
  </si>
  <si>
    <t>Waivers are enforceable in Oregon, but there are no statutes that reflect this.</t>
  </si>
  <si>
    <t>Waivers are enforceable in Pennsylvania, but there are no statutes that reflect this.</t>
  </si>
  <si>
    <t>Waivers are enforceable in South Carolina, but there are no statutes that reflect this.</t>
  </si>
  <si>
    <t>Waivers are enforceable in Vermont, but there are no statutes that reflect this.</t>
  </si>
  <si>
    <t>The enforceability of waivers in Arizona is a jury question per statute and case law.</t>
  </si>
  <si>
    <t>Waivers are void in Connecticut.</t>
  </si>
  <si>
    <t>The enforceability of waivers in Hawaii is a jury question per statute.</t>
  </si>
  <si>
    <t>Waivers are unenforceable in Louisiana.</t>
  </si>
  <si>
    <t>Waivers are enforceable in Maine, but there are no statutes that reflect this.</t>
  </si>
  <si>
    <t>Waivers are unenforceable in Montana.</t>
  </si>
  <si>
    <t>Waivers are void in Virginia (aside from auto races).</t>
  </si>
  <si>
    <t>A parent can execute a waiver for a minor.</t>
  </si>
  <si>
    <t>It is unclear whether a parent can execute a release for a minor.</t>
  </si>
  <si>
    <t>A parent cannot execute a waiver for a minor.</t>
  </si>
  <si>
    <t>A parent cannot execute a waiver for a minor except pursuant to a specific authorization from a Court or competent jurisdiction.</t>
  </si>
  <si>
    <t>A parent can execute a waiver for a minor, but this is barred on unreported cases.</t>
  </si>
  <si>
    <t>Wyoming (WY)</t>
  </si>
  <si>
    <t>Waivers are enforceable in Wyoming, but there are no statutes that reflect this.</t>
  </si>
  <si>
    <t>New</t>
  </si>
  <si>
    <t>LOSS EVALUATION</t>
  </si>
  <si>
    <t>There is no info available regarding the enforceability of waivers in the District Of Columbia.</t>
  </si>
  <si>
    <t>There is no info available regarding a parent's ability to execute a waiver for a minor.</t>
  </si>
  <si>
    <t>There does not appear to be case law regarding a parent's ability to execute a waiver for a minor.</t>
  </si>
  <si>
    <t>Avg. Annual Incurred Loss/
Risk Premium:</t>
  </si>
  <si>
    <t>Form</t>
  </si>
  <si>
    <t>Rhode Island (RI)</t>
  </si>
  <si>
    <t>Flat</t>
  </si>
  <si>
    <t>Copy of the insured's most recent financials.</t>
  </si>
  <si>
    <t>Copy of the insured's standard contract/ MSA.</t>
  </si>
  <si>
    <t>Copy of the insured's subcontractor agreement with acceptable "hold harmless" and insurance provisions.</t>
  </si>
  <si>
    <t>Copy of the insured's formal safety program.</t>
  </si>
  <si>
    <t>Underwriter</t>
  </si>
  <si>
    <t>Inspection Fee</t>
  </si>
  <si>
    <t>Special Event</t>
  </si>
  <si>
    <t>Additional Insured - Concessionaires Trading Under Your Name</t>
  </si>
  <si>
    <t>Additional Insured - Owners, Lessees Or Contractors - Scheduled Person Or Organization</t>
  </si>
  <si>
    <t>Additional Insured - Managers Or Lessors Of Premises</t>
  </si>
  <si>
    <t>Additional Insured - State Or Governmental Agency Or Subdivision Or Political Subdivision - Permits Or Authorizations</t>
  </si>
  <si>
    <t>Additional Insured - State Or Governmental Agency Or Subdivision Or Political Subdivision - Permits Or Authorizations Relating To Premises</t>
  </si>
  <si>
    <t>Additional Insured - Vendors</t>
  </si>
  <si>
    <t>Additional Insured - Mortgagee, Assignee Or Receiver</t>
  </si>
  <si>
    <t>Additional Insured - Owners Or Other Interests From Whom Land Has Been Leased</t>
  </si>
  <si>
    <t>Additional Insured - Lessor Of Leased Equipment</t>
  </si>
  <si>
    <t>Additional Insured - Grantor Of Franchise</t>
  </si>
  <si>
    <t>Additional Insured - Engineers, Architects Or Surveyors Not Engaged By The Named Insured</t>
  </si>
  <si>
    <t>Exclusion Of Designated Operations</t>
  </si>
  <si>
    <t>Prior Work Exclusion Endorsement</t>
  </si>
  <si>
    <t>Stop Gap - Employers Liability Coverage Endorsement United States Virgin Islands</t>
  </si>
  <si>
    <t>Prior Work Exclusion Endorsement - Specific Date</t>
  </si>
  <si>
    <t>"Self-Insured Retention" Endorsement (TPA:  Broadspire, 1001 Summit Blvd., Atlanta, GA  30319, (404) 300-1603) (Periodic Reporting Requirement:  Annually)</t>
  </si>
  <si>
    <t>"Self-Insured Retention" Endorsement (TPA:  International Risk Resources, LLC, Randy Savage, 700 Old Roswell Lakes Pwky, Suite 150, Roswell, GA  30076-8656, (678) 736-2318) (Periodic Reporting Requirement:  Annually)</t>
  </si>
  <si>
    <t>"Self-Insured Retention" Endorsement (TPA:  West Coast Casualty Service, Inc., David Stern, 5743 Corsa Ave., Suite 205, Westlake Village, CA  91362, (818) 735-3595, Ext. 112) (Periodic Reporting Requirement:  Annually)</t>
  </si>
  <si>
    <t>"Self-Insured Retention" Endorsement (TPA:  Gallagher Bassett Services, Inc., Two Pierce Place, Itasca, IL  60143-3141, (630) 285-4172) (Periodic Reporting Requirement:  Annually)</t>
  </si>
  <si>
    <t>"Self-Insured Retention" Endorsement (TPA:  The MacDonald Companies, Inc., Matthew D. MacDonald, 511 Main Street, Sturbridge, MA  01518, (774) 241-0505) (Periodic Reporting Requirement:  Annually)</t>
  </si>
  <si>
    <t>"Self-Insured Retention" Endorsement (TPA:  ESIS, Inc., Kenneth Tucker, 436 Walnut Street, WAO3H, Philadelphia, PA  19106, (215) 640-1175) (Periodic Reporting Requirement:  Annually)</t>
  </si>
  <si>
    <t>"Self-Insured Retention" Endorsement (Insured must confirm one of the following FMIC-approved TPA's at binding:  Broadspire, International Risk Resources, ESIS, The MacDonald Companies or Gallagher Bassett Services)</t>
  </si>
  <si>
    <t>"Self-Insured Retention" Endorsement (Insured must confirm one of the following FMIC-approved TPA's at binding:  Broadspire, International Risk Resources, ESIS, The MacDonald Companies, Gallagher Bassett Services or West Coast Casualty Service (West Coast Casualty may only be used for construction risks in the Western region)).</t>
  </si>
  <si>
    <t>Misc. Specialty</t>
  </si>
  <si>
    <t>Waivers are enforceable in Rhode Island, but there are no statutes that reflect this.</t>
  </si>
  <si>
    <t>A parent may not compromise a child’s cause of action absent express authority to do so under a statute or by approval of the Court.</t>
  </si>
  <si>
    <t>Processing Fee</t>
  </si>
  <si>
    <t>Retention Type</t>
  </si>
  <si>
    <t>Risk State</t>
  </si>
  <si>
    <t>Rate</t>
  </si>
  <si>
    <t>Gross Sales (For Rackley):</t>
  </si>
  <si>
    <t>Payroll (For Rackley):</t>
  </si>
  <si>
    <t>3 (Off Premises)/ 5 (On)</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</si>
  <si>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</si>
  <si>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</si>
  <si>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</si>
  <si>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</si>
  <si>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</si>
  <si>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</si>
  <si>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</si>
  <si>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</si>
  <si>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</si>
  <si>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</si>
  <si>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</si>
  <si>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</si>
  <si>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</si>
  <si>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</si>
  <si>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</si>
  <si>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</si>
  <si>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</si>
  <si>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</si>
  <si>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</si>
  <si>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</si>
  <si>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</si>
  <si>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</si>
  <si>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</si>
  <si>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</si>
  <si>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</si>
  <si>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</si>
  <si>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</si>
  <si>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</si>
  <si>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</si>
  <si>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</si>
  <si>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</si>
  <si>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</si>
  <si>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</si>
  <si>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</si>
  <si>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</si>
  <si>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</si>
  <si>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</si>
  <si>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</si>
  <si>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</si>
  <si>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</si>
  <si>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</si>
  <si>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</si>
  <si>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</si>
  <si>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</si>
  <si>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</si>
  <si>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</si>
  <si>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</si>
  <si>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</si>
  <si>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</si>
  <si>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</si>
  <si>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</si>
  <si>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0 (Off Premises)/ 7 (On)</t>
  </si>
  <si>
    <t>0 (Off Premises)/ 4 (On)</t>
  </si>
  <si>
    <t>Select Type</t>
  </si>
  <si>
    <t>Contact information for the insured's inspection contact.</t>
  </si>
  <si>
    <t>Construction Cost</t>
  </si>
  <si>
    <t>Per $1,000 Of Construction Cost</t>
  </si>
  <si>
    <t>Additional Insured - Concessionaires Trading Under Your Name (Additional Insured:  As required by written contract signed by both parties prior to the loss)</t>
  </si>
  <si>
    <t>Additional Insured - Owners, Lessees Or Contractors - Scheduled Person Or Organization (Additional Insured:  As required by written contract signed by both parties prior to the loss; Location(s):  All Locations)</t>
  </si>
  <si>
    <t>Additional Insured - Managers Or Lessors Of Premises (Additional Insured:  As required by written contract signed by both parties prior to the loss; Premises:  XXXXX)</t>
  </si>
  <si>
    <t>Additional Insured - State Or Governmental Agency Or Subdivision Or Political Subdivision - Permits Or Authorizations (Additional Insured:  As required by written contract signed by both parties prior to the loss)</t>
  </si>
  <si>
    <t>Additional Insured - State Or Governmental Agency Or Subdivision Or Political Subdivision - Permits Or Authorizations Relating To Premises (Additional Insured:  As required by written contract signed by both parties prior to the loss)</t>
  </si>
  <si>
    <t>Additional Insured - Vendors (Additional Insured:  As required by written contract signed by both parties prior to the loss; Products:  XXXXX)</t>
  </si>
  <si>
    <t>Additional Insured - Mortgagee, Assignee, Or Receiver (Additional Insured:  As required by written contract signed by both parties prior to the loss; Premises:  XXXXX)</t>
  </si>
  <si>
    <t>Additional Insured - Owners Or Other Interests From Whom Land Has Been Leased (Additional Insured:  As required by written contract signed by both parties prior to the loss; Premises:  XXXXX)</t>
  </si>
  <si>
    <t>Additional Insured - Lessor Of Leased Equipment (Additional Insured:  As required by written contract signed by both parties prior to the loss)</t>
  </si>
  <si>
    <t>Additional Insured - Grantor Of Franchise (Additional Insured:  As required by written contract signed by both parties prior to the loss)</t>
  </si>
  <si>
    <t>Additional Insured - Engineers, Architects Or Surveyors Not Engaged By The Named Insured (Additional Insured:  As required by written contract signed by both parties prior to the loss)</t>
  </si>
  <si>
    <t>Prior Work Exclusion Endorsement (Prior To:  Effective date of this policy)</t>
  </si>
  <si>
    <t>Exclusion - Specified State Operations Exclusion (States Excluded:  All States Other Than XXXXX)</t>
  </si>
  <si>
    <t>Stop Gap - Employers Liability Coverage Endorsement - North Dakota</t>
  </si>
  <si>
    <t>Stop Gap - Employers Liability Coverage Endorsement - Ohio</t>
  </si>
  <si>
    <t>Stop Gap - Employers Liability Coverage Endorsement - Washington</t>
  </si>
  <si>
    <t>Stop Gap - Employers Liability Coverage Endorsement - West Virginia</t>
  </si>
  <si>
    <t>Stop Gap - Employers Liability Coverage Endorsement - Wyoming</t>
  </si>
  <si>
    <t>Exclusion Of Designated Operations (Operations:  Any general contracting operations involving the new construction of single family dwellings, condos or townhomes)</t>
  </si>
  <si>
    <t>Exclusion Of Designated Operations (Operations:  Residential home building as a GC)</t>
  </si>
  <si>
    <t>Amendment Of Products/Completed Operations Claims-Made Coverage - Extended Reporting Period (With a supplemental aggregate limit)</t>
  </si>
  <si>
    <t>Amendment Of Products/Completed Operations Claims-Made Coverage - Extended Reporting Period (Without a supplemental aggregate limit)</t>
  </si>
  <si>
    <t>Amendment Of Products/Completed Operations Claims-Made Coverage - Extended Reporting Period</t>
  </si>
  <si>
    <t>Prior Work Exclusion Endorsement - Specific Date (Date:  Effective date of this policy)</t>
  </si>
  <si>
    <t>Stop Gap - Employers Liability Coverage Endorsement - North Dakota (Limits:  $500,000/ $500,000/ $500,000)</t>
  </si>
  <si>
    <t>Stop Gap - Employers Liability Coverage Endorsement - North Dakota (Limits:  $1,000,000/ $1,000,000/ $1,000,000)</t>
  </si>
  <si>
    <t>Stop Gap - Employers Liability Coverage Endorsement - Ohio (Limits:  $500,000/ $500,000/ $500,000)</t>
  </si>
  <si>
    <t>Stop Gap - Employers Liability Coverage Endorsement - Ohio (Limits:  $1,000,000/ $1,000,000/ $1,000,000)</t>
  </si>
  <si>
    <t>Stop Gap - Employers Liability Coverage Endorsement - Washington (Limits:  $500,000/ $500,000/ $500,000)</t>
  </si>
  <si>
    <t>Stop Gap - Employers Liability Coverage Endorsement - Washington (Limits:  $1,000,000/ $1,000,000/ $1,000,000)</t>
  </si>
  <si>
    <t>Stop Gap - Employers Liability Coverage Endorsement - West Virginia (Limits:  $500,000/ $500,000/ $500,000)</t>
  </si>
  <si>
    <t>Stop Gap - Employers Liability Coverage Endorsement - West Virginia (Limits:  $1,000,000/ $1,000,000/ $1,000,000)</t>
  </si>
  <si>
    <t>Stop Gap - Employers Liability Coverage Endorsement - Wyoming (Limits:  $500,000/ $500,000/ $500,000)</t>
  </si>
  <si>
    <t>Stop Gap - Employers Liability Coverage Endorsement - Wyoming (Limits:  $1,000,000/ $1,000,000/ $1,000,000)</t>
  </si>
  <si>
    <t>Stop Gap - Employers Liability Coverage Endorsement United States Virgin Islands (Limits:  $500,000/ $500,000/ $500,000)</t>
  </si>
  <si>
    <t>Stop Gap - Employers Liability Coverage Endorsement United States Virgin Islands (Limits:  $1,000,000/ $1,000,000/ $1,000,000)</t>
  </si>
  <si>
    <t>Exposure:</t>
  </si>
  <si>
    <t>Acres (For Rackley):</t>
  </si>
  <si>
    <t>Dwellings (For Rackley):</t>
  </si>
  <si>
    <t>Pupils (For Rackley):</t>
  </si>
  <si>
    <t>Total Cost (For Rackley):</t>
  </si>
  <si>
    <t>Units (For Rackley):</t>
  </si>
  <si>
    <t>Restaurant</t>
  </si>
  <si>
    <t>Bar/ Tavern</t>
  </si>
  <si>
    <t>Sports Bar</t>
  </si>
  <si>
    <t>Lounge</t>
  </si>
  <si>
    <t>Music Venue</t>
  </si>
  <si>
    <t>Insured's employees + independent contractors</t>
  </si>
  <si>
    <t>Premium</t>
  </si>
  <si>
    <t>Applicable Exposure (Current Year):</t>
  </si>
  <si>
    <t>Applicable Exposure (Current Year) for R vs. E:</t>
  </si>
  <si>
    <t>Applicable Exposure (Year Before Current):</t>
  </si>
  <si>
    <t>Applicable Exposure (Year Before Current) for R vs. E:</t>
  </si>
  <si>
    <t>Applicable Exposure (2 Years Before Current) for R vs. E:</t>
  </si>
  <si>
    <t>Applicable Exposure (2 Years Before Current):</t>
  </si>
  <si>
    <t>Applicable Exposure (3 Years Before Current):</t>
  </si>
  <si>
    <t>Applicable Exposure (3 Years Before Current) for R vs. E:</t>
  </si>
  <si>
    <t>Applicable Exposure (Projected):</t>
  </si>
  <si>
    <t>Applicable Exposure (Projected) for R vs. E:</t>
  </si>
  <si>
    <t>Q/B Header - Line 3</t>
  </si>
  <si>
    <t>FMIC GL 2009 (07/14)</t>
  </si>
  <si>
    <t>Amended Stop Gap - Employers Liability Coverage Endorsement - Ohio</t>
  </si>
  <si>
    <t>FMIC 2527</t>
  </si>
  <si>
    <t>Amended Stop Gap - Employers Liability Coverage Endorsement - Ohio (Limits:  $500,000/ $500,000/ $500,000)</t>
  </si>
  <si>
    <t>Amended Stop Gap - Employers Liability Coverage Endorsement - Ohio (Limits:  $1,000,000/ $1,000,000/ $1,000,000)</t>
  </si>
  <si>
    <t>All Forms</t>
  </si>
  <si>
    <t>Current Year</t>
  </si>
  <si>
    <t>Projected</t>
  </si>
  <si>
    <t>Team</t>
  </si>
  <si>
    <t>Specialty</t>
  </si>
  <si>
    <t>Construction - West</t>
  </si>
  <si>
    <t>Construction - Central</t>
  </si>
  <si>
    <t>Construction - Northeast</t>
  </si>
  <si>
    <t>Expiration Date:</t>
  </si>
  <si>
    <t>Additional Insured - Designated Person Or Organization</t>
  </si>
  <si>
    <t>Additional Insured - Designated Person Or Organization (Additional Insured:  As required by written contract signed by both parties prior to the loss)</t>
  </si>
  <si>
    <t>FMIC 2258</t>
  </si>
  <si>
    <t>Underground Work - Warranty Endorsement</t>
  </si>
  <si>
    <t>FMIC 2019</t>
  </si>
  <si>
    <t>Contractor Warranty Endorsement (Type Of Work:  Work; Locations/ Projects:  All Locations/ Projects)</t>
  </si>
  <si>
    <t>Underground Work - Warranty Endorsement (Locations/ Projects:  All Locations/ Projects)</t>
  </si>
  <si>
    <t>Contractor Warranty Endorsement (Type Of Work:  Grading Or Excavation Work; Locations/ Projects:  All Locations/ Projects)</t>
  </si>
  <si>
    <t>Contractor Warranty Endorsement (Type Of Work:  Work; Locations/ Projects:  XXXXX)</t>
  </si>
  <si>
    <t>Contractor Warranty Endorsement (Type Of Work:  Grading Or Excavation Work; Locations/ Projects:  XXXXX)</t>
  </si>
  <si>
    <t>P/CO</t>
  </si>
  <si>
    <t>OCP</t>
  </si>
  <si>
    <t>LL</t>
  </si>
  <si>
    <t>CG 00 37 12 07 Products/ Completed Ops (Occurrence)</t>
  </si>
  <si>
    <t>CG 00 38 12 07 Products/ Completed Ops (Claims Made)</t>
  </si>
  <si>
    <t>CG 00 09 12 07 Owners And Contractors Protective (Occurrence)</t>
  </si>
  <si>
    <t>Construction Subset</t>
  </si>
  <si>
    <t>Colorado Construction</t>
  </si>
  <si>
    <t>Commercial General Liability</t>
  </si>
  <si>
    <t>Products/ Completed Operations Liability</t>
  </si>
  <si>
    <t>Owners And Contractors Protective Liability</t>
  </si>
  <si>
    <t>Liquor Liability</t>
  </si>
  <si>
    <t>Retention Value</t>
  </si>
  <si>
    <t>Exclusion - Specified State Operations Exclusion (States Excluded:  XXXXX)</t>
  </si>
  <si>
    <t>Apartments</t>
  </si>
  <si>
    <t>Per Apartment</t>
  </si>
  <si>
    <t>Max Fee</t>
  </si>
  <si>
    <t>Default Fee</t>
  </si>
  <si>
    <t>Selected State</t>
  </si>
  <si>
    <t>20% Premium</t>
  </si>
  <si>
    <t>Left over</t>
  </si>
  <si>
    <t>Nevada Inspection Fee</t>
  </si>
  <si>
    <t>Commission</t>
  </si>
  <si>
    <t>Underground Resources And Equipment Coverage (Aggregate Limit:  $1,000,000)</t>
  </si>
  <si>
    <t>Underground Resources And Equipment Coverage (Aggregate Limit:  $250,000)</t>
  </si>
  <si>
    <t>Underground Resources And Equipment Coverage (Aggregate Limit:  $500,000)</t>
  </si>
  <si>
    <t>Completed FMIC TRIA Disclosure 2015-2019 form signed and dated by the insured.</t>
  </si>
  <si>
    <t>GU 207 (6/78)</t>
  </si>
  <si>
    <t>Named Insured Extension</t>
  </si>
  <si>
    <t>Amendment Of Policy Language Endorsement</t>
  </si>
  <si>
    <t>Copy of the insured's rental agreement.</t>
  </si>
  <si>
    <t>Miles Of Pipeline</t>
  </si>
  <si>
    <t>Per Mile Of Pipeline</t>
  </si>
  <si>
    <t>Subjectivities</t>
  </si>
  <si>
    <t>Special Conditions For Subcontractors Including Deductible (Rate:  XXXXX; Deductible:  XXXXX)</t>
  </si>
  <si>
    <t>Special Conditions For Subcontractors Including Deductible (Rate:  $65; Deductible:  $10,000)</t>
  </si>
  <si>
    <t>Contract Cost</t>
  </si>
  <si>
    <t>Per $1,000 Of Contract Cost</t>
  </si>
  <si>
    <t>CG 21 44</t>
  </si>
  <si>
    <t>Limitation Of Coverage To Designated Premises Or Project</t>
  </si>
  <si>
    <t>Limitation Of Coverage To Designated Premises Or Project (Premises:  As per schedule of locations on file with Company)</t>
  </si>
  <si>
    <t>Limitation Of Coverage To Designated Premises Or Project (Premises:  As per schedule of locations included in submission received on XXXXX)</t>
  </si>
  <si>
    <t>Limitation Of Coverage To Designated Premises Or Project (Premises:  As per schedule of locations dated XXXXX on file with Company)</t>
  </si>
  <si>
    <t>Limitation Of Coverage To Designated Premises Or Project (Premises:  As per schedule of XXXXX locations dated XXXXX on file with Company)</t>
  </si>
  <si>
    <t>Owner's Interest</t>
  </si>
  <si>
    <t>Copy of the Primary And Non-Contributory Endorsement from the General Contractor's policy naming the insured.</t>
  </si>
  <si>
    <t>Copy of the CG 20 37 from the General Contractor's policy naming the insured.</t>
  </si>
  <si>
    <t>5 years of currently valued (within 90 days of proposed inception) carrier loss runs for the General Contractor.</t>
  </si>
  <si>
    <t>Completed Project application signed and dated by the insured.</t>
  </si>
  <si>
    <t>Copy of the General Contractor's COI confirming 'Each Occurrence' limit of at least $10,000,000.</t>
  </si>
  <si>
    <t>Wrap</t>
  </si>
  <si>
    <t>Project Specific</t>
  </si>
  <si>
    <t>Contractor Warranty Endorsement (Type Of Work:  "your work"; Locations/ Projects:  All Locations/ Projects)</t>
  </si>
  <si>
    <t>Web Site:</t>
  </si>
  <si>
    <t>FMIC 2016</t>
  </si>
  <si>
    <t>Effective Date</t>
  </si>
  <si>
    <t>FMIC 2147</t>
  </si>
  <si>
    <t>Hired Auto And Non-Owned Auto Excess Liability Coverage Endorsement (Coverage Provided:  Hired Auto Liability And Non-Owned Auto Liability; Designated Covered Auto Type(s):  XXXXX)</t>
  </si>
  <si>
    <t>Hired Auto And Non-Owned Auto Excess Liability Coverage Endorsement (Coverage Provided:  Hired Auto Liability; Designated Covered Auto Type(s):  XXXXX)</t>
  </si>
  <si>
    <t>Hired Auto And Non-Owned Auto Excess Liability Coverage Endorsement (Coverage Provided:  Non-Owned Auto Liability; Designated Covered Auto Type(s):  XXXXX)</t>
  </si>
  <si>
    <t>Retention</t>
  </si>
  <si>
    <t>PRICING</t>
  </si>
  <si>
    <t>All Years Have Values</t>
  </si>
  <si>
    <t>Not All Years Have Values</t>
  </si>
  <si>
    <t>Any Years Not Have Values?</t>
  </si>
  <si>
    <t>Correct Version</t>
  </si>
  <si>
    <t>Ocurrence</t>
  </si>
  <si>
    <t>General Aggregate</t>
  </si>
  <si>
    <t>P/CO Aggregate</t>
  </si>
  <si>
    <t>PI/AI</t>
  </si>
  <si>
    <t>EBL</t>
  </si>
  <si>
    <t>Per Project Aggregate</t>
  </si>
  <si>
    <t>Per Location Aggregate</t>
  </si>
  <si>
    <t>Per Event Aggregate</t>
  </si>
  <si>
    <t>Policy Aggregate:</t>
  </si>
  <si>
    <t>Otherwise</t>
  </si>
  <si>
    <t>Shorthand</t>
  </si>
  <si>
    <t>Shorthand options below</t>
  </si>
  <si>
    <t>Selection</t>
  </si>
  <si>
    <t>Policy Aggregate (2):</t>
  </si>
  <si>
    <t>Other coverages</t>
  </si>
  <si>
    <t>Final</t>
  </si>
  <si>
    <t>End in comma?</t>
  </si>
  <si>
    <t>Combined</t>
  </si>
  <si>
    <t>Minus 2</t>
  </si>
  <si>
    <t>Residential - Single Family</t>
  </si>
  <si>
    <t>Residential - Multi Family</t>
  </si>
  <si>
    <t>Commercial - Apartments</t>
  </si>
  <si>
    <t>Commercial - All Other</t>
  </si>
  <si>
    <t>General Contractor - Apartments</t>
  </si>
  <si>
    <t>General Contractor - Rail</t>
  </si>
  <si>
    <t>General Contractor - All Other</t>
  </si>
  <si>
    <t>Commercial - Rail</t>
  </si>
  <si>
    <t>Subcontractor - Artisan</t>
  </si>
  <si>
    <t>Subcontractor - Roofer</t>
  </si>
  <si>
    <t>Subcontractor - Other Non-Artisan</t>
  </si>
  <si>
    <t>Subcontractor - Rail</t>
  </si>
  <si>
    <t>General Contractor - Single Family</t>
  </si>
  <si>
    <t>General Contractor - Multi Family</t>
  </si>
  <si>
    <t>Other Construction</t>
  </si>
  <si>
    <t>Almost There</t>
  </si>
  <si>
    <t>There</t>
  </si>
  <si>
    <t>Project</t>
  </si>
  <si>
    <t>OI</t>
  </si>
  <si>
    <t>Other Contracting</t>
  </si>
  <si>
    <t>COMMISSION CALCULATOR</t>
  </si>
  <si>
    <t>Risk Premium</t>
  </si>
  <si>
    <t>If you enter a premium value here, the applicable rate and commission will be calculated:</t>
  </si>
  <si>
    <t>If you enter a commission value here, the applicable rate and premium will be calculated:</t>
  </si>
  <si>
    <t>Commission (%):</t>
  </si>
  <si>
    <t>Commission ($):</t>
  </si>
  <si>
    <t>Premium Net Of Commission:</t>
  </si>
  <si>
    <t>InsuredID</t>
  </si>
  <si>
    <t>Account Executive</t>
  </si>
  <si>
    <t>ImageRight File #</t>
  </si>
  <si>
    <t>BrokerCompanyName</t>
  </si>
  <si>
    <t>BrokerName</t>
  </si>
  <si>
    <t>Broker - Company</t>
  </si>
  <si>
    <t>Broker - Contact Person</t>
  </si>
  <si>
    <t>New Or Renewal</t>
  </si>
  <si>
    <t>New?</t>
  </si>
  <si>
    <t>Expiring Policy #</t>
  </si>
  <si>
    <t>ExpiringPolicyNumber</t>
  </si>
  <si>
    <t>Insured</t>
  </si>
  <si>
    <t>InsuredName</t>
  </si>
  <si>
    <t>Web Site</t>
  </si>
  <si>
    <t>WebSite</t>
  </si>
  <si>
    <t>EffectiveDate</t>
  </si>
  <si>
    <t>Expiration Date</t>
  </si>
  <si>
    <t>PolicyTerm</t>
  </si>
  <si>
    <t>ChosenState</t>
  </si>
  <si>
    <t>Coverage Form</t>
  </si>
  <si>
    <t>PolicyForm</t>
  </si>
  <si>
    <t>Retro Date</t>
  </si>
  <si>
    <t>Years In Business</t>
  </si>
  <si>
    <t>YIB</t>
  </si>
  <si>
    <t>Premium_Bucket</t>
  </si>
  <si>
    <t>Class Code</t>
  </si>
  <si>
    <t>ClassCode</t>
  </si>
  <si>
    <t>HPEFirstChosen</t>
  </si>
  <si>
    <t>Historical/Projected Exposures Section - 1st Exposure - Projected</t>
  </si>
  <si>
    <t>Historical/Projected Exposures Section - 1st Exposure - 2 Years Back</t>
  </si>
  <si>
    <t>Historical/Projected Exposures Section - 1st Exposure - 3 Years Back</t>
  </si>
  <si>
    <t>Historical/Projected Exposures Section - 1st Exposure - 4 Years Back</t>
  </si>
  <si>
    <t>Historical/Projected Exposures Section - 1st Exposure - Current</t>
  </si>
  <si>
    <t>Historical/Projected Exposures Section - 1st Exposure - Chosen</t>
  </si>
  <si>
    <t>HPEFirstCurrent</t>
  </si>
  <si>
    <t>HPEFirst2YearsBack</t>
  </si>
  <si>
    <t>HPEFirst3YearsBack</t>
  </si>
  <si>
    <t>HPEFirst4YearsBack</t>
  </si>
  <si>
    <t>Historical/Projected Exposures Section - 2nd Exposure - Chosen</t>
  </si>
  <si>
    <t>Historical/Projected Exposures Section - 2nd Exposure - Projected</t>
  </si>
  <si>
    <t>Historical/Projected Exposures Section - 2nd Exposure - Current</t>
  </si>
  <si>
    <t>Historical/Projected Exposures Section - 2nd Exposure - 2 Years Back</t>
  </si>
  <si>
    <t>Historical/Projected Exposures Section - 2nd Exposure - 3 Years Back</t>
  </si>
  <si>
    <t>Historical/Projected Exposures Section - 2nd Exposure - 4 Years Back</t>
  </si>
  <si>
    <t>HPESecondChosen</t>
  </si>
  <si>
    <t>HPESecondCurrent</t>
  </si>
  <si>
    <t>HPESecond2YearsBack</t>
  </si>
  <si>
    <t>HPESecond3YearsBack</t>
  </si>
  <si>
    <t>HPESecond4YearsBack</t>
  </si>
  <si>
    <t>Historical/Projected Exposures Section - 3rd Exposure - Chosen</t>
  </si>
  <si>
    <t>Historical/Projected Exposures Section - 3rd Exposure - Projected</t>
  </si>
  <si>
    <t>Historical/Projected Exposures Section - 3rd Exposure - Current</t>
  </si>
  <si>
    <t>Historical/Projected Exposures Section - 3rd Exposure - 2 Years Back</t>
  </si>
  <si>
    <t>Historical/Projected Exposures Section - 3rd Exposure - 3 Years Back</t>
  </si>
  <si>
    <t>Historical/Projected Exposures Section - 3rd Exposure - 4 Years Back</t>
  </si>
  <si>
    <t>HPEThirdChosen</t>
  </si>
  <si>
    <t>HPEThirdCurrent</t>
  </si>
  <si>
    <t>HPEThird2YearsBack</t>
  </si>
  <si>
    <t>HPEThird3YearsBack</t>
  </si>
  <si>
    <t>HPEThird4YearsBack</t>
  </si>
  <si>
    <t>fmSales</t>
  </si>
  <si>
    <t>fmPayroll</t>
  </si>
  <si>
    <t>fmContractCosts</t>
  </si>
  <si>
    <t>General Aggregate Limit</t>
  </si>
  <si>
    <t>GeneralAggregateLimit</t>
  </si>
  <si>
    <t>Products-Completed Operations Limit</t>
  </si>
  <si>
    <t>PCO</t>
  </si>
  <si>
    <t>Occurrence Limit</t>
  </si>
  <si>
    <t>Occurrence</t>
  </si>
  <si>
    <t>Personal &amp; Advertising Injury Limit</t>
  </si>
  <si>
    <t>PIAI</t>
  </si>
  <si>
    <t>Damage To Premises Rented To You Limit</t>
  </si>
  <si>
    <t>FireDamage</t>
  </si>
  <si>
    <t>Medical Payment Limit</t>
  </si>
  <si>
    <t>MedPay</t>
  </si>
  <si>
    <t>Employee Benefits Liability Limit</t>
  </si>
  <si>
    <t>Liquor Liability - Each Common Cause Limit</t>
  </si>
  <si>
    <t>LiquorEachCommonCause</t>
  </si>
  <si>
    <t>Liquor Liability - Aggregate Limit</t>
  </si>
  <si>
    <t>LiquorAggregate Limit</t>
  </si>
  <si>
    <t>Historical/Projected Exposures Section - 1st Exposure - Calculation - Projected vs. Expiring</t>
  </si>
  <si>
    <t>Historical/Projected Exposures Section - 1st Exposure - Calculation - Expiring vs. 2 Years Back</t>
  </si>
  <si>
    <t>Historical/Projected Exposures Section - 1st Exposure - Calculation - 2 Years Back vs. 3 Years Back</t>
  </si>
  <si>
    <t>Historical/Projected Exposures Section - 1st Exposure - Calculation - 3 Years Back vs. 4 Years Back</t>
  </si>
  <si>
    <t>HPEFirstCalculation1</t>
  </si>
  <si>
    <t>HPEFirstCalculation2</t>
  </si>
  <si>
    <t>HPEFirstCalculation3</t>
  </si>
  <si>
    <t>HPEFirstCalculation4</t>
  </si>
  <si>
    <t>Historical/Projected Exposures Section - 2nd Exposure - Calculation - Projected vs. Expiring</t>
  </si>
  <si>
    <t>Historical/Projected Exposures Section - 2nd Exposure - Calculation - Expiring vs. 2 Years Back</t>
  </si>
  <si>
    <t>Historical/Projected Exposures Section - 2nd Exposure - Calculation - 2 Years Back vs. 3 Years Back</t>
  </si>
  <si>
    <t>Historical/Projected Exposures Section - 2nd Exposure - Calculation - 3 Years Back vs. 4 Years Back</t>
  </si>
  <si>
    <t>HPESecondCalculation1</t>
  </si>
  <si>
    <t>HPESecondCalculation2</t>
  </si>
  <si>
    <t>HPESecondCalculation3</t>
  </si>
  <si>
    <t>HPESecondCalculation4</t>
  </si>
  <si>
    <t>Historical/Projected Exposures Section - 3rd Exposure - Calculation - Projected vs. Expiring</t>
  </si>
  <si>
    <t>Historical/Projected Exposures Section - 3rd Exposure - Calculation - Expiring vs. 2 Years Back</t>
  </si>
  <si>
    <t>Historical/Projected Exposures Section - 3rd Exposure - Calculation - 2 Years Back vs. 3 Years Back</t>
  </si>
  <si>
    <t>Historical/Projected Exposures Section - 3rd Exposure - Calculation - 3 Years Back vs. 4 Years Back</t>
  </si>
  <si>
    <t>HPEThirdCalculation1</t>
  </si>
  <si>
    <t>HPEThirdCalculation2</t>
  </si>
  <si>
    <t>HPEThirdCalculation3</t>
  </si>
  <si>
    <t>HPEThirdCalculation4</t>
  </si>
  <si>
    <t>% Of Payroll (Or Payroll + Sub Costs) To Sales</t>
  </si>
  <si>
    <t>PayrollToSales</t>
  </si>
  <si>
    <t>Contractors - % New</t>
  </si>
  <si>
    <t>PercentNew</t>
  </si>
  <si>
    <t>Contractors - % Residential</t>
  </si>
  <si>
    <t>Contractors - % Commercial/Industrial</t>
  </si>
  <si>
    <t>Residential</t>
  </si>
  <si>
    <t>Commercial</t>
  </si>
  <si>
    <t>Contractors - % Interior</t>
  </si>
  <si>
    <t>Contractors - % Exterior</t>
  </si>
  <si>
    <t>PercentInterior</t>
  </si>
  <si>
    <t>PercentExterior</t>
  </si>
  <si>
    <t>Contractors - Safety Program</t>
  </si>
  <si>
    <t>ContSafetyYes</t>
  </si>
  <si>
    <t>Contractors - Operate In A Tier 1 State</t>
  </si>
  <si>
    <t>OperateTier1</t>
  </si>
  <si>
    <t>Contractors - Operate In NY State</t>
  </si>
  <si>
    <t>OperateNYState</t>
  </si>
  <si>
    <t>Contractors - Sub Controls</t>
  </si>
  <si>
    <t>Contractors - % Of Work In New Tracts</t>
  </si>
  <si>
    <t>Contractors - % Of Work In New Condos</t>
  </si>
  <si>
    <t>PercentNewCondos</t>
  </si>
  <si>
    <t>SafetyRecordNotes</t>
  </si>
  <si>
    <t>Contractors - Type Of Contractor</t>
  </si>
  <si>
    <t>TypeOfContractor</t>
  </si>
  <si>
    <t>Contractors - Notes On Safety Record (Per OSHA site)</t>
  </si>
  <si>
    <t>RoofComPay</t>
  </si>
  <si>
    <t>RoofResPay</t>
  </si>
  <si>
    <t>Roofing - Average Work Height</t>
  </si>
  <si>
    <t>RoofReplacement</t>
  </si>
  <si>
    <t>Roofing - Maximum Work Height</t>
  </si>
  <si>
    <t>MaximumWorkHeight</t>
  </si>
  <si>
    <t>Roofing - Types Of Roofs</t>
  </si>
  <si>
    <t>TypesOfRoofs</t>
  </si>
  <si>
    <t>Roofing - Use Of Hot Tar</t>
  </si>
  <si>
    <t>RoofHotTarYes</t>
  </si>
  <si>
    <t>HotTarSafety</t>
  </si>
  <si>
    <t>Roofing - Hot Tar Safety Precautions</t>
  </si>
  <si>
    <t>Roofing - Torch Down Exposure</t>
  </si>
  <si>
    <t>RoofTorchDownYes</t>
  </si>
  <si>
    <t>Roofing - Torch Down Safety Precautions</t>
  </si>
  <si>
    <t>TorchDownSafety</t>
  </si>
  <si>
    <t>Roofing - Other Work</t>
  </si>
  <si>
    <t>RoofingOtherWork</t>
  </si>
  <si>
    <t>Roofing - Job Site Security</t>
  </si>
  <si>
    <t>RoofingJobSite</t>
  </si>
  <si>
    <t>Roofing - Total Payroll</t>
  </si>
  <si>
    <t>RoofingPayroll</t>
  </si>
  <si>
    <t>Home Builders - % Direct Labor</t>
  </si>
  <si>
    <t>Home Builders - % Subcontracted</t>
  </si>
  <si>
    <t>HBDirect</t>
  </si>
  <si>
    <t>HBSubcontracted</t>
  </si>
  <si>
    <t>Home Builders - # Of Annual Starts</t>
  </si>
  <si>
    <t>HBAnnualStarts</t>
  </si>
  <si>
    <t>Home Builders - Most Homes Built Annually In Last 10 Years</t>
  </si>
  <si>
    <t>HBMostInLast10</t>
  </si>
  <si>
    <t>Home Builders - Average # In Single Development</t>
  </si>
  <si>
    <t>HBSingleAverage</t>
  </si>
  <si>
    <t>HBSingleMaximum</t>
  </si>
  <si>
    <t>Home Builders - Maximum # In Single Development</t>
  </si>
  <si>
    <t>Home Builders - CD Claim Details</t>
  </si>
  <si>
    <t>HBCD</t>
  </si>
  <si>
    <t>HBAI</t>
  </si>
  <si>
    <t>Home Builders - AI Status Required From Subs</t>
  </si>
  <si>
    <t>Home Builders - "Right To Repair"/ Warranty Program</t>
  </si>
  <si>
    <t>HBRight</t>
  </si>
  <si>
    <t>Home Builders - Details For Tier 1 States + CO/FL/TX</t>
  </si>
  <si>
    <t>HBTier1</t>
  </si>
  <si>
    <t>Habitational - # Of Locations</t>
  </si>
  <si>
    <t>Habitational - # Of Units</t>
  </si>
  <si>
    <t>Habitational - # Of Units - Hud</t>
  </si>
  <si>
    <t>Habitational - # Of Units - Section 42</t>
  </si>
  <si>
    <t>Habitational - # Of Units - Senior</t>
  </si>
  <si>
    <t>Habitational - # Of Units - Student</t>
  </si>
  <si>
    <t>Habitational - Average Crime Score</t>
  </si>
  <si>
    <t>Habitational - Violent Crime Score</t>
  </si>
  <si>
    <t>Habitational - # Of Units - Sprinklered</t>
  </si>
  <si>
    <t>Habitational - # Of Units - Aluminum Wiring</t>
  </si>
  <si>
    <t>Habitational - # Of Units - Hard Wired Smoke Detectors</t>
  </si>
  <si>
    <t>Habitational - # Of Armed Security</t>
  </si>
  <si>
    <t>Habitational - % Occupied</t>
  </si>
  <si>
    <t>Habitational - # Of Pools</t>
  </si>
  <si>
    <t>Habitational - # Of Playgrounds</t>
  </si>
  <si>
    <t>HabNumComplexes</t>
  </si>
  <si>
    <t>fmUnits</t>
  </si>
  <si>
    <t>HabNumHUD</t>
  </si>
  <si>
    <t>HabNum42</t>
  </si>
  <si>
    <t>HabNumSenior</t>
  </si>
  <si>
    <t>HabNumStudent</t>
  </si>
  <si>
    <t>HabCrimeScore1</t>
  </si>
  <si>
    <t>HabCrimeScore2</t>
  </si>
  <si>
    <t>HabNumSprink</t>
  </si>
  <si>
    <t>HabNumAluminum</t>
  </si>
  <si>
    <t>HabNumWired</t>
  </si>
  <si>
    <t>HabNumArmedSecurity</t>
  </si>
  <si>
    <t>HabPercOccupied</t>
  </si>
  <si>
    <t>HabNumPools</t>
  </si>
  <si>
    <t>HabNumPlaygrounds</t>
  </si>
  <si>
    <t>Habitational - Notes - Property Appearance</t>
  </si>
  <si>
    <t>Habitational - Notes - Crime Scores</t>
  </si>
  <si>
    <t>Habitational - Notes - Fire/Life Safety</t>
  </si>
  <si>
    <t>Habitational - Notes - Pool/Playground Safety</t>
  </si>
  <si>
    <t>HabNotesProperty</t>
  </si>
  <si>
    <t>HabNotesCrime</t>
  </si>
  <si>
    <t>HabNotesFireLife</t>
  </si>
  <si>
    <t>HabNotesPoolPlayground</t>
  </si>
  <si>
    <t>Habitational - Calculation - HUD</t>
  </si>
  <si>
    <t>Habitational - Calculation - Section 42</t>
  </si>
  <si>
    <t>Habitational - Calculation - Senior</t>
  </si>
  <si>
    <t>Habitational - Calculation - Student</t>
  </si>
  <si>
    <t>Habitational - Calculation - Sprinklered</t>
  </si>
  <si>
    <t>Habitational - Calculation - Aluminum</t>
  </si>
  <si>
    <t>Habitational - Calculation - Hard Wired Smoke Detectors</t>
  </si>
  <si>
    <t>HabCalculation1</t>
  </si>
  <si>
    <t>HabCalculation2</t>
  </si>
  <si>
    <t>HabCalculation3</t>
  </si>
  <si>
    <t>HabCalculation4</t>
  </si>
  <si>
    <t>HabCalculation5</t>
  </si>
  <si>
    <t>HabCalculation6</t>
  </si>
  <si>
    <t>HabCalculation7</t>
  </si>
  <si>
    <t>Products - Domestic Sales - Projected</t>
  </si>
  <si>
    <t>Products - Domestic Sales - Current Year</t>
  </si>
  <si>
    <t>Products - Foreign Sales - Projected</t>
  </si>
  <si>
    <t>Products - Foreign Sales - Current Year</t>
  </si>
  <si>
    <t>Products - Calculation - % Of Projected Sales - Domestic</t>
  </si>
  <si>
    <t>Products - Calculation - % Of Projected Sales - Foreign</t>
  </si>
  <si>
    <t>Products - Calculation - % Of Current Year Sales - Domestic</t>
  </si>
  <si>
    <t>Products - Calculation - % Of Current Year Sales - Foreign</t>
  </si>
  <si>
    <t>Products - Consumer Or Commercial/Industrial</t>
  </si>
  <si>
    <t>Products - % Consumer</t>
  </si>
  <si>
    <t>Products - % Commercial/Industrial</t>
  </si>
  <si>
    <t>ProductsDomesticProjected</t>
  </si>
  <si>
    <t>ProductsDomesticCurrent</t>
  </si>
  <si>
    <t>ProductsForeignProjected</t>
  </si>
  <si>
    <t>ProductsForeignCurrent</t>
  </si>
  <si>
    <t>ProductsCalculation1</t>
  </si>
  <si>
    <t>ProductsCalculation2</t>
  </si>
  <si>
    <t>ProductsCalculation3</t>
  </si>
  <si>
    <t>ProductsCalculation4</t>
  </si>
  <si>
    <t>ProductsConsumerPercent</t>
  </si>
  <si>
    <t>ProductsCommercialPercent</t>
  </si>
  <si>
    <t>ProductsUse</t>
  </si>
  <si>
    <t>Hospitality - Location 1 - Type</t>
  </si>
  <si>
    <t>Hospitality - Location 1 - State</t>
  </si>
  <si>
    <t>Hospitality - Location 1 - Square Footage</t>
  </si>
  <si>
    <t>Hospitality - Location 1 - Liquor Sales</t>
  </si>
  <si>
    <t>Hospitality - Location 1 - Non-Liquor Sales</t>
  </si>
  <si>
    <t>Hospitality - Location 2 - Type</t>
  </si>
  <si>
    <t>Hospitality - Location 2 - State</t>
  </si>
  <si>
    <t>Hospitality - Location 2 - Square Footage</t>
  </si>
  <si>
    <t>Hospitality - Location 2 - Liquor Sales</t>
  </si>
  <si>
    <t>Hospitality - Location 2 - Non-Liquor Sales</t>
  </si>
  <si>
    <t>Hospitality - Location 3 - Type</t>
  </si>
  <si>
    <t>Hospitality - Location 3 - State</t>
  </si>
  <si>
    <t>Hospitality - Location 3 - Square Footage</t>
  </si>
  <si>
    <t>Hospitality - Location 3 - Liquor Sales</t>
  </si>
  <si>
    <t>Hospitality - Location 3 - Non-Liquor Sales</t>
  </si>
  <si>
    <t>Hospitality - Location 1 - Name</t>
  </si>
  <si>
    <t>Hospitality - Location 2 - Name</t>
  </si>
  <si>
    <t>Hospitality - Location 3 - Name</t>
  </si>
  <si>
    <t>Hospitality - Location 4 - Name</t>
  </si>
  <si>
    <t>Hospitality - Location 4 - Type</t>
  </si>
  <si>
    <t>Hospitality - Location 4 - State</t>
  </si>
  <si>
    <t>Hospitality - Location 4 - Square Footage</t>
  </si>
  <si>
    <t>Hospitality - Location 4 - Liquor Sales</t>
  </si>
  <si>
    <t>Hospitality - Location 4 - Non-Liquor Sales</t>
  </si>
  <si>
    <t>Hospitality - Location 5 - Name</t>
  </si>
  <si>
    <t>Hospitality - Location 5 - Type</t>
  </si>
  <si>
    <t>Hospitality - Location 5 - State</t>
  </si>
  <si>
    <t>Hospitality - Location 5 - Square Footage</t>
  </si>
  <si>
    <t>Hospitality - Location 5 - Liquor Sales</t>
  </si>
  <si>
    <t>Hospitality - Location 5 - Non-Liquor Sales</t>
  </si>
  <si>
    <t>Hosptiality - ISO Dram Shop Rating For Risk State</t>
  </si>
  <si>
    <t>Hospitality - Clientele Notes</t>
  </si>
  <si>
    <t>Hospitality - Entertainment Notes</t>
  </si>
  <si>
    <t>Hospitality - TIPS trained</t>
  </si>
  <si>
    <t>Hospitality - Dance Floor</t>
  </si>
  <si>
    <t>Hospitality - Video Surveillance</t>
  </si>
  <si>
    <t>Hospitality - Who Performs Security</t>
  </si>
  <si>
    <t>Hospitality - Security Follow-Up Question</t>
  </si>
  <si>
    <t>HospitalityLoc1Name</t>
  </si>
  <si>
    <t>HospitalityLoc1Type</t>
  </si>
  <si>
    <t>HospitalityLoc1State</t>
  </si>
  <si>
    <t>HospitalityLoc1SquareFootage</t>
  </si>
  <si>
    <t>HospitalityLoc1LiquorSales</t>
  </si>
  <si>
    <t>HospitalityLoc1NonLiquorSales</t>
  </si>
  <si>
    <t>HospitalityLoc2Name</t>
  </si>
  <si>
    <t>HospitalityLoc2Type</t>
  </si>
  <si>
    <t>HospitalityLoc2State</t>
  </si>
  <si>
    <t>HospitalityLoc2SquareFootage</t>
  </si>
  <si>
    <t>HospitalityLoc2LiquorSales</t>
  </si>
  <si>
    <t>HospitalityLoc2NonLiquorSales</t>
  </si>
  <si>
    <t>HospitalityLoc3Name</t>
  </si>
  <si>
    <t>HospitalityLoc3Type</t>
  </si>
  <si>
    <t>HospitalityLoc3State</t>
  </si>
  <si>
    <t>HospitalityLoc3SquareFootage</t>
  </si>
  <si>
    <t>HospitalityLoc3LiquorSales</t>
  </si>
  <si>
    <t>HospitalityLoc3NonLiquorSales</t>
  </si>
  <si>
    <t>HospitalityLoc4Name</t>
  </si>
  <si>
    <t>HospitalityLoc4Type</t>
  </si>
  <si>
    <t>HospitalityLoc4State</t>
  </si>
  <si>
    <t>HospitalityLoc4SquareFootage</t>
  </si>
  <si>
    <t>HospitalityLoc4LiquorSales</t>
  </si>
  <si>
    <t>HospitalityLoc4NonLiquorSales</t>
  </si>
  <si>
    <t>HospitalityLoc5Name</t>
  </si>
  <si>
    <t>HospitalityLoc5Type</t>
  </si>
  <si>
    <t>HospitalityLoc5State</t>
  </si>
  <si>
    <t>HospitalityLoc5SquareFootage</t>
  </si>
  <si>
    <t>HospitalityLoc5LiquorSales</t>
  </si>
  <si>
    <t>HospitalityLoc5NonLiquorSales</t>
  </si>
  <si>
    <t>HospitalityISODram</t>
  </si>
  <si>
    <t>HospitalityClientele</t>
  </si>
  <si>
    <t>HospitalityEntertainment</t>
  </si>
  <si>
    <t>HospitalityTIPS</t>
  </si>
  <si>
    <t>HospitalityDanceFloor</t>
  </si>
  <si>
    <t>HospitalityVideo</t>
  </si>
  <si>
    <t>HospitalitySecurity1</t>
  </si>
  <si>
    <t>HospitalitySecurity2</t>
  </si>
  <si>
    <t>Hospitality - Total Liquor Sales</t>
  </si>
  <si>
    <t>Hospitality - Total Non-Liquor Sales</t>
  </si>
  <si>
    <t>HospitalityLiquorSales</t>
  </si>
  <si>
    <t>HospitalityNonLiquorSales</t>
  </si>
  <si>
    <t>Amusement - Waivers Required</t>
  </si>
  <si>
    <t>AmusementWaivers</t>
  </si>
  <si>
    <t>OCP - Designated Contractor</t>
  </si>
  <si>
    <t>OCP - Mailing Address</t>
  </si>
  <si>
    <t>OCP - Location Of Covered Operations</t>
  </si>
  <si>
    <t>OCP - Estimated Contract Cost</t>
  </si>
  <si>
    <t>OCP - Estimated Duration Of Contract</t>
  </si>
  <si>
    <t>OCPContractor</t>
  </si>
  <si>
    <t>OCPMailing</t>
  </si>
  <si>
    <t>OCPLocation</t>
  </si>
  <si>
    <t>OCPContractCosts</t>
  </si>
  <si>
    <t>OCPDuration</t>
  </si>
  <si>
    <t>Type Of Wrap</t>
  </si>
  <si>
    <t>TypeOfWrap</t>
  </si>
  <si>
    <t>Type Of Project Specific</t>
  </si>
  <si>
    <t>TypeOfProjectSpecific</t>
  </si>
  <si>
    <t>Type Of OI</t>
  </si>
  <si>
    <t>TypeOfOI</t>
  </si>
  <si>
    <t>Operations Notes</t>
  </si>
  <si>
    <t>Operations</t>
  </si>
  <si>
    <t>Exposures Notes</t>
  </si>
  <si>
    <t>Exposures</t>
  </si>
  <si>
    <t>Rating - 1 - Type</t>
  </si>
  <si>
    <t>Rating - 1 - Exposure Basis</t>
  </si>
  <si>
    <t>Rating - 1 - Exposure Amount</t>
  </si>
  <si>
    <t>Rating - 1 - Rate</t>
  </si>
  <si>
    <t>Rating - 1 - Premium</t>
  </si>
  <si>
    <t>Rating - 1 - Notes</t>
  </si>
  <si>
    <t>Rating - 2 - Type</t>
  </si>
  <si>
    <t>Rating - 2 - Exposure Basis</t>
  </si>
  <si>
    <t>Rating - 2 - Exposure Amount</t>
  </si>
  <si>
    <t>Rating - 2 - Rate</t>
  </si>
  <si>
    <t>Rating - 2 - Premium</t>
  </si>
  <si>
    <t>Rating - 2 - Notes</t>
  </si>
  <si>
    <t>Rating - 3 - Type</t>
  </si>
  <si>
    <t>Rating - 3 - Exposure Basis</t>
  </si>
  <si>
    <t>Rating - 3 - Exposure Amount</t>
  </si>
  <si>
    <t>Rating - 3 - Rate</t>
  </si>
  <si>
    <t>Rating - 3 - Premium</t>
  </si>
  <si>
    <t>Rating - 3 - Notes</t>
  </si>
  <si>
    <t>Rating - 4 - Type</t>
  </si>
  <si>
    <t>Rating - 4 - Exposure Basis</t>
  </si>
  <si>
    <t>Rating - 4 - Exposure Amount</t>
  </si>
  <si>
    <t>Rating - 4 - Rate</t>
  </si>
  <si>
    <t>Rating - 4 - Premium</t>
  </si>
  <si>
    <t>Rating - 4 - Notes</t>
  </si>
  <si>
    <t>Rating - 5 - Type</t>
  </si>
  <si>
    <t>Rating - 5 - Exposure Basis</t>
  </si>
  <si>
    <t>Rating - 5 - Exposure Amount</t>
  </si>
  <si>
    <t>Rating - 5 - Rate</t>
  </si>
  <si>
    <t>Rating - 5 - Premium</t>
  </si>
  <si>
    <t>Rating - 5 - Notes</t>
  </si>
  <si>
    <t>Rating - Risk Premium</t>
  </si>
  <si>
    <t>Rating1Type</t>
  </si>
  <si>
    <t>Rating1ExposureBasis</t>
  </si>
  <si>
    <t>Rating1ExposureAmount</t>
  </si>
  <si>
    <t>Rating1Premium</t>
  </si>
  <si>
    <t>Rating1Notes</t>
  </si>
  <si>
    <t>Rating2Type</t>
  </si>
  <si>
    <t>Rating2ExposureBasis</t>
  </si>
  <si>
    <t>Rating2ExposureAmount</t>
  </si>
  <si>
    <t>Rating2Rate</t>
  </si>
  <si>
    <t>Rating2Premium</t>
  </si>
  <si>
    <t>Rating2Notes</t>
  </si>
  <si>
    <t>Rating3Type</t>
  </si>
  <si>
    <t>Rating3ExposureBasis</t>
  </si>
  <si>
    <t>Rating3ExposureAmount</t>
  </si>
  <si>
    <t>Rating3Rate</t>
  </si>
  <si>
    <t>Rating3Premium</t>
  </si>
  <si>
    <t>Rating3Notes</t>
  </si>
  <si>
    <t>Rating4Type</t>
  </si>
  <si>
    <t>Rating4ExposureBasis</t>
  </si>
  <si>
    <t>Rating4ExposureAmount</t>
  </si>
  <si>
    <t>Rating4Rate</t>
  </si>
  <si>
    <t>Rating4Premium</t>
  </si>
  <si>
    <t>Rating4Notes</t>
  </si>
  <si>
    <t>Rating5Type</t>
  </si>
  <si>
    <t>Rating5ExposureBasis</t>
  </si>
  <si>
    <t>Rating5ExposureAmount</t>
  </si>
  <si>
    <t>Rating5Rate</t>
  </si>
  <si>
    <t>Rating5Premium</t>
  </si>
  <si>
    <t>Rating5Notes</t>
  </si>
  <si>
    <t>FMEISrate</t>
  </si>
  <si>
    <t>Policy_Premium</t>
  </si>
  <si>
    <t>Minimum Earned At Inception (%)</t>
  </si>
  <si>
    <t>Minimum Earned At Audit (%)</t>
  </si>
  <si>
    <t>Defense Costs</t>
  </si>
  <si>
    <t>Audit Period</t>
  </si>
  <si>
    <t>Facultative Reinsurance Purchased</t>
  </si>
  <si>
    <t>TRIA %</t>
  </si>
  <si>
    <t>Attachment</t>
  </si>
  <si>
    <t>MinInception</t>
  </si>
  <si>
    <t>MinAudit</t>
  </si>
  <si>
    <t>Defense</t>
  </si>
  <si>
    <t>AuditPeriod</t>
  </si>
  <si>
    <t>Reinsurance</t>
  </si>
  <si>
    <t>TRIAPercent</t>
  </si>
  <si>
    <t>InspectionFee</t>
  </si>
  <si>
    <t>ProcessingFee</t>
  </si>
  <si>
    <t>Rackley - Deductible</t>
  </si>
  <si>
    <t>Rackley - Premium</t>
  </si>
  <si>
    <t>Rackley - Prem/Ops Premium</t>
  </si>
  <si>
    <t>Rackley - P/CO Premium</t>
  </si>
  <si>
    <t>RackleyDeductible</t>
  </si>
  <si>
    <t>RackleyPremOpsPremium</t>
  </si>
  <si>
    <t>RackleyPCOPremium</t>
  </si>
  <si>
    <t>Rackley_Premium</t>
  </si>
  <si>
    <t>Renewal vs. Expiring - Expiring Rate</t>
  </si>
  <si>
    <t>Renewal vs. Expiring - Renewal Rate</t>
  </si>
  <si>
    <t>Renewal vs. Expiring - Rate Change</t>
  </si>
  <si>
    <t>Renewal vs. Expiring - Expiring Exposure</t>
  </si>
  <si>
    <t>Renewal vs. Expiring - Renewal Exposure</t>
  </si>
  <si>
    <t>Renewal vs. Expiring - Exposure Change</t>
  </si>
  <si>
    <t>Renewal vs. Expiring - Expiring Premium</t>
  </si>
  <si>
    <t>Renewal vs. Expiring - Renewal Premium</t>
  </si>
  <si>
    <t>Renewal vs. Expiring - Premium Change</t>
  </si>
  <si>
    <t>Renewal vs. Expiring - Expiring Retention</t>
  </si>
  <si>
    <t>Renewal vs. Expiring - Renewal Retention</t>
  </si>
  <si>
    <t>Renewal vs. Expiring - Retention Change</t>
  </si>
  <si>
    <t>Renewal vs. Expiring - Expiring Commission</t>
  </si>
  <si>
    <t>Renewal vs. Expiring - Renewal Commission</t>
  </si>
  <si>
    <t>Renewal vs. Expiring - Commission Change</t>
  </si>
  <si>
    <t>FMrate</t>
  </si>
  <si>
    <t>RVEExpiringRate</t>
  </si>
  <si>
    <t>RVERenewalRate</t>
  </si>
  <si>
    <t>RVERateChange</t>
  </si>
  <si>
    <t>RVEExpiringExposure</t>
  </si>
  <si>
    <t>RVERenewalExposure</t>
  </si>
  <si>
    <t>RVEExposureChange</t>
  </si>
  <si>
    <t>RVERenewalPremium</t>
  </si>
  <si>
    <t>RVEPremiumChange</t>
  </si>
  <si>
    <t>RVEExpiringRetention</t>
  </si>
  <si>
    <t>RVERenewalRetention</t>
  </si>
  <si>
    <t>RVERetentionChange</t>
  </si>
  <si>
    <t>RVEExpiringCommission</t>
  </si>
  <si>
    <t>RVERenewalCommission</t>
  </si>
  <si>
    <t>RVECommissionChange</t>
  </si>
  <si>
    <t>Renewal vs. Expiring - Expiring Policy Year</t>
  </si>
  <si>
    <t>Renewal vs. Expiring - Renewal Policy Year</t>
  </si>
  <si>
    <t>RVEExpiringPY</t>
  </si>
  <si>
    <t>RVERenewalPY</t>
  </si>
  <si>
    <t>Applies To All Other</t>
  </si>
  <si>
    <t>For Providing HNOA Coverage</t>
  </si>
  <si>
    <t xml:space="preserve">For Removal Of </t>
  </si>
  <si>
    <t xml:space="preserve">For Providing </t>
  </si>
  <si>
    <t xml:space="preserve">Applies To </t>
  </si>
  <si>
    <t xml:space="preserve">For </t>
  </si>
  <si>
    <t xml:space="preserve">Unit = </t>
  </si>
  <si>
    <t>Rate 2</t>
  </si>
  <si>
    <t>Final (Flat)</t>
  </si>
  <si>
    <t>Final Rate 2</t>
  </si>
  <si>
    <t>Rate 3</t>
  </si>
  <si>
    <t>Final Rate 3</t>
  </si>
  <si>
    <t>Rate 4</t>
  </si>
  <si>
    <t>Final Rate 4</t>
  </si>
  <si>
    <t>Rate 5</t>
  </si>
  <si>
    <t>Final Rate 5</t>
  </si>
  <si>
    <t>Applies To Residential Operations</t>
  </si>
  <si>
    <t>Applies To Commercial Operations</t>
  </si>
  <si>
    <t>Retro Date (For Claims Made Coverage Forms)</t>
  </si>
  <si>
    <t>Type Of Risk (High Level)</t>
  </si>
  <si>
    <t>Named Range</t>
  </si>
  <si>
    <t>Data Point</t>
  </si>
  <si>
    <t>Date
Of Loss</t>
  </si>
  <si>
    <t>Open/
Closed</t>
  </si>
  <si>
    <t>Loss Description</t>
  </si>
  <si>
    <t>Loss Evaluation - Year 1 - Year</t>
  </si>
  <si>
    <t>Loss Evaluation - Year 1 - Total Claims</t>
  </si>
  <si>
    <t>Loss Evaluation - Year 1 - Report Only Claims</t>
  </si>
  <si>
    <t>Loss Evaluation - Year 1 - Paid Loss</t>
  </si>
  <si>
    <t>Loss Evaluation - Year 1 - Paid Expense</t>
  </si>
  <si>
    <t>Loss Evaluation - Year 1 - Reserves</t>
  </si>
  <si>
    <t>Loss Evaluation - Year 1 - Incurred Loss</t>
  </si>
  <si>
    <t>Loss Evaluation - Year 1 - Valuation Date</t>
  </si>
  <si>
    <t>Loss Evaluation - Year 1 - Carrier</t>
  </si>
  <si>
    <t>Loss Evaluation - Year 2 - Year</t>
  </si>
  <si>
    <t>Loss Evaluation - Year 2 - Total Claims</t>
  </si>
  <si>
    <t>Loss Evaluation - Year 2 - Report Only Claims</t>
  </si>
  <si>
    <t>Loss Evaluation - Year 2 - Paid Loss</t>
  </si>
  <si>
    <t>Loss Evaluation - Year 2 - Paid Expense</t>
  </si>
  <si>
    <t>Loss Evaluation - Year 2 - Reserves</t>
  </si>
  <si>
    <t>Loss Evaluation - Year 2 - Incurred Loss</t>
  </si>
  <si>
    <t>Loss Evaluation - Year 2 - Valuation Date</t>
  </si>
  <si>
    <t>Loss Evaluation - Year 2 - Carrier</t>
  </si>
  <si>
    <t>Loss Evaluation - Year 3 - Year</t>
  </si>
  <si>
    <t>Loss Evaluation - Year 3 - Total Claims</t>
  </si>
  <si>
    <t>Loss Evaluation - Year 3 - Report Only Claims</t>
  </si>
  <si>
    <t>Loss Evaluation - Year 3 - Paid Loss</t>
  </si>
  <si>
    <t>Loss Evaluation - Year 3 - Paid Expense</t>
  </si>
  <si>
    <t>Loss Evaluation - Year 3 - Reserves</t>
  </si>
  <si>
    <t>Loss Evaluation - Year 3 - Incurred Loss</t>
  </si>
  <si>
    <t>Loss Evaluation - Year 3 - Valuation Date</t>
  </si>
  <si>
    <t>Loss Evaluation - Year 3 - Carrier</t>
  </si>
  <si>
    <t>Loss Evaluation - Year 4 - Year</t>
  </si>
  <si>
    <t>Loss Evaluation - Year 4 - Total Claims</t>
  </si>
  <si>
    <t>Loss Evaluation - Year 4 - Report Only Claims</t>
  </si>
  <si>
    <t>Loss Evaluation - Year 4 - Paid Loss</t>
  </si>
  <si>
    <t>Loss Evaluation - Year 4 - Paid Expense</t>
  </si>
  <si>
    <t>Loss Evaluation - Year 5 - Reserves</t>
  </si>
  <si>
    <t>Loss Evaluation - Year 6 - Incurred Loss</t>
  </si>
  <si>
    <t>Loss Evaluation - Year 4 - Reserves</t>
  </si>
  <si>
    <t>Loss Evaluation - Year 4 - Incurred Loss</t>
  </si>
  <si>
    <t>Loss Evaluation - Year 4 - Valuation Date</t>
  </si>
  <si>
    <t>Loss Evaluation - Year 4 - Carrier</t>
  </si>
  <si>
    <t>Loss Evaluation - Year 5 - Year</t>
  </si>
  <si>
    <t>Loss Evaluation - Year 5 - Total Claims</t>
  </si>
  <si>
    <t>Loss Evaluation - Year 5 - Report Only Claims</t>
  </si>
  <si>
    <t>Loss Evaluation - Year 5 - Paid Loss</t>
  </si>
  <si>
    <t>Loss Evaluation - Year 5 - Paid Expense</t>
  </si>
  <si>
    <t>Loss Evaluation - Year 5 - Incurred Loss</t>
  </si>
  <si>
    <t>Loss Evaluation - Year 5 - Valuation Date</t>
  </si>
  <si>
    <t>Loss Evaluation - Year 5 - Carrier</t>
  </si>
  <si>
    <t>Loss Evaluation - Year 6 - Year</t>
  </si>
  <si>
    <t>Loss Evaluation - Year 6 - Total Claims</t>
  </si>
  <si>
    <t>Loss Evaluation - Year 6 - Report Only Claims</t>
  </si>
  <si>
    <t>Loss Evaluation - Year 6 - Paid Loss</t>
  </si>
  <si>
    <t>Loss Evaluation - Year 6 - Paid Expense</t>
  </si>
  <si>
    <t>Loss Evaluation - Year 6 - Reserves</t>
  </si>
  <si>
    <t>Loss Evaluation - Year 6 - Valuation Date</t>
  </si>
  <si>
    <t>Loss Evaluation - Year 6 - Carrier</t>
  </si>
  <si>
    <t>Loss Evaluation - Year 7 - Year</t>
  </si>
  <si>
    <t>Loss Evaluation - Year 7 - Total Claims</t>
  </si>
  <si>
    <t>Loss Evaluation - Year 7 - Report Only Claims</t>
  </si>
  <si>
    <t>Loss Evaluation - Year 7 - Paid Loss</t>
  </si>
  <si>
    <t>Loss Evaluation - Year 7 - Paid Expense</t>
  </si>
  <si>
    <t>Loss Evaluation - Year 7 - Reserves</t>
  </si>
  <si>
    <t>Loss Evaluation - Year 7 - Incurred Loss</t>
  </si>
  <si>
    <t>Loss Evaluation - Year 7 - Valuation Date</t>
  </si>
  <si>
    <t>Loss Evaluation - Year 7 - Carrier</t>
  </si>
  <si>
    <t>Loss Evaluation - Year 8 - Year</t>
  </si>
  <si>
    <t>Loss Evaluation - Year 8 - Total Claims</t>
  </si>
  <si>
    <t>Loss Evaluation - Year 8 - Report Only Claims</t>
  </si>
  <si>
    <t>Loss Evaluation - Year 8 - Paid Loss</t>
  </si>
  <si>
    <t>Loss Evaluation - Year 8 - Paid Expense</t>
  </si>
  <si>
    <t>Loss Evaluation - Year 8 - Reserves</t>
  </si>
  <si>
    <t>Loss Evaluation - Year 8 - Incurred Loss</t>
  </si>
  <si>
    <t>Loss Evaluation - Year 8 - Valuation Date</t>
  </si>
  <si>
    <t>Loss Evaluation - Year 8 - Carrier</t>
  </si>
  <si>
    <t>LossEval1Year</t>
  </si>
  <si>
    <t>LossEval1TotalClaims</t>
  </si>
  <si>
    <t>LossEval1ReportClaims</t>
  </si>
  <si>
    <t>LossEval1PaidLoss</t>
  </si>
  <si>
    <t>LossEval1PaidExpense</t>
  </si>
  <si>
    <t>LossEval1Reserves</t>
  </si>
  <si>
    <t>LossEval1Incurred</t>
  </si>
  <si>
    <t>LossEval1ValuationDate</t>
  </si>
  <si>
    <t>LossEval1Carrier</t>
  </si>
  <si>
    <t>LossEval2Year</t>
  </si>
  <si>
    <t>LossEval2TotalClaims</t>
  </si>
  <si>
    <t>LossEval2ReportClaims</t>
  </si>
  <si>
    <t>LossEval2PaidLoss</t>
  </si>
  <si>
    <t>LossEval2PaidExpense</t>
  </si>
  <si>
    <t>LossEval2Reserves</t>
  </si>
  <si>
    <t>LossEval2Incurred</t>
  </si>
  <si>
    <t>LossEval2ValuationDate</t>
  </si>
  <si>
    <t>LossEval2Carrier</t>
  </si>
  <si>
    <t>LossEval3Year</t>
  </si>
  <si>
    <t>LossEval3TotalClaims</t>
  </si>
  <si>
    <t>LossEval3ReportClaims</t>
  </si>
  <si>
    <t>LossEval3PaidLoss</t>
  </si>
  <si>
    <t>LossEval3PaidExpense</t>
  </si>
  <si>
    <t>LossEval3Reserves</t>
  </si>
  <si>
    <t>LossEval3Incurred</t>
  </si>
  <si>
    <t>LossEval3ValuationDate</t>
  </si>
  <si>
    <t>LossEval3Carrier</t>
  </si>
  <si>
    <t>LossEval4Year</t>
  </si>
  <si>
    <t>LossEval4TotalClaims</t>
  </si>
  <si>
    <t>LossEval4ReportClaims</t>
  </si>
  <si>
    <t>LossEval4PaidLoss</t>
  </si>
  <si>
    <t>LossEval4PaidExpense</t>
  </si>
  <si>
    <t>LossEval4Reserves</t>
  </si>
  <si>
    <t>LossEval4Incurred</t>
  </si>
  <si>
    <t>LossEval4ValuationDate</t>
  </si>
  <si>
    <t>LossEval4Carrier</t>
  </si>
  <si>
    <t>LossEval5Year</t>
  </si>
  <si>
    <t>LossEval5TotalClaims</t>
  </si>
  <si>
    <t>LossEval5ReportClaims</t>
  </si>
  <si>
    <t>LossEval5PaidLoss</t>
  </si>
  <si>
    <t>LossEval5PaidExpense</t>
  </si>
  <si>
    <t>LossEval5Reserves</t>
  </si>
  <si>
    <t>LossEval5Incurred</t>
  </si>
  <si>
    <t>LossEval5ValuationDate</t>
  </si>
  <si>
    <t>LossEval5Carrier</t>
  </si>
  <si>
    <t>LossEval6Year</t>
  </si>
  <si>
    <t>LossEval6TotalClaims</t>
  </si>
  <si>
    <t>LossEval6ReportClaims</t>
  </si>
  <si>
    <t>LossEval6PaidLoss</t>
  </si>
  <si>
    <t>LossEval6PaidExpense</t>
  </si>
  <si>
    <t>LossEval6Reserves</t>
  </si>
  <si>
    <t>LossEval6Incurred</t>
  </si>
  <si>
    <t>LossEval6ValuationDate</t>
  </si>
  <si>
    <t>LossEval6Carrier</t>
  </si>
  <si>
    <t>LossEval7Year</t>
  </si>
  <si>
    <t>LossEval7TotalClaims</t>
  </si>
  <si>
    <t>LossEval7ReportClaims</t>
  </si>
  <si>
    <t>LossEval7PaidLoss</t>
  </si>
  <si>
    <t>LossEval7PaidExpense</t>
  </si>
  <si>
    <t>LossEval7Reserves</t>
  </si>
  <si>
    <t>LossEval7Incurred</t>
  </si>
  <si>
    <t>LossEval7ValuationDate</t>
  </si>
  <si>
    <t>LossEval7Carrier</t>
  </si>
  <si>
    <t>LossEval8Year</t>
  </si>
  <si>
    <t>LossEval8TotalClaims</t>
  </si>
  <si>
    <t>LossEval8ReportClaims</t>
  </si>
  <si>
    <t>LossEval8PaidLoss</t>
  </si>
  <si>
    <t>LossEval8PaidExpense</t>
  </si>
  <si>
    <t>LossEval8Reserves</t>
  </si>
  <si>
    <t>LossEval8Incurred</t>
  </si>
  <si>
    <t>LossEval8ValuationDate</t>
  </si>
  <si>
    <t>LossEval8Carrier</t>
  </si>
  <si>
    <t>Loss Evaluation - Notes</t>
  </si>
  <si>
    <t>LossEval</t>
  </si>
  <si>
    <t>Large Loss 1 - DOL</t>
  </si>
  <si>
    <t>Large Loss 1 - Incurred</t>
  </si>
  <si>
    <t>Large Loss 1 - Open/Closed</t>
  </si>
  <si>
    <t>Large Loss 1 - Valuation Date</t>
  </si>
  <si>
    <t>Large Loss 1 - Loss Description</t>
  </si>
  <si>
    <t>LargeLoss1DOL</t>
  </si>
  <si>
    <t>LargeLoss1Incurred</t>
  </si>
  <si>
    <t>LargeLoss1OpenClosed</t>
  </si>
  <si>
    <t>LargeLoss1ValuationDate</t>
  </si>
  <si>
    <t>LargeLoss1Description</t>
  </si>
  <si>
    <t>Large Loss 2 - DOL</t>
  </si>
  <si>
    <t>Large Loss 2 - Incurred</t>
  </si>
  <si>
    <t>Large Loss 2 - Open/Closed</t>
  </si>
  <si>
    <t>Large Loss 2 - Valuation Date</t>
  </si>
  <si>
    <t>Large Loss 2 - Loss Description</t>
  </si>
  <si>
    <t>Large Loss 3 - DOL</t>
  </si>
  <si>
    <t>Large Loss 3 - Incurred</t>
  </si>
  <si>
    <t>Large Loss 3 - Open/Closed</t>
  </si>
  <si>
    <t>Large Loss 3 - Valuation Date</t>
  </si>
  <si>
    <t>Large Loss 3 - Loss Description</t>
  </si>
  <si>
    <t>Large Loss 4 - DOL</t>
  </si>
  <si>
    <t>Large Loss 4 - Incurred</t>
  </si>
  <si>
    <t>Large Loss 4 - Open/Closed</t>
  </si>
  <si>
    <t>Large Loss 4 - Valuation Date</t>
  </si>
  <si>
    <t>Large Loss 4 - Loss Description</t>
  </si>
  <si>
    <t>Large Loss 5 - DOL</t>
  </si>
  <si>
    <t>Large Loss 5 - Incurred</t>
  </si>
  <si>
    <t>Large Loss 5 - Open/Closed</t>
  </si>
  <si>
    <t>Large Loss 5 - Valuation Date</t>
  </si>
  <si>
    <t>Large Loss 5 - Loss Description</t>
  </si>
  <si>
    <t>Large Loss 7 - DOL</t>
  </si>
  <si>
    <t>Large Loss 6 - DOL</t>
  </si>
  <si>
    <t>Large Loss 6 - Incurred</t>
  </si>
  <si>
    <t>Large Loss 6 - Open/Closed</t>
  </si>
  <si>
    <t>Large Loss 6 - Valuation Date</t>
  </si>
  <si>
    <t>Large Loss 6 - Loss Description</t>
  </si>
  <si>
    <t>Large Loss 7 - Incurred</t>
  </si>
  <si>
    <t>Large Loss 7 - Open/Closed</t>
  </si>
  <si>
    <t>Large Loss 7 - Valuation Date</t>
  </si>
  <si>
    <t>Large Loss 7 - Loss Description</t>
  </si>
  <si>
    <t>Large Loss 8 - DOL</t>
  </si>
  <si>
    <t>Large Loss 8 - Incurred</t>
  </si>
  <si>
    <t>Large Loss 8 - Open/Closed</t>
  </si>
  <si>
    <t>Large Loss 8 - Valuation Date</t>
  </si>
  <si>
    <t>Large Loss 8 - Loss Description</t>
  </si>
  <si>
    <t>Large Loss 9 - DOL</t>
  </si>
  <si>
    <t>Large Loss 9 - Incurred</t>
  </si>
  <si>
    <t>Large Loss 9 - Open/Closed</t>
  </si>
  <si>
    <t>Large Loss 9 - Valuation Date</t>
  </si>
  <si>
    <t>Large Loss 9 - Loss Description</t>
  </si>
  <si>
    <t>Large Loss 10 - DOL</t>
  </si>
  <si>
    <t>Large Loss 10 - Incurred</t>
  </si>
  <si>
    <t>Large Loss 10 - Open/Closed</t>
  </si>
  <si>
    <t>Large Loss 10 - Valuation Date</t>
  </si>
  <si>
    <t>Large Loss 10 - Loss Description</t>
  </si>
  <si>
    <t>LargeLoss2DOL</t>
  </si>
  <si>
    <t>LargeLoss2Incurred</t>
  </si>
  <si>
    <t>LargeLoss2OpenClosed</t>
  </si>
  <si>
    <t>LargeLoss2ValuationDate</t>
  </si>
  <si>
    <t>LargeLoss2Description</t>
  </si>
  <si>
    <t>LargeLoss3DOL</t>
  </si>
  <si>
    <t>LargeLoss3Incurred</t>
  </si>
  <si>
    <t>LargeLoss3OpenClosed</t>
  </si>
  <si>
    <t>LargeLoss3ValuationDate</t>
  </si>
  <si>
    <t>LargeLoss3Description</t>
  </si>
  <si>
    <t>LargeLoss4DOL</t>
  </si>
  <si>
    <t>LargeLoss4Incurred</t>
  </si>
  <si>
    <t>LargeLoss4OpenClosed</t>
  </si>
  <si>
    <t>LargeLoss4ValuationDate</t>
  </si>
  <si>
    <t>LargeLoss4Description</t>
  </si>
  <si>
    <t>LargeLoss5DOL</t>
  </si>
  <si>
    <t>LargeLoss5Incurred</t>
  </si>
  <si>
    <t>LargeLoss5OpenClosed</t>
  </si>
  <si>
    <t>LargeLoss5ValuationDate</t>
  </si>
  <si>
    <t>LargeLoss5Description</t>
  </si>
  <si>
    <t>LargeLoss6DOL</t>
  </si>
  <si>
    <t>LargeLoss6Incurred</t>
  </si>
  <si>
    <t>LargeLoss6OpenClosed</t>
  </si>
  <si>
    <t>LargeLoss6ValuationDate</t>
  </si>
  <si>
    <t>LargeLoss6Description</t>
  </si>
  <si>
    <t>LargeLoss7DOL</t>
  </si>
  <si>
    <t>LargeLoss7Incurred</t>
  </si>
  <si>
    <t>LargeLoss7OpenClosed</t>
  </si>
  <si>
    <t>LargeLoss7ValuationDate</t>
  </si>
  <si>
    <t>LargeLoss7Description</t>
  </si>
  <si>
    <t>LargeLoss8DOL</t>
  </si>
  <si>
    <t>LargeLoss8Incurred</t>
  </si>
  <si>
    <t>LargeLoss8OpenClosed</t>
  </si>
  <si>
    <t>LargeLoss8ValuationDate</t>
  </si>
  <si>
    <t>LargeLoss8Description</t>
  </si>
  <si>
    <t>LargeLoss9DOL</t>
  </si>
  <si>
    <t>LargeLoss9Incurred</t>
  </si>
  <si>
    <t>LargeLoss9OpenClosed</t>
  </si>
  <si>
    <t>LargeLoss9ValuationDate</t>
  </si>
  <si>
    <t>LargeLoss9Description</t>
  </si>
  <si>
    <t>LargeLoss10DOL</t>
  </si>
  <si>
    <t>LargeLoss10Incurred</t>
  </si>
  <si>
    <t>LargeLoss10OpenClosed</t>
  </si>
  <si>
    <t>LargeLoss10ValuationDate</t>
  </si>
  <si>
    <t>LargeLoss10Description</t>
  </si>
  <si>
    <t>% Relationship Of Risk Premium To Rackley Premium</t>
  </si>
  <si>
    <t>RackleyPercent</t>
  </si>
  <si>
    <t>Segment</t>
  </si>
  <si>
    <t>Returns "Construction", "Specialty" Or "Oil &amp; Gas" Based Upon Type Of Risk (Premium_Bucket)</t>
  </si>
  <si>
    <t>ResiComm</t>
  </si>
  <si>
    <t>Length</t>
  </si>
  <si>
    <t>Returns "Annual", "More" or "Less" based upon the lenth of the policy term</t>
  </si>
  <si>
    <t>Basis</t>
  </si>
  <si>
    <t>Coverage</t>
  </si>
  <si>
    <t>Tier1StateOrNot</t>
  </si>
  <si>
    <t>Identifies whether the coverage form is on an Occurrence basis or Claims Made</t>
  </si>
  <si>
    <t>Based upon the coverage form (and Liquor Liability limits), this identifies whether the coverage is GL, LL, GL/LL, P/CO or OCP.</t>
  </si>
  <si>
    <t>Returns "Tier 1" or "Not Tier 1" based upon the state (applies to Construction risks only)</t>
  </si>
  <si>
    <t>Returns "Construction - West", "Construction - Central", "Construction - Northeast", "Specialty" or "Oil &amp; Gas" based upon the AE.</t>
  </si>
  <si>
    <t>TeamColor</t>
  </si>
  <si>
    <t>Returns "Construction", "Specialty" Or "Oil &amp; Gas" Based Upon The AE (Underwriter)</t>
  </si>
  <si>
    <t>WrapTeam</t>
  </si>
  <si>
    <t>Returns "Yes" or "No" based upon whether the AE is part of the Wrap/Project Specific/OI team (subset of the Construction team).</t>
  </si>
  <si>
    <t>HighCDState</t>
  </si>
  <si>
    <t>Returns "Yes" or "No" based upon the state (used with wraps).</t>
  </si>
  <si>
    <t>RiskOfWrap</t>
  </si>
  <si>
    <t>Returns "Higher Risk Wrap" or "Lower Risk Wrap" based upon whether the state is a CD state and the type of wrap.  A higher risk wrap is one of the following in a high CD state:  "Residential - Single Family", "Residential - Multi Family" or "Commercial - Apartments".</t>
  </si>
  <si>
    <t>LimitsInShorthand</t>
  </si>
  <si>
    <t>Displays the key limits in an abbreviated fashion</t>
  </si>
  <si>
    <t>GCorSub</t>
  </si>
  <si>
    <t>When the type of construction risk is "Home Builders", "Roofing" or "All Other Contracting", this identifies whether the risk is a GC or Sub depending upon the type of contractor selected.</t>
  </si>
  <si>
    <t>Referral Notes:</t>
  </si>
  <si>
    <t>Ops:</t>
  </si>
  <si>
    <t>Exposures:</t>
  </si>
  <si>
    <t>IL:</t>
  </si>
  <si>
    <t>Loss Eval:</t>
  </si>
  <si>
    <t>Retention:</t>
  </si>
  <si>
    <t>Rate &amp; Exposure:</t>
  </si>
  <si>
    <t>Pricing:</t>
  </si>
  <si>
    <t>Premium/Rackley:</t>
  </si>
  <si>
    <t>Premium Bucket:</t>
  </si>
  <si>
    <t>Roofing - Working Payroll - Commercial</t>
  </si>
  <si>
    <t>Roofing - Working Payroll - Residential</t>
  </si>
  <si>
    <t>Roofing - Executive Supervision Payroll</t>
  </si>
  <si>
    <t>RoofingESPayroll</t>
  </si>
  <si>
    <t>Roofing - Working Payroll - Total</t>
  </si>
  <si>
    <t>RoofingWorkingPayroll</t>
  </si>
  <si>
    <t>Oil &amp; Gas - % Of Work Performed Overwater</t>
  </si>
  <si>
    <t>OGPercentOverwater</t>
  </si>
  <si>
    <t>Oil &amp; Gas - LA Risks - South Of I-10?  Returns "Yes" Or "No"</t>
  </si>
  <si>
    <t>OGSouthOfI10</t>
  </si>
  <si>
    <t>Oil &amp; Gas - Total Overwater Payroll</t>
  </si>
  <si>
    <t>Oil &amp; Gas - Jones Act Payroll</t>
  </si>
  <si>
    <t>Oil &amp; Gas - USL&amp;H Payroll</t>
  </si>
  <si>
    <t>Oil &amp; Gas - # Of Employees Exposed Overwater (At Any One Time)</t>
  </si>
  <si>
    <t>Oil &amp; Gas - # Of Employees Exposed Overwater (At Any One Place)</t>
  </si>
  <si>
    <t>Oil &amp; Gas - MEL Premium</t>
  </si>
  <si>
    <t>OGOverwaterPayroll</t>
  </si>
  <si>
    <t>OGJonesActPayroll</t>
  </si>
  <si>
    <t>OGUSLHPayroll</t>
  </si>
  <si>
    <t>OGEmployeesOneTime</t>
  </si>
  <si>
    <t>OGEmployeesOnePlace</t>
  </si>
  <si>
    <t>OGMELPremium</t>
  </si>
  <si>
    <t>Pricing Notes</t>
  </si>
  <si>
    <t>RefEmailPricingNotes</t>
  </si>
  <si>
    <t>Referral Notes</t>
  </si>
  <si>
    <t>ReferralNotes</t>
  </si>
  <si>
    <t>Contractors - % Repair/Remodel</t>
  </si>
  <si>
    <t>PercentRepair</t>
  </si>
  <si>
    <t>SubControls</t>
  </si>
  <si>
    <t>PercentNewTracts</t>
  </si>
  <si>
    <t>Additional Large Losses:</t>
  </si>
  <si>
    <t>Large Loss 11 - DOL</t>
  </si>
  <si>
    <t>Large Loss 11 - Incurred</t>
  </si>
  <si>
    <t>Large Loss 11 - Open/Closed</t>
  </si>
  <si>
    <t>Large Loss 11 - Valuation Date</t>
  </si>
  <si>
    <t>Large Loss 11 - Loss Description</t>
  </si>
  <si>
    <t>Large Loss 12 - DOL</t>
  </si>
  <si>
    <t>Large Loss 12 - Incurred</t>
  </si>
  <si>
    <t>Large Loss 12 - Open/Closed</t>
  </si>
  <si>
    <t>Large Loss 12 - Valuation Date</t>
  </si>
  <si>
    <t>Large Loss 12 - Loss Description</t>
  </si>
  <si>
    <t>Large Loss 13 - DOL</t>
  </si>
  <si>
    <t>Large Loss 13 - Incurred</t>
  </si>
  <si>
    <t>Large Loss 13 - Open/Closed</t>
  </si>
  <si>
    <t>Large Loss 13 - Valuation Date</t>
  </si>
  <si>
    <t>Large Loss 13 - Loss Description</t>
  </si>
  <si>
    <t>Large Loss 14 - DOL</t>
  </si>
  <si>
    <t>Large Loss 14 - Incurred</t>
  </si>
  <si>
    <t>Large Loss 14 - Open/Closed</t>
  </si>
  <si>
    <t>Large Loss 14 - Valuation Date</t>
  </si>
  <si>
    <t>Large Loss 14 - Loss Description</t>
  </si>
  <si>
    <t>Large Loss 15 - DOL</t>
  </si>
  <si>
    <t>Large Loss 15 - Incurred</t>
  </si>
  <si>
    <t>Large Loss 15 - Open/Closed</t>
  </si>
  <si>
    <t>Large Loss 15 - Valuation Date</t>
  </si>
  <si>
    <t>Large Loss 15 - Loss Description</t>
  </si>
  <si>
    <t>Large Loss 16 - DOL</t>
  </si>
  <si>
    <t>Large Loss 16 - Incurred</t>
  </si>
  <si>
    <t>Large Loss 16 - Open/Closed</t>
  </si>
  <si>
    <t>Large Loss 16 - Valuation Date</t>
  </si>
  <si>
    <t>Large Loss 16 - Loss Description</t>
  </si>
  <si>
    <t>Large Loss 17 - DOL</t>
  </si>
  <si>
    <t>Large Loss 17 - Incurred</t>
  </si>
  <si>
    <t>Large Loss 17 - Open/Closed</t>
  </si>
  <si>
    <t>Large Loss 17 - Valuation Date</t>
  </si>
  <si>
    <t>Large Loss 17 - Loss Description</t>
  </si>
  <si>
    <t>Large Loss 18 - DOL</t>
  </si>
  <si>
    <t>Large Loss 18 - Incurred</t>
  </si>
  <si>
    <t>Large Loss 18 - Open/Closed</t>
  </si>
  <si>
    <t>Large Loss 18 - Valuation Date</t>
  </si>
  <si>
    <t>Large Loss 18 - Loss Description</t>
  </si>
  <si>
    <t>Large Loss 19 - DOL</t>
  </si>
  <si>
    <t>Large Loss 19 - Incurred</t>
  </si>
  <si>
    <t>Large Loss 19 - Open/Closed</t>
  </si>
  <si>
    <t>Large Loss 19 - Valuation Date</t>
  </si>
  <si>
    <t>Large Loss 19 - Loss Description</t>
  </si>
  <si>
    <t>LargeLoss11DOL</t>
  </si>
  <si>
    <t>LargeLoss11Incurred</t>
  </si>
  <si>
    <t>LargeLoss11OpenClosed</t>
  </si>
  <si>
    <t>LargeLoss11ValuationDate</t>
  </si>
  <si>
    <t>LargeLoss11Description</t>
  </si>
  <si>
    <t>LargeLoss12DOL</t>
  </si>
  <si>
    <t>LargeLoss12Incurred</t>
  </si>
  <si>
    <t>LargeLoss12OpenClosed</t>
  </si>
  <si>
    <t>LargeLoss12ValuationDate</t>
  </si>
  <si>
    <t>LargeLoss12Description</t>
  </si>
  <si>
    <t>LargeLoss13DOL</t>
  </si>
  <si>
    <t>LargeLoss13Incurred</t>
  </si>
  <si>
    <t>LargeLoss13OpenClosed</t>
  </si>
  <si>
    <t>LargeLoss13ValuationDate</t>
  </si>
  <si>
    <t>LargeLoss13Description</t>
  </si>
  <si>
    <t>LargeLoss14DOL</t>
  </si>
  <si>
    <t>LargeLoss14Incurred</t>
  </si>
  <si>
    <t>LargeLoss14OpenClosed</t>
  </si>
  <si>
    <t>LargeLoss14ValuationDate</t>
  </si>
  <si>
    <t>LargeLoss14Description</t>
  </si>
  <si>
    <t>LargeLoss15DOL</t>
  </si>
  <si>
    <t>LargeLoss15Incurred</t>
  </si>
  <si>
    <t>LargeLoss15OpenClosed</t>
  </si>
  <si>
    <t>LargeLoss15ValuationDate</t>
  </si>
  <si>
    <t>LargeLoss15Description</t>
  </si>
  <si>
    <t>LargeLoss16DOL</t>
  </si>
  <si>
    <t>LargeLoss16Incurred</t>
  </si>
  <si>
    <t>LargeLoss16OpenClosed</t>
  </si>
  <si>
    <t>LargeLoss16ValuationDate</t>
  </si>
  <si>
    <t>LargeLoss16Description</t>
  </si>
  <si>
    <t>LargeLoss17DOL</t>
  </si>
  <si>
    <t>LargeLoss17Incurred</t>
  </si>
  <si>
    <t>LargeLoss17OpenClosed</t>
  </si>
  <si>
    <t>LargeLoss17ValuationDate</t>
  </si>
  <si>
    <t>LargeLoss17Description</t>
  </si>
  <si>
    <t>LargeLoss18DOL</t>
  </si>
  <si>
    <t>LargeLoss18Incurred</t>
  </si>
  <si>
    <t>LargeLoss18OpenClosed</t>
  </si>
  <si>
    <t>LargeLoss18ValuationDate</t>
  </si>
  <si>
    <t>LargeLoss18Description</t>
  </si>
  <si>
    <t>LargeLoss19DOL</t>
  </si>
  <si>
    <t>LargeLoss19Incurred</t>
  </si>
  <si>
    <t>LargeLoss19OpenClosed</t>
  </si>
  <si>
    <t>LargeLoss19ValuationDate</t>
  </si>
  <si>
    <t>LargeLoss19Description</t>
  </si>
  <si>
    <t>Large Loss 20 - DOL</t>
  </si>
  <si>
    <t>Large Loss 20 - Incurred</t>
  </si>
  <si>
    <t>Large Loss 20 - Open/Closed</t>
  </si>
  <si>
    <t>Large Loss 20 - Valuation Date</t>
  </si>
  <si>
    <t>Large Loss 20 - Loss Description</t>
  </si>
  <si>
    <t>LargeLoss20DOL</t>
  </si>
  <si>
    <t>LargeLoss20Incurred</t>
  </si>
  <si>
    <t>LargeLoss20OpenClosed</t>
  </si>
  <si>
    <t>LargeLoss20ValuationDate</t>
  </si>
  <si>
    <t>LargeLoss20Description</t>
  </si>
  <si>
    <t>Large Loss 21 - DOL</t>
  </si>
  <si>
    <t>Large Loss 21 - Incurred</t>
  </si>
  <si>
    <t>Large Loss 21 - Open/Closed</t>
  </si>
  <si>
    <t>Large Loss 21 - Valuation Date</t>
  </si>
  <si>
    <t>Large Loss 21 - Loss Description</t>
  </si>
  <si>
    <t>Large Loss 22 - DOL</t>
  </si>
  <si>
    <t>Large Loss 22 - Incurred</t>
  </si>
  <si>
    <t>Large Loss 22 - Open/Closed</t>
  </si>
  <si>
    <t>Large Loss 22 - Valuation Date</t>
  </si>
  <si>
    <t>Large Loss 22 - Loss Description</t>
  </si>
  <si>
    <t>Large Loss 23 - DOL</t>
  </si>
  <si>
    <t>Large Loss 23 - Incurred</t>
  </si>
  <si>
    <t>Large Loss 23 - Open/Closed</t>
  </si>
  <si>
    <t>Large Loss 23 - Valuation Date</t>
  </si>
  <si>
    <t>Large Loss 23 - Loss Description</t>
  </si>
  <si>
    <t>Large Loss 24 - DOL</t>
  </si>
  <si>
    <t>Large Loss 24 - Incurred</t>
  </si>
  <si>
    <t>Large Loss 24 - Open/Closed</t>
  </si>
  <si>
    <t>Large Loss 24 - Valuation Date</t>
  </si>
  <si>
    <t>Large Loss 24 - Loss Description</t>
  </si>
  <si>
    <t>Large Loss 25 - DOL</t>
  </si>
  <si>
    <t>Large Loss 25 - Incurred</t>
  </si>
  <si>
    <t>Large Loss 25 - Open/Closed</t>
  </si>
  <si>
    <t>Large Loss 25 - Valuation Date</t>
  </si>
  <si>
    <t>Large Loss 25 - Loss Description</t>
  </si>
  <si>
    <t>Large Loss 26 - DOL</t>
  </si>
  <si>
    <t>Large Loss 26 - Incurred</t>
  </si>
  <si>
    <t>Large Loss 26 - Open/Closed</t>
  </si>
  <si>
    <t>Large Loss 26 - Valuation Date</t>
  </si>
  <si>
    <t>Large Loss 26 - Loss Description</t>
  </si>
  <si>
    <t>Large Loss 27 - DOL</t>
  </si>
  <si>
    <t>Large Loss 27 - Incurred</t>
  </si>
  <si>
    <t>Large Loss 27 - Open/Closed</t>
  </si>
  <si>
    <t>Large Loss 27 - Valuation Date</t>
  </si>
  <si>
    <t>Large Loss 27 - Loss Description</t>
  </si>
  <si>
    <t>Large Loss 28 - DOL</t>
  </si>
  <si>
    <t>Large Loss 28 - Incurred</t>
  </si>
  <si>
    <t>Large Loss 28 - Open/Closed</t>
  </si>
  <si>
    <t>Large Loss 28 - Valuation Date</t>
  </si>
  <si>
    <t>Large Loss 28 - Loss Description</t>
  </si>
  <si>
    <t>Large Loss 29 - DOL</t>
  </si>
  <si>
    <t>Large Loss 29 - Incurred</t>
  </si>
  <si>
    <t>Large Loss 29 - Open/Closed</t>
  </si>
  <si>
    <t>Large Loss 29 - Valuation Date</t>
  </si>
  <si>
    <t>Large Loss 29 - Loss Description</t>
  </si>
  <si>
    <t>LargeLoss21DOL</t>
  </si>
  <si>
    <t>LargeLoss21Incurred</t>
  </si>
  <si>
    <t>LargeLoss21OpenClosed</t>
  </si>
  <si>
    <t>LargeLoss21ValuationDate</t>
  </si>
  <si>
    <t>LargeLoss21Description</t>
  </si>
  <si>
    <t>LargeLoss22DOL</t>
  </si>
  <si>
    <t>LargeLoss22Incurred</t>
  </si>
  <si>
    <t>LargeLoss22OpenClosed</t>
  </si>
  <si>
    <t>LargeLoss22ValuationDate</t>
  </si>
  <si>
    <t>LargeLoss22Description</t>
  </si>
  <si>
    <t>LargeLoss23DOL</t>
  </si>
  <si>
    <t>LargeLoss23Incurred</t>
  </si>
  <si>
    <t>LargeLoss23OpenClosed</t>
  </si>
  <si>
    <t>LargeLoss23ValuationDate</t>
  </si>
  <si>
    <t>LargeLoss23Description</t>
  </si>
  <si>
    <t>LargeLoss24DOL</t>
  </si>
  <si>
    <t>LargeLoss24Incurred</t>
  </si>
  <si>
    <t>LargeLoss24OpenClosed</t>
  </si>
  <si>
    <t>LargeLoss24ValuationDate</t>
  </si>
  <si>
    <t>LargeLoss24Description</t>
  </si>
  <si>
    <t>LargeLoss25DOL</t>
  </si>
  <si>
    <t>LargeLoss25Incurred</t>
  </si>
  <si>
    <t>LargeLoss25OpenClosed</t>
  </si>
  <si>
    <t>LargeLoss25ValuationDate</t>
  </si>
  <si>
    <t>LargeLoss25Description</t>
  </si>
  <si>
    <t>LargeLoss26DOL</t>
  </si>
  <si>
    <t>LargeLoss26Incurred</t>
  </si>
  <si>
    <t>LargeLoss26OpenClosed</t>
  </si>
  <si>
    <t>LargeLoss26ValuationDate</t>
  </si>
  <si>
    <t>LargeLoss26Description</t>
  </si>
  <si>
    <t>LargeLoss27DOL</t>
  </si>
  <si>
    <t>LargeLoss27Incurred</t>
  </si>
  <si>
    <t>LargeLoss27OpenClosed</t>
  </si>
  <si>
    <t>LargeLoss27ValuationDate</t>
  </si>
  <si>
    <t>LargeLoss27Description</t>
  </si>
  <si>
    <t>LargeLoss28DOL</t>
  </si>
  <si>
    <t>LargeLoss28Incurred</t>
  </si>
  <si>
    <t>LargeLoss28OpenClosed</t>
  </si>
  <si>
    <t>LargeLoss28ValuationDate</t>
  </si>
  <si>
    <t>LargeLoss28Description</t>
  </si>
  <si>
    <t>LargeLoss29DOL</t>
  </si>
  <si>
    <t>LargeLoss29Incurred</t>
  </si>
  <si>
    <t>LargeLoss29OpenClosed</t>
  </si>
  <si>
    <t>LargeLoss29ValuationDate</t>
  </si>
  <si>
    <t>LargeLoss29Description</t>
  </si>
  <si>
    <t>Large Loss 30 - DOL</t>
  </si>
  <si>
    <t>Large Loss 30 - Incurred</t>
  </si>
  <si>
    <t>Large Loss 30 - Open/Closed</t>
  </si>
  <si>
    <t>Large Loss 30 - Valuation Date</t>
  </si>
  <si>
    <t>Large Loss 30 - Loss Description</t>
  </si>
  <si>
    <t>LargeLoss30DOL</t>
  </si>
  <si>
    <t>LargeLoss30Incurred</t>
  </si>
  <si>
    <t>LargeLoss30OpenClosed</t>
  </si>
  <si>
    <t>LargeLoss30ValuationDate</t>
  </si>
  <si>
    <t>LargeLoss30Description</t>
  </si>
  <si>
    <t>Total Premium:</t>
  </si>
  <si>
    <t>TrueRiskPremium</t>
  </si>
  <si>
    <t>TrueTRIAPremium</t>
  </si>
  <si>
    <t>TrueBoundPremium</t>
  </si>
  <si>
    <t>TRIA</t>
  </si>
  <si>
    <t>PolicyNum</t>
  </si>
  <si>
    <t>Risk Premium from BINDER_CONFIRM tab</t>
  </si>
  <si>
    <t>TRIA Premium from BINDER_CONFIRM tab</t>
  </si>
  <si>
    <t>Sum of Risk Premium and TRIA Premium. From BINDER_CONFIRM tab</t>
  </si>
  <si>
    <t>Returns "Accepted" or "Rejected." From BINDER_CONFIRM tab</t>
  </si>
  <si>
    <t>Policy Number from BINDER_CONFIRM tab</t>
  </si>
  <si>
    <t>FMIC 2617</t>
  </si>
  <si>
    <t>FMIC GL 2618</t>
  </si>
  <si>
    <t>Residential Property Or Construction Exclusion - With Designated Exception(s) (Exceptions:  XXXXX)</t>
  </si>
  <si>
    <t>Residential Property Or Construction Exclusion - With Designated Exception(s) (Exceptions:  Not Applicable)</t>
  </si>
  <si>
    <t>Residential Property Or Construction Exclusion (Other Than Apartments) - With Designated Exception(s) (Exceptions:  XXXXX)</t>
  </si>
  <si>
    <t>Residential Property Or Construction Exclusion (Other Than Apartments) - With Designated Exception(s) (Exceptions:  Not Applicable)</t>
  </si>
  <si>
    <t xml:space="preserve"> TRIA Coverage Accepted (CG 21 71 &amp; IL 09 85 will be attached)</t>
  </si>
  <si>
    <t xml:space="preserve"> TRIA Coverage Rejected (CG 21 75 will be attached)</t>
  </si>
  <si>
    <t>RefEmailRateExp</t>
  </si>
  <si>
    <t>Concatenation of first 5 rates/charges</t>
  </si>
  <si>
    <t>Rate/BIR (&gt;0 exposure)</t>
  </si>
  <si>
    <t>Rate/BIR (0 exposure)</t>
  </si>
  <si>
    <t>End In Comma?</t>
  </si>
  <si>
    <t>URE</t>
  </si>
  <si>
    <t>CG 20 37 04 13 (C)</t>
  </si>
  <si>
    <t>Residential Property Or Construction Exclusion - With Designated Exception(s) (Exceptions:  Single-family dwellings that are not condominiums (as defined by applicable controlling statute) or “townhouse projects”. “Townhouse projects” means multi-unit housing consisting of homes in a row of the same or similar design with common walls or with very narrow spacing between adjacent sidewalls.)</t>
  </si>
  <si>
    <t>Residential Property Or Construction Exclusion - With Designated Exception(s) (Exceptions:  “Infrastructure or site work”. “Infrastructure” or site work”, means the clearing, excavation or grading of land, installation of water, sewer, power or tele-communication utilities, or construction of streets, roads or walkways.)</t>
  </si>
  <si>
    <t>Residential Property Or Construction Exclusion - With Designated Exception(s) (Exceptions:  “Commercial grade construction”, which is defined as construction that is composed of exterior walls that are entirely constructed of concrete materials, metal or glass which is not framed with wood and has floors and roof of metal or concrete materials.)</t>
  </si>
  <si>
    <t>Residential Property Or Construction Exclusion - With Designated Exception(s) (Exceptions:  “Time Shares,” which are defined as structures that are designed and available for use and occupancy as a residence, and that are constructed for the purpose of being offered as part of a "timeshare plan" as defined under the controlling statutory scheme governing the offering of residential units to the public for use and occupancy as a vacation property on a recurring periodic basis of less than one year.)</t>
  </si>
  <si>
    <t>Residential Property Or Construction Exclusion - With Designated Exception(s) (Exceptions:  Any renovation, remodeling, repair, or  maintenance of “residential property”.)</t>
  </si>
  <si>
    <t>Residential Property Or Construction Exclusion - With Designated Exception(s) (Exceptions:  Any renovation, remodeling, repair, or  maintenance of “residential property” other than condominiums (as defined by applicable controlling statute) or “townhouse projects”. “Townhouse projects” means multi-unit housing consisting of homes in a row of the same or similar design with common walls or with very narrow spacing between adjacent sidewalls.)</t>
  </si>
  <si>
    <t>Residential Property Or Construction Exclusion - With Designated Exception(s) (Exceptions:  Any “residential property” not located in the following states:  XXXXX.)</t>
  </si>
  <si>
    <t>Residential Property Or Construction Exclusion - With Designated Exception(s) (Exceptions:  Repair, remodeling, or renovation work performed by or on behalf of the insured to any condominium (as defined by applicable controlling statute) or “townhouse”, provided such work is performed for the individual condominium or “townhouse” owner and not the condominium or “townhouse” homeowners or community association.)</t>
  </si>
  <si>
    <t>Residential Property Or Construction Exclusion (Other Than Apartments) - With Designated Exception(s) (Exceptions:  Single-family dwellings that are not condominiums (as defined by applicable controlling statute) or “townhouse projects”. “Townhouse projects” means multi-unit housing consisting of homes in a row of the same or similar design with common walls or with very narrow spacing between adjacent sidewalls.)</t>
  </si>
  <si>
    <t>Residential Property Or Construction Exclusion (Other Than Apartments) - With Designated Exception(s) (Exceptions:  “Infrastructure or site work”. “Infrastructure” or site work”, means the clearing, excavation or grading of land, installation of water, sewer, power or tele-communication utilities, or construction of streets, roads or walkways.)</t>
  </si>
  <si>
    <t>Residential Property Or Construction Exclusion (Other Than Apartments) - With Designated Exception(s) (Exceptions:  “Commercial grade construction”, which is defined as construction that is composed of exterior walls that are entirely constructed of concrete materials, metal or glass which is not framed with wood and has floors and roof of metal or concrete materials.)</t>
  </si>
  <si>
    <t>Residential Property Or Construction Exclusion (Other Than Apartments) - With Designated Exception(s) (Exceptions:  “Time Shares,” which are defined as structures that are designed and available for use and occupancy as a residence, and that are constructed for the purpose of being offered as part of a "timeshare plan" as defined under the controlling statutory scheme governing the offering of residential units to the public for use and occupancy as a vacation property on a recurring periodic basis of less than one year.)</t>
  </si>
  <si>
    <t>Residential Property Or Construction Exclusion (Other Than Apartments) - With Designated Exception(s) (Exceptions:  Any renovation, remodeling, repair, or  maintenance of “residential property”.)</t>
  </si>
  <si>
    <t>Residential Property Or Construction Exclusion (Other Than Apartments) - With Designated Exception(s) (Exceptions:  Any renovation, remodeling, repair, or  maintenance of “residential property” other than condominiums (as defined by applicable controlling statute) or “townhouse projects”. “Townhouse projects” means multi-unit housing consisting of homes in a row of the same or similar design with common walls or with very narrow spacing between adjacent sidewalls.)</t>
  </si>
  <si>
    <t>Residential Property Or Construction Exclusion (Other Than Apartments) - With Designated Exception(s) (Exceptions:  Any “residential property” not located in the following states:  XXXXX.)</t>
  </si>
  <si>
    <t>Residential Property Or Construction Exclusion (Other Than Apartments) - With Designated Exception(s) (Exceptions:  Repair, remodeling, or renovation work performed by or on behalf of the insured to any condominium (as defined by applicable controlling statute) or “townhouse”, provided such work is performed for the individual condominium or “townhouse” owner and not the condominium or “townhouse” homeowners or community association.)</t>
  </si>
  <si>
    <t>Residential Property Or Construction Exclusion - With Designated Exception(s) (Exceptions:  Single-family dwellings that are not “tract homes”, condominiums (as defined by applicable controlling statute) or “townhouse projects”. “Tract homes” means 100 or more single-family dwellings constructed by a developer consecutively or concurrently on a single or subdivided parcel or tract of land utilizing common or similar design elements, floorplans or blueprints. “Townhouse projects” means multi-unit housing consisting of homes in a row of the same or similar design with common walls or with very narrow spacing between adjacent sidewalls.)</t>
  </si>
  <si>
    <t>Residential Property Or Construction Exclusion - With Designated Exception(s) (Exceptions:  1. Single-family dwellings that are not “tract homes”, condominiums (as defined by applicable controlling statute) or “townhouse projects”; or 2. “commercial grade construction”. “Townhouse projects” means multi-unit housing consisting of homes in a row of the same or similar design with common walls or with very narrow spacing between adjacent sidewalls. “Tract  homes” means 100 or more single-family dwellings constructed by a developer consecutively or concurrently on a single or subdivided parcel or tract of land utilizing common or similar design elements, floorplans or blueprint.  “Commercial grade construction” means  construction that is composed of exterior walls that are entirely constructed of concrete materials, metal or glass which is not framed with wood and has floors and roof of metal or concrete materials.)</t>
  </si>
  <si>
    <t>Residential Property Or Construction Exclusion - With Designated Exception(s) (Exceptions:  1. Single-family dwellings that are not “tract homes”, condominiums (as defined by applicable controlling statute) or “townhouse projects; or 2. “infrastructure or site work”. “Infrastructure” or site work”, means the clearing, excavation or grading of land, installation of water, sewer, power or tele-communication utilities, or construction of streets, roads or walkways. “Tract  homes” means 100 or more single-family dwellings constructed by a developer consecutively or concurrently on a single or subdivided parcel or tract of land utilizing common or similar design elements, floorplans or blueprint.  “Townhouse projects” means multi-unit housing consisting of homes in a row of the same or similar design with common walls or with very narrow spacing between adjacent sidewalls.)</t>
  </si>
  <si>
    <t>Residential Property Or Construction Exclusion - With Designated Exception(s) (Exceptions:  1. Any construction of new single family dwellings that are not “tract homes”, condominiums (as defined by applicable controlling statute) or “townhouse projects”; or 2. Any repair or remodeling of single family dwellings, or repair or remodeling of condominiums (as defined by applicable controlling statute) or “townhouse projects” built by others.  “Tract homes” means 100 or more single-family dwellings constructed by a developer consecutively or concurrently on a single or subdivided parcel or tract of land utilizing common or similar design elements, floorplans or blueprints. “Townhouse projects” means multi-unit housing consisting of homes in a row of the same or similar design with common walls or with very narrow spacing between adjacent sidewalls.)</t>
  </si>
  <si>
    <t>Residential Property Or Construction Exclusion (Other Than Apartments) - With Designated Exception(s) (Exceptions:  Single-family dwellings that are not “tract homes”, condominiums (as defined by applicable controlling statute) or “townhouse projects”. “Tract homes” means 100 or more single-family dwellings constructed by a developer consecutively or concurrently on a single or subdivided parcel or tract of land utilizing common or similar design elements, floorplans or blueprints. “Townhouse projects” means multi-unit housing consisting of homes in a row of the same or similar design with common walls or with very narrow spacing between adjacent sidewalls.)</t>
  </si>
  <si>
    <t>Residential Property Or Construction Exclusion (Other Than Apartments) - With Designated Exception(s) (Exceptions:  1. Single-family dwellings that are not “tract homes”, condominiums (as defined by applicable controlling statute) or “townhouse projects”; or 2. “commercial grade construction”. “Townhouse projects” means multi-unit housing consisting of homes in a row of the same or similar design with common walls or with very narrow spacing between adjacent sidewalls. “Tract  homes” means 100 or more single-family dwellings constructed by a developer consecutively or concurrently on a single or subdivided parcel or tract of land utilizing common or similar design elements, floorplans or blueprint.  “Commercial grade construction” means  construction that is composed of exterior walls that are entirely constructed of concrete materials, metal or glass which is not framed with wood and has floors and roof of metal or concrete materials.)</t>
  </si>
  <si>
    <t>Residential Property Or Construction Exclusion (Other Than Apartments) - With Designated Exception(s) (Exceptions:  1. Single-family dwellings that are not “tract homes”, condominiums (as defined by applicable controlling statute) or “townhouse projects; or 2. “infrastructure or site work”. “Infrastructure” or site work”, means the clearing, excavation or grading of land, installation of water, sewer, power or tele-communication utilities, or construction of streets, roads or walkways. “Tract  homes” means 100 or more single-family dwellings constructed by a developer consecutively or concurrently on a single or subdivided parcel or tract of land utilizing common or similar design elements, floorplans or blueprint.  “Townhouse projects” means multi-unit housing consisting of homes in a row of the same or similar design with common walls or with very narrow spacing between adjacent sidewalls.)</t>
  </si>
  <si>
    <t>Residential Property Or Construction Exclusion (Other Than Apartments) - With Designated Exception(s) (Exceptions:  1. Any construction of new single family dwellings that are not “tract homes”, condominiums (as defined by applicable controlling statute) or “townhouse projects”; or 2. Any repair or remodeling of single family dwellings, or repair or remodeling of condominiums (as defined by applicable controlling statute) or “townhouse projects” built by others.  “Tract homes” means 100 or more single-family dwellings constructed by a developer consecutively or concurrently on a single or subdivided parcel or tract of land utilizing common or similar design elements, floorplans or blueprints. “Townhouse projects” means multi-unit housing consisting of homes in a row of the same or similar design with common walls or with very narrow spacing between adjacent sidewalls.)</t>
  </si>
  <si>
    <t>10 Days</t>
  </si>
  <si>
    <t>Prior To</t>
  </si>
  <si>
    <t>At Binding</t>
  </si>
  <si>
    <t>15 Days</t>
  </si>
  <si>
    <t>20 Days</t>
  </si>
  <si>
    <t>30 Days</t>
  </si>
  <si>
    <t>Received</t>
  </si>
  <si>
    <t>Broker is responsible for all Surplus Lines filings and taxes, as well as providing a completed Surplus Lines form.</t>
  </si>
  <si>
    <t>RECEIVED</t>
  </si>
  <si>
    <t>PRIOR TO BINDING</t>
  </si>
  <si>
    <t>AT BINDING</t>
  </si>
  <si>
    <t>WITHIN 10 DAYS</t>
  </si>
  <si>
    <t>WITHIN 15 DAYS</t>
  </si>
  <si>
    <t>WITHIN 20 DAYS</t>
  </si>
  <si>
    <t>WITHIN 30 DAYS</t>
  </si>
  <si>
    <t>5 Days</t>
  </si>
  <si>
    <t>WITHIN 5 DAYS</t>
  </si>
  <si>
    <t>Approved</t>
  </si>
  <si>
    <t>APPROVED</t>
  </si>
  <si>
    <t>Broker - Email</t>
  </si>
  <si>
    <t>BrokerEmail</t>
  </si>
  <si>
    <t>Residential Property Or Construction Exclusion - With Designated Exception(s) (Exceptions:  Any demolition operations.)</t>
  </si>
  <si>
    <t>Residential Property Or Construction Exclusion (Other Than Apartments) - With Designated Exception(s) (Exceptions:  Any demolition operations.)</t>
  </si>
  <si>
    <t>CG 20 37 04 13 (A+)</t>
  </si>
  <si>
    <t>CG 20 37 04 13 (AA)</t>
  </si>
  <si>
    <t>CG 20 37 04 13 (B+)</t>
  </si>
  <si>
    <t>FMIC 2618</t>
  </si>
  <si>
    <t>FMIC 2176</t>
  </si>
  <si>
    <t>Assault And Battery Coverage Limitation (Per Incident:  $25,000; Aggregate:  $25,000)</t>
  </si>
  <si>
    <t>Assault And Battery Coverage Limitation (Per Incident:  $25,000; Aggregate:  $50,000)</t>
  </si>
  <si>
    <t>FMIC GL 2610 (04/15)</t>
  </si>
  <si>
    <t>Manuscript Endorsement</t>
  </si>
  <si>
    <t>When the type of construction risk is anything other than "OCP", this identifies whether the risk is Residential or Commercial.</t>
  </si>
  <si>
    <t>PolicyIssued</t>
  </si>
  <si>
    <t>Returns "Yes" or "No" in respect of whether the policy has been issued.</t>
  </si>
  <si>
    <t>FormNumber1</t>
  </si>
  <si>
    <t>FormNumber2</t>
  </si>
  <si>
    <t>FormNumber3</t>
  </si>
  <si>
    <t>FormNumber4</t>
  </si>
  <si>
    <t>FormNumber5</t>
  </si>
  <si>
    <t>FormNumber6</t>
  </si>
  <si>
    <t>FormNumber7</t>
  </si>
  <si>
    <t>FormNumber8</t>
  </si>
  <si>
    <t>FormNumber9</t>
  </si>
  <si>
    <t>FormNumber10</t>
  </si>
  <si>
    <t>FormNumber11</t>
  </si>
  <si>
    <t>FormNumber12</t>
  </si>
  <si>
    <t>FormNumber13</t>
  </si>
  <si>
    <t>FormNumber14</t>
  </si>
  <si>
    <t>FormNumber15</t>
  </si>
  <si>
    <t>FormNumber16</t>
  </si>
  <si>
    <t>FormNumber17</t>
  </si>
  <si>
    <t>FormNumber18</t>
  </si>
  <si>
    <t>FormNumber19</t>
  </si>
  <si>
    <t>FormNumber20</t>
  </si>
  <si>
    <t>FormNumber21</t>
  </si>
  <si>
    <t>FormNumber22</t>
  </si>
  <si>
    <t>FormNumber23</t>
  </si>
  <si>
    <t>FormNumber24</t>
  </si>
  <si>
    <t>FormNumber25</t>
  </si>
  <si>
    <t>FormNumber26</t>
  </si>
  <si>
    <t>FormNumber27</t>
  </si>
  <si>
    <t>FormNumber28</t>
  </si>
  <si>
    <t>FormNumber29</t>
  </si>
  <si>
    <t>FormNumber30</t>
  </si>
  <si>
    <t>FormNumber31</t>
  </si>
  <si>
    <t>FormNumber32</t>
  </si>
  <si>
    <t>FormNumber33</t>
  </si>
  <si>
    <t>FormNumber34</t>
  </si>
  <si>
    <t>FormNumber35</t>
  </si>
  <si>
    <t>FormNumber36</t>
  </si>
  <si>
    <t>FormNumber37</t>
  </si>
  <si>
    <t>FormNumber38</t>
  </si>
  <si>
    <t>FormNumber39</t>
  </si>
  <si>
    <t>FormNumber40</t>
  </si>
  <si>
    <t>FormNumber41</t>
  </si>
  <si>
    <t>FormNumber42</t>
  </si>
  <si>
    <t>FormNumber43</t>
  </si>
  <si>
    <t>FormNumber44</t>
  </si>
  <si>
    <t>FormNumber45</t>
  </si>
  <si>
    <t>FormNumber46</t>
  </si>
  <si>
    <t>FormNumber47</t>
  </si>
  <si>
    <t>FormNumber48</t>
  </si>
  <si>
    <t>FormNumber49</t>
  </si>
  <si>
    <t>FormNumber50</t>
  </si>
  <si>
    <t>FormNumber51</t>
  </si>
  <si>
    <t>FormNumber52</t>
  </si>
  <si>
    <t>FormNumber53</t>
  </si>
  <si>
    <t>FormNumber54</t>
  </si>
  <si>
    <t>FormNumber55</t>
  </si>
  <si>
    <t>FormNumber56</t>
  </si>
  <si>
    <t>FormNumber57</t>
  </si>
  <si>
    <t>FormNumber58</t>
  </si>
  <si>
    <t>FormNumber59</t>
  </si>
  <si>
    <t>FormNumber60</t>
  </si>
  <si>
    <t>FormName1</t>
  </si>
  <si>
    <t>FormName2</t>
  </si>
  <si>
    <t>FormName3</t>
  </si>
  <si>
    <t>FormName4</t>
  </si>
  <si>
    <t>FormName5</t>
  </si>
  <si>
    <t>FormName6</t>
  </si>
  <si>
    <t>FormName7</t>
  </si>
  <si>
    <t>FormName8</t>
  </si>
  <si>
    <t>FormName9</t>
  </si>
  <si>
    <t>FormName10</t>
  </si>
  <si>
    <t>FormName11</t>
  </si>
  <si>
    <t>FormName12</t>
  </si>
  <si>
    <t>FormName13</t>
  </si>
  <si>
    <t>FormName14</t>
  </si>
  <si>
    <t>FormName15</t>
  </si>
  <si>
    <t>FormName16</t>
  </si>
  <si>
    <t>FormName17</t>
  </si>
  <si>
    <t>FormName18</t>
  </si>
  <si>
    <t>FormName19</t>
  </si>
  <si>
    <t>FormName20</t>
  </si>
  <si>
    <t>FormName21</t>
  </si>
  <si>
    <t>FormName22</t>
  </si>
  <si>
    <t>FormName23</t>
  </si>
  <si>
    <t>FormName24</t>
  </si>
  <si>
    <t>FormName25</t>
  </si>
  <si>
    <t>FormName26</t>
  </si>
  <si>
    <t>FormName27</t>
  </si>
  <si>
    <t>FormName28</t>
  </si>
  <si>
    <t>FormName29</t>
  </si>
  <si>
    <t>FormName30</t>
  </si>
  <si>
    <t>FormName31</t>
  </si>
  <si>
    <t>FormName32</t>
  </si>
  <si>
    <t>FormName33</t>
  </si>
  <si>
    <t>FormName34</t>
  </si>
  <si>
    <t>FormName35</t>
  </si>
  <si>
    <t>FormName36</t>
  </si>
  <si>
    <t>FormName37</t>
  </si>
  <si>
    <t>FormName38</t>
  </si>
  <si>
    <t>FormName39</t>
  </si>
  <si>
    <t>FormName40</t>
  </si>
  <si>
    <t>FormName41</t>
  </si>
  <si>
    <t>FormName42</t>
  </si>
  <si>
    <t>FormName43</t>
  </si>
  <si>
    <t>FormName44</t>
  </si>
  <si>
    <t>FormName45</t>
  </si>
  <si>
    <t>FormName46</t>
  </si>
  <si>
    <t>FormName47</t>
  </si>
  <si>
    <t>FormName48</t>
  </si>
  <si>
    <t>FormName49</t>
  </si>
  <si>
    <t>FormName50</t>
  </si>
  <si>
    <t>FormName51</t>
  </si>
  <si>
    <t>FormName52</t>
  </si>
  <si>
    <t>FormName53</t>
  </si>
  <si>
    <t>FormName54</t>
  </si>
  <si>
    <t>FormName55</t>
  </si>
  <si>
    <t>FormName56</t>
  </si>
  <si>
    <t>FormName57</t>
  </si>
  <si>
    <t>FormName58</t>
  </si>
  <si>
    <t>FormName59</t>
  </si>
  <si>
    <t>FormName60</t>
  </si>
  <si>
    <t>Are there any CD Claims with Losses ≥ $100?</t>
  </si>
  <si>
    <t>How many CD Claims have Losses ≥ $100?</t>
  </si>
  <si>
    <t>Total Inc Loss for CD Claims with Losses ≥ $100:</t>
  </si>
  <si>
    <t>Additional Insured - Owners, Lessees Or Contractors - Completed Operations (Additional Insured:  As required by written contract signed by both parties prior to the loss.; Location &amp; Description:  Coverage under this endorsement applies to all commercial and residential construction, excluding any construction operations, work or activities performed on any condominiums (as defined by controlling applicable statute), "tract homes" or "townhouse projects".  "Tract homes" means 10 or more single-family dwellings constructed by a developer consecutively or concurrently on a single or subdivided parcel or tract of land utilizing common or similar design elements, floorplans or blueprints.  "Townhouse projects" means multi-unit housing consisting of homes in a row of the same or similar design with common walls or with very narrow spacing between adjacent sidewalls.)</t>
  </si>
  <si>
    <t>Additional Insured - Owners, Lessees Or Contractors - Completed Operations (Additional Insured:  As required by written contract signed by both parties prior to the loss.; Location &amp; Description:  Coverage under this endorsement applies to all commercial and residential construction, excluding any construction operations, work or activities performed on any condominiums (as defined by controlling applicable statute), "tract homes" or "townhouse projects".  "Tract homes" means 25 or more single-family dwellings constructed by a developer consecutively or concurrently on a single or subdivided parcel or tract of land utilizing common or similar design elements, floorplans or blueprints.  "Townhouse projects" means multi-unit housing consisting of homes in a row of the same or similar design with common walls or with very narrow spacing between adjacent sidewalls.)</t>
  </si>
  <si>
    <t>Additional Insured - Owners, Lessees Or Contractors - Completed Operations (Additional Insured:  As required by written contract signed by both parties prior to the loss.; Location &amp; Description:  Coverage under this endorsement applies to all commercial and residential construction, excluding any construction operations, work or activities performed on any condominiums (as defined by controlling applicable statute), "tract homes" or "townhouse projects".  "Tract homes" means 50 or more single-family dwellings constructed by a developer consecutively or concurrently on a single or subdivided parcel or tract of land utilizing common or similar design elements, floorplans or blueprints.  "Townhouse projects" means multi-unit housing consisting of homes in a row of the same or similar design with common walls or with very narrow spacing between adjacent sidewalls.)</t>
  </si>
  <si>
    <t>Additional Insured - Owners, Lessees Or Contractors - Completed Operations (Additional Insured:  As required by written contract signed by both parties prior to the loss.; Location &amp; Description:  Coverage under this endorsement applies to all commercial and residential construction, excluding any construction operations, work or activities performed on any condominiums (as defined by controlling applicable statute), "tract homes" or "townhouse projects".  "Tract homes" means 100 or more single-family dwellings constructed by a developer consecutively or concurrently on a single or subdivided parcel or tract of land utilizing common or similar design elements, floorplans or blueprints.  "Townhouse projects" means multi-unit housing consisting of homes in a row of the same or similar design with common walls or with very narrow spacing between adjacent sidewalls.)</t>
  </si>
  <si>
    <t>Additional Insured - Owners, Lessees Or Contractors - Completed Operations (Additional Insured:  As required by written contract signed by both parties prior to the loss.; Location &amp; Description:  Coverage under this endorsement applies to all commercial and residential construction, excluding any construction operations, work or activities performed on any condominiums (as defined by controlling applicable statute), "tract homes" or "townhouse projects".  "Tract homes" means 125 or more single-family dwellings constructed by a developer consecutively or concurrently on a single or subdivided parcel or tract of land utilizing common or similar design elements, floorplans or blueprints.  "Townhouse projects" means multi-unit housing consisting of homes in a row of the same or similar design with common walls or with very narrow spacing between adjacent sidewalls.)</t>
  </si>
  <si>
    <t>Additional Insured - Owners, Lessees Or Contractors - Completed Operations (Additional Insured:  As required by written contract signed by both parties prior to the loss.; Location &amp; Description:  Coverage under this endorsement applies to all commercial and residential construction, excluding any construction operations, work or activities performed on any condominiums (as defined by controlling applicable statute), "tract homes" or "townhouse projects".  "Tract homes" means 150 or more single-family dwellings constructed by a developer consecutively or concurrently on a single or subdivided parcel or tract of land utilizing common or similar design elements, floorplans or blueprints.  "Townhouse projects" means multi-unit housing consisting of homes in a row of the same or similar design with common walls or with very narrow spacing between adjacent sidewalls.)</t>
  </si>
  <si>
    <t>Arkansas Inspection Fee</t>
  </si>
  <si>
    <t>Universal Deductible Endorsement (Deductible #1:  $XXXXX Per XXXXX For "Bodily Injury" Or "Property Damage" Arising Out Of XXXXX; Deductible #2:  $XXXXX Per XXXXX For All Other "Bodily Injury" Or "Property Damage")</t>
  </si>
  <si>
    <t>Universal Deductible Endorsement (Deductible #1:  $XXXXX Per XXXXX For "Bodily Injury" Or "Property Damage" Arising Out Of Residential Construction; Deductible #2:  $XXXXX Per XXXXX For All Other "Bodily Injury" Or "Property Damage")</t>
  </si>
  <si>
    <t>Universal Deductible Endorsement (Deductible #1:  $XXXXX Per XXXXX For "Bodily Injury" Or "Property Damage" Arising Out Of Snow Removal Operations; Deductible #2:  $XXXXX Per XXXXX For All Other "Bodily Injury" Or "Property Damage")</t>
  </si>
  <si>
    <t>The applicant has an unpaid deductible from a previous policy with FMIC.  Payment must be received prior to binding.</t>
  </si>
  <si>
    <t>FMIC 2017</t>
  </si>
  <si>
    <t>FMIC 2018</t>
  </si>
  <si>
    <t>FMIC 2167</t>
  </si>
  <si>
    <t>FMIC 2328</t>
  </si>
  <si>
    <t>FMIC 2628</t>
  </si>
  <si>
    <t>Total Policy</t>
  </si>
  <si>
    <t>Variable Limit 1:</t>
  </si>
  <si>
    <t>Variable Limit 2:</t>
  </si>
  <si>
    <t>Variable Limit 3:</t>
  </si>
  <si>
    <t>Variable Limit 4:</t>
  </si>
  <si>
    <t>Total
Incurred</t>
  </si>
  <si>
    <t>Target Premium:</t>
  </si>
  <si>
    <t>RT Specialty, LLC</t>
  </si>
  <si>
    <t>Exclusion - Specified State Operations Exclusion (States Excluded:  Alaska, Arizona, California, Colorado, Hawaii, Nevada, New York, Oregon, South Carolina, Washington)</t>
  </si>
  <si>
    <t>Exclusion - Specified State Operations Exclusion (States Excluded:  Colorado, Florida, Louisiana, Nevada, New York)</t>
  </si>
  <si>
    <t>Exclusion - Specified State Operations Exclusion (States Excluded:  Colorado, Louisiana, Nevada, New York)</t>
  </si>
  <si>
    <t>Exclusion - Specified State Operations Exclusion (States Excluded:  Florida, Louisiana, Nevada, New York)</t>
  </si>
  <si>
    <t>mhorn@westcongress.com</t>
  </si>
  <si>
    <t>Mike Horn</t>
  </si>
  <si>
    <t xml:space="preserve">Broker With City </t>
  </si>
  <si>
    <t>Broker Without City</t>
  </si>
  <si>
    <t>Burns &amp; Wilcox Brokerage</t>
  </si>
  <si>
    <t>Patriot National Underwriters</t>
  </si>
  <si>
    <t>Southwest Risk, LP</t>
  </si>
  <si>
    <t>Add'l Coverage Prem:</t>
  </si>
  <si>
    <t>PRODUCTION WORKSHEET</t>
  </si>
  <si>
    <t>Debit/Credit Amt:</t>
  </si>
  <si>
    <t>COMMERCIAL GENERAL LIABILITY</t>
  </si>
  <si>
    <t>COMMERCIAL EXCESS LIABILITY</t>
  </si>
  <si>
    <t>Products-Comp Ops Aggregate:</t>
  </si>
  <si>
    <t>PP</t>
  </si>
  <si>
    <t>P/U - LT</t>
  </si>
  <si>
    <t>GVW 20-45k lbs HT</t>
  </si>
  <si>
    <t>GVW &gt;45 lbs XHT</t>
  </si>
  <si>
    <t>Tractor - LOC</t>
  </si>
  <si>
    <t>Tractor - INT</t>
  </si>
  <si>
    <t>Tractor - L/H</t>
  </si>
  <si>
    <t>ISO Class Code:</t>
  </si>
  <si>
    <t>WCIS Class Code:</t>
  </si>
  <si>
    <t>GOVERNING CLASS CODES</t>
  </si>
  <si>
    <t>Per Project/Location Aggregate:</t>
  </si>
  <si>
    <t>PRICING COMMENTARY</t>
  </si>
  <si>
    <t>COVERAGE COMMENTARY</t>
  </si>
  <si>
    <t>Insured Retention Amt:</t>
  </si>
  <si>
    <t>Insured Retention Type:</t>
  </si>
  <si>
    <t>Insured Retention Amt</t>
  </si>
  <si>
    <t>% Payroll to Sales</t>
  </si>
  <si>
    <t>Final Rate:</t>
  </si>
  <si>
    <t>Premium &amp; Fees:</t>
  </si>
  <si>
    <t>Total # Of Claims Incl "Report Only" - Open</t>
  </si>
  <si>
    <t>Total # Of Claims Incl "Report Only" - Closed</t>
  </si>
  <si>
    <t>"Report Only"
# Of Claims - Open</t>
  </si>
  <si>
    <t>"Report Only"
# Of Claims - Closed</t>
  </si>
  <si>
    <t>WCIS Class Codes</t>
  </si>
  <si>
    <t>ISO Class Codes</t>
  </si>
  <si>
    <t>29999-Not Otherwise Classified-Energy</t>
  </si>
  <si>
    <t>30000-Drywall-residential-subcontracted work-new construction-single family residences built on spec, custom homes, duplexes, triplexes, or fourplexes</t>
  </si>
  <si>
    <t>30100-EIFS-residential-subcontracted work-new construction-single family residences built on spec, custom homes, duplexes, triplexes, or fourplexes</t>
  </si>
  <si>
    <t>30200-Infrastructure or Site Work-residential-subcontracted work-new construction-conduit construction for cables or wires or cable installation</t>
  </si>
  <si>
    <t>30201-Infrastructure or Site Work-residential-subcontracted work-new construction-excavation, digging or grading of land</t>
  </si>
  <si>
    <t>30202-Infrastructure or Site Work-residential-subcontracted work-new construction-sewer or water mains or connections construction</t>
  </si>
  <si>
    <t>30203-Infrastructure or Site Work-residential-subcontracted work-new construction-NOC</t>
  </si>
  <si>
    <t>30204-Infrastructure or Site Work-residential-subcontracted work-repair or remodel-conduit construction for cables or wires</t>
  </si>
  <si>
    <t>30205-Infrastructure or Site Work-residential-subcontracted work-repair or remodel-excavation, digging or grading of land</t>
  </si>
  <si>
    <t>30206-Infrastructure or Site Work-residential-subcontracted work-repair or remodel-sewer or water mains or connections construction</t>
  </si>
  <si>
    <t>30207-Infrastructure or Site Work-residential-subcontracted work-repair or remodel-NOC</t>
  </si>
  <si>
    <t>30208-Infrastructure or Site Work-residential-contracted work-new construction-conduit construction for cables or wires</t>
  </si>
  <si>
    <t>30209-Infrastructure or Site Work-residential-contracted work-new construction-excavation, digging or grading of land</t>
  </si>
  <si>
    <t>30210-Infrastructure or Site Work-residential-contracted work-new construction-sewer or water mains or connections construction</t>
  </si>
  <si>
    <t>30211-Infrastructure or Site Work-residential-contracted work-new construction-NOC</t>
  </si>
  <si>
    <t>30212-Infrastructure or Site Work-residential-contracted work-repair or remodel-conduit construction for cables or wires</t>
  </si>
  <si>
    <t>30213-Infrastructure or Site Work-residential-contracted work-repair or remodel-excavation, digging or grading of land</t>
  </si>
  <si>
    <t>30214-Infrastructure or Site Work-residential-contracted work-repair or remodel-sewer or water mains or connections construction</t>
  </si>
  <si>
    <t>30215-Infrastructure or Site Work-residential-contracted work-repair or remodel-NOC</t>
  </si>
  <si>
    <t>30216-Infrastructure or Site Work-commercial-subcontracted work-new construction-conduit construction for cables or wires</t>
  </si>
  <si>
    <t>30217-Infrastructure or Site Work-commercial-subcontracted work-new construction-excavation, digging or grading of land</t>
  </si>
  <si>
    <t>30218-Infrastructure or Site Work-commercial-subcontracted work-new construction-sewer or water mains or connections construction</t>
  </si>
  <si>
    <t>30219-Infrastructure or Site Work-commercial-subcontracted work-new construction-NOC</t>
  </si>
  <si>
    <t>30220-Infrastructure or Site Work-commercial-subcontracted work-repair or remodel-conduit construction for cables or wires</t>
  </si>
  <si>
    <t>30221-Infrastructure or Site Work-commercial-subcontracted work-repair or remodel-excavation, digging or grading of land</t>
  </si>
  <si>
    <t>30222-Infrastructure or Site Work-commercial-subcontracted work-repair or remodel-sewer or water mains or connections construction</t>
  </si>
  <si>
    <t>30223-Infrastructure or Site Work-commercial-subcontracted work-repair or remodel-NOC</t>
  </si>
  <si>
    <t>30224-Infrastructure or Site Work-commercial-contracted work-new construction-conduit construction for cables or wires</t>
  </si>
  <si>
    <t>30225-Infrastructure or Site Work-commercial-contracted work-new construction-excavation, digging or grading of land</t>
  </si>
  <si>
    <t>30226-Infrastructure or Site Work-commercial-contracted work-new construction-sewer or water mains or connections construction</t>
  </si>
  <si>
    <t>30227-Infrastructure or Site Work-commercial-contracted work-new construction-NOC</t>
  </si>
  <si>
    <t>30228-Infrastructure or Site Work-commercial-contracted work-repair or remodel-conduit construction for cables or wires</t>
  </si>
  <si>
    <t>30229-Infrastructure or Site Work-commercial-contracted work-repair or remodel-excavation, digging or grading of land</t>
  </si>
  <si>
    <t>30230-Infrastructure or Site Work-commercial-contracted work-repair or remodel-sewer or water mains or connections construction</t>
  </si>
  <si>
    <t>30231-Infrastructure or Site Work-commercial-contracted work-repair or remodel-NOC</t>
  </si>
  <si>
    <t>30400-Plastering-residential-subcontracted work-new construction-single family residences built on spec, custom homes, duplexes, triplexes, or fourplexes</t>
  </si>
  <si>
    <t>30500-Roofing-residential-subcontracted work-new construction-single family residences built on spec, custom homes, duplexes, triplexes, or fourplexes</t>
  </si>
  <si>
    <t>30600-Siding and Gutters-residential-subcontracted work-new construction-single family residences built on spec, custom homes, duplexes, triplexes, or fourplexes</t>
  </si>
  <si>
    <t>30700-Stucco-residential-subcontracted work-new construction-single family residences built on spec, custom homes, duplexes, triplexes, or fourplexes</t>
  </si>
  <si>
    <t>35000-Electrical Work-residential-subcontracted work-new construction-single family residences built on spec, custom homes, duplexes, triplexes, or fourplexes</t>
  </si>
  <si>
    <t>35100-HVAC-residential-subcontracted work-new construction-single family residences built on spec, custom homes, duplexes, triplexes, or fourplexes</t>
  </si>
  <si>
    <t>35400-Plumbing-residential-subcontracted work-new construction-single family residences built on spec, custom homes, duplexes, triplexes, or fourplexes</t>
  </si>
  <si>
    <t>35600-Wrecking and Demolition-blasting operations</t>
  </si>
  <si>
    <t>Avg # Of Reported Claims-Closed:</t>
  </si>
  <si>
    <t>Avg # Of Reported Claims-Open:</t>
  </si>
  <si>
    <t>Avg Reported Claim Value:</t>
  </si>
  <si>
    <t>Avg Annual Incurred Loss:</t>
  </si>
  <si>
    <t>AUTO LIABILITY LOSS INFORMATION</t>
  </si>
  <si>
    <t>GENERAL LIABILITY LOSS INFORMATION</t>
  </si>
  <si>
    <t>OTHER XS LOSS INFORMATION</t>
  </si>
  <si>
    <t>XS CGL LOSS INFORMATION</t>
  </si>
  <si>
    <t>Benchmark Premium:</t>
  </si>
  <si>
    <t>Tom Haupt</t>
  </si>
  <si>
    <t>thaupt@westcongress.com</t>
  </si>
  <si>
    <t>Joe Sommer</t>
  </si>
  <si>
    <t>jsommer@westcongress.com</t>
  </si>
  <si>
    <t>All Risks, Ltd.</t>
  </si>
  <si>
    <t>AmWINS Brokerage of New England, LLC</t>
  </si>
  <si>
    <t>AmWINS Brokerage of Texas, Inc.</t>
  </si>
  <si>
    <t>ARC Excess &amp; Surplus, LLC</t>
  </si>
  <si>
    <t>Bass Underwriters</t>
  </si>
  <si>
    <t>Breckenridge Insurance Services, LLC</t>
  </si>
  <si>
    <t>Brown &amp; Riding Insurance Services, Inc.</t>
  </si>
  <si>
    <t>Burns &amp; Wilcox</t>
  </si>
  <si>
    <t>CRC</t>
  </si>
  <si>
    <t>Delta General Agency Corporation</t>
  </si>
  <si>
    <t>El Dorado Insurance Agency, Inc</t>
  </si>
  <si>
    <t>Exponent Marketing, LLC</t>
  </si>
  <si>
    <t>Genesee General</t>
  </si>
  <si>
    <t>Maximum Independent Brokerage</t>
  </si>
  <si>
    <t>McClelland and Hine, Inc.</t>
  </si>
  <si>
    <t>Med James, Inc.</t>
  </si>
  <si>
    <t>Peachtree Special Risk Brokers, LLC</t>
  </si>
  <si>
    <t>Risk Placement Services, Inc.</t>
  </si>
  <si>
    <t>SCUI</t>
  </si>
  <si>
    <t>Towerstone, Inc.</t>
  </si>
  <si>
    <t>USG Insurance Services, Inc.</t>
  </si>
  <si>
    <t>Worldwide Facilities, LLC</t>
  </si>
  <si>
    <t>All Risks, Ltd.-Austin</t>
  </si>
  <si>
    <t>All Risks, Ltd.-Dallas</t>
  </si>
  <si>
    <t>All Risks, Ltd.-Houston</t>
  </si>
  <si>
    <t>All Risks, Ltd.-Hunt Valley</t>
  </si>
  <si>
    <t>All Risks, Ltd.-Peachtree Corners</t>
  </si>
  <si>
    <t>AmWINS Access Insurance Services, LLC-Atlanta</t>
  </si>
  <si>
    <t>AmWINS Brokerage of Tennessee-Franklin</t>
  </si>
  <si>
    <t>AmWINS Brokerage of Washington-Seattle</t>
  </si>
  <si>
    <t>AmWINS Insurance Brokerage of California, LLC-Los Angeles</t>
  </si>
  <si>
    <t>AmWINS Insurance Brokerage of California, LLC-Manhattan Beach</t>
  </si>
  <si>
    <t>AmWINS Insurance Brokerage of California, LLC-San Francisco</t>
  </si>
  <si>
    <t>ARC Excess &amp; Surplus, LLC-Jericho</t>
  </si>
  <si>
    <t>Bass Underwriters-Hauppauge</t>
  </si>
  <si>
    <t>Bass Underwriters-Plantation</t>
  </si>
  <si>
    <t>Bass Underwriters-The Woodlands</t>
  </si>
  <si>
    <t>Breckenridge Insurance Services, LLC-Westbrook</t>
  </si>
  <si>
    <t>Brown &amp; Riding Insurance Services, Inc.-Atlanta</t>
  </si>
  <si>
    <t>Burns &amp; Wilcox-Arlington</t>
  </si>
  <si>
    <t>Burns &amp; Wilcox-Houston</t>
  </si>
  <si>
    <t>Burns &amp; Wilcox Brokerage-Chicago</t>
  </si>
  <si>
    <t>Burns &amp; Wilcox Brokerage-San Francisco</t>
  </si>
  <si>
    <t>CRC-Boca Raton</t>
  </si>
  <si>
    <t>CRC-Dallas</t>
  </si>
  <si>
    <t>CRC-Houston</t>
  </si>
  <si>
    <t>CRC-New York</t>
  </si>
  <si>
    <t>CRC-Norcross</t>
  </si>
  <si>
    <t>CRC-Redondo Beach</t>
  </si>
  <si>
    <t>Delta General Agency Corporation-Houston</t>
  </si>
  <si>
    <t>El Dorado Insurance Agency, Inc-Houston</t>
  </si>
  <si>
    <t>Genesee General-Alpharetta</t>
  </si>
  <si>
    <t>Genesee General-Broomfield</t>
  </si>
  <si>
    <t>Hull &amp; Company, LLC-Dallas</t>
  </si>
  <si>
    <t>Hull &amp; Company, LLC-Horsham</t>
  </si>
  <si>
    <t>Maximum Independent Brokerage-Chicago</t>
  </si>
  <si>
    <t>McClelland and Hine, Inc.-Houston</t>
  </si>
  <si>
    <t>Med James, Inc.-Overland Park</t>
  </si>
  <si>
    <t>Patriot National Underwriters-Dallas</t>
  </si>
  <si>
    <t>Risk Placement Services, Inc.-Boston</t>
  </si>
  <si>
    <t>Risk Placement Services, Inc.-Chicago</t>
  </si>
  <si>
    <t>Risk Placement Services, Inc.-Dallas</t>
  </si>
  <si>
    <t>Risk Placement Services, Inc.-Lexington</t>
  </si>
  <si>
    <t>Risk Placement Services, Inc.-Meriden</t>
  </si>
  <si>
    <t>Risk Placement Services, Inc.-Minneapolis</t>
  </si>
  <si>
    <t>Risk Placement Services, Inc.-New York</t>
  </si>
  <si>
    <t>Risk Placement Services, Inc.-Santa Ana</t>
  </si>
  <si>
    <t>Risk Transfer Partners-Dallas</t>
  </si>
  <si>
    <t>RT Specialty, LLC-Atlanta</t>
  </si>
  <si>
    <t>RT Specialty, LLC-Chicago</t>
  </si>
  <si>
    <t>RT Specialty, LLC-Hartford</t>
  </si>
  <si>
    <t>RT Specialty, LLC-New York</t>
  </si>
  <si>
    <t>RT Specialty, LLC-Tampa</t>
  </si>
  <si>
    <t>SCUI-Dallas</t>
  </si>
  <si>
    <t>SCUI-Greenwood Village</t>
  </si>
  <si>
    <t>SCUI-Metairie</t>
  </si>
  <si>
    <t>SCUI-Morehead City</t>
  </si>
  <si>
    <t>SCUI-Norcross</t>
  </si>
  <si>
    <t>Southwest Risk, LP-Dallas</t>
  </si>
  <si>
    <t>Southwest Risk, LP-Houston</t>
  </si>
  <si>
    <t>Towerstone, Inc.-Dallas</t>
  </si>
  <si>
    <t>USG Insurance Services, Inc.-Arlington</t>
  </si>
  <si>
    <t>USG Insurance Services, Inc.-Canonsburg</t>
  </si>
  <si>
    <t>USG Insurance Services, Inc.-Chicago</t>
  </si>
  <si>
    <t>USG Insurance Services, Inc.-Houston</t>
  </si>
  <si>
    <t>USG Insurance Services, Inc.-New Brighton</t>
  </si>
  <si>
    <t>USG Insurance Services, Inc.-Palatine</t>
  </si>
  <si>
    <t>USG Insurance Services, Inc.-Tampa</t>
  </si>
  <si>
    <t>USG Insurance Services, Inc.-Troy</t>
  </si>
  <si>
    <t>Wholesale Trading Insurance Services, LLC-San Francisco</t>
  </si>
  <si>
    <t>Worldwide Facilities, LLC-Atlanta</t>
  </si>
  <si>
    <t>10000-Alarm-installation &amp; servicing-non residential</t>
  </si>
  <si>
    <t>10001-Alarm-installation &amp; servicing-condominium, townhouses, tract homes, apartments or multi-family</t>
  </si>
  <si>
    <t>10002-Alarm-installation &amp; servicing-residential</t>
  </si>
  <si>
    <t>10003-Alarm-installation &amp; servicing-PERS</t>
  </si>
  <si>
    <t>10004-Alarm-monitoring</t>
  </si>
  <si>
    <t>10005-Alarm-monitoring-PERS</t>
  </si>
  <si>
    <t>10006-Alarm-alarm response</t>
  </si>
  <si>
    <t>10007-Alarm-manufacturing</t>
  </si>
  <si>
    <t>11001-Protection and Investigation-security or patrol agencies-hospitals (ER)</t>
  </si>
  <si>
    <t>11003-Protection and Investigation-security or patrol agencies-airports</t>
  </si>
  <si>
    <t>11004-Protection and Investigation-security or patrol agencies-executive protection-high profile</t>
  </si>
  <si>
    <t>11007-Protection and Investigation-security or patrol agencies-residential patrol-apartments-low income</t>
  </si>
  <si>
    <t>11010-Protection and Investigation-security or patrol agencies-shopping malls</t>
  </si>
  <si>
    <t>11011-Protection and Investigation-security or patrol agencies-establishments primarily engaged in serving alcohol</t>
  </si>
  <si>
    <t>11012-Protection and Investigation-security or patrol agencies-consulting and training</t>
  </si>
  <si>
    <t>11013-Protection and Investigation-security or patrol agencies-NOC</t>
  </si>
  <si>
    <t>11014-Protection and Investigation-security or patrol agencies-janitorial or building services</t>
  </si>
  <si>
    <t>11015-Protection and Investigation-detective or investigation-insurance investigations or field adjusting</t>
  </si>
  <si>
    <t>11016-Protection and Investigation-detective or investigation-credit or record checks, background investigations, employment screening, and executive protection (low profile)</t>
  </si>
  <si>
    <t>11017-Protection and Investigation-detective or investigation-process service, expert witness, and polygraph service</t>
  </si>
  <si>
    <t>11018-Protection and Investigation-detective or investigation- employee surveillance and other investigations</t>
  </si>
  <si>
    <t>11019-Protection and Investigation-detective or investigation-bounty hunting, repossesion, bail bonding and executive protection (high profile)</t>
  </si>
  <si>
    <t>11020-Protection and Investigation-detective or investigation-NOC</t>
  </si>
  <si>
    <t>11021-Protection and Investigation-training &amp; consulting</t>
  </si>
  <si>
    <t>11023-Protection and Investigation-security or patrol agencies-insured subcontractors</t>
  </si>
  <si>
    <t>11024-Protection and Investigation-detective or investigation-insured subcontractors</t>
  </si>
  <si>
    <t>13000-Suppression Systems-installation &amp; servicing-new installation, retrofit, design, service/repair and inspection-chemical systems-commercial</t>
  </si>
  <si>
    <t>13001-Suppression Systems-installation &amp; servicing-new installation, retrofit, design, service/repair and inspection-chemical systems-restaurant and kitchen systems</t>
  </si>
  <si>
    <t>13002-Suppression Systems-installation &amp; servicing-new installation, retrofit, design, service/repair and inspection-wet/dry systems-no PVC-commercial-no apartments or multi-family</t>
  </si>
  <si>
    <t>13003-Suppression Systems-installation &amp; servicing-new installation, retrofit, design, service/repair and inspection-wet/dry systems-no PVC-apartments or multi-family</t>
  </si>
  <si>
    <t>13004-Suppression Systems-installation &amp; servicing-new installation, retrofit, design, service/repair and inspection-wet/dry systems-no PVC-custom homes</t>
  </si>
  <si>
    <t>13005-Suppression Systems-installation &amp; servicing-new installation, retrofit, design, service/repair and inspection-wet/dry systems-PVC-commercial-no apartments or multi-family</t>
  </si>
  <si>
    <t>13006-Suppression Systems-installation &amp; servicing-new installation, retrofit, design, service/repair and inspection-wet/dry systems-PVC-apartments or multi-family</t>
  </si>
  <si>
    <t>13007-Suppression Systems-installation &amp; servicing-new installation, retrofit, design, service/repair and inspection-wet/dry systems-PVC-custom homes</t>
  </si>
  <si>
    <t>13008-Suppression Systems-installation &amp; servicing-new installation, retrofit, design, service/repair and inspection-hand held extinguishers</t>
  </si>
  <si>
    <t>13009-Suppression Systems-installation &amp; servicing-new installation, retrofit, design, service/repair and inspection-hood and duct cleaning-non restaurant</t>
  </si>
  <si>
    <t>13010-Suppression Systems-installation &amp; servicing-new installation, retrofit, design, service/repair and inspection-hood and duct cleaning-restaurant</t>
  </si>
  <si>
    <t>13011-Suppression Systems-manufacturing</t>
  </si>
  <si>
    <t>20000-Energy Operations Contractors-down hole</t>
  </si>
  <si>
    <t>20001-Energy Operations Contractors-over the hole</t>
  </si>
  <si>
    <t>20002-Energy Operations Contractors-around the hole</t>
  </si>
  <si>
    <t>20003-Energy Operations Contractors-NOC</t>
  </si>
  <si>
    <t>20004-Energy Site Contractors-construction-compressor stations, derricks, or facilities</t>
  </si>
  <si>
    <t>20005-Energy Site Contractors-construction-NOC</t>
  </si>
  <si>
    <t>20006-Energy Site Contractors-construction-painting</t>
  </si>
  <si>
    <t>20007-Energy Site Contractors-construction-welding or cutting</t>
  </si>
  <si>
    <t>20008-Energy Site Contractors-NOC</t>
  </si>
  <si>
    <t>20009-Energy Site Contractors-roustabouts</t>
  </si>
  <si>
    <t>20010-Energy Site Contractors-site preparation</t>
  </si>
  <si>
    <t>20011-Equipment Rental without Operators-light equipment</t>
  </si>
  <si>
    <t>20012-Equipment Rental without Operators-heavy equipment</t>
  </si>
  <si>
    <t>20013-Geophysical Exploration</t>
  </si>
  <si>
    <t>20014-Machine Shops-Production or Custom Fabrication-parts or apparatuses</t>
  </si>
  <si>
    <t>20016-Machinery or Equipment Installation and Repair or Servicing-installation, servicing or repair-heavy equipment</t>
  </si>
  <si>
    <t>20017-Distributors-light equipment</t>
  </si>
  <si>
    <t>20018-Distributors-heavy equipment</t>
  </si>
  <si>
    <t>20019-Manufacturing-light equipment</t>
  </si>
  <si>
    <t>20020-Manufacturing-heavy equipment</t>
  </si>
  <si>
    <t>30001-Drywall-residential-subcontracted work-new construction-tract housing, condominiums, townhouses, mixed use developments or time shares</t>
  </si>
  <si>
    <t>30002-Drywall-residential-subcontracted work-repair or remodel</t>
  </si>
  <si>
    <t>30003-Drywall-residential-contracted work-new construction-single family residences built on spec, custom homes, duplexes, triplexes, or fourplexes</t>
  </si>
  <si>
    <t>30004-Drywall-residential-contracted work-new construction-tract housing, condominiums, townhouses, mixed use developments or time shares</t>
  </si>
  <si>
    <t>30005-Drywall-residential-contracted work-repair or remodel</t>
  </si>
  <si>
    <t>30006-Drywall-commercial-subcontracted work-new construction-commercial and industrial (no apartments)</t>
  </si>
  <si>
    <t>30007-Drywall-commercial-subcontracted work-new construction-apartments</t>
  </si>
  <si>
    <t>30008-Drywall-commercial-subcontracted work-repair or remodel</t>
  </si>
  <si>
    <t>30009-Drywall-commercial-contracted work-new construction-commercial and industrial (no apartments)</t>
  </si>
  <si>
    <t>30010-Drywall-commercial-contracted work-new construction-apartments</t>
  </si>
  <si>
    <t>30011-Drywall-commercial-contracted work-repair or remodel</t>
  </si>
  <si>
    <t>30012-Drywall-NOC</t>
  </si>
  <si>
    <t>30101-EIFS-residential-subcontracted work-new construction-tract housing, condominiums, townhouses, mixed use developments or time shares</t>
  </si>
  <si>
    <t>30102-EIFS-residential-subcontracted work-repair or remodel</t>
  </si>
  <si>
    <t>30103-EIFS-residential-contracted work-new construction-single family residences built on spec, custom homes, duplexes, triplexes, or fourplexes</t>
  </si>
  <si>
    <t>30104-EIFS-residential-contracted work-new construction-tract housing, condominiums, townhouses, mixed use developments or time shares</t>
  </si>
  <si>
    <t>30105-EIFS-residential-contracted work-repair or remodel</t>
  </si>
  <si>
    <t>30106-EIFS-commercial-subcontracted work-new construction-commercial and industrial (no apartments)</t>
  </si>
  <si>
    <t>30107-EIFS-commercial-subcontracted work-new construction-apartments</t>
  </si>
  <si>
    <t>30108-EIFS-commercial-subcontracted work-repair or remodel</t>
  </si>
  <si>
    <t>30109-EIFS-commercial-contracted work-new construction-commercial and industrial (no apartments)</t>
  </si>
  <si>
    <t>30110-EIFS-commercial-contracted work-new construction-apartments</t>
  </si>
  <si>
    <t>30111-EIFS-commercial-contracted work-repair or remodel</t>
  </si>
  <si>
    <t>30112-EIFS-NOC</t>
  </si>
  <si>
    <t>30300-Metal Work-residential-new construction-contracted work-metal erection-nonstructural</t>
  </si>
  <si>
    <t>30301-Metal Work-residential-new construction-contracted work-metal erection-structural</t>
  </si>
  <si>
    <t>30302-Metal Work-residential-contracted work-new construction-sheetmetal work</t>
  </si>
  <si>
    <t>30303-Metal Work-residential-subcontracted work-new construction</t>
  </si>
  <si>
    <t>30304-Metal Work-residential-contracted work-repair or remodel-metal erection-nonstructural</t>
  </si>
  <si>
    <t>30305-Metal Work-residential-contracted work-repair or remodel-metal erection-structural</t>
  </si>
  <si>
    <t>30306-Metal Work-residential-contracted work-repair or remodel-sheetmetal work</t>
  </si>
  <si>
    <t>30307-Metal Work-residential-subcontracted work-repair or remodel</t>
  </si>
  <si>
    <t>30308-Metal Work-commercial-contracted work-new construction-metal erection-nonstructural</t>
  </si>
  <si>
    <t>30309-Metal Work-commercial-contracted work-new construction-metal erection-structural</t>
  </si>
  <si>
    <t>30310-Metal Work-commercial-contracted work-new construction-sheetmetal work</t>
  </si>
  <si>
    <t>30311-Metal Work-commercial-subcontracted work-new construction</t>
  </si>
  <si>
    <t>30312-Metal Work-commercial-subcontracted work-repair or remodel-metal erection-nonstructural</t>
  </si>
  <si>
    <t>30313-Metal Work-commercial-contracted work-repair or remodel-metal erection-structural</t>
  </si>
  <si>
    <t>30314-Metal Work-commercial-contracted work-repair or remodel-sheetmetal work</t>
  </si>
  <si>
    <t>30315-Metal Work-commercial-subcontracted work-repair or remodel</t>
  </si>
  <si>
    <t>30316-Metal Work-NOC</t>
  </si>
  <si>
    <t>30401-Plastering-residential-subcontracted work-new construction-tract housing, condominiums, townhouses, mixed use developments or time shares</t>
  </si>
  <si>
    <t>30402-Plastering-residential-subcontracted work-repair or remodel</t>
  </si>
  <si>
    <t>30403-Plastering-residential-contracted work-new construction-single family residences built on spec, custom homes, duplexes, triplexes, or fourplexes</t>
  </si>
  <si>
    <t>30404-Plastering-residential-contracted work-new construction-tract housing, condominiums, townhouses, mixed use developments or time shares</t>
  </si>
  <si>
    <t>30405-Plastering-residential-contracted work-repair or remodel</t>
  </si>
  <si>
    <t>30406-Plastering-commercial-subcontracted work-new construction-commercial and industrial (no apartments)</t>
  </si>
  <si>
    <t>30407-Plastering-commercial-subcontracted work-new construction-apartments</t>
  </si>
  <si>
    <t>30408-Plastering-commercial-subcontracted work-repair or remodel</t>
  </si>
  <si>
    <t>30409-Plastering-commercial-contracted work-new construction-commercial and industrial (no apartments)</t>
  </si>
  <si>
    <t>30410-Plastering-commercial-contracted work-new construction-apartments</t>
  </si>
  <si>
    <t>30411-Plastering-commercial-contracted work-repair or remodel</t>
  </si>
  <si>
    <t>30412-Plastering-NOC</t>
  </si>
  <si>
    <t>30501-Roofing-residential-subcontracted work-new construction-tract housing, condominiums, townhouses, mixed use developments or time shares</t>
  </si>
  <si>
    <t>30503-Roofing-residential-contracted work-new construction-single family residences built on spec, custom homes, duplexes, triplexes, or fourplexes</t>
  </si>
  <si>
    <t>30504-Roofing-residential-contracted work-new construction-tract housing, condominiums, townhouses, mixed use developments or time shares</t>
  </si>
  <si>
    <t>30506-Roofing-commercial-subcontracted work-new construction-commercial and industrial (no apartments)</t>
  </si>
  <si>
    <t>30507-Roofing-commercial-subcontracted work-new construction-apartments</t>
  </si>
  <si>
    <t>30508-Roofing-commercial-subcontracted work-repair or remodel</t>
  </si>
  <si>
    <t>30509-Roofing-commercial-contracted work-new construction-commercial and industrial (no apartments)</t>
  </si>
  <si>
    <t>30510-Roofing-commercial-contracted work-new construction-apartments</t>
  </si>
  <si>
    <t>30512-Roofing-NOC</t>
  </si>
  <si>
    <t>30601-Siding and Gutters-residential-subcontracted work-new construction-tract housing, condominiums, townhouses, mixed use developments or time shares</t>
  </si>
  <si>
    <t>30602-Siding and Gutters-residential-subcontracted work-repair or remodel</t>
  </si>
  <si>
    <t>30603-Siding and Gutters-residential-contracted work-new construction-single family residences built on spec, custom homes, duplexes, triplexes, or fourplexes</t>
  </si>
  <si>
    <t>30604-Siding and Gutters-residential-contracted work-new construction-tract housing, condominiums, townhouses, mixed use developments or time shares</t>
  </si>
  <si>
    <t>30605-Siding and Gutters-residential-contracted work-repair or remodel</t>
  </si>
  <si>
    <t>30606-Siding and Gutters-commercial-subcontracted work-new construction-commercial and industrial (no apartments)</t>
  </si>
  <si>
    <t>30607-Siding and Gutters-commercial-subcontracted work-new construction-apartments</t>
  </si>
  <si>
    <t>30608-Siding and Gutters-commercial-subcontracted work-repair or remodel</t>
  </si>
  <si>
    <t>30609-Siding and Gutters-commercial-contracted work-new construction-commercial and industrial (no apartments)</t>
  </si>
  <si>
    <t>30610-Siding and Gutters-commercial-contracted work-new construction-apartments</t>
  </si>
  <si>
    <t>30611-Siding and Gutters-commercial-contracted work-repair or remodel</t>
  </si>
  <si>
    <t>30612-Siding and Gutters-NOC</t>
  </si>
  <si>
    <t>30701-Stucco-residential-subcontracted work-new construction-tract housing, condominiums, townhouses, mixed use developments or time shares</t>
  </si>
  <si>
    <t>30702-Stucco-residential-subcontracted work-repair or remodel</t>
  </si>
  <si>
    <t>30703-Stucco-residential-contracted work-new construction-single family residences built on spec, custom homes, duplexes, triplexes, or fourplexes</t>
  </si>
  <si>
    <t>30704-Stucco-residential-contracted work-new construction-tract housing, condominiums, townhouses, mixed use developments or time shares</t>
  </si>
  <si>
    <t>30705-Stucco-residential-contracted work-repair or remodel</t>
  </si>
  <si>
    <t>30706-Stucco-commercial-subcontracted work-new construction-commercial and industrial (no apartments)</t>
  </si>
  <si>
    <t>30707-Stucco-commercial-subcontracted work-new construction-apartments</t>
  </si>
  <si>
    <t>30708-Stucco-commercial-subcontracted work-repair or remodel</t>
  </si>
  <si>
    <t>30709-Stucco-commercial-contracted work-new construction-commercial and industrial (no apartments)</t>
  </si>
  <si>
    <t>30710-Stucco-commercial-contracted work-new construction-apartments</t>
  </si>
  <si>
    <t>30711-Stucco-commercial-contracted work-repair or remodel</t>
  </si>
  <si>
    <t>30712-Stucco-NOC</t>
  </si>
  <si>
    <t>30800-Waterproofing-residential-subcontracted work-new construction-single family residences built on spec, custom homes, duplexes, triplexes, or fourplexes</t>
  </si>
  <si>
    <t>30801-Waterproofing-residential-subcontracted work-new construction-tract housing, condominiums, townhouses, mixed use developments or time shares</t>
  </si>
  <si>
    <t>30802-Waterproofing-residential-subcontracted work-repair or remodel</t>
  </si>
  <si>
    <t>30803-Waterproofing-residential-contracted work-new construction-single family residences built on spec, custom homes, duplexes, triplexes, or fourplexes</t>
  </si>
  <si>
    <t>30804-Waterproofing-residential-contracted work-new construction-tract housing, condominiums, townhouses, mixed use developments or time shares</t>
  </si>
  <si>
    <t>30805-Waterproofing-residential-contracted work-repair or remodel</t>
  </si>
  <si>
    <t>30806-Waterproofing-commercial-subcontracted work-new construction-commercial and industrial (no apartments)</t>
  </si>
  <si>
    <t>30807-Waterproofing-commercial-subcontracted work-new construction-apartments</t>
  </si>
  <si>
    <t>30808-Waterproofing-commercial-subcontracted work-repair or remodel</t>
  </si>
  <si>
    <t>30809-Waterproofing-commercial-contracted work-new construction-commercial and industrial (no apartments)</t>
  </si>
  <si>
    <t>30810-Waterproofing-commercial-contracted work-new construction-apartments</t>
  </si>
  <si>
    <t>30811-Waterproofing-commercial-contracted work-repair or remodel</t>
  </si>
  <si>
    <t>30812-Waterproofing-NOC</t>
  </si>
  <si>
    <t>30900-Concrete or Masonry (Foundation)-residential-subcontracted work-new construction-single family residences built on spec, custom homes, duplexes, triplexes, or fourplexes</t>
  </si>
  <si>
    <t>30901-Concrete or Masonry (Foundation)-residential-subcontracted work-new construction-tract housing, condominiums, townhouses, mixed use developments or time shares</t>
  </si>
  <si>
    <t>30902-Concrete or Masonry (Foundation)-residential-subcontracted work-repair or remodel</t>
  </si>
  <si>
    <t>30903-Concrete or Masonry (Foundation)-residential-contracted work-new construction-single family residences built on spec, custom homes, duplexes, triplexes, or fourplexes</t>
  </si>
  <si>
    <t>30904-Concrete or Masonry (Foundation)-residential-contracted work-new construction-tract housing, condominiums, townhouses, mixed use developments or time shares</t>
  </si>
  <si>
    <t>30905-Concrete or Masonry (Foundation)-residential-contracted work-repair or remodel</t>
  </si>
  <si>
    <t>30906-Concrete or Masonry (Foundation)-commercial-subcontracted work-new construction-commercial and industrial (no apartments)</t>
  </si>
  <si>
    <t>30907-Concrete or Masonry (Foundation)-commercial-subcontracted work-new construction-apartments</t>
  </si>
  <si>
    <t>30908-Concrete or Masonry (Foundation)-commercial-subcontracted work-repair or remodel</t>
  </si>
  <si>
    <t>30909-Concrete or Masonry (Foundation)-commercial-contracted work-new construction-commercial and industrial (no apartments)</t>
  </si>
  <si>
    <t>30910-Concrete or Masonry (Foundation)-commercial-contracted work-new construction-apartments</t>
  </si>
  <si>
    <t>30911-Concrete or Masonry (Foundation)-commercial-contracted work-repair or remodel</t>
  </si>
  <si>
    <t>30912-Concrete or Masonry (Foundation)-NOC</t>
  </si>
  <si>
    <t>31000-Concrete or Masonry (no Foundation)-residential-subcontracted work-new construction-single family residences built on spec, custom homes, duplexes, triplexes, or fourplexes</t>
  </si>
  <si>
    <t>31001-Concrete or Masonry (no Foundation)-residential-subcontracted work-new construction-tract housing, condominiums, townhouses, mixed use developments or time shares</t>
  </si>
  <si>
    <t>31002-Concrete or Masonry (no Foundation)-residential-subcontracted work-repair or remodel</t>
  </si>
  <si>
    <t>31003-Concrete or Masonry (no Foundation)-residential-contracted work-new construction-single family residences built on spec, custom homes, duplexes, triplexes, or fourplexes</t>
  </si>
  <si>
    <t>31004-Concrete or Masonry (no Foundation)-residential-contracted work-new construction-tract housing, condominiums, townhouses, mixed use developments or time shares</t>
  </si>
  <si>
    <t>31005-Concrete or Masonry (no Foundation)-residential-contracted work-repair or remodel</t>
  </si>
  <si>
    <t>31006-Concrete or Masonry (no Foundation)-commercial-subcontracted work-new construction-commercial and industrial (no apartments)</t>
  </si>
  <si>
    <t>31007-Concrete or Masonry (no Foundation)-commercial-subcontracted work-new construction-apartments</t>
  </si>
  <si>
    <t>31008-Concrete or Masonry (no Foundation)-commercial-subcontracted work-repair or remodel</t>
  </si>
  <si>
    <t>31009-Concrete or Masonry (no Foundation)-commercial-contracted work-new construction-commercial and industrial (no apartments)</t>
  </si>
  <si>
    <t>31010-Concrete or Masonry (no Foundation)-commercial-contracted work-new construction-apartments</t>
  </si>
  <si>
    <t>31011-Concrete or Masonry (no Foundation)-commercial-contracted work-repair or remodel</t>
  </si>
  <si>
    <t>31012-Concrete or Masonry (no Foundation)-NOC</t>
  </si>
  <si>
    <t>31100-Framing-residential-subcontracted work-new construction-single family residences built on spec, custom homes, duplexes, triplexes, or fourplexes</t>
  </si>
  <si>
    <t>31101-Framing-residential-subcontracted work-new construction-tract housing, condominiums, townhouses, mixed use developments or time shares</t>
  </si>
  <si>
    <t>31102-Framing-residential-subcontracted work-repair or remodel</t>
  </si>
  <si>
    <t>31103-Framing-residential-contracted work-new construction-single family residences built on spec, custom homes, duplexes, triplexes, or fourplexes</t>
  </si>
  <si>
    <t>31104-Framing-residential-contracted work-new construction-tract housing, condominiums, townhouses, mixed use developments or time shares</t>
  </si>
  <si>
    <t>31105-Framing-residential-contracted work-repair or remodel</t>
  </si>
  <si>
    <t>31106-Framing-commercial-subcontracted work-new construction-commercial and industrial (no apartments)</t>
  </si>
  <si>
    <t>31107-Framing-commercial-subcontracted work-new construction-apartments</t>
  </si>
  <si>
    <t>31108-Framing-commercial-subcontracted work-repair or remodel</t>
  </si>
  <si>
    <t>31109-Framing-commercial-contracted work-new construction-commercial and industrial (no apartments)</t>
  </si>
  <si>
    <t>31110-Framing-commercial-contracted work-new construction-apartments</t>
  </si>
  <si>
    <t>31111-Framing-commercial-contracted work-repair or remodel</t>
  </si>
  <si>
    <t>31112-Framing-NOC</t>
  </si>
  <si>
    <t>31200-Cabinetry-residential-subcontracted work-new construction-single family residences built on spec, custom homes, duplexes, triplexes, or fourplexes</t>
  </si>
  <si>
    <t>31201-Cabinetry-residential-subcontracted work-new construction-tract housing, condominiums, townhouses, mixed use developments or time shares</t>
  </si>
  <si>
    <t>31202-Cabinetry-residential-subcontracted work-repair or remodel</t>
  </si>
  <si>
    <t>31203-Cabinetry-residential-contracted work-new construction-single family residences built on spec, custom homes, duplexes, triplexes, or fourplexes</t>
  </si>
  <si>
    <t>31204-Cabinetry-residential-contracted work-new construction-tract housing, condominiums, townhouses, mixed use developments or time shares</t>
  </si>
  <si>
    <t>31205-Cabinetry-residential-contracted work-repair or remodel</t>
  </si>
  <si>
    <t>31206-Cabinetry-commercial-subcontracted work-new construction-commercial and industrial (no apartments)</t>
  </si>
  <si>
    <t>31207-Cabinetry-commercial-subcontracted work-new construction-apartments</t>
  </si>
  <si>
    <t>31208-Cabinetry-commercial-subcontracted work-repair or remodel</t>
  </si>
  <si>
    <t>31209-Cabinetry-commercial-contracted work-new construction-commercial and industrial (no apartments)</t>
  </si>
  <si>
    <t>31210-Cabinetry-commercial-contracted work-new construction-apartments</t>
  </si>
  <si>
    <t>31211-Cabinetry-commercial-contracted work-repair or remodel</t>
  </si>
  <si>
    <t>31212-Cabinetry-NOC</t>
  </si>
  <si>
    <t>31300-Flooring or Tile Work-residential-subcontracted work-new construction-single family residences built on spec, custom homes, duplexes, triplexes, or fourplexes</t>
  </si>
  <si>
    <t>31301-Flooring or Tile Work-residential-subcontracted work-new construction-tract housing, condominiums, townhouses, mixed use developments or time shares</t>
  </si>
  <si>
    <t>31302-Flooring or Tile Work-residential-subcontracted work-repair or remodel</t>
  </si>
  <si>
    <t>31303-Flooring or Tile Work-residential-contracted work-new construction-single family residences built on spec, custom homes, duplexes, triplexes, or fourplexes</t>
  </si>
  <si>
    <t>31304-Flooring or Tile Work-residential-contracted work-new construction-tract housing, condominiums, townhouses, mixed use developments or time shares</t>
  </si>
  <si>
    <t>31305-Flooring or Tile Work-residential-contracted work-repair or remodel</t>
  </si>
  <si>
    <t>31306-Flooring or Tile Work-commercial-subcontracted work-new construction-commercial and industrial (no apartments)</t>
  </si>
  <si>
    <t>31307-Flooring or Tile Work-commercial-subcontracted work-new construction-apartments</t>
  </si>
  <si>
    <t>31308-Flooring or Tile Work-commercial-subcontracted work-repair or remodel</t>
  </si>
  <si>
    <t>31309-Flooring or Tile Work-commercial-contracted work-new construction-commercial and industrial (no apartments)</t>
  </si>
  <si>
    <t>31310-Flooring or Tile Work-commercial-contracted work-new construction-apartments</t>
  </si>
  <si>
    <t>31311-Flooring or Tile Work-commercial-contracted work-repair or remodel</t>
  </si>
  <si>
    <t>31312-Flooring or Tile Work-NOC</t>
  </si>
  <si>
    <t>31400-Window and Door Installation-residential-subcontracted work-new construction-single family residences built on spec, custom homes, duplexes, triplexes, or fourplexes</t>
  </si>
  <si>
    <t>31401-Window and Door Installation-residential-subcontracted work-new construction-tract housing, condominiums, townhouses, mixed use developments or time shares</t>
  </si>
  <si>
    <t>31402-Window and Door Installation-residential-subcontracted work-repair or remodel</t>
  </si>
  <si>
    <t>31403-Window and Door Installation-residential-contracted work-new construction-single family residences built on spec, custom homes, duplexes, triplexes, or fourplexes</t>
  </si>
  <si>
    <t>31404-Window and Door Installation-residential-contracted work-new construction-tract housing, condominiums, townhouses, mixed use developments or time shares</t>
  </si>
  <si>
    <t>31405-Window and Door Installation-residential-contracted work-repair or remodel</t>
  </si>
  <si>
    <t>31406-Window and Door Installation-commercial-subcontracted work-new construction-commercial and industrial (no apartments)</t>
  </si>
  <si>
    <t>31407-Window and Door Installation-commercial-subcontracted work-new construction-apartments</t>
  </si>
  <si>
    <t>31408-Window and Door Installation-commercial-subcontracted work-repair or remodel</t>
  </si>
  <si>
    <t>31409-Window and Door Installation-commercial-contracted work-new construction-commercial and industrial (no apartments)</t>
  </si>
  <si>
    <t>31410-Window and Door Installation-commercial-contracted work-new construction-apartments</t>
  </si>
  <si>
    <t>31411-Window and Door Installation-commercial-contracted work-repair or remodel</t>
  </si>
  <si>
    <t>31412-Window and Door Installation-NOC</t>
  </si>
  <si>
    <t>31500-Interior Carpentry-residential-subcontracted work-new construction-single family residences built on spec, custom homes, duplexes, triplexes, or fourplexes</t>
  </si>
  <si>
    <t>31501-Interior Carpentry-residential-subcontracted work-new construction-tract housing, condominiums, townhouses, mixed use developments or time shares</t>
  </si>
  <si>
    <t>31502-Interior Carpentry-residential-subcontracted work-repair or remodel</t>
  </si>
  <si>
    <t>31503-Interior Carpentry-residential-contracted work-new construction-single family residences built on spec, custom homes, duplexes, triplexes, or fourplexes</t>
  </si>
  <si>
    <t>31504-Interior Carpentry-residential-contracted work-new construction-tract housing, condominiums, townhouses, mixed use developments or time shares</t>
  </si>
  <si>
    <t>31505-Interior Carpentry-residential-contracted work-repair or remodel</t>
  </si>
  <si>
    <t>31506-Interior Carpentry-commercial-subcontracted work-new construction-commercial and industrial (no apartments)</t>
  </si>
  <si>
    <t>31507-Interior Carpentry-commercial-subcontracted work-new construction-apartments</t>
  </si>
  <si>
    <t>31508-Interior Carpentry-commercial-subcontracted work-repair or remodel</t>
  </si>
  <si>
    <t>31509-Interior Carpentry-commercial-contracted work-new construction-commercial and industrial (no apartments)</t>
  </si>
  <si>
    <t>31510-Interior Carpentry-commercial-contracted work-new construction-apartments</t>
  </si>
  <si>
    <t>31511-Interior Carpentry-commercial-contracted work-repair or remodel</t>
  </si>
  <si>
    <t>31512-Interior Carpentry-NOC</t>
  </si>
  <si>
    <t>35001-Electrical Work-residential-subcontracted work-new construction-tract housing, condominiums, townhouses, mixed use developments or time shares</t>
  </si>
  <si>
    <t>35002-Electrical Work-residential-subcontracted work-repair or remodel</t>
  </si>
  <si>
    <t>35003-Electrical Work-residential-contracted work-new construction-single family residences built on spec, custom homes, duplexes, triplexes, or fourplexes</t>
  </si>
  <si>
    <t>35004-Electrical Work-residential-contracted work-new construction-tract housing, condominiums, townhouses, mixed use developments or time shares</t>
  </si>
  <si>
    <t>35005-Electrical Work-residential-contracted work-repair or remodel</t>
  </si>
  <si>
    <t>35006-Electrical Work-commercial-subcontracted work-new construction-commercial and industrial (no apartments)</t>
  </si>
  <si>
    <t>35007-Electrical Work-commercial-subcontracted work-new construction-apartments</t>
  </si>
  <si>
    <t>35008-Electrical Work-commercial-subcontracted work</t>
  </si>
  <si>
    <t>35009-Electrical Work-commercial-contracted work-new construction-commercial and industrial (no apartments)</t>
  </si>
  <si>
    <t>35010-Electrical Work-commercial-contracted work-new construction-apartments</t>
  </si>
  <si>
    <t>35011-Electrical Work-commercial-contracted work-repair or remodel</t>
  </si>
  <si>
    <t>35012-Electrical Work-NOC</t>
  </si>
  <si>
    <t>35101-HVAC-residential-subcontracted work-new construction-tract housing, condominiums, townhouses, mixed use developments or time shares</t>
  </si>
  <si>
    <t>35102-HVAC-residential-subcontracted work-repair or remodel</t>
  </si>
  <si>
    <t>35103-HVAC-residential-contracted work-new construction-single family residences built on spec, custom homes, duplexes, triplexes, or fourplexes</t>
  </si>
  <si>
    <t>35104-HVAC-residential-contracted work-new construction-tract housing, condominiums, townhouses, mixed use developments or time shares</t>
  </si>
  <si>
    <t>35105-HVAC-residential-contracted work-repair or remodel</t>
  </si>
  <si>
    <t>35106-HVAC-commercial-subcontracted work-new construction-commercial and industrial (no apartments)</t>
  </si>
  <si>
    <t>35107-HVAC-commercial-subcontracted work-new construction-apartments</t>
  </si>
  <si>
    <t>35108-HVAC-commercial-subcontracted work</t>
  </si>
  <si>
    <t>35109-HVAC-commercial-contracted work-new construction-commercial and industrial (no apartments)</t>
  </si>
  <si>
    <t>35110-HVAC-commercial-contracted work-new construction-apartments</t>
  </si>
  <si>
    <t>35111-HVAC-commercial-contracted work-repair or remodel</t>
  </si>
  <si>
    <t>35112-HVAC-NOC</t>
  </si>
  <si>
    <t>35200-Machinery or Equipment Installation and Repair or Servicing-contracted work-household goods and appliances</t>
  </si>
  <si>
    <t>35201-Machinery or Equipment Installation and Repair or Servicing-contracted work-boiler work</t>
  </si>
  <si>
    <t>35202-Machinery or Equipment Installation and Repair or Servicing-contracted work-communication equipment</t>
  </si>
  <si>
    <t>35203-Machinery or Equipment Installation and Repair or Servicing-contracted work-elevator or escalator work</t>
  </si>
  <si>
    <t>35204-Machinery or Equipment Installation and Repair or Servicing-contracted work-machinery or equipment-farm</t>
  </si>
  <si>
    <t>35205-Machinery or Equipment Installation and Repair or Servicing-contracted work-machinery or equipment-industrial</t>
  </si>
  <si>
    <t>35206-Machinery or Equipment Installation and Repair or Servicing-contracted work-machinery or equipment-commercial</t>
  </si>
  <si>
    <t>35207-Machinery or Equipment Installation and Repair or Servicing-subcontracted work-household goods and appliances</t>
  </si>
  <si>
    <t>35208-Machinery or Equipment Installation and Repair or Servicing-subcontracted work-boiler work</t>
  </si>
  <si>
    <t>35209-Machinery or Equipment Installation and Repair or Servicing-subcontracted work-communication equipment</t>
  </si>
  <si>
    <t>35210-Machinery or Equipment Installation and Repair or Servicing-subcontracted work-elevator or escalator work</t>
  </si>
  <si>
    <t>35211-Machinery or Equipment Installation and Repair or Servicing-subcontracted work-machinery or equipment-farm</t>
  </si>
  <si>
    <t>35212-Machinery or Equipment Installation and Repair or Servicing-subcontracted work-machinery or equipment-industrial</t>
  </si>
  <si>
    <t>35213-Machinery or Equipment Installation and Repair or Servicing-subcontracted work-machinery or equipment-commercial</t>
  </si>
  <si>
    <t>35214-Machinery or Equipment Installation and Repair or Servicing-contracted work-machinery or equipment-NOC</t>
  </si>
  <si>
    <t>35215-Machinery or Equipment Installation and Repair or Servicing-subcontracted work-machinery or equipment-NOC</t>
  </si>
  <si>
    <t>35300-Painting-residential-subcontracted work-new construction-single family residences built on spec, custom homes, duplexes, triplexes, or fourplexes</t>
  </si>
  <si>
    <t>35301-Painting-residential-subcontracted work-new construction-tract housing, condominiums, townhouses, mixed use developments or time shares</t>
  </si>
  <si>
    <t>35302-Painting-residential-subcontracted work-repair or remodel</t>
  </si>
  <si>
    <t>35303-Painting-residential-contracted work-new construction-single family residences built on spec, custom homes, duplexes, triplexes, or fourplexes</t>
  </si>
  <si>
    <t>35304-Painting-residential-contracted work-new construction-tract housing, condominiums, townhouses, mixed use developments or time shares</t>
  </si>
  <si>
    <t>35305-Painting-residential-contracted work-repair or remodel</t>
  </si>
  <si>
    <t>35306-Painting-commercial-subcontracted work-new construction-commercial and industrial (no apartments)</t>
  </si>
  <si>
    <t>35307-Painting-commercial-subcontracted work-new construction-apartments</t>
  </si>
  <si>
    <t>35308-Painting-commercial-subcontracted work-repair or remodel</t>
  </si>
  <si>
    <t>35309-Painting-commercial-contracted work-new construction-commercial and industrial (no apartments)</t>
  </si>
  <si>
    <t>35310-Painting-commercial-contracted work-new construction-apartments</t>
  </si>
  <si>
    <t>35311-Painting-commercial-contracted work-repair or remodel</t>
  </si>
  <si>
    <t>35312-Painting-commercial-painting steel structures, bridges or other commercial structures not buildings</t>
  </si>
  <si>
    <t>35313-Painting-NOC</t>
  </si>
  <si>
    <t>35401-Plumbing-residential-subcontracted work-new construction-tract housing, condominiums, townhouses, mixed use developments or time shares</t>
  </si>
  <si>
    <t>35402-Plumbing-residential-subcontracted work-repair or remodel</t>
  </si>
  <si>
    <t>35403-Plumbing-residential-contracted work-new construction-single family residences built on spec, custom homes, duplexes, triplexes, or fourplexes</t>
  </si>
  <si>
    <t>35404-Plumbing-residential-contracted work-new construction-tract housing, condominiums, townhouses, mixed use developments or time shares</t>
  </si>
  <si>
    <t>35405-Plumbing-residential-contracted work-repair or remodel</t>
  </si>
  <si>
    <t>35406-Plumbing-commercial-subcontracted work-new construction-commercial and industrial (no apartments)</t>
  </si>
  <si>
    <t>35407-Plumbing-commercial-subcontracted work-new construction-apartments</t>
  </si>
  <si>
    <t>35408-Plumbing-commercial-subcontracted work-repair or remodel</t>
  </si>
  <si>
    <t>35409-Plumbing-commercial-contracted work-new construction-commercial and industrial (no apartments)</t>
  </si>
  <si>
    <t>35410-Plumbing-commercial-contracted work-new construction-apartments</t>
  </si>
  <si>
    <t>35411-Plumbing-commercial-contracted work-repair or remodel</t>
  </si>
  <si>
    <t>35412-Plumbing-NOC</t>
  </si>
  <si>
    <t>35500-Welding-residential-subcontracted work-new construction-single family residences built on spec, custom homes, duplexes, triplexes, or fourplexes</t>
  </si>
  <si>
    <t>35501-Welding-residential-subcontracted work-new construction-tract housing, condominiums, townhouses, mixed use developments or time shares</t>
  </si>
  <si>
    <t>35502-Welding-residential-subcontracted work-repair or remodel</t>
  </si>
  <si>
    <t>35503-Welding-residential-contracted work-new construction-single family residences built on spec, custom homes, duplexes, triplexes, or fourplexes</t>
  </si>
  <si>
    <t>35504-Welding-residential-contracted work-new construction-tract housing, condominiums, townhouses, mixed use developments or time shares</t>
  </si>
  <si>
    <t>35505-Welding-residential-contracted work-repair or remodel</t>
  </si>
  <si>
    <t>35506-Welding-commercial-subcontracted work-new construction-commercial and industrial (no apartments)</t>
  </si>
  <si>
    <t>35507-Welding-commercial-subcontracted work-new construction-apartments</t>
  </si>
  <si>
    <t>35508-Welding-commercial-subcontracted work-repair or remodel</t>
  </si>
  <si>
    <t>35509-Welding-commercial-contracted work-new construction-commercial and industrial (no apartments)</t>
  </si>
  <si>
    <t>35510-Welding-commercial-contracted work-new construction-apartments</t>
  </si>
  <si>
    <t>35511-Welding-commercial-contracted work-repair or remodel</t>
  </si>
  <si>
    <t>35512-Welding-NOC</t>
  </si>
  <si>
    <t>35601-Wrecking and Demolition-residential-contracted work-debris removal at construction site</t>
  </si>
  <si>
    <t>35602-Wrecking and Demolition-residential-contracted work-wrecking-buildings or structures</t>
  </si>
  <si>
    <t>35603-Wrecking and Demolition-residential-contracted work-wrecking-dismantling of prefab structures</t>
  </si>
  <si>
    <t>35604-Wrecking and Demolition-residential-subcontracted work-wrecking</t>
  </si>
  <si>
    <t>35605-Wrecking and Demolition-commercial-contracted work-debris removal at construction site</t>
  </si>
  <si>
    <t>35606-Wrecking and Demolition-commercial-contracted work-wrecking-buildings or structures</t>
  </si>
  <si>
    <t>35607-Wrecking and Demolition-commercial-contracted work-wrecking-dismantling of prefab structures</t>
  </si>
  <si>
    <t>35608-Wrecking and Demolition-commercial-subcontracted work-wrecking</t>
  </si>
  <si>
    <t>35609-Wrecking and Demolition-NOC</t>
  </si>
  <si>
    <t>35700-Homebuilder-new construction-single family residences built on spec</t>
  </si>
  <si>
    <t>35701-Homebuilder-new construction-custom homes</t>
  </si>
  <si>
    <t>35702-Homebuilder-new construction-duplexes, triplexes, or fourplexes</t>
  </si>
  <si>
    <t>35703-Homebuilder-new construction-tract housing</t>
  </si>
  <si>
    <t>35704-Homebuilder-new construction-condominiums or townhouses</t>
  </si>
  <si>
    <t>35705-Homebuilder-new construction-mixed use developments</t>
  </si>
  <si>
    <t>35706-Homebuilder-new construction-NOC</t>
  </si>
  <si>
    <t>35800-Remodeler-repair or remodel-single family residences built on spec</t>
  </si>
  <si>
    <t>35801-Remodeler-repair or remodel-custom homes</t>
  </si>
  <si>
    <t>35802-Remodeler-repair or remodel-duplexes, triplexes, or fourplexes</t>
  </si>
  <si>
    <t>35803-Remodeler-repair or remodel-tract housing</t>
  </si>
  <si>
    <t>35804-Remodeler-repair or remodel-condominiums or townhouses</t>
  </si>
  <si>
    <t>35805-Remodeler-repair or remodel-mixed use developments</t>
  </si>
  <si>
    <t>35806-Remodeler-repair or remodel-commercial and industrial (no apartments)</t>
  </si>
  <si>
    <t>35807-Remodeler-repair or remodel- apartments</t>
  </si>
  <si>
    <t>35808-Remodeler-repair or remodel-NOC</t>
  </si>
  <si>
    <t>35900-General Contractor-commercial-subcontracted work-new construction-commercial and industrial (no apartments)</t>
  </si>
  <si>
    <t>35901-General Contractor-commercial-subcontracted work-new construction-apartments</t>
  </si>
  <si>
    <t>35902-General Contractor-commercial-subcontracted work-new construction-NOC</t>
  </si>
  <si>
    <t>35903-General Contractor-commercial-subcontracted work-repair or remodel-commercial and industrial (no apartments)</t>
  </si>
  <si>
    <t>35904-General Contractor-commercial-subcontracted work-repair or remodel-apartments</t>
  </si>
  <si>
    <t>35905-General Contractor-commercial-subcontracted work-repair or remodel-NOC</t>
  </si>
  <si>
    <t>36000-Landscaping</t>
  </si>
  <si>
    <t>36001-Snow Removal</t>
  </si>
  <si>
    <t>36002-Building Services</t>
  </si>
  <si>
    <t>36003-Janitorial Services</t>
  </si>
  <si>
    <t>39995-Not Otherwise Classified-Roofing and Artisan Contractors-contracted work-new construction</t>
  </si>
  <si>
    <t>39996-Not Otherwise Classified-Roofing and Artisan Contractors-contracted work-repair or remodel</t>
  </si>
  <si>
    <t>39997-Not Otherwise Classified-Roofing and Artisan Contractors-subcontracted work-new construction</t>
  </si>
  <si>
    <t>39998-Not Otherwise Classified-Roofing and Artisan Contractors-subcontracted work-repair or remodel</t>
  </si>
  <si>
    <t>39999-Not Otherwise Classified-Roofing and Artisan Contractors-other</t>
  </si>
  <si>
    <t>Sabrina Rogers</t>
  </si>
  <si>
    <t>srogers@westcongress.com</t>
  </si>
  <si>
    <t>Scott Marvell</t>
  </si>
  <si>
    <t>smarvell@westcongress.com</t>
  </si>
  <si>
    <t>AmWINS Access Insurance Services, LLC</t>
  </si>
  <si>
    <t>AmWINS Brokerage of FL, LLC</t>
  </si>
  <si>
    <t>AmWINS Brokerage of New Jersey, Inc.</t>
  </si>
  <si>
    <t>AmWINS Brokerage of New York, Inc.</t>
  </si>
  <si>
    <t>AmWINS Brokerage of Pennsylvania, LLC</t>
  </si>
  <si>
    <t>AmWINS Brokerage of Tennessee</t>
  </si>
  <si>
    <t>AmWINS Brokerage of the Midwest, LLC</t>
  </si>
  <si>
    <t>AmWINS Brokerage of Washington</t>
  </si>
  <si>
    <t>AmWINS Insurance Brokerage of California, LLC</t>
  </si>
  <si>
    <t>Central Insurance Agency, Inc.</t>
  </si>
  <si>
    <t>Core Risk Partners, LLC</t>
  </si>
  <si>
    <t>CRC Swett</t>
  </si>
  <si>
    <t>Crouse &amp; Associates</t>
  </si>
  <si>
    <t>Hull &amp; Company, LLC</t>
  </si>
  <si>
    <t>Island Insurance Agency</t>
  </si>
  <si>
    <t>Jimcor Agency, Inc.</t>
  </si>
  <si>
    <t>Keating, Inc.</t>
  </si>
  <si>
    <t>MacDuff Underwriters, Inc.</t>
  </si>
  <si>
    <t>Norman-Spencer Agency, Inc.</t>
  </si>
  <si>
    <t>North Point Underwriters, Inc.</t>
  </si>
  <si>
    <t>RLA Insurance Intermediaries, LLC</t>
  </si>
  <si>
    <t>The Young Insurance Agency Group, Inc.</t>
  </si>
  <si>
    <t>U.S. Risk, LLC</t>
  </si>
  <si>
    <t>Wholesale Trading Insurance Services, LLC</t>
  </si>
  <si>
    <t>XS Specialty LLC</t>
  </si>
  <si>
    <t>All Risks, Ltd.-San Francisco</t>
  </si>
  <si>
    <t>All Risks, Ltd.-Charlotte</t>
  </si>
  <si>
    <t>All Risks, Ltd.-Phoenix</t>
  </si>
  <si>
    <t>All Risks, Ltd.-Conshohocken</t>
  </si>
  <si>
    <t>All Risks, Ltd.-Richmond</t>
  </si>
  <si>
    <t>All Risks, Ltd.-Sunrise</t>
  </si>
  <si>
    <t>All Risks, Ltd.-Lake Mary</t>
  </si>
  <si>
    <t>All Risks, Ltd.-Ormond Beach</t>
  </si>
  <si>
    <t>All Risks, Ltd.-Jupiter</t>
  </si>
  <si>
    <t>All Risks, Ltd.-Norcross</t>
  </si>
  <si>
    <t>All Risks, Ltd.-Greenwood Village</t>
  </si>
  <si>
    <t>All Risks, Ltd.-Tampa</t>
  </si>
  <si>
    <t>AmWINS Brokerage of FL, LLC-Jacksonville</t>
  </si>
  <si>
    <t>AmWINS Brokerage of New England, LLC-Stamford</t>
  </si>
  <si>
    <t>AmWINS Brokerage of New Jersey, Inc.-Edison</t>
  </si>
  <si>
    <t>AmWINS Brokerage of New York, Inc.-New York</t>
  </si>
  <si>
    <t>AmWINS Brokerage of the Midwest, LLC-Chicago</t>
  </si>
  <si>
    <t>AmWINS Brokerage of the Midwest, LLC-Springfield</t>
  </si>
  <si>
    <t>AmWINS Insurance Brokerage of California, LLC-Woodland Hills</t>
  </si>
  <si>
    <t>AmWINS Insurance Brokerage of California, LLC-Morgan Hill</t>
  </si>
  <si>
    <t>Bass Underwriters-Sacramento</t>
  </si>
  <si>
    <t>Bass Underwriters-Gainesville</t>
  </si>
  <si>
    <t>Bass Underwriters-Encino</t>
  </si>
  <si>
    <t>Bass Underwriters-Mobile</t>
  </si>
  <si>
    <t>Bass Underwriters-Saint Petersburg</t>
  </si>
  <si>
    <t>Brown &amp; Riding Insurance Services, Inc.-Grand Rapids</t>
  </si>
  <si>
    <t>Brown &amp; Riding Insurance Services, Inc.-Los Angeles</t>
  </si>
  <si>
    <t>Brown &amp; Riding Insurance Services, Inc.-Chicago</t>
  </si>
  <si>
    <t>Brown &amp; Riding Insurance Services, Inc.-Dallas</t>
  </si>
  <si>
    <t>Burns &amp; Wilcox-Farmington</t>
  </si>
  <si>
    <t>Burns &amp; Wilcox-San Francisco</t>
  </si>
  <si>
    <t>Burns &amp; Wilcox-Salt Lake City</t>
  </si>
  <si>
    <t>Burns &amp; Wilcox-San Antonio</t>
  </si>
  <si>
    <t>Burns &amp; Wilcox Brokerage-Dallas</t>
  </si>
  <si>
    <t>Central Insurance Agency, Inc.-Smithtown</t>
  </si>
  <si>
    <t>Core Risk Partners, LLC-New Hyde Park</t>
  </si>
  <si>
    <t>CRC-Woodbury</t>
  </si>
  <si>
    <t>CRC-Portland</t>
  </si>
  <si>
    <t>CRC-Birmingham</t>
  </si>
  <si>
    <t>CRC-San Francisco</t>
  </si>
  <si>
    <t>CRC-Seattle</t>
  </si>
  <si>
    <t>CRC-Greenwood Village</t>
  </si>
  <si>
    <t>CRC Swett-Chicago</t>
  </si>
  <si>
    <t>CRC Swett-Dallas</t>
  </si>
  <si>
    <t>CRC Swett-Woodland Hills</t>
  </si>
  <si>
    <t>CRC Swett-Salt Lake City</t>
  </si>
  <si>
    <t>CRC Swett-New York</t>
  </si>
  <si>
    <t>CRC Swett-Los Angeles</t>
  </si>
  <si>
    <t>CRC Swett-Irvine</t>
  </si>
  <si>
    <t>CRC Swett-Minneapolis</t>
  </si>
  <si>
    <t>CRC Swett-Scottsdale</t>
  </si>
  <si>
    <t>CRC Swett-San Francisco</t>
  </si>
  <si>
    <t>CRC Swett-Boston</t>
  </si>
  <si>
    <t>Crouse &amp; Associates-San Francisco</t>
  </si>
  <si>
    <t>Crouse &amp; Associates-Sacramento</t>
  </si>
  <si>
    <t>Exponent Marketing, LLC-Lacey</t>
  </si>
  <si>
    <t>Hull &amp; Company, LLC-West Orange</t>
  </si>
  <si>
    <t>Hull &amp; Company, LLC-Stockton</t>
  </si>
  <si>
    <t>Hull &amp; Company, LLC-Greenwood Village</t>
  </si>
  <si>
    <t>Hull &amp; Company, LLC-Tigard</t>
  </si>
  <si>
    <t>Island Insurance Agency-City Island</t>
  </si>
  <si>
    <t>Jimcor Agency, Inc.-Montvale</t>
  </si>
  <si>
    <t>Jimcor Agency, Inc.-Plainview</t>
  </si>
  <si>
    <t>Keating, Inc.-Springfield</t>
  </si>
  <si>
    <t>Keating, Inc.-Southborough</t>
  </si>
  <si>
    <t>MacDuff Underwriters, Inc.-Daytona Beach</t>
  </si>
  <si>
    <t>Norman-Spencer Agency, Inc.-Dayton</t>
  </si>
  <si>
    <t>North Point Underwriters, Inc.-Alpharetta</t>
  </si>
  <si>
    <t>Risk Placement Services, Inc.-West Des Moines</t>
  </si>
  <si>
    <t>Risk Placement Services, Inc.-Alpharetta</t>
  </si>
  <si>
    <t>Risk Placement Services, Inc.-South Jordan</t>
  </si>
  <si>
    <t>Risk Placement Services, Inc.-Uniondale</t>
  </si>
  <si>
    <t>Risk Placement Services, Inc.-Denver</t>
  </si>
  <si>
    <t>Risk Placement Services, Inc.-Canonsburg</t>
  </si>
  <si>
    <t>Risk Placement Services, Inc.-Scottsdale</t>
  </si>
  <si>
    <t>Risk Placement Services, Inc.-Ridgefield Park</t>
  </si>
  <si>
    <t>RLA Insurance Intermediaries, LLC-West Palm Beach</t>
  </si>
  <si>
    <t>RLA Insurance Intermediaries, LLC-Boston</t>
  </si>
  <si>
    <t>RT Specialty, LLC-Irvine</t>
  </si>
  <si>
    <t>RT Specialty, LLC-La Jolla</t>
  </si>
  <si>
    <t>RT Specialty, LLC-Tallahassee</t>
  </si>
  <si>
    <t>RT Specialty, LLC-West Palm Beach</t>
  </si>
  <si>
    <t>RT Specialty, LLC-Pittsburgh</t>
  </si>
  <si>
    <t>RT Specialty, LLC-Philadelphia</t>
  </si>
  <si>
    <t>RT Specialty, LLC-Burbank</t>
  </si>
  <si>
    <t>RT Specialty, LLC-Scottsdale</t>
  </si>
  <si>
    <t>RT Specialty, LLC-Los Angeles</t>
  </si>
  <si>
    <t>RT Specialty, LLC-Edmonds</t>
  </si>
  <si>
    <t>RT Specialty, LLC-Jacksonville</t>
  </si>
  <si>
    <t>RT Specialty, LLC-Dallas</t>
  </si>
  <si>
    <t>RT Specialty, LLC-Greenwood Village</t>
  </si>
  <si>
    <t>RT Specialty, LLC-Houston</t>
  </si>
  <si>
    <t>RT Specialty, LLC-Depew</t>
  </si>
  <si>
    <t>The Young Insurance Agency Group, Inc.-Portsmouth</t>
  </si>
  <si>
    <t>U.S. Risk, LLC-Lodi</t>
  </si>
  <si>
    <t>U.S. Risk, LLC-Metairie</t>
  </si>
  <si>
    <t>U.S. Risk, LLC-Houston</t>
  </si>
  <si>
    <t>U.S. Risk, LLC-Dallas</t>
  </si>
  <si>
    <t>U.S. Risk, LLC-Fort Worth</t>
  </si>
  <si>
    <t>U.S. Risk, LLC-Southlake</t>
  </si>
  <si>
    <t>USG Insurance Services, Inc.-Sandpoint</t>
  </si>
  <si>
    <t>USG Insurance Services, Inc.-Irvine</t>
  </si>
  <si>
    <t>Worldwide Facilities, LLC-Los Angeles</t>
  </si>
  <si>
    <t>Worldwide Facilities, LLC-Addison</t>
  </si>
  <si>
    <t>Worldwide Facilities, LLC-San Francisco</t>
  </si>
  <si>
    <t>Worldwide Facilities, LLC-Irvine</t>
  </si>
  <si>
    <t>Worldwide Facilities, LLC-San Diego</t>
  </si>
  <si>
    <t>XS Specialty LLC-Portland</t>
  </si>
  <si>
    <t>All Risks, Ltd.-Alexandria</t>
  </si>
  <si>
    <t>AmWINS Access Insurance Services, LLC-Downers Grove</t>
  </si>
  <si>
    <t>AmWins Brokerage of Alabama</t>
  </si>
  <si>
    <t>AmWins Brokerage of Alabama-Birmingham</t>
  </si>
  <si>
    <t>AmWINS Brokerage of FL, LLC-Palm Beach Gardens</t>
  </si>
  <si>
    <t>AmWINS Brokerage of FL, LLC-Satellite Beach</t>
  </si>
  <si>
    <t>AmWINS Brokerage of Georgia, LLC</t>
  </si>
  <si>
    <t>AmWINS Brokerage of Georgia, LLC-Stockbridge</t>
  </si>
  <si>
    <t>AmWINS Brokerage of Georgia, LLC-Atlanta</t>
  </si>
  <si>
    <t>AmWINS Brokerage of Pennsylvania, LLC-Fort Washington</t>
  </si>
  <si>
    <t>AmWINS Brokerage of Texas, Inc.-Houston</t>
  </si>
  <si>
    <t>AmWINS Brokerage of the Midwest, LLC-Grand Rapids</t>
  </si>
  <si>
    <t>AmWINS Brokerage of the Midwest, LLC-Kansas City</t>
  </si>
  <si>
    <t>AmWINS Insurance Brokerage of California, LLC-Irvine</t>
  </si>
  <si>
    <t>Bass Underwriters-Charleston</t>
  </si>
  <si>
    <t>Boston Insurance Brokerage, LLC</t>
  </si>
  <si>
    <t>Boston Insurance Brokerage, LLC-Boston</t>
  </si>
  <si>
    <t>Brown &amp; Riding Insurance Services, Inc.-Sherman Oaks</t>
  </si>
  <si>
    <t>Brown &amp; Riding Insurance Services, Inc.-San Francisco</t>
  </si>
  <si>
    <t>Brown &amp; Riding Insurance Services, Inc.-Petaluma</t>
  </si>
  <si>
    <t>Burns &amp; Wilcox-Fresno</t>
  </si>
  <si>
    <t>Burns &amp; Wilcox-Metairie</t>
  </si>
  <si>
    <t>Burns &amp; Wilcox-Woodland Hills</t>
  </si>
  <si>
    <t>Burns &amp; Wilcox-Charlotte</t>
  </si>
  <si>
    <t>Burns &amp; Wilcox-Los Angeles</t>
  </si>
  <si>
    <t>Burns &amp; Wilcox-Waukesha</t>
  </si>
  <si>
    <t>Burns &amp; Wilcox-Centennial</t>
  </si>
  <si>
    <t>Burns &amp; Wilcox Brokerage-Scottsdale</t>
  </si>
  <si>
    <t>CRC-Scarborough</t>
  </si>
  <si>
    <t>CRC-Altamonte Springs</t>
  </si>
  <si>
    <t>CRC Group</t>
  </si>
  <si>
    <t>CRC Group-Metairie</t>
  </si>
  <si>
    <t>Ecker Insurance &amp; Associates, Inc.</t>
  </si>
  <si>
    <t>Ecker Insurance &amp; Associates, Inc.-Flagler Beach</t>
  </si>
  <si>
    <t>Heffernan Insurance Brokers</t>
  </si>
  <si>
    <t>Heffernan Insurance Brokers-Irvine</t>
  </si>
  <si>
    <t>Hull &amp; Company, LLC-Charlotte</t>
  </si>
  <si>
    <t>Hull &amp; Company, LLC-Saint Petersburg</t>
  </si>
  <si>
    <t>Hull &amp; Company, LLC-Scottsdale</t>
  </si>
  <si>
    <t>Jimcor Agency, Inc.-Cumming</t>
  </si>
  <si>
    <t>Jimcor Agency, Inc.-Bridgeville</t>
  </si>
  <si>
    <t>Keating, Inc.-Malvern</t>
  </si>
  <si>
    <t>Maverick Insurance Group</t>
  </si>
  <si>
    <t>Maverick Insurance Group-Louisville</t>
  </si>
  <si>
    <t>Morstan General Agency</t>
  </si>
  <si>
    <t>NIF Group, Inc.</t>
  </si>
  <si>
    <t>NIF Group, Inc.-Manhasset</t>
  </si>
  <si>
    <t>NIP Group</t>
  </si>
  <si>
    <t>NIP Group-Woodbridge</t>
  </si>
  <si>
    <t>Peachtree Special Risk Brokers, LLC-Saint Petersburg</t>
  </si>
  <si>
    <t>Peachtree Special Risk Brokers, LLC-Metairie</t>
  </si>
  <si>
    <t>Risk Placement Services, Inc.-Brewster</t>
  </si>
  <si>
    <t>Risk Placement Services, Inc.-Houston</t>
  </si>
  <si>
    <t>Risk Placement Services, Inc.-Eagle</t>
  </si>
  <si>
    <t>RIsk Placement Services, Inc.</t>
  </si>
  <si>
    <t>RIsk Placement Services, Inc.-Staten Island</t>
  </si>
  <si>
    <t>Risk Placement Services, Inc.-Florence</t>
  </si>
  <si>
    <t>Risk Placement Services, Inc.-Cleveland</t>
  </si>
  <si>
    <t>Risk Placement Services, Inc.-Eau Claire</t>
  </si>
  <si>
    <t>RT Specialty Long Island</t>
  </si>
  <si>
    <t>RT Specialty, LLC-Eagle</t>
  </si>
  <si>
    <t>RT Specialty, LLC-Richmond</t>
  </si>
  <si>
    <t>RT Specialty, LLC-Winter Springs</t>
  </si>
  <si>
    <t>Rushmore Underwriting Managers LLC</t>
  </si>
  <si>
    <t>Rushmore Underwriting Managers LLC-Boca Raton</t>
  </si>
  <si>
    <t>SCUI-Jackson</t>
  </si>
  <si>
    <t>Select Risk Services, Inc.</t>
  </si>
  <si>
    <t>Select Risk Services, Inc.-Bellaire</t>
  </si>
  <si>
    <t>Socius Insurance Services, Inc.</t>
  </si>
  <si>
    <t>Socius Insurance Services, Inc.-Elgin</t>
  </si>
  <si>
    <t>Standard Lines Brokerage, Inc.</t>
  </si>
  <si>
    <t>Standard Lines Brokerage, Inc.-Tamarac</t>
  </si>
  <si>
    <t>UIG</t>
  </si>
  <si>
    <t>UIG-Mandeville</t>
  </si>
  <si>
    <t>W H Greene &amp; Associates, Inc.</t>
  </si>
  <si>
    <t>W H Greene &amp; Associates, Inc.-East Aurora</t>
  </si>
  <si>
    <t>Western Pacific Insurance Network, Inc.</t>
  </si>
  <si>
    <t>Western Pacific Insurance Network, Inc.-Littleton</t>
  </si>
  <si>
    <t>Worldwide Facilities, LLC-Hopkinton</t>
  </si>
  <si>
    <t>Worldwide Facilities, LLC-Seattle</t>
  </si>
  <si>
    <t>Ted Camp</t>
  </si>
  <si>
    <t>tcamp@westcongress.com</t>
  </si>
  <si>
    <t>Bob Wronski</t>
  </si>
  <si>
    <t>DESCRIPTION OF OPERATIONS AND EXPOSURES</t>
  </si>
  <si>
    <t>Quoted Premium:</t>
  </si>
  <si>
    <t>QUALITATIVE ANALYSIS</t>
  </si>
  <si>
    <t>Fees Total:</t>
  </si>
  <si>
    <t>Other</t>
  </si>
  <si>
    <t>UNIT TOTALS:</t>
  </si>
  <si>
    <t>Attachment:</t>
  </si>
  <si>
    <t>AUTO EXPOSURES</t>
  </si>
  <si>
    <t>LIMITS &amp; UNDERLYING</t>
  </si>
  <si>
    <t>Primary CGL Premium:</t>
  </si>
  <si>
    <t>Primary AL Premium:</t>
  </si>
  <si>
    <t>Primary Other Premium:</t>
  </si>
  <si>
    <t>Other Description:</t>
  </si>
  <si>
    <t>XS Debit/Credit</t>
  </si>
  <si>
    <t>Fees:</t>
  </si>
  <si>
    <t>11002-Protection and Investigation-security or patrol agencies-schools and education-during school hours</t>
  </si>
  <si>
    <t>11006-Protection and Investigation-security or patrol agencies-residential patrol-apartments-middle to high income-major metropolitan areas</t>
  </si>
  <si>
    <t>11008-Protection and Investigation-security or patrol agencies-special events-major</t>
  </si>
  <si>
    <t>11009-Protection and Investigation-security or patrol agencies-retail stores-outside</t>
  </si>
  <si>
    <t>11022-Protection and Investigation-security or patrol agencies-canine handler</t>
  </si>
  <si>
    <t>11025-Protection and Investigation-security or patrol agencies-cannabis work-Tier 1</t>
  </si>
  <si>
    <t>11026-Protection and Investigation-security or patrol agencies-cannabis work-Tier 2</t>
  </si>
  <si>
    <t>11027-Protection and Investigation-security or patrol agencies-cannabis work-Tier 3</t>
  </si>
  <si>
    <t>11028-Protection and Investigation-security or patrol agencies-schools and education-not during school hours</t>
  </si>
  <si>
    <t>11029-Protection and Investigation-security or patrol agencies-churches and places of worship</t>
  </si>
  <si>
    <t>11030-Protection and Investigation-security or patrol agencies-residential patrol-apartments-middle to high income-not major metropolitan areas</t>
  </si>
  <si>
    <t>11031-Protection and Investigation-security or patrol agencies-special events-minor</t>
  </si>
  <si>
    <t>11032-Protection and Investigation-security or patrol agencies-retail stores-inside</t>
  </si>
  <si>
    <t>11033-Protection and Investigation-security or patrol agencies-canines or other animals</t>
  </si>
  <si>
    <t>11034-Protection and Investigation-detective or investigation-small PI-Owner - $200,000</t>
  </si>
  <si>
    <t>11035-Protection and Investigation-detective or investigation-small PI-$200,001 - $400,000</t>
  </si>
  <si>
    <t>11036-Protection and Investigation-detective or investigation-small PI-$400,001 - $600,000</t>
  </si>
  <si>
    <t>11037-Protection and Investigation-detective or investigation-small PI-$600,001 - $800,000</t>
  </si>
  <si>
    <t>20021-Lease Operator-producing or nonoperating interest wells-well depth 7,500 ft or less</t>
  </si>
  <si>
    <t>20022-Lease Operator-producing or nonoperating interest wells-well depth 7,501 to 15,000 ft</t>
  </si>
  <si>
    <t>20023-Lease Operator-producing or nonoperating interest wells-well depth greater than 15,000 ft</t>
  </si>
  <si>
    <t>20024-Lease Operator- wells to be drilled - well depth 7,500 ft or less</t>
  </si>
  <si>
    <t>20025-Lease Operator- wells to be drilled - well depth 7,501 to 15,000 ft</t>
  </si>
  <si>
    <t>20026-Lease Operator- wells to be drilled - well depth greater than 15,000 ft</t>
  </si>
  <si>
    <t>20027-Non-Operated - producing wells - 0% to 25% working interest</t>
  </si>
  <si>
    <t>20028-Non-Operated - producing wells - 26% to 50% working interest</t>
  </si>
  <si>
    <t>20029-Non-Operated - producing wells - 51% or greater working interest</t>
  </si>
  <si>
    <t>20030-Non-Operated - wells to be drilled - 0% to 25% working interest</t>
  </si>
  <si>
    <t>20031-Non-Operated - wells to be drilled - 26% to 50% working interest</t>
  </si>
  <si>
    <t>20032-Non-Operated - wells to be drilled - 51% or greater working interest</t>
  </si>
  <si>
    <t>20100-Mining Surface</t>
  </si>
  <si>
    <t>20101-Mining Underground</t>
  </si>
  <si>
    <t>20102-Sand or Gravel Mining</t>
  </si>
  <si>
    <t>20103-Clay or Shale Mining</t>
  </si>
  <si>
    <t>20104-Gold Dredging – Endless Bucket or Ladder</t>
  </si>
  <si>
    <t>20105-Gold Dredging – Floating Drag Liner</t>
  </si>
  <si>
    <t>20106-Dredging – NOC</t>
  </si>
  <si>
    <t>20107-Quarries</t>
  </si>
  <si>
    <t>20108-Land Owners-mining surface</t>
  </si>
  <si>
    <t>20109-Land Owners-underground</t>
  </si>
  <si>
    <t>20110-Mining Contractor-mining operations-surface</t>
  </si>
  <si>
    <t>20111-Mining Contractor-mining operations-underground</t>
  </si>
  <si>
    <t>20112-Mining Contractor-maintenance operations-surface</t>
  </si>
  <si>
    <t>20113-Mining Contractor-maintenance operations-underground</t>
  </si>
  <si>
    <t>20114-Mining Contractor-contract labor staffing operations-surface</t>
  </si>
  <si>
    <t>20115-Mining Contractor-contract labor staffing operations-underground</t>
  </si>
  <si>
    <t>20200-Truckers GL</t>
  </si>
  <si>
    <t>30502-Roofing-residential-subcontracted work-repair or remodel-multifamily</t>
  </si>
  <si>
    <t>30505-Roofing-residential-contracted work-repair or remodel-multifamily</t>
  </si>
  <si>
    <t>30511-Roofing-commercial-contracted work-repair or remodel-apartments</t>
  </si>
  <si>
    <t>30513-Roofing-residential-contracted work-repair or remodel-no multifamily</t>
  </si>
  <si>
    <t>30514-Roofing-residential-subcontracted work-repair or remodel-no multifamily</t>
  </si>
  <si>
    <t>30515-Roofing-commercial-contracted work-repair or remodel-no apartments</t>
  </si>
  <si>
    <t>30516-Roofing-commercial-subcontracted work-repair or remodel-no apartments</t>
  </si>
  <si>
    <t>35211-Machinery or Equipment Installation and Repair or Servicing-installation, servicing or repair-light equipment</t>
  </si>
  <si>
    <t>40000-Premises Liability-habitational</t>
  </si>
  <si>
    <t>40001-Premises Liability-hotels and motels</t>
  </si>
  <si>
    <t>40002-Premises Liability-janitorial services</t>
  </si>
  <si>
    <t>40003-Premises Liability-ol&amp;t</t>
  </si>
  <si>
    <t>40004-Premises Liability-stores and supermarkets</t>
  </si>
  <si>
    <t>40005-Premises Liability-vacant land and buildings</t>
  </si>
  <si>
    <t>40006-Products Liability-manufacturing</t>
  </si>
  <si>
    <t>11000-Protection and Investigation-security or patrol agencies-offices, banks, construction sites, condomium and HOA, warehouses, industrial facilities, armored car, escort work and executive protection (low profile)</t>
  </si>
  <si>
    <t>11005-Protection and Investigation-security or patrol agencies-parking facilities, movie theaters, public transportation, conventions and trade shows, restaurants and banquet facilities and alarm response</t>
  </si>
  <si>
    <t>11038-Protection and Investigation-security or patrol agencies-hospitals (no ER)</t>
  </si>
  <si>
    <t>11039-Protection and Investigation-security or patrol agencies-car dealerships</t>
  </si>
  <si>
    <t>11040-Protection and Investigation-security or patrol agencies-hotels &amp; motels</t>
  </si>
  <si>
    <t>11041-Protection and Investigation-security or patrol agencies-traffic control</t>
  </si>
  <si>
    <t>20015-Machinery or Equipment Installation and Repair or Servicing-installation, servicing or repair-light equipment</t>
  </si>
  <si>
    <t>All Risks, Ltd-Tacoma</t>
  </si>
  <si>
    <t>All Risks, Ltd.-Hamilton</t>
  </si>
  <si>
    <t>AmWINS Access Insurance Services, LLC-Valencia</t>
  </si>
  <si>
    <t>AmWINS Brokerage of New York, Inc.-Liverpool</t>
  </si>
  <si>
    <t>Aventine Insurance Group, LLC d/b/a Security Operator Insurance-Tampa</t>
  </si>
  <si>
    <t>Belpointe Specialty Insurance Partners Group-Boca Raton</t>
  </si>
  <si>
    <t>Burns &amp; Wilcox Brokerage-Albuquerque</t>
  </si>
  <si>
    <t>Citadel Program Managers-American Fork</t>
  </si>
  <si>
    <t>Coastal Brokers Insurance Services Inc.-Pleasanton</t>
  </si>
  <si>
    <t>Coastal Brokers Insurance Services. Inc.-Citrus Heights</t>
  </si>
  <si>
    <t>Coastal Brokers Insurance Services. Inc.-Clovis</t>
  </si>
  <si>
    <t>Cochrane &amp; Company-Spokane</t>
  </si>
  <si>
    <t>CRC Group-San Francisco</t>
  </si>
  <si>
    <t>CRC Seattle WA-Seattle</t>
  </si>
  <si>
    <t>Equity Partners Insurance Services Inc.-Slidell</t>
  </si>
  <si>
    <t>Hull &amp; Company, LLC-Dania</t>
  </si>
  <si>
    <t>Morstan General Agency-New Hyde Park</t>
  </si>
  <si>
    <t>Quaker Agency, Inc.-Worcester</t>
  </si>
  <si>
    <t>RT Specialty Long Island-Jericho</t>
  </si>
  <si>
    <t>Southwest Risk, LP-Metairie</t>
  </si>
  <si>
    <t>Synapse Services LLC-New Orleans</t>
  </si>
  <si>
    <t>UCPM Environmental Insurance-Gilbert</t>
  </si>
  <si>
    <t>Worldwide Facilities, LLC-New York</t>
  </si>
  <si>
    <t>All Risks, Ltd</t>
  </si>
  <si>
    <t>Aventine Insurance Group, LLC d/b/a Security Operator Insurance</t>
  </si>
  <si>
    <t>Belpointe Specialty Insurance Partners Group</t>
  </si>
  <si>
    <t>Citadel Program Managers</t>
  </si>
  <si>
    <t>Coastal Brokers Insurance Services Inc.</t>
  </si>
  <si>
    <t>Coastal Brokers Insurance Services. Inc.</t>
  </si>
  <si>
    <t>Cochrane &amp; Company</t>
  </si>
  <si>
    <t>CRC Seattle WA</t>
  </si>
  <si>
    <t>Equity Partners Insurance Services Inc.</t>
  </si>
  <si>
    <t>Quaker Agency, Inc.</t>
  </si>
  <si>
    <t>Synapse Services LLC</t>
  </si>
  <si>
    <t>UCPM Environmental Insurance</t>
  </si>
  <si>
    <t>Historical Exposure</t>
  </si>
  <si>
    <t>Historical Expsure</t>
  </si>
  <si>
    <t>Zip Code:</t>
  </si>
  <si>
    <t>Expiring Premium:</t>
  </si>
  <si>
    <t>Expiring Exposure:</t>
  </si>
  <si>
    <t>Expiring Rate:</t>
  </si>
  <si>
    <t>Products-Completed Ops Aggregate:</t>
  </si>
  <si>
    <t>Rate Change %:</t>
  </si>
  <si>
    <t>Exposure Change %:</t>
  </si>
  <si>
    <t>A &amp; F Insurance Group, Inc.-Fort Lauderdale</t>
  </si>
  <si>
    <t>Aces Commercial Insurance Services, Inc.-Richmond</t>
  </si>
  <si>
    <t>Al Minicola General Insurance Agency-Irvine</t>
  </si>
  <si>
    <t>All Risks, Ltd-York</t>
  </si>
  <si>
    <t>All Risks, Ltd.-New Orleans</t>
  </si>
  <si>
    <t>Alliant Insurance Services, Inc.-San Jose</t>
  </si>
  <si>
    <t>AmWINS Access Insurance Services, LLC-Charlotte</t>
  </si>
  <si>
    <t>AmWINS Access Insurance Services, LLC-Orlando</t>
  </si>
  <si>
    <t>AmWINS Broker of New York, Inc.-Amherst</t>
  </si>
  <si>
    <t>AmWINS Brokerage of Arizona, LLC-Phoenix</t>
  </si>
  <si>
    <t>AmWINS Brokerage of FL, LLC-Tampa</t>
  </si>
  <si>
    <t>AmWINS Brokerage of New England, LLC-Farmington</t>
  </si>
  <si>
    <t>AmWINS Brokerage of New Jersey, Inc.-Florham Park</t>
  </si>
  <si>
    <t>AmWINS Brokerage of New York, Inc.-Lake Success</t>
  </si>
  <si>
    <t>AmWINS Brokerage of Pennsylvania-Philadelphia</t>
  </si>
  <si>
    <t>AmWINS Brokerage of the Carolinas-Charlotte</t>
  </si>
  <si>
    <t>AmWINS Brokerage of the Midwest, LLC-Seven Hills</t>
  </si>
  <si>
    <t>AmWINS Brokerage of the Midwest, LLC-Saint Louis</t>
  </si>
  <si>
    <t>AmWINS Brokerage of the Midwest, LLC-Cincinnati</t>
  </si>
  <si>
    <t>AmWINS Brokerage of the Midwest, LLC-Dayton</t>
  </si>
  <si>
    <t>AmWins Insurance Brokerage, LLC-Hopkinton</t>
  </si>
  <si>
    <t>AmWins Program Underwriters Inc-Richardson</t>
  </si>
  <si>
    <t>ARS-Latiff, LLC-New Hyde Park</t>
  </si>
  <si>
    <t>Ashley General Agency-Conroe</t>
  </si>
  <si>
    <t>Bass Underwriters-Suwanee</t>
  </si>
  <si>
    <t>Bass Underwriters-Lake Oswego</t>
  </si>
  <si>
    <t>Bass Underwriters-Las Vegas</t>
  </si>
  <si>
    <t>Bass Underwriters-Jersey City</t>
  </si>
  <si>
    <t>Bass Underwriters-Carlsbad</t>
  </si>
  <si>
    <t>Bass Underwriters-Winter Garden</t>
  </si>
  <si>
    <t>Bauer, Wes-Dallas</t>
  </si>
  <si>
    <t>Breckenridge Insurance Services, LLC-Chicago</t>
  </si>
  <si>
    <t>Breckenridge Insurance Services, LLC-Saint Louis</t>
  </si>
  <si>
    <t>Breckenridge Insurance Services, LLC-Charlotte</t>
  </si>
  <si>
    <t>Breckenridge Insurance Services, LLC-Irving</t>
  </si>
  <si>
    <t>Broker for Spoiled Policy Entry-Detroit</t>
  </si>
  <si>
    <t>Brown &amp; Riding Insurance Services, Inc.-Englewood</t>
  </si>
  <si>
    <t>Brown &amp; Riding Insurance Services, Inc.-Tampa</t>
  </si>
  <si>
    <t>Brown &amp; Riding Insurance Services, Inc.-Larkspur</t>
  </si>
  <si>
    <t>Burns &amp; Wilcox-Baton Rouge</t>
  </si>
  <si>
    <t>Burns &amp; Wilcox-Hunt Valley</t>
  </si>
  <si>
    <t>Burns &amp; Wilcox-Minneapolis</t>
  </si>
  <si>
    <t>Burns &amp; Wilcox-Las Vegas</t>
  </si>
  <si>
    <t>Burns &amp; Wilcox-Grand Rapids</t>
  </si>
  <si>
    <t>Burns &amp; Wilcox-Saint Louis</t>
  </si>
  <si>
    <t>Burns &amp; Wilcox-Overland Park</t>
  </si>
  <si>
    <t>Burns &amp; Wilcox-Independence</t>
  </si>
  <si>
    <t>Burns &amp; Wilcox-Indianapolis</t>
  </si>
  <si>
    <t>Burns &amp; Wilcox Brokerage-New York</t>
  </si>
  <si>
    <t>Burns &amp; Wilcox Brokerage-Atlanta</t>
  </si>
  <si>
    <t>Burns &amp; Wilcox, Ltd - Scottsdale-Scottsdale</t>
  </si>
  <si>
    <t>Citadel Insurance Services, LC-American Fork</t>
  </si>
  <si>
    <t>CMS LLC &amp; CMS South-Melville</t>
  </si>
  <si>
    <t>Coastal Brokers Insurance Services. Inc.-Placentia</t>
  </si>
  <si>
    <t>Coastal Brokers Insurance Services. Inc.-Sacramento</t>
  </si>
  <si>
    <t>Combined Group Insurance Services-Dallas</t>
  </si>
  <si>
    <t>Cornerstone E &amp; S, Inc.-Temecula</t>
  </si>
  <si>
    <t>CRC-Chicago</t>
  </si>
  <si>
    <t>CRC-Santa Ana</t>
  </si>
  <si>
    <t>CRC-Little Rock</t>
  </si>
  <si>
    <t>CRC  (Trilogy)-Lakewood Ranch</t>
  </si>
  <si>
    <t>CRC  (Trilogy) Do not Use-Suwanee</t>
  </si>
  <si>
    <t>CRC Group-Carmel</t>
  </si>
  <si>
    <t>CRC Group-Fort Worth</t>
  </si>
  <si>
    <t>CRC Group-Charlotte</t>
  </si>
  <si>
    <t>CRC Group-Timonium</t>
  </si>
  <si>
    <t>CRC Group-Reno</t>
  </si>
  <si>
    <t>CRC Group-Jenkintown</t>
  </si>
  <si>
    <t>CRC Group-Ridgeland</t>
  </si>
  <si>
    <t>CRC Group-Tampa</t>
  </si>
  <si>
    <t>CRC Group-Sumter</t>
  </si>
  <si>
    <t>CRC Swett-Atlanta</t>
  </si>
  <si>
    <t>CRC Swett-Folsom</t>
  </si>
  <si>
    <t>CRC Swett-Fresno</t>
  </si>
  <si>
    <t>CRC Swett-Carmen</t>
  </si>
  <si>
    <t>CRC Swett-Franklin</t>
  </si>
  <si>
    <t>Crouse &amp; Associates-Los Angeles</t>
  </si>
  <si>
    <t>Crystal IBC LLC-New York</t>
  </si>
  <si>
    <t>Delta General Agency Corporation-Plano</t>
  </si>
  <si>
    <t>Duff, Dunn-Sunrise</t>
  </si>
  <si>
    <t>eKo Specialty Insurance Services, Inc.-Thousand Oaks</t>
  </si>
  <si>
    <t>El Dorado Book Roll-Houston</t>
  </si>
  <si>
    <t>El Dorado Small Biz-Houston</t>
  </si>
  <si>
    <t>Empire State Brokerage Services, LLC-Plainview</t>
  </si>
  <si>
    <t>Empire State Brokerage Services, LLC-Myrtle Beach</t>
  </si>
  <si>
    <t>Gremesco Corporation-Bridgeport</t>
  </si>
  <si>
    <t>Griffin Underwriting Services-Bellevue</t>
  </si>
  <si>
    <t>Heffernan Insurance Brokers-Chesterfield</t>
  </si>
  <si>
    <t>HUB International Mid-South-Nashville</t>
  </si>
  <si>
    <t>Hub International Midwest Limited-Chicago</t>
  </si>
  <si>
    <t>Hub International Midwest Limited-Sheboygan</t>
  </si>
  <si>
    <t>Hub International Midwest Limited-Waunakee</t>
  </si>
  <si>
    <t>Hub International Midwest Limited-Des Plaines</t>
  </si>
  <si>
    <t>Hub International Midwest Limited-Downers Grove</t>
  </si>
  <si>
    <t>Hub International Midwest Limited-Davenport</t>
  </si>
  <si>
    <t>Hub International Midwest Limited-Lake Forest</t>
  </si>
  <si>
    <t>Hub International Midwest Limited-Chesterfield</t>
  </si>
  <si>
    <t>Hub International Midwest Limited-Appleton</t>
  </si>
  <si>
    <t>Hub International Midwest Limited-Northbrook</t>
  </si>
  <si>
    <t>Hub International Midwest Limited-Waukesha</t>
  </si>
  <si>
    <t>Hull &amp; Company, LLC-Metairie</t>
  </si>
  <si>
    <t>Hull &amp; Company, LLC-Hollywood</t>
  </si>
  <si>
    <t>Hull &amp; Company, LLC-Lutherville Timonium</t>
  </si>
  <si>
    <t>InterWest Insurance Services, LLC-Sacramento</t>
  </si>
  <si>
    <t>Jacobs &amp; Associates (Towerstone Inc.)-Strongsville</t>
  </si>
  <si>
    <t>Keating, Inc.-La Quinta</t>
  </si>
  <si>
    <t>Keating, Inc.-Pasadena</t>
  </si>
  <si>
    <t>Keating, Inc.-Charlotte</t>
  </si>
  <si>
    <t>Keating, Inc.-Phoenix</t>
  </si>
  <si>
    <t>Keating, Inc.-Portland</t>
  </si>
  <si>
    <t>Landmark E &amp; S Insurance Brokers, LLC-Ponte Vedra</t>
  </si>
  <si>
    <t>LP Insurance Services, Inc.-Reno</t>
  </si>
  <si>
    <t>LP Insurance Services, Inc.-Gold River</t>
  </si>
  <si>
    <t>LP Insurance Services, Inc.-Las Vegas</t>
  </si>
  <si>
    <t>Market International Insurance Agency-Hanover</t>
  </si>
  <si>
    <t>MarketScout-Dallas</t>
  </si>
  <si>
    <t>Maximum Independent Brokerage-Tampa</t>
  </si>
  <si>
    <t>McClelland and Hine, Inc.-San Antonio</t>
  </si>
  <si>
    <t>McClelland and Hine, Inc.-Dallas</t>
  </si>
  <si>
    <t>McClelland and Hine, Inc.-Kennesaw</t>
  </si>
  <si>
    <t>McGowan Excess &amp; Casualty-Eatontown</t>
  </si>
  <si>
    <t>McGriff, Seibels &amp; Williams, Inc.-Portland</t>
  </si>
  <si>
    <t>Med James, Inc.-Springfield</t>
  </si>
  <si>
    <t>Med James, Inc.-Las Vegas</t>
  </si>
  <si>
    <t>Med James, Inc.-Maumelle</t>
  </si>
  <si>
    <t>Med James, Inc.-Phoenix</t>
  </si>
  <si>
    <t>MJ Kelly Company-Frisco</t>
  </si>
  <si>
    <t>MJ Kelly Company-Largo</t>
  </si>
  <si>
    <t>MJ Kelly Company-Shreveport</t>
  </si>
  <si>
    <t>MJ Kelly Company-Springfield</t>
  </si>
  <si>
    <t>Morstan General Agency - New York-New Hyde Park</t>
  </si>
  <si>
    <t>National Coverage Corporation-Sayville</t>
  </si>
  <si>
    <t>Oklahoma General Agency, Inc-Oklahoma City</t>
  </si>
  <si>
    <t>Oracle Insurance Agency-Omaha</t>
  </si>
  <si>
    <t>Oxford Insurance Servicess-Houston</t>
  </si>
  <si>
    <t>Partners Specialty Group, LLC-Santa Monica</t>
  </si>
  <si>
    <t>Peachtree Special Risk Brokers, LLC-Charlotte</t>
  </si>
  <si>
    <t>Peachtree Special Risk Brokers, LLC-Basking Ridge</t>
  </si>
  <si>
    <t>Peachtree Special Risk Brokers, LLC-Atlanta</t>
  </si>
  <si>
    <t>Program Brokerage Corporation-Woodbury</t>
  </si>
  <si>
    <t>Program Brokerage Corporation-Blue Bell</t>
  </si>
  <si>
    <t>Program Brokerage Corporation-New York</t>
  </si>
  <si>
    <t>ProQuest-Chicago</t>
  </si>
  <si>
    <t>Quaker Agency, Inc.-Eatontown</t>
  </si>
  <si>
    <t>Quantum Risk Solutions, LLC-Somerville</t>
  </si>
  <si>
    <t>Risk Placement Services-Brewster</t>
  </si>
  <si>
    <t>Risk Placement Services,  Inc.-San Diego</t>
  </si>
  <si>
    <t>Risk Placement Services, Inc.-Henderson</t>
  </si>
  <si>
    <t>Risk Placement Services, Inc.-Cambridge</t>
  </si>
  <si>
    <t>Risk Placement Services, Inc.-Fort Lauderdale</t>
  </si>
  <si>
    <t>Risk Placement Services, Inc.-Westborough</t>
  </si>
  <si>
    <t>Risk Placement Services, Inc.-Los Angeles</t>
  </si>
  <si>
    <t>Risk Placement Services, Inc.-Rocklin</t>
  </si>
  <si>
    <t>Risk Placement Services, Inc.-Itasca</t>
  </si>
  <si>
    <t>Risk Placement Services, Inc.-Omaha</t>
  </si>
  <si>
    <t>Risk Placement Services, Inc.-Federal Way</t>
  </si>
  <si>
    <t>Risk Placement Services, Inc.-Langhorne</t>
  </si>
  <si>
    <t>Risk Placement Services, Inc.-Oklahoma City</t>
  </si>
  <si>
    <t>Risk Placement Services, Inc.-Austin</t>
  </si>
  <si>
    <t>Risk Placement Services, Inc.-Buffalo</t>
  </si>
  <si>
    <t>Risk Placement Services, Inc.-Overland Park</t>
  </si>
  <si>
    <t>Risk Placement Services, Inc.-Honolulu</t>
  </si>
  <si>
    <t>RLA Insurance Intermediaries, LLC-Brentwood</t>
  </si>
  <si>
    <t>RLA Insurance Intermediaries, LLC-Potomac Falls</t>
  </si>
  <si>
    <t>RLA Insurance Intermediaries, LLC-Chicago</t>
  </si>
  <si>
    <t>RLA Insurance Intermediaries, LLC-Houston</t>
  </si>
  <si>
    <t>Robert T. Kirkwood, Inc.-Pleasantville</t>
  </si>
  <si>
    <t>RSI International-Arlington</t>
  </si>
  <si>
    <t>RT Specialty, LLC-Saratoga Springs</t>
  </si>
  <si>
    <t>RT Specialty, LLC-Coral Gables</t>
  </si>
  <si>
    <t>RT Specialty, LLC-Phoenix</t>
  </si>
  <si>
    <t>RT Specialty, LLC-Montgomeryville</t>
  </si>
  <si>
    <t>RT Specialty, LLC-Seattle</t>
  </si>
  <si>
    <t>RT Specialty, LLC-Kansas City</t>
  </si>
  <si>
    <t>RT Specialty, LLC-Boston</t>
  </si>
  <si>
    <t>RT Specialty, LLC-Nashville</t>
  </si>
  <si>
    <t>RT Specialty, LLC-San Francisco</t>
  </si>
  <si>
    <t>Scottish American -Simi Valley</t>
  </si>
  <si>
    <t>Scottish American Insurance General Agency-Roseville</t>
  </si>
  <si>
    <t>Scottish American Insurance General Agency Inc-Tallahassee</t>
  </si>
  <si>
    <t>Scottish American Insurance General Agency Inc-Simi Valley</t>
  </si>
  <si>
    <t>Scottish American Insurance General Agency Inc-Voorhees</t>
  </si>
  <si>
    <t>Scottish American Insurance General Agency Inc-Philadelphia</t>
  </si>
  <si>
    <t>Scottish American Insurance General Agency Inc-Long Island City</t>
  </si>
  <si>
    <t>Scottish American Insurance General Agency Inc-Santa Ana</t>
  </si>
  <si>
    <t>Scottish American Insurance General Agency Inc-Layton</t>
  </si>
  <si>
    <t>Scottish American Insurance General Agency Inc-Grapevine</t>
  </si>
  <si>
    <t>Scottish American Insurance General Agency Inc-Jacksonville</t>
  </si>
  <si>
    <t>Scottish American Insurance General Agency Inc-Maumelle</t>
  </si>
  <si>
    <t>SCUI-Memphis</t>
  </si>
  <si>
    <t>SCUI-Minneapolis</t>
  </si>
  <si>
    <t>SCUI-Houston</t>
  </si>
  <si>
    <t>SCUI-Boca Raton</t>
  </si>
  <si>
    <t>SCUI-Chicago</t>
  </si>
  <si>
    <t>SCUI-Middletown</t>
  </si>
  <si>
    <t>Socius Insurance Services, Inc.-Tampa</t>
  </si>
  <si>
    <t>Socius Insurance Services, Inc.-Walnut Creek</t>
  </si>
  <si>
    <t>Socius Insurance Services, Inc.-Conshohocken</t>
  </si>
  <si>
    <t>Southwest Risk LP-Fort Worth</t>
  </si>
  <si>
    <t>Specialty Risk Associates, Inc.-Shreveport</t>
  </si>
  <si>
    <t>Sullivan Brokers Wholesale Insurance Solutions-Los Angeles</t>
  </si>
  <si>
    <t>Synapse Services LLC-Somerville</t>
  </si>
  <si>
    <t>Synapse Services, LLC-Lakewood</t>
  </si>
  <si>
    <t>Synapse Services, LLC.-Roswell</t>
  </si>
  <si>
    <t>tKg Wholesale Brokerage, Inc.-Phoenix</t>
  </si>
  <si>
    <t>Tolman &amp; Wiker Insurance Services-Ventura</t>
  </si>
  <si>
    <t>Towerstone, Inc.-Birmingham</t>
  </si>
  <si>
    <t>Trilogy Risk Specialists, Inc.-Suwanee</t>
  </si>
  <si>
    <t>U.S. Risk, LLC-Staten Island</t>
  </si>
  <si>
    <t>U.S. Risk, LLC-Sarasota</t>
  </si>
  <si>
    <t>U.S. Risk, LLC-Austin</t>
  </si>
  <si>
    <t>UCPM Environmental Insurance-Owings Mills</t>
  </si>
  <si>
    <t>USG Insurance Services, Inc.-Covington</t>
  </si>
  <si>
    <t>USG Insurance Services, Inc.-San Diego</t>
  </si>
  <si>
    <t>Western Security Surplus Insurance Brokers, Inc.-Plano</t>
  </si>
  <si>
    <t>Wholesale Trading Insurance Services, LLC-New York</t>
  </si>
  <si>
    <t>Woodlands Insurance Services, LLC-The Woodlands</t>
  </si>
  <si>
    <t>Worldwide Facilities, LLC-Phoenix</t>
  </si>
  <si>
    <t>Worldwide Facilities, LLC-Chicago</t>
  </si>
  <si>
    <t>Worldwide Facilities, LLC-Orlando</t>
  </si>
  <si>
    <t>Worldwide Facilities, LLC-La Quinta</t>
  </si>
  <si>
    <t>Worldwide Facilities, LLC-Torrance</t>
  </si>
  <si>
    <t>Worldwide Facilities, LLC-West Hartford</t>
  </si>
  <si>
    <t>Worldwide Facilities, LLC-Anaheim</t>
  </si>
  <si>
    <t>Worldwide Facilities, LLC-Denver</t>
  </si>
  <si>
    <t>A &amp; F Insurance Group, Inc.</t>
  </si>
  <si>
    <t>Aces Commercial Insurance Services, Inc.</t>
  </si>
  <si>
    <t>Al Minicola General Insurance Agency</t>
  </si>
  <si>
    <t>Alliant Insurance Services, Inc.</t>
  </si>
  <si>
    <t>AmWINS Broker of New York, Inc.</t>
  </si>
  <si>
    <t>AmWINS Brokerage of Arizona, LLC</t>
  </si>
  <si>
    <t>AmWINS Brokerage of Pennsylvania</t>
  </si>
  <si>
    <t>AmWINS Brokerage of the Carolinas</t>
  </si>
  <si>
    <t>AmWins Insurance Brokerage, LLC</t>
  </si>
  <si>
    <t>AmWins Program Underwriters Inc</t>
  </si>
  <si>
    <t>ARS-Latiff, LLC</t>
  </si>
  <si>
    <t>Ashley General Agency</t>
  </si>
  <si>
    <t>Bauer, Wes</t>
  </si>
  <si>
    <t>Broker for Spoiled Policy Entry</t>
  </si>
  <si>
    <t>Burns &amp; Wilcox, Ltd - Scottsdale</t>
  </si>
  <si>
    <t>Citadel Insurance Services, LC</t>
  </si>
  <si>
    <t>CMS LLC &amp; CMS South</t>
  </si>
  <si>
    <t>Combined Group Insurance Services</t>
  </si>
  <si>
    <t>Cornerstone E &amp; S, Inc.</t>
  </si>
  <si>
    <t>CRC  (Trilogy)</t>
  </si>
  <si>
    <t>CRC  (Trilogy) Do not Use</t>
  </si>
  <si>
    <t>Crystal IBC LLC</t>
  </si>
  <si>
    <t>Duff, Dunn</t>
  </si>
  <si>
    <t>eKo Specialty Insurance Services, Inc.</t>
  </si>
  <si>
    <t>El Dorado Book Roll</t>
  </si>
  <si>
    <t>El Dorado Small Biz</t>
  </si>
  <si>
    <t>Empire State Brokerage Services, LLC</t>
  </si>
  <si>
    <t>Gremesco Corporation</t>
  </si>
  <si>
    <t>Griffin Underwriting Services</t>
  </si>
  <si>
    <t>HUB International Mid-South</t>
  </si>
  <si>
    <t>Hub International Midwest Limited</t>
  </si>
  <si>
    <t>InterWest Insurance Services, LLC</t>
  </si>
  <si>
    <t>Jacobs &amp; Associates (Towerstone Inc.)</t>
  </si>
  <si>
    <t>Landmark E &amp; S Insurance Brokers, LLC</t>
  </si>
  <si>
    <t>LP Insurance Services, Inc.</t>
  </si>
  <si>
    <t>Market International Insurance Agency</t>
  </si>
  <si>
    <t>MarketScout</t>
  </si>
  <si>
    <t>McGowan Excess &amp; Casualty</t>
  </si>
  <si>
    <t>McGriff, Seibels &amp; Williams, Inc.</t>
  </si>
  <si>
    <t>MJ Kelly Company</t>
  </si>
  <si>
    <t>Morstan General Agency - New York</t>
  </si>
  <si>
    <t>National Coverage Corporation</t>
  </si>
  <si>
    <t>Oklahoma General Agency, Inc</t>
  </si>
  <si>
    <t>Oracle Insurance Agency</t>
  </si>
  <si>
    <t>Oxford Insurance Servicess</t>
  </si>
  <si>
    <t>Partners Specialty Group, LLC</t>
  </si>
  <si>
    <t>Program Brokerage Corporation</t>
  </si>
  <si>
    <t>ProQuest</t>
  </si>
  <si>
    <t>Quantum Risk Solutions, LLC</t>
  </si>
  <si>
    <t>Risk Placement Services</t>
  </si>
  <si>
    <t>Risk Placement Services,  Inc.</t>
  </si>
  <si>
    <t>Robert T. Kirkwood, Inc.</t>
  </si>
  <si>
    <t>RSI International</t>
  </si>
  <si>
    <t xml:space="preserve">Scottish American </t>
  </si>
  <si>
    <t>Scottish American Insurance General Agency</t>
  </si>
  <si>
    <t>Scottish American Insurance General Agency Inc</t>
  </si>
  <si>
    <t>Southwest Risk LP</t>
  </si>
  <si>
    <t>Specialty Risk Associates, Inc.</t>
  </si>
  <si>
    <t>Sullivan Brokers Wholesale Insurance Solutions</t>
  </si>
  <si>
    <t>Synapse Services, LLC</t>
  </si>
  <si>
    <t>Synapse Services, LLC.</t>
  </si>
  <si>
    <t>tKg Wholesale Brokerage, Inc.</t>
  </si>
  <si>
    <t>Tolman &amp; Wiker Insurance Services</t>
  </si>
  <si>
    <t>Trilogy Risk Specialists, Inc.</t>
  </si>
  <si>
    <t>Western Security Surplus Insurance Brokers, Inc.</t>
  </si>
  <si>
    <t>Woodlands Insurance Services, LLC</t>
  </si>
  <si>
    <t>10010-Air Conditioning Equipment – dealers or distributors only (5075)</t>
  </si>
  <si>
    <t>10015-Amusement Centers (7993)</t>
  </si>
  <si>
    <t>10020-Amusement Parks (7996)</t>
  </si>
  <si>
    <t>10026-Antique Stores (5932)</t>
  </si>
  <si>
    <t>10036-Anhydrous Ammonia Dealers and Distributors (5191, 5261)</t>
  </si>
  <si>
    <t>10040-Appliance Distributors – household type (5064)</t>
  </si>
  <si>
    <t>10042-Appliance Stores – household type (5722, 5731)</t>
  </si>
  <si>
    <t>10052-Archery Ranges – indoor (7999)</t>
  </si>
  <si>
    <t>10054-Archery Ranges – NOC (7999)</t>
  </si>
  <si>
    <t>10060-Army and Navy Stores (5399)</t>
  </si>
  <si>
    <t>10065-Art Galleries (10065 – 5999, 10066 – 8412)</t>
  </si>
  <si>
    <t>10066-Art Galleries (10065 – 5999, 10066 – 8412)</t>
  </si>
  <si>
    <t>10070-Automobile Parts and Supplies Distributors (5013)</t>
  </si>
  <si>
    <t>10072-Automobile Quick Lubrication Services (7549)</t>
  </si>
  <si>
    <t>10071-Automobile Parts and Supplies Stores (5531)</t>
  </si>
  <si>
    <t>10073-Automobile Repair or Service Shops – NOC (753)</t>
  </si>
  <si>
    <t>10075-Automobile Repair Shops – self-service (7549)</t>
  </si>
  <si>
    <t>10100-Bakeries (5461)</t>
  </si>
  <si>
    <t>10101-Boat Dealers (5551)</t>
  </si>
  <si>
    <t>10105-Boat Storage and Moorage (4493)</t>
  </si>
  <si>
    <t>10107-Boat Yards or Marinas – public (4493)</t>
  </si>
  <si>
    <t>10110-Boats – canoes or rowboats – for rent – not equipped with motors (7999)</t>
  </si>
  <si>
    <t>10111-Barber or Beauty Shop Supplies Distributors (5087)</t>
  </si>
  <si>
    <t>10113-Barber Shops (7241)</t>
  </si>
  <si>
    <t>10115-Beauty Parlors and Hair Styling Salons (7231)</t>
  </si>
  <si>
    <t>10117-Boats – motor or sail – rented to others (7999)</t>
  </si>
  <si>
    <t>10119-Boats – NOC – rented to others (7999)</t>
  </si>
  <si>
    <t>10120-Bathhouses or Bathing Pavilions (7999, 7299)</t>
  </si>
  <si>
    <t>10130-Bazaars – operated by the insured (53, 54, 56, 57, 59)</t>
  </si>
  <si>
    <t>10132-Bazaars – operated by the insured (53, 54, 56, 57, 59)</t>
  </si>
  <si>
    <t>10133-Beach Chairs and Umbrellas – rented to others (7999)</t>
  </si>
  <si>
    <t>10135-Beaches – bathing – commercially operated (7999)</t>
  </si>
  <si>
    <t>10140-Beverage Distributors – alcoholic other than beer (5182)</t>
  </si>
  <si>
    <t>10141-Beverage Distributors – nonalcoholic and beer (5181, 5149)</t>
  </si>
  <si>
    <t>10145-Beverage Stores – liquor and wine (5921)</t>
  </si>
  <si>
    <t>10146-Beverage Stores – soft drinks and beer (5921, 5999, 5499)</t>
  </si>
  <si>
    <t>10150-Bicycle Stores – sales and servicing (5941)</t>
  </si>
  <si>
    <t>10151-Bicycles – rented to others (7999)</t>
  </si>
  <si>
    <t>10160-Billiard or Pool Halls (7999)</t>
  </si>
  <si>
    <t>10204-Book and Magazine Stores (5942, 5932)</t>
  </si>
  <si>
    <t>10205-Book and Magazine Stores (5942, 5932)</t>
  </si>
  <si>
    <t>10220-Bowling Lanes (7933)</t>
  </si>
  <si>
    <t>10255-Building Material Dealers (5211)</t>
  </si>
  <si>
    <t>10256-Building Material Dealers – secondhand material (5932)</t>
  </si>
  <si>
    <t>10257-Building Material Distributors (503)</t>
  </si>
  <si>
    <t>10309-Camera and Photographic Equipment Stores (5946)</t>
  </si>
  <si>
    <t>10315-Camper or Travel Trailer Sales Agencies (5561)</t>
  </si>
  <si>
    <t>10331-Campgrounds (7033)</t>
  </si>
  <si>
    <t>10332-Campgrounds (7033)</t>
  </si>
  <si>
    <t>10352-Candy or Confectionery Stores (5441)</t>
  </si>
  <si>
    <t>10367-Car Washes (7542)</t>
  </si>
  <si>
    <t>10368-Car Washes – self-service (7542)</t>
  </si>
  <si>
    <t>10375-Carnival or Circus Companies (7999)</t>
  </si>
  <si>
    <t>10378-Carnivals – outside (sponsor’s risk only) (7999)</t>
  </si>
  <si>
    <t>10379-Carnivals – outside (sponsor’s risk only) (7999)</t>
  </si>
  <si>
    <t>10380-Carnivals or Circuses – in tents (sponsor’s risk only) (7999)</t>
  </si>
  <si>
    <t>10381-Carnivals or Circuses – in tents (sponsor’s risk only) (7999)</t>
  </si>
  <si>
    <t>11007-Carpet, Rug or Upholstery Cleaning – shop only (7217)</t>
  </si>
  <si>
    <t>11020-Catalog or Premium Coupon Redemption Stores (5961)</t>
  </si>
  <si>
    <t>11039-Caterers (5812)</t>
  </si>
  <si>
    <t>11052-Chairs – rented to others (7359)</t>
  </si>
  <si>
    <t>11101-Chemical Distributors (5169)</t>
  </si>
  <si>
    <t>11120-Children’s Playcenters – indoor (7999)</t>
  </si>
  <si>
    <t>11126-Clothing or Wearing Apparel Distributors (5136, 5137)</t>
  </si>
  <si>
    <t>11127-Clothing or Wearing Apparel Stores (11125 – 5611, 5621, 5632, 5641, 5651, 5699; 11127 – 5611, 5621, 5632, 5641, 5654, 5699)</t>
  </si>
  <si>
    <t>11128-Clothing or Wearing Apparel Stores (11125 – 5611, 5621, 5632, 5641, 5651, 5699; 11127 – 5611, 5621, 5632, 5641, 5654, 5699)</t>
  </si>
  <si>
    <t>11138-Clubs – country or golf (7997)</t>
  </si>
  <si>
    <t>11155-Collectibles and Memorabilia Stores (5999, 5092)</t>
  </si>
  <si>
    <t>11160-Computer Stores (5734)</t>
  </si>
  <si>
    <t>11167-Concessionaires – check room, shoeshine, or toilet concessions in hotels, restaurants, railroad stations, etc. (7299)</t>
  </si>
  <si>
    <t>11168-Concessionaires (5812)</t>
  </si>
  <si>
    <t>11201-Contractors’ Equipment – cranes, derricks, power shovels and equipment incidental thereto – rented to others with operators (7353)</t>
  </si>
  <si>
    <t>11202-Contractors’ Equipment – cranes, derricks, power shovels and equipment incidental thereto – rented to others without operators (7353)</t>
  </si>
  <si>
    <t>11203-Contractors’ Equipment Dealers – ladders, excluding hoists, scaffolds or towers (5084)</t>
  </si>
  <si>
    <t>11204-Contractors’ Equipment Dealers – ladders, hoists, scaffolds or towers (5084)</t>
  </si>
  <si>
    <t>11205-Contractors’ Equipment – earth moving equipment other than cranes, derricks and power shovels – rented to others with operators (7353)</t>
  </si>
  <si>
    <t>11206-Contractors’ Equipment – earth moving equipment other than cranes, derricks and power shovels – rented to others without operators (7353)</t>
  </si>
  <si>
    <t>11207-Contractors’ Equipment – excluding automobiles – rented to others with operators – NOC (7353)</t>
  </si>
  <si>
    <t>11208-Contractors’ Equipment – excluding automobiles – rented to others without operators – NOC (7353)</t>
  </si>
  <si>
    <t>11209-Contractors’ Equipment – hod or material platform hoists and equipment incidental thereto – rented to others with operators (7353)</t>
  </si>
  <si>
    <t>11210-Contractors’ Equipment – hod or material platform hoists and equipment incidental thereto – rented to others without operators (7353)</t>
  </si>
  <si>
    <t>11211-Contractors’ Equipment – ladders, scaffolds, scaffolding, sidewalks, bridges, towers and equipment incidental thereto – rented to others (7353)</t>
  </si>
  <si>
    <t>11212-Contractors’ Equipment – scaffolds, sidewalks, bridges, hod or material hoist towers – rented to others – installation, repair or removal operations only (7353)</t>
  </si>
  <si>
    <t>11213-Contractors’ Equipment – steam boilers, compressors, air pressure tanks, pneumatic tools and equipment incidental thereto – rented to others with operators (7353)</t>
  </si>
  <si>
    <t>11214-Contractors’ Equipment – steam boilers, compressors, air pressure tanks, pneumatic tools and equipment incidental thereto – rented to others without operators (7353)</t>
  </si>
  <si>
    <t>11222-Copying and Duplicating Services – retail (7334)</t>
  </si>
  <si>
    <t>11234-Cosmetic, Hair or Skin Preparation Stores (5999)</t>
  </si>
  <si>
    <t>11248-Cotton or Wool Merchants (5159)</t>
  </si>
  <si>
    <t>11258-Dairy Products or Butter and Egg Stores (5451)</t>
  </si>
  <si>
    <t>11259-Dairy Products or Butter and Egg Stores (5451)</t>
  </si>
  <si>
    <t>11273-Dance Halls or Ballrooms (7911)</t>
  </si>
  <si>
    <t>11274-Dance Halls or Ballrooms (7911)</t>
  </si>
  <si>
    <t>11288-Delicatessens (5411)</t>
  </si>
  <si>
    <t>12014-Dental Laboratories (8072, 8071)</t>
  </si>
  <si>
    <t>12356-Department or Discount Stores (5311, 5331)</t>
  </si>
  <si>
    <t>12361-Distributors – food or drink – NOC (5141, 5143, 5149)</t>
  </si>
  <si>
    <t>12362-Distributors – no food or drink – NOC (50, 511, 512, 513, 519)</t>
  </si>
  <si>
    <t>12373-Drug Distributors (5122)</t>
  </si>
  <si>
    <t>12374-Drugstores – no table or counter service for beverage or food (5912)</t>
  </si>
  <si>
    <t>12375-Drugstores – NOC (5912)</t>
  </si>
  <si>
    <t>12391-Electrical Equipment Distributors (5063)</t>
  </si>
  <si>
    <t>12393-Electronics Stores (5731)</t>
  </si>
  <si>
    <t>12467-Equipment, Fixtures or Supplies – for bars, hotels, offices, restaurants or stores – distributors (5046)</t>
  </si>
  <si>
    <t>12509-Fabric Distributors (5131)</t>
  </si>
  <si>
    <t>12510-Fabric Stores (5949)</t>
  </si>
  <si>
    <t>12583-Feed, Grain or Hay Dealers (5153, 5191)</t>
  </si>
  <si>
    <t>12651-Fence Dealers (5211)</t>
  </si>
  <si>
    <t>12683-Fertilizer Dealers and Distributors (5191)</t>
  </si>
  <si>
    <t>12707-Fire Protection Equipment Dealers and Distributors (5099, 5063)</t>
  </si>
  <si>
    <t>12797-Floor Covering Distributors (5023)</t>
  </si>
  <si>
    <t>12805-Floor Covering Stores (5713)</t>
  </si>
  <si>
    <t>12841-Florists (5992)</t>
  </si>
  <si>
    <t>12927-Formal Wear or Costumes – rented to others (7299)</t>
  </si>
  <si>
    <t>13049-Frozen Food – distributors (5142)</t>
  </si>
  <si>
    <t>13111-Fruit or Vegetable Dealers (5431)</t>
  </si>
  <si>
    <t>13112-Fruit or Vegetable Distributors (5148)</t>
  </si>
  <si>
    <t>13201-Fuel Dealers or Distributors – coal or wood (5989, 5052)</t>
  </si>
  <si>
    <t>13204-Fuel Oil or Kerosene Dealers (5983)</t>
  </si>
  <si>
    <t>13205-Fuel Oil or Kerosene Distributors (5172)</t>
  </si>
  <si>
    <t>13314-Fur – Garments and pelts – distributors (5137)</t>
  </si>
  <si>
    <t>13351-Furniture Stores (5712)</t>
  </si>
  <si>
    <t>13352-Furniture Stores (5712)</t>
  </si>
  <si>
    <t>13410-Gas Dealers – LPG (5984)</t>
  </si>
  <si>
    <t>13411-Gas Dealers or Distributors – NOC (5984, 5169)</t>
  </si>
  <si>
    <t>13412-Gas Distributors – LPG (5171)</t>
  </si>
  <si>
    <t>13453-Gasoline Stations – full service (5541)</t>
  </si>
  <si>
    <t>13454-Gasoline Stations – self-service (5541)</t>
  </si>
  <si>
    <t>13455-Gasoline Stations – self and full service combined (5541)</t>
  </si>
  <si>
    <t>13506-Gift Shops (5399)</t>
  </si>
  <si>
    <t>13507-Gift Shops (5399)</t>
  </si>
  <si>
    <t>13590-Glass Dealers and Glaziers (1793, 5231)</t>
  </si>
  <si>
    <t>13621-Grain Milling (2041, 2044, 2046)</t>
  </si>
  <si>
    <t>13670-Grocery Distributors (5141)</t>
  </si>
  <si>
    <t>13673-Grocery Stores-NOC (5411)</t>
  </si>
  <si>
    <t>13715-Hardware and Tool Distributors (5072)</t>
  </si>
  <si>
    <t>13716-Hardware Stores (5251)</t>
  </si>
  <si>
    <t>13720-Health or Natural Food Stores (5499)</t>
  </si>
  <si>
    <t>13759-Hearing Aid Stores (5999)</t>
  </si>
  <si>
    <t>13930-Heating or Combined Heating and Air Conditioning Equipment – dealers or distributors only (5074, 5075)</t>
  </si>
  <si>
    <t>14068-Hide Dealers and Distributors – raw (5159, 5999)</t>
  </si>
  <si>
    <t>14101-Hobby, Craft or Artist’s Supply Stores (5945, 5999)</t>
  </si>
  <si>
    <t>14279-Home Improvement Stores (5251, 5211, 5231)</t>
  </si>
  <si>
    <t>14401-Ice Cream Stores (5451, 5812)</t>
  </si>
  <si>
    <t>14405-Ice Dealers and Distributors (5999, 5199)</t>
  </si>
  <si>
    <t>14527-Janitorial Supplies – dealers or distributors (5087)</t>
  </si>
  <si>
    <t>14655-Jewelry Stores or Distributors (5944)</t>
  </si>
  <si>
    <t>14731-Laundries and Dry Cleaners – self-service (7215)</t>
  </si>
  <si>
    <t>14732-Laundry and Dry Cleaning or Dyeing Receiving Stations (7212)</t>
  </si>
  <si>
    <t>14733-Laundry and Dry Cleaning Stores (7211)</t>
  </si>
  <si>
    <t>14734-Laundry Rental Service (7213, 7219)</t>
  </si>
  <si>
    <t>14855-Livestock Dealers or Commission Merchants (5154)</t>
  </si>
  <si>
    <t>14913-Locksmiths (7699)</t>
  </si>
  <si>
    <t>15060-Machinery or Equipment Dealers – construction or industrial – mobile type (5082, 5084)</t>
  </si>
  <si>
    <t>15061-Machinery or Equipment Dealers – farm type (5083)</t>
  </si>
  <si>
    <t>15062-Machinery or Equipment Dealers – NOC (5087, 5088)</t>
  </si>
  <si>
    <t>15063-Machinery or Equipment Dealers – yard or garden type (5083)</t>
  </si>
  <si>
    <t>15070-Mail Box or Packaging Stores (7389)</t>
  </si>
  <si>
    <t>15119-Markets – not open air (lessor’s risk only) (6519)</t>
  </si>
  <si>
    <t>15120-Markets – not open air (lessor’s risk only) (6519)</t>
  </si>
  <si>
    <t>15123-Markets – open air (lessor’s risk only) (6519)</t>
  </si>
  <si>
    <t>15124-Markets – open air (lessor’s risk only) (6519)</t>
  </si>
  <si>
    <t>15188-Oil or Gas Wells Supplies or Equipment Dealers – secondhand (5084)</t>
  </si>
  <si>
    <t>15223-Meat, Fish, Poultry or Seafood – distributors (5144, 5146, 5147)</t>
  </si>
  <si>
    <t>15224-Meat, Fish, Poultry or Seafood Stores (5421)</t>
  </si>
  <si>
    <t>15300-Medical, Hospital and Surgical Equipment and Supplies – rented to others (7352)</t>
  </si>
  <si>
    <t>15314-Medical, Hospital and Surgical Supply Stores (5122, 5047)</t>
  </si>
  <si>
    <t>15404-Metal Dealers or Distributors – nonstructural (5051)</t>
  </si>
  <si>
    <t>15405-Metal Dealers or Distributors – structural (5039)</t>
  </si>
  <si>
    <t>15406-Metal Scrap Dealers (5093)</t>
  </si>
  <si>
    <t>15488-Mobile Home Sales Agencies (5271)</t>
  </si>
  <si>
    <t>15538-Musical Instrument Stores (5736)</t>
  </si>
  <si>
    <t>15600-Nail Salons (7231)</t>
  </si>
  <si>
    <t>15607-Newspaper or Magazine Distributors (5192)</t>
  </si>
  <si>
    <t>15608-Newsstands (5994)</t>
  </si>
  <si>
    <t>15656-Nightclubs, Cabarets and Comedy Clubs (5813)</t>
  </si>
  <si>
    <t>15699-Nursery – garden (5261)</t>
  </si>
  <si>
    <t>15733-Oil Refineries (2911)</t>
  </si>
  <si>
    <t>15839-Optical Goods Stores (5995)</t>
  </si>
  <si>
    <t>15991-Paint, Wallpaper or Wallcovering Stores (5231)</t>
  </si>
  <si>
    <t>15993-Painting, Picture or Frame Stores (5999)</t>
  </si>
  <si>
    <t>16005-Paper Products Distributors (511)</t>
  </si>
  <si>
    <t>16009-Paper, Rag or Rubber Stock Dealers and Distributors – secondhand (5093)</t>
  </si>
  <si>
    <t>16402-Pet Grooming (5999)</t>
  </si>
  <si>
    <t>16403-Pet Stores (5999)</t>
  </si>
  <si>
    <t>16404-Pet Training (5999)</t>
  </si>
  <si>
    <t>16471-Photographers (7221)</t>
  </si>
  <si>
    <t>16501-Plastic or Rubber Supply Goods Distributors (5085, 5162)</t>
  </si>
  <si>
    <t>16527-Plumbing and Fixtures Supplies – dealers and distributors (5074)</t>
  </si>
  <si>
    <t>16588-Printers or Electrotypers Supplies – distributors (5084)</t>
  </si>
  <si>
    <t>16604-Produce Handling or Packing (0723)</t>
  </si>
  <si>
    <t>16670-Racquet Sports and Handball Facilities – commercially operated (7999)</t>
  </si>
  <si>
    <t>16676-Music Stores – Pre-recorded (5735, 5736)</t>
  </si>
  <si>
    <t>16694-Recreational Vehicle Dealers (5561)</t>
  </si>
  <si>
    <t>16705-Refrigeration Equipment – dealers and distributors only – commercial (5078)</t>
  </si>
  <si>
    <t>16722-Rental Stores – NOC (7359, 7299)</t>
  </si>
  <si>
    <t>16723-Rental Stores – machinery or equipment – rented to others on a long-term basis (7352, 7359)</t>
  </si>
  <si>
    <t>16750-Internet Retailers (7379)</t>
  </si>
  <si>
    <t>16819-Restaurants – operated by concessionaires (5812)</t>
  </si>
  <si>
    <t>16820-Restaurants – operated by concessionaires (5812)</t>
  </si>
  <si>
    <t>16881-Secondhand or Salvage Dealers and Distributors (5932, 5093)</t>
  </si>
  <si>
    <t>16890-Seed Merchants – excluding misdelivery and germination failure (5191)</t>
  </si>
  <si>
    <t>16891-Seed Merchants (5191)</t>
  </si>
  <si>
    <t>16892-Seed Merchants – excluding germination failure (5191)</t>
  </si>
  <si>
    <t>16900-Restaurants – with no sale of alcoholic beverages – with table service (5812)</t>
  </si>
  <si>
    <t>16901-Restaurants – with no sale of alcoholic beverages – withour table service with seating (5812)</t>
  </si>
  <si>
    <t>16902-Restaurants – with no sale of alcoholic beverages – without seating (5812)</t>
  </si>
  <si>
    <t>16910-Restaurants -with sale of alcoholic beverages that are less than 30% of the annual receipts of the restaurants – with table service (5812)</t>
  </si>
  <si>
    <t>16911-Restaurants -with sale of alcoholic beverages that are less than 30% of the annual receipts of the restaurants – without table service with seating (5812)</t>
  </si>
  <si>
    <t>16915-Restaurants -with sale of alcoholic beverages that are 30% or more of but less than 75% of the total annual receipts of the restaurants – with dance floor (5812)</t>
  </si>
  <si>
    <t>16916-Restaurants -with sale of alcoholic beverages that are 30% or more of but less than 75% of the total annual receipts of the restaurants – without dance floor (5812)</t>
  </si>
  <si>
    <t>16920-Restaurants -with sale of alcoholic beverages that are 75% or more of the total annual receipts of the restaurants – with tables- with dance floor: table service (5812)</t>
  </si>
  <si>
    <t>16921-Restaurants -with sale of alcoholic beverages that are 75% or more of the total annual receipts of the restaurants – with tables- with dance floor: no table service (5813)</t>
  </si>
  <si>
    <t>16930-Restaurants -with sale of alcoholic beverages that are 75% or more of the total annual receipts of the restaurants – with tables- without dance floor: table service (5813)</t>
  </si>
  <si>
    <t>16931-Restaurants -with sale of alcoholic beverages that are 75% or more of the total annual receipts of the restaurants – with tables- without dance floor: no table service (5813)</t>
  </si>
  <si>
    <t>16940-Restaurants -with sale of alcoholic beverages that are 75% or more of the total annual receipts of the restaurants – bar service only (no tables):- with dance floor (5813)</t>
  </si>
  <si>
    <t>16941-Restaurants -with sale of alcoholic beverages that are 75% or more of the total annual receipts of the restaurants – bar service only (no tables):- without dance floor (5813) 18078 Ship Chandler Stores (5999)</t>
  </si>
  <si>
    <t>18109-Shoe Repair Shops (7251)</t>
  </si>
  <si>
    <t>18110-Shoe Stores (5661)</t>
  </si>
  <si>
    <t>18200-Spas or Personal Enhancement Facilities (7991)</t>
  </si>
  <si>
    <t>18205-Sporting Goods or Athletic Equipment Distributors (5091)</t>
  </si>
  <si>
    <t>18206-Sporting Goods or Athletic Equipment Stores (5941)</t>
  </si>
  <si>
    <t>18335-Stationery or Paper Products Stores (5943)</t>
  </si>
  <si>
    <t>18435-Stores – NOC – food or drink (5499)</t>
  </si>
  <si>
    <t>18436-Stores – NOC – food or drink (5499)</t>
  </si>
  <si>
    <t>18437-Stores – NOC – no food or drink (See Note 2 – Bottom of Page 407)</t>
  </si>
  <si>
    <t>18438-Stores – NOC – no food or drink (See Note 2 – Bottom of Page 407)</t>
  </si>
  <si>
    <t>18501-Supermarkets (5411)</t>
  </si>
  <si>
    <t>18506-Tailor Merchants – men or boys (5699)</t>
  </si>
  <si>
    <t>18507-Tailoring or Dressmaking Establishments – custom (5699)</t>
  </si>
  <si>
    <t>18570-Tattoo Parlors (7299)</t>
  </si>
  <si>
    <t>18575-Telecommunication Equipment Providers (4812, 4813)</t>
  </si>
  <si>
    <t>18616-Tire Dealers (5531)</t>
  </si>
  <si>
    <t>18707-Tobacco Products Distributors (5194)</t>
  </si>
  <si>
    <t>18708-Tobacco Products Stores (5993)</t>
  </si>
  <si>
    <t>18833-Toy Distributors (5092)</t>
  </si>
  <si>
    <t>18834-Toy Stores (5945)</t>
  </si>
  <si>
    <t>18911-Variety Stores (5331)</t>
  </si>
  <si>
    <t>18912-Variety Stores (5331)</t>
  </si>
  <si>
    <t>18920-Video Stores (7841)</t>
  </si>
  <si>
    <t>18991-Warehouses – miniwarehouses (4225)</t>
  </si>
  <si>
    <t>19007-Washing Machines, Dryers or Ironers – coin meter types (7215)</t>
  </si>
  <si>
    <t>19051-Water Softening Equipment – rented to others (7359)</t>
  </si>
  <si>
    <t>19795-Trailer Dealers (5531)</t>
  </si>
  <si>
    <t>19796-Trailer Retail Agencies (5531)</t>
  </si>
  <si>
    <t>40005-Adult Day Care (8322)</t>
  </si>
  <si>
    <t>40006-Adult Day Care (8322)</t>
  </si>
  <si>
    <t>40010-Airports – commercial (4581)</t>
  </si>
  <si>
    <t>40015-Airports – private (4581)</t>
  </si>
  <si>
    <t>40020-Airport Control Towers – not operated exclusively by the Civil Aeronautics Authority (4581)</t>
  </si>
  <si>
    <t>40026-Airport – lessees of portions of airports engaged in the sale of aircraft or accessories, servicing or repairing of aircraft, or pilot instructions (4581)</t>
  </si>
  <si>
    <t>40031-Ambulance Service, First Aid or Rescue Squads (4119)</t>
  </si>
  <si>
    <t>40032-Ambulance Service, First Aid or Rescue Squads (4119)</t>
  </si>
  <si>
    <t>40040-Amusement Devices – NOC (7993)</t>
  </si>
  <si>
    <t>40041-Amusement Devices – operated in connection with carnivals or fairs (7999)</t>
  </si>
  <si>
    <t>40042-Amusement Devices – operated in connection with carnivals or fairs (7999)</t>
  </si>
  <si>
    <t>40045-Animals – draft (4789)</t>
  </si>
  <si>
    <t>40046-Animals – saddle – for rent (7999)</t>
  </si>
  <si>
    <t>40047-Animals – saddle – private (See Note 1 – Bottom of Page 407)</t>
  </si>
  <si>
    <t>40059-Athletic Games Sponsored by the Insured (799, 7941)</t>
  </si>
  <si>
    <t>40061-Athletic Games Sponsored by the Insured (799, 7941)</t>
  </si>
  <si>
    <t>40063-Athletic or Sports Contests – in buildings – lessees (799, 7941)</t>
  </si>
  <si>
    <t>40064-Athletic or Sports Contests – in buildings – lessees (799, 7941)</t>
  </si>
  <si>
    <t>40066-Athletic Programs – amateur (799, 7941)</t>
  </si>
  <si>
    <t>40067-Athletic Programs – amateur (799, 7941)</t>
  </si>
  <si>
    <t>40069-Athletic Teams – professional or semiprofessional (7941)</t>
  </si>
  <si>
    <t>40072-Beaches – bathing – not commercially operated (7999, 7997)</t>
  </si>
  <si>
    <t>40075-Bingo Games – in public halls or theaters – commercially operated (7999)</t>
  </si>
  <si>
    <t>40101-Blood Banks (8099)</t>
  </si>
  <si>
    <t>40102-Blood Banks (8099)</t>
  </si>
  <si>
    <t>40111-Boats – canoes or rowboats – not for rent – not equipped with motors (7999)</t>
  </si>
  <si>
    <t>40115-Boats – motor or sail – not for rent (See Note 1 – Bottom of Page 407)</t>
  </si>
  <si>
    <t>40117-Boats – NOC – not for rent (See Note 1 – Bottom of Page 407)</t>
  </si>
  <si>
    <t>40140-Boats – non-owned over 26 feet (7999)</t>
  </si>
  <si>
    <t>41001-Boy or Girl Scout Councils (8641)</t>
  </si>
  <si>
    <t>41210-Bus Stations or Terminals (4173)</t>
  </si>
  <si>
    <t>41421-Camps – for profit (7032)</t>
  </si>
  <si>
    <t>41422-Camps – not for profit (7032)</t>
  </si>
  <si>
    <t>41510-Caves – tourist attraction (7999)</t>
  </si>
  <si>
    <t>41603-Cemeteries (6553)</t>
  </si>
  <si>
    <t>41604-Cemeteries (6553)</t>
  </si>
  <si>
    <t>41650-Churches or Other Houses of Worship (8661)</t>
  </si>
  <si>
    <t>41664-Clubs – horseback riding – no commercial riding instructions (7997)</t>
  </si>
  <si>
    <t>41665-Clubs – racquet sports and handball (7997)</t>
  </si>
  <si>
    <t>41666-Clubs – swimming (7997)</t>
  </si>
  <si>
    <t>41667-Clubs – civic, service or social – having buildings or premises owned or leased (8641)</t>
  </si>
  <si>
    <t>41668-Clubs – civic, service or social – having buildings or premises owned or leased (8641)</t>
  </si>
  <si>
    <t>41669-Clubs – civic, service or social – no buildings or premises owned or leased except for office purposes (8641)</t>
  </si>
  <si>
    <t>41670-Clubs – civic, service or social – no buildings or premises owned or leased except for office purposes (8641)</t>
  </si>
  <si>
    <t>41672-Conventions (sponsor’s risk only) (7389)</t>
  </si>
  <si>
    <t>41673-Conventions (sponsor’s risk only) (7389)</t>
  </si>
  <si>
    <t>41675-Computer Consulting or Programming (7371, 7379)</t>
  </si>
  <si>
    <t>41677-Consultants – NOC (8742, 8748)</t>
  </si>
  <si>
    <t>41678-Community Recreational Facilities (7999)</t>
  </si>
  <si>
    <t>41679-Cotton Gin Operations (0724)</t>
  </si>
  <si>
    <t>41680-Convents or Monasteries (8661)</t>
  </si>
  <si>
    <t>41696-Crematories (7261)</t>
  </si>
  <si>
    <t>41697-Crematories (7261)</t>
  </si>
  <si>
    <t>41700-Dam, Levee or Dike – existence hazard only (See Note 1 – Bottom of Page 407)</t>
  </si>
  <si>
    <t>41715-Day Care Centers (8351)</t>
  </si>
  <si>
    <t>41716-Day Care Centers (8351)</t>
  </si>
  <si>
    <t>43007-Drawbridges – existence hazard only (See Note 1 – Bottom of Page 407)</t>
  </si>
  <si>
    <t>43117-Dude Ranches (7032)</t>
  </si>
  <si>
    <t>43151-Computer Data Processing Operations (7374)</t>
  </si>
  <si>
    <t>43152-Computer Data Processing – time-sharing (7374)</t>
  </si>
  <si>
    <t>43200-Employment Agencies (7361)</t>
  </si>
  <si>
    <t>43215-Entertainment Performed on Others’ Premises (7929)</t>
  </si>
  <si>
    <t>43421-Exhibitions – outside – in stadiums or on premises having grandstands or bleachers not erected by or for the insured – ushers or other attendants in stands not provided by the insured (7999)</t>
  </si>
  <si>
    <t>43422-Exhibitions – outside – in stadiums or on premises having grandstands or bleachers – ushers or other attendants in stands provided by the insured (7999)</t>
  </si>
  <si>
    <t>43424-Exhibitions – outside – no stadiums or grandstands (7999)</t>
  </si>
  <si>
    <t>43470-Pest Control Services (7342)</t>
  </si>
  <si>
    <t>43517-Fair Grounds – non-operating season (7999)</t>
  </si>
  <si>
    <t>43518-Fairs – outside (operator’s risk only) (7999)</t>
  </si>
  <si>
    <t>43550-Fire Departments – NOC (9224)</t>
  </si>
  <si>
    <t>43551-Fire Departments – volunteers (9224)</t>
  </si>
  <si>
    <t>43626-Fireworks Exhibitions (contractor’s risk only) (7999)</t>
  </si>
  <si>
    <t>43628-Fireworks Exhibitions (sponsor’s risk only) (7999)</t>
  </si>
  <si>
    <t>43629-Fireworks Exhibitions (sponsor’s risk only) (7999)</t>
  </si>
  <si>
    <t>43754-Fishing Piers (7999)</t>
  </si>
  <si>
    <t>43760-Fishing Ponds or Lakes – commercially operated (7999)</t>
  </si>
  <si>
    <t>43822-Forestry Service (0851)</t>
  </si>
  <si>
    <t>43840-Fruit or Vegetable – harvesting contractors (0722, 0761)</t>
  </si>
  <si>
    <t>43860-Fumigating (7342)</t>
  </si>
  <si>
    <t>43889-Funeral Homes or Chapels (7261)</t>
  </si>
  <si>
    <t>43945-Garbage or Refuse Dumps (4953)</t>
  </si>
  <si>
    <t>43946-Garbage Works – separation for recycling, reduction or incineration (4953)</t>
  </si>
  <si>
    <t>43990-Gambling – Casinos (7993, 7999)</t>
  </si>
  <si>
    <t>43991-Gambling – incidental to other operations (7993, 7999)</t>
  </si>
  <si>
    <t>44009-Gasoline or Oil Supply Stations – retail (lessor’s risk only) (6512)</t>
  </si>
  <si>
    <t>44010-Gasoline Recovery – from casing head or natural gas (1321)</t>
  </si>
  <si>
    <t>44069-Golf Courses – miniature (7999)</t>
  </si>
  <si>
    <t>44070-Golf Courses – municipal or public – not golf or country clubs (7992)</t>
  </si>
  <si>
    <t>44071-Golf Driving Ranges (7999)</t>
  </si>
  <si>
    <t>44072-Golfmobiles – loaned or rented to others (7999)</t>
  </si>
  <si>
    <t>44100-Governmental Subdivision – not state or federal municipalities – population under 2,500 (9999)</t>
  </si>
  <si>
    <t>44101-Governmental Subdivision – not state or federal municipalities – population 2,501-10,000 (9999)</t>
  </si>
  <si>
    <t>44102-Governmental Subdivision – not state or federal municipalities – population 10,001-25,000 (9999)</t>
  </si>
  <si>
    <t>44103-Governmental Subdivision – not state or federal municipalities – population 25,001-50,000 (9999)</t>
  </si>
  <si>
    <t>44104-Governmental Subdivision – not state or federal municipalities – population 50,001-100,000 (9999)</t>
  </si>
  <si>
    <t>44105-Governmental Subdivision – not state or federal municipalities – population 100,001-250,000 (9999)</t>
  </si>
  <si>
    <t>44106-Governmental Subdivision – not state or federal municipalities – population over 250,000 (9999)</t>
  </si>
  <si>
    <t>44108-Governmental Subdivision – not state or federal counties or parishes – population under 10,000 (9999)</t>
  </si>
  <si>
    <t>44109-Governmental Subdivision – not state or federal counties or parishes – population 10,001 – 25,000 (9999)</t>
  </si>
  <si>
    <t>44110-Governmental Subdivision – not state or federal counties or parishes – population 25,001 – 50,000 (9999)</t>
  </si>
  <si>
    <t>44111-Governmental Subdivision – not state or federal counties or parishes – population 50,001 – 100,000 (9999)</t>
  </si>
  <si>
    <t>44112-Governmental Subdivision – not state or federal counties or parishes – population 100,001 – 250,000 (9999)</t>
  </si>
  <si>
    <t>44113-Governmental Subdivision – not state or federal counties or parishes – population over 250,000 (9999)</t>
  </si>
  <si>
    <t>44193-Grandstands or Bleachers (7999)</t>
  </si>
  <si>
    <t>44194-Grandstands or Bleachers (7999)</t>
  </si>
  <si>
    <t>44222-Guides or Outfitters (7999)</t>
  </si>
  <si>
    <t>44276-Halls (6512)</t>
  </si>
  <si>
    <t>44277-Halls (6512)</t>
  </si>
  <si>
    <t>44311-Health or Exercise Clubs (7991)</t>
  </si>
  <si>
    <t>44315-Health or Exercise Facilities – commercially operated (7991)</t>
  </si>
  <si>
    <t>44427-Health Care Facilities – alcohol and drug (8069)</t>
  </si>
  <si>
    <t>44428-Health Care Facilities – alcohol and drug (8069)</t>
  </si>
  <si>
    <t>44429-Health Care Facilities – convalescent or nursing homes – not mental-psychopathic institutions (8051, 8052)</t>
  </si>
  <si>
    <t>44430-Health Care Facilities – convalescent or nursing homes – not mental-psychopathic institutions (8051, 8052)</t>
  </si>
  <si>
    <t>44431-Health Care Facilities – homes for the aged (8059, 8361)</t>
  </si>
  <si>
    <t>44432-Health Care Facilities – homes for the aged (8059, 8361)</t>
  </si>
  <si>
    <t>44433-Health Care Facilities – homes for the physically handicapped or orphaned (8059, 8361)</t>
  </si>
  <si>
    <t>44434-Health Care Facilities – homes for the physically handicapped or orphaned (8059, 8361)</t>
  </si>
  <si>
    <t>44435-Health Care Facilities – hospitals (8062, 8069)</t>
  </si>
  <si>
    <t>44436-Health Care Facilities – hospitals (8062, 8069)</t>
  </si>
  <si>
    <t>44437-Health Care Facilities – mental – psychopathic institutions (8063)</t>
  </si>
  <si>
    <t>44438-Health Care Facilities – mental – psychopathic institutions (8063)</t>
  </si>
  <si>
    <t>44439-Health Care Facilities – clinics, dispensaries or infirmaries treating out-patients only – no regular bed and board facilities (8011, 8031, 804)</t>
  </si>
  <si>
    <t>44440-Health Care Facilities – clinics, dispensaries or infirmaries treating out-patients only – no regular bed and board facilities (8011, 8031, 804)</t>
  </si>
  <si>
    <t>44500-Home Health Care Services (8082)</t>
  </si>
  <si>
    <t>44501-Home Health Care Services (8082)</t>
  </si>
  <si>
    <t>45190-Hotels and Motels – with pools or beaches – less than 4 stories (7011)</t>
  </si>
  <si>
    <t>45191-Hotels and Motels – with pools or beaches – 4 stories or more (7011)</t>
  </si>
  <si>
    <t>45192-Hotels and Motels – without pools or beaches – less than 4 stories (7011)</t>
  </si>
  <si>
    <t>45193-Hotels and Motels – without pools or beaches – 4 stories or more (7011)</t>
  </si>
  <si>
    <t>45224-Hunting Preserves (0971)</t>
  </si>
  <si>
    <t>45225-Hunting Preserves (0971)</t>
  </si>
  <si>
    <t>45334-Insurance Agents (6411)</t>
  </si>
  <si>
    <t>45380-Junk Dealers (5093)</t>
  </si>
  <si>
    <t>45450-Kennels – breeding, boarding or sales (0279, 0752)</t>
  </si>
  <si>
    <t>45523-Lakes or Reservoirs – existence hazard only (See Note 1 – Bottom of Page 407)</t>
  </si>
  <si>
    <t>45524-Lakes or Reservoirs – existence hazard only (See Note 1 – Bottom of Page 407)</t>
  </si>
  <si>
    <t>45539-Land – occupied by persons other than the insured for business purposes (lessor’s risk only) (6519)</t>
  </si>
  <si>
    <t>45678-Laundries and Dry Cleaning Plants (7216)</t>
  </si>
  <si>
    <t>45771-Livestock Sales Companies (5154)</t>
  </si>
  <si>
    <t>45819-Lumberyards (5031)</t>
  </si>
  <si>
    <t>45900-Mail Order or Online Drugstores (5961)</t>
  </si>
  <si>
    <t>45901-Mail Order Houses (5961)</t>
  </si>
  <si>
    <t>45937-Mailing or Addressing Companies (7331)</t>
  </si>
  <si>
    <t>45993-Manufacturers Representatives (See Note 2 – Bottom of Page 407)</t>
  </si>
  <si>
    <t>46004-Mausoleums (6553)</t>
  </si>
  <si>
    <t>46005-Mausoleums (6553)</t>
  </si>
  <si>
    <t>46112-Diagnostic Testing Laboratories (8071)</t>
  </si>
  <si>
    <t>46202-Mobile Home Parks or Courts (6515)</t>
  </si>
  <si>
    <t>46362-Model Homes (See Note 1 – Bottom of Page 407)</t>
  </si>
  <si>
    <t>46426-Museums (8412)</t>
  </si>
  <si>
    <t>46427-Museums (8412)</t>
  </si>
  <si>
    <t>46510-Oil or Gas Wells – non-operating working interest (6792)</t>
  </si>
  <si>
    <t>46590-Parades (7999)</t>
  </si>
  <si>
    <t>46603-Parking – public – not open air (7521)</t>
  </si>
  <si>
    <t>46604-Parking – public – open air (7521)</t>
  </si>
  <si>
    <t>46606-Parking – public – shopping centers – maintained by lessee (lessor’s risk only) (6519)</t>
  </si>
  <si>
    <t>46607-Parking – public – maintained by the insured (lessor’s risk only) (7521)</t>
  </si>
  <si>
    <t>46622-Parking – private (7521)</t>
  </si>
  <si>
    <t>46671-Parks or Playgrounds (See Note 1 – Bottom of Page 407)</t>
  </si>
  <si>
    <t>46700-Penal Institutions (9223)</t>
  </si>
  <si>
    <t>46773-Picnic Grounds – commercially operated (7999)</t>
  </si>
  <si>
    <t>46822-Political Campaign Headquarters or Offices (8651)</t>
  </si>
  <si>
    <t>46881-Professional and Trade Associations – no building or premises owned or leased except as offices (8621)</t>
  </si>
  <si>
    <t>46882-Professional and Trade Associations – no building or premises owned or leased except as offices (8621)</t>
  </si>
  <si>
    <t>46911-Race Tracks – motorized vehicles – operators (7948)</t>
  </si>
  <si>
    <t>46912-Race Tracks – NOC – operators (7948)</t>
  </si>
  <si>
    <t>46913-Race Tracks – motorized vehicles (lessor’s risk only) (6519)</t>
  </si>
  <si>
    <t>46914-Racing – NOC – (lessor’s risk only) (6519)</t>
  </si>
  <si>
    <t>46915-Race Tracks – motorized vehicles (sponsor’s risk only) (7948)</t>
  </si>
  <si>
    <t>46916-Racing – NOC – (sponsor’s risk only) (7948)</t>
  </si>
  <si>
    <t>47050-Real Estate Agents (6531)</t>
  </si>
  <si>
    <t>47051-Real Estate Development Property (6552)</t>
  </si>
  <si>
    <t>47052-Real Estate Property Managed (6531)</t>
  </si>
  <si>
    <t>47103-Recording Studios (7389)</t>
  </si>
  <si>
    <t>47146-Recycling Collection Centers (4953)</t>
  </si>
  <si>
    <t>47147-Recycling Collection Centers (4953)</t>
  </si>
  <si>
    <t>47221-Riding Academies (7997, 7999)</t>
  </si>
  <si>
    <t>47253-Rifle or Pistol Ranges – indoor (7997, 7999)</t>
  </si>
  <si>
    <t>47254-Rifle or Pistol Ranges – NOC (7997, 7999)</t>
  </si>
  <si>
    <t>47318-Rodeos (7949, 7999)</t>
  </si>
  <si>
    <t>47367-Sales or Service Organizations (7389)</t>
  </si>
  <si>
    <t>47420-Saunas and Baths – public (7999)</t>
  </si>
  <si>
    <t>47468-Schools – correspondence (8249)</t>
  </si>
  <si>
    <t>47469-Schools – faculty liability for corporal punishment of pupils (See Note 1 – Bottom of Page 407)</t>
  </si>
  <si>
    <t>47471-Schools – public – elementary, kindergarten or junior high (8211)</t>
  </si>
  <si>
    <t>47473-Schools – public – high (8211)</t>
  </si>
  <si>
    <t>47474-Schools – trade or vocational (824)</t>
  </si>
  <si>
    <t>47475-Schools – private – elementary, kindergarten or junior high (8211)</t>
  </si>
  <si>
    <t>47476-Schools – private – elementary, kindergarten or junior high (8211)</t>
  </si>
  <si>
    <t>47477-Schools – private – high (8211)</t>
  </si>
  <si>
    <t>47478-Schools – private – high (8211)</t>
  </si>
  <si>
    <t>47600-Internet Access Providers (7379)</t>
  </si>
  <si>
    <t>47610-Internet Service Providers (7379)</t>
  </si>
  <si>
    <t>48039-Sewers (See Note 1 – Bottom of Page 407)</t>
  </si>
  <si>
    <t>48177-Skating Rinks – ice (7999)</t>
  </si>
  <si>
    <t>48178-Skating Rinks – roller (7999)</t>
  </si>
  <si>
    <t>48206-Skeet Shooting or Trap Shooting Ranges (7999)</t>
  </si>
  <si>
    <t>48252-Ski Lifts, Tows or Runs (7999)</t>
  </si>
  <si>
    <t>48441-Soap Box Derbies (7999)</t>
  </si>
  <si>
    <t>48557-Social Gatherings and Meetings – on premises not owned or operated by insured (See Note 1 – Bottom of Page 407)</t>
  </si>
  <si>
    <t>48558-Social Gatherings and Meetings – on premises not owned or operated by insured (See Note 1 – Bottom of Page 407)</t>
  </si>
  <si>
    <t>48600-Social Services – consulting services only – operated by the private sector (8399)</t>
  </si>
  <si>
    <t>48610-Sports or Outdoor Activities – commercially operated (7999)</t>
  </si>
  <si>
    <t>48636-Stockyards (0211, 4789)</t>
  </si>
  <si>
    <t>48637-Stadiums – operated by insured (6512, 7941)</t>
  </si>
  <si>
    <t>48638-Stadiums – operated by insured (6512, 7941)</t>
  </si>
  <si>
    <t>48727-Streets, Roads, Highways or Bridges – existence and maintenance hazard only (See Note 1 – Bottom of Page 406)</t>
  </si>
  <si>
    <t>48808-Sun Tanning Salons (7299)</t>
  </si>
  <si>
    <t>48924-Swimming Pools – commercially operated (7997, 7999)</t>
  </si>
  <si>
    <t>48925-Swimming Pools – NOC (7997, 7999)</t>
  </si>
  <si>
    <t>49005-Taxidermists (7699)</t>
  </si>
  <si>
    <t>49111-Tents or Canopies – loaned or rented to others (7359)</t>
  </si>
  <si>
    <t>49181-Theaters – drive-in (7833)</t>
  </si>
  <si>
    <t>49183-Theaters – motion pictures (7832)</t>
  </si>
  <si>
    <t>49184-Theaters – NOC (6512)</t>
  </si>
  <si>
    <t>49185-Theaters – NOC (6512)</t>
  </si>
  <si>
    <t>49239-Tires – retreading or recapping (7534)</t>
  </si>
  <si>
    <t>49292-Toll Bridges (4785)</t>
  </si>
  <si>
    <t>49333-Travel Agency Tours (4725)</t>
  </si>
  <si>
    <t>49451-Vacant Land (See Note 2 – Bottom of Page 406)</t>
  </si>
  <si>
    <t>49452-Vacant Land (See Note 2 – Bottom of Page 406)</t>
  </si>
  <si>
    <t>49617-Vending Machine Operations – confection, food, beverage or ice (5962)</t>
  </si>
  <si>
    <t>49618-Vending Machine Operations – tobacco products (5962)</t>
  </si>
  <si>
    <t>49619-Vending Machine Operations – NOC (5962)</t>
  </si>
  <si>
    <t>49763-Warehouse – cold individual storage lockers (4222)</t>
  </si>
  <si>
    <t>49800-Wharf and Waterfront Property – ferry docks or terminals (4491)</t>
  </si>
  <si>
    <t>49801-Wharf and Waterfront Property – occupied by the insured for both freight and passenger purposes (4491)</t>
  </si>
  <si>
    <t>49802-Wharf and Waterfront – property not occupied by the insured (lessor’s risk only) (6512)</t>
  </si>
  <si>
    <t>49803-Wharf and Waterfront – property occupied by the insured for freight purposes (4491)</t>
  </si>
  <si>
    <t>49840-Window Decorating (7389)</t>
  </si>
  <si>
    <t>49870-YMCA, YWCA or Similar Institutions (8641)</t>
  </si>
  <si>
    <t>49890-Youth Recreation Programs (8641)</t>
  </si>
  <si>
    <t>49891-Youth Recreation Programs (8641)</t>
  </si>
  <si>
    <t>49902-Zoos (8422)</t>
  </si>
  <si>
    <t>49903-Zoos (8422)</t>
  </si>
  <si>
    <t>50010-Abrasive Wheel Manufacturing (3291)</t>
  </si>
  <si>
    <t>50015-Abrasives or Abrasive Products Manufacturing – artificial (3291)</t>
  </si>
  <si>
    <t>50017-Abrasives or Abrasive Products Manufacturing – NOC (3291)</t>
  </si>
  <si>
    <t>50045-Adhesive Manufacturing (2891)</t>
  </si>
  <si>
    <t>50047-Adhesive Tape Manufacturing (2672)</t>
  </si>
  <si>
    <t>51001-Aerosol Container Manufacturing (3411)</t>
  </si>
  <si>
    <t>51005-Aerosol Containers – filling or charging for others (7389)</t>
  </si>
  <si>
    <t>51116-Air Conditioning Equipment Manufacturing (3585)</t>
  </si>
  <si>
    <t>51201-Aircraft or Aircraft Parts Manufacturing (3721, 3724, 3728)</t>
  </si>
  <si>
    <t>51205-Alarm Manufacturing – burglar (3669)</t>
  </si>
  <si>
    <t>51206-Alarm Manufacturing – fire or smoke (3669)</t>
  </si>
  <si>
    <t>51210-Alcohol Manufacturing – not beverage (2085, 2861, 2869)</t>
  </si>
  <si>
    <t>51211-Ammunition Manufacturing (3482, 3483)</t>
  </si>
  <si>
    <t>51220-Appliances and Accessories Manufacturing – commercial – gas (3589, 3469)</t>
  </si>
  <si>
    <t>51221-Appliances and Accessories Manufacturing – commercial – not gas (3589, 3469)</t>
  </si>
  <si>
    <t>51222-Appliances and Accessories Manufacturing – household – gas (363)</t>
  </si>
  <si>
    <t>51224-Appliances and Accessories Manufacturing – household – not gas (363)</t>
  </si>
  <si>
    <t>51230-Asbestos Goods Manufacturing (3292, 2621)</t>
  </si>
  <si>
    <t>51240-Asphalt or Tar Distilling or Refining (2911)</t>
  </si>
  <si>
    <t>51241-Asphalt Works (2951)</t>
  </si>
  <si>
    <t>51250-Automobile, Bus and Truck Body Manufacturing (3711, 3713)</t>
  </si>
  <si>
    <t>51251-Automobile, Bus or Truck Parts Manufacturing – brakes or brake linings (3714)</t>
  </si>
  <si>
    <t>51252-Automobile, Bus or Truck Parts Manufacturing – not operating parts (3714)</t>
  </si>
  <si>
    <t>51253-Automobile, Bus or Truck Parts Manufacturing – operating parts (3714)</t>
  </si>
  <si>
    <t>51254-Automobile, Bus or Truck Parts Manufacturing – passenger restraining devices (3714)</t>
  </si>
  <si>
    <t>51255-Automobile Manufacturing or Assembling (3711)</t>
  </si>
  <si>
    <t>51300-Baby Food Manufacturing – in glass containers (2032)</t>
  </si>
  <si>
    <t>51305-Baby Food Manufacturing – NOC (2032)</t>
  </si>
  <si>
    <t>51315-Bakery Plants (2051, 2052)</t>
  </si>
  <si>
    <t>51330-Battery Manufacturing – dry cell (3692)</t>
  </si>
  <si>
    <t>51333-Battery Manufacturing – wet cell or storage (3691, 3692)</t>
  </si>
  <si>
    <t>51340-Bearing Manufacturing (3562, 3714, 3568, 3089, 2499)</t>
  </si>
  <si>
    <t>51350-Beer, Ale or Malt Liquor Manufacturing – in bottles (2082)</t>
  </si>
  <si>
    <t>51351-Beer, Ale or Malt Liquor Manufacturing – in cans (2082)</t>
  </si>
  <si>
    <t>51352-Beer, Ale or Malt Liquor Manufacturing – not bottled or canned (2082)</t>
  </si>
  <si>
    <t>51355-Beverage Bottler – soft drinks – carbonated – in cans or plastic bottles (2086)</t>
  </si>
  <si>
    <t>51356-Beverage Bottler – soft drinks – carbonated – in glass bottles (2086)</t>
  </si>
  <si>
    <t>51357-Beverage Bottler – soft drinks – in metal cylinders (2086)</t>
  </si>
  <si>
    <t>51358-Beverage Bottler – soft drinks – in paper containers (2086)</t>
  </si>
  <si>
    <t>51359-Beverage Bottler – soft drinks – not carbonated – in bottles or cans (2086)</t>
  </si>
  <si>
    <t>51370-Bicycle Manufacturing – not motorized (3751)</t>
  </si>
  <si>
    <t>51380-Billiard or Pool Table Manufacturing (3949)</t>
  </si>
  <si>
    <t>51400-Boat or Ship Building – inboard and inboard/outboard (373)</t>
  </si>
  <si>
    <t>51401-Boat or Ship Building – without motors (373)</t>
  </si>
  <si>
    <t>51500-Bolt, Nut, Rivet, Screw or Washer Manufacturing (3452)</t>
  </si>
  <si>
    <t>51516-Bookbinding (2789)</t>
  </si>
  <si>
    <t>51517-Bookbinding (2789)</t>
  </si>
  <si>
    <t>51550-Bottle and Jar Manufacturing – glass – not for use under pressure (3221)</t>
  </si>
  <si>
    <t>51551-Bottle and Jar Manufacturing – glass – for use under pressure – nonreturnable (3221)</t>
  </si>
  <si>
    <t>51552-Bottle and Jar Manufacturing – glass – for use under pressure – returnable (3221)</t>
  </si>
  <si>
    <t>51553-Bottle and Jar Manufacturing – plastic – nonreturnable (3085)</t>
  </si>
  <si>
    <t>51554-Bottle and Jar Manufacturing – plastic – returnable (3085)</t>
  </si>
  <si>
    <t>51575-Boxes or Containers Manufacturing – corrugated or fiber board (2653)</t>
  </si>
  <si>
    <t>51576-Boxes or Containers Manufacturing – wood (2441, 2449)</t>
  </si>
  <si>
    <t>51600-Brick Manufacturing (3297, 3255, 3271, 3259, 3251)</t>
  </si>
  <si>
    <t>51613-Brush or Broom Manufacturing (3991)</t>
  </si>
  <si>
    <t>51625-Bus Manufacturing or Assembling or Reconstructing (3711)</t>
  </si>
  <si>
    <t>51666-Buttons or Fasteners Manufacturing (3965)</t>
  </si>
  <si>
    <t>51702-Camper Bodies or Camper Trailers Manufacturing (3792)</t>
  </si>
  <si>
    <t>51703-Campers Manufacturing – self-powered (3716, 3711)</t>
  </si>
  <si>
    <t>51734-Can Manufacturing – metal (3411)</t>
  </si>
  <si>
    <t>51741-Candle Manufacturing (3999)</t>
  </si>
  <si>
    <t>51752-Candy or Confectionery Products Manufacturing (2064, 2066, 2067)</t>
  </si>
  <si>
    <t>51767-Carbon Paper or Inked Ribbon Manufacturing (3955)</t>
  </si>
  <si>
    <t>51777-Carpet or Rug Manufacturing (2273)</t>
  </si>
  <si>
    <t>51790-Caulking Compounds, Putty or Similar Products Manufacturing (2891)</t>
  </si>
  <si>
    <t>51796-Cellophane and Cellophane Products Manufacturing (2672, 2677)</t>
  </si>
  <si>
    <t>51808-Cement, Concrete Mix or Plaster Manufacturing – packaged (3273, 3275, 3272, 3274)</t>
  </si>
  <si>
    <t>51809-Cement or Plaster Manufacturing – bulk (3273, 3275, 3272, 3274)</t>
  </si>
  <si>
    <t>51833-Charcoal or Coal Briquette Manufacturing (2861, 2819)</t>
  </si>
  <si>
    <t>51850-Chemicals Manufacturing – commercial or industrial – NOC (281, 286, 287, 2899)</t>
  </si>
  <si>
    <t>51851-Chemicals Manufacturing – commercial or industrial – toxic and either flammable, explosive or reactive – NOC (281, 286, 287, 2899)</t>
  </si>
  <si>
    <t>51852-Chemicals Manufacturing – commercial or industrial – primarily flammable, explosive of reactive – NOC (281, 286, 287, 2899)</t>
  </si>
  <si>
    <t>51853-Chemicals Manufacturing – commercial or industrial – primarily toxic or presenting a health hazard – NOC (281, 286, 287, 2899)</t>
  </si>
  <si>
    <t>51854-Chemicals Manufacturing – household – toxic and either flammable, explosive or reactive – NOC (281, 286, 287, 2899)</t>
  </si>
  <si>
    <t>51855-Chemicals Manufacturing – household – NOC (281, 286, 287, 2899)</t>
  </si>
  <si>
    <t>51856-Chemicals Manufacturing – household – primarily flammable, explosive or reactive – NOC (281, 286, 287, 2899)</t>
  </si>
  <si>
    <t>51857-Chemicals Manufacturing – household – primarily toxic or presenting a health hazard – NOC (281, 286, 287, 2899)</t>
  </si>
  <si>
    <t>51869-China, Porcelain or Earthenware Manufacturing (3261, 3262, 3263, 3269)</t>
  </si>
  <si>
    <t>51877-Clay Products Manufacturing (3255, 3259, 3251)</t>
  </si>
  <si>
    <t>51889-Clock Manufacturing (3873)</t>
  </si>
  <si>
    <t>51896-Clothing Manufacturing (231, 232, 233, 234, 235, 236, 238)</t>
  </si>
  <si>
    <t>51900-Coffins or Casket Manufacturing (3995)</t>
  </si>
  <si>
    <t>51909-Coke Manufacturing (2999, 2911, 3312)</t>
  </si>
  <si>
    <t>51919-Color or Pigment Preparation (2816, 2865)</t>
  </si>
  <si>
    <t>51926-Communication or Recording Systems or Equipment Manufacturing – industrial or commercial (366)</t>
  </si>
  <si>
    <t>51927-Communication or Recording Systems or Equipment Manufacturing – NOC (3651, 366)</t>
  </si>
  <si>
    <t>51934-Composition Goods Manufacturing – not floor coverings (3296)</t>
  </si>
  <si>
    <t>51941-Computer Manufacturing (3571, 3572, 3575, 3577)</t>
  </si>
  <si>
    <t>51942-Computer Software Manufacturing – pre-packaged (7372)</t>
  </si>
  <si>
    <t>51956-Concrete – mixed in transit (3273)</t>
  </si>
  <si>
    <t>51957-Concrete or Plaster Products Manufacturing – not structural (3271, 3272, 3275)</t>
  </si>
  <si>
    <t>51958-Concrete Products Manufacturing – prestressed (3272)</t>
  </si>
  <si>
    <t>51959-Concrete Products Manufacturing – structural – NOC (3271, 3272)</t>
  </si>
  <si>
    <t>51960-Contact Lens Manufacturing (3851)</t>
  </si>
  <si>
    <t>51970-Cosmetics Manufacturing (2844)</t>
  </si>
  <si>
    <t>51982-Cotton Batting, Wadding or Waste Manufacturing (2299)</t>
  </si>
  <si>
    <t>51985-Cotton Compressing (4221)</t>
  </si>
  <si>
    <t>51986-Cotton Gin Operations (0724)</t>
  </si>
  <si>
    <t>51999-Cutlery (not powered) and Flatware Manufacturing (3914, 3421)</t>
  </si>
  <si>
    <t>52002-Dairy Products Manufacturing (202)</t>
  </si>
  <si>
    <t>52075-Detergent Manufacturing – household (2841) 52076 Detergent Manufacturing – NOC (2841)</t>
  </si>
  <si>
    <t>52109-Dextrine Manufacturing (2046)</t>
  </si>
  <si>
    <t>52134-Door or Window Manufacturing – NOC (3089, 3442, 3231, 3272)</t>
  </si>
  <si>
    <t>52137-Die Casting Manufacturing (3363, 3364)</t>
  </si>
  <si>
    <t>52150-Distillation or Extraction – NOC (0831)</t>
  </si>
  <si>
    <t>52315-Door or Window Manufacturing – wood (2431)</t>
  </si>
  <si>
    <t>52341-Drug Manufacturing – biological products (2836)</t>
  </si>
  <si>
    <t>52342-Drug, Medicine or Pharmaceutical Preparations Manufacturing – for animal use (2833, 2834, 2835)</t>
  </si>
  <si>
    <t>52343-Drug, Medicine or Pharmaceutical Preparations Manufacturing – NOC (2833, 2834, 2835)</t>
  </si>
  <si>
    <t>52401-Drums or Containers Manufacturing – metal (3411, 3412)</t>
  </si>
  <si>
    <t>52402-Drums or Containers Manufacturing – plastic (3089)</t>
  </si>
  <si>
    <t>52432-Electrical Equipment Manufacturing – NOC (361, 3621, 3624, 3625, 3629, 3699)</t>
  </si>
  <si>
    <t>52433-Electrical Equipment Manufacturing – NOC – for direct and indirect application to the body (3634, 3999)</t>
  </si>
  <si>
    <t>52435-Electrical Generating Machinery Manufacturing (3621)</t>
  </si>
  <si>
    <t>52438-Electrical Parts, Components or Accessories Manufacturing – NOC (361, 362, 3694, 3699)</t>
  </si>
  <si>
    <t>52440-Electrical Power Distribution or Transmission Equipment Manufacturing – NOC (3612, 3613)</t>
  </si>
  <si>
    <t>52467-Electrical Wire or Cable Manufacturing (3315, 3351, 3355, 3356, 3357)</t>
  </si>
  <si>
    <t>52469-Electronic Components Manufacturing (367)</t>
  </si>
  <si>
    <t>52505-Electronic Games Manufacturing (3944)</t>
  </si>
  <si>
    <t>52547-Electroplating (3471)</t>
  </si>
  <si>
    <t>52581-Elevator Manufacturing (3534)</t>
  </si>
  <si>
    <t>52619-Engine or Turbine Manufacturing – not aircraft – NOC (3511, 3519)</t>
  </si>
  <si>
    <t>52660-Engraving (2796, 3089, 3479)</t>
  </si>
  <si>
    <t>52744-Escalator or Moving Sidewalk Manufacturing (3534)</t>
  </si>
  <si>
    <t>52767-Exercise or Playground Equipment Manufacturing (3949)</t>
  </si>
  <si>
    <t>52876-Explosives or Fireworks Manufacturing (2892, 2899)</t>
  </si>
  <si>
    <t>52911-Extracts Manufacturing (2833, 2087)</t>
  </si>
  <si>
    <t>52967-Eye Glass Lens Manufacturing (3851)</t>
  </si>
  <si>
    <t>53001-Feed Manufacturing – NOC (2048)</t>
  </si>
  <si>
    <t>53077-Fertilizer Manufacturing (2873, 2874, 2875)</t>
  </si>
  <si>
    <t>53095-Fiber Manufacturing – NOC (2229, 3229, 3624)</t>
  </si>
  <si>
    <t>53096-Fiber Manufacturing – synthetic (2823, 2824)</t>
  </si>
  <si>
    <t>53121-Fiberglass Manufacturing (3296)</t>
  </si>
  <si>
    <t>53147-Fire Extinguishers Manufacturing (3999)</t>
  </si>
  <si>
    <t>53229-Fire Suppression Systems Manufacturing (3999)</t>
  </si>
  <si>
    <t>53271-Firearms Manufacturing (3484)</t>
  </si>
  <si>
    <t>53333-Floor Covering Manufacturing – not carpets, rugs, ceramic or stone tiles (3996)</t>
  </si>
  <si>
    <t>53374-Food Products Manufacturing – dry (2023, 2024, 2052, 2068, 2095, 2096, 2098, 2099, 2034, 2041, 2044)</t>
  </si>
  <si>
    <t>53375-Food Products Manufacturing – frozen (2037, 2038, 2051, 2024, 2053)</t>
  </si>
  <si>
    <t>53376-Food Products Manufacturing – not dry – in glass containers (2021, 2022, 2032, 2033, 2035, 2026, 2099, 2074, 2075, 2076, 2079)</t>
  </si>
  <si>
    <t>53377-Food Products Manufacturing – not dry – in other than glass containers (2021, 2022, 2032, 2033, 2035, 2026, 2099, 2074, 2075, 2076, 2079)</t>
  </si>
  <si>
    <t>53403-Forging Work – NOC (3462, 3463)</t>
  </si>
  <si>
    <t>53425-Foundries – NOC (332, 336)</t>
  </si>
  <si>
    <t>53565-Fruit or Vegetable Juice Manufacturing – no bottling of carbonated beverages (2033, 2037)</t>
  </si>
  <si>
    <t>53631-Fur Garment Manufacturing (2371)</t>
  </si>
  <si>
    <t>53632-Fur or Pelt Processing (3999)</t>
  </si>
  <si>
    <t>53731-Furniture Manufacturing or Assembling – infants (2511)</t>
  </si>
  <si>
    <t>53732-Furniture Manufacturing or Assembling – other than wood (2514, 2519)</t>
  </si>
  <si>
    <t>53733-Furniture Manufacturing or Assembling – wood (2511, 2512, 2521, 2541, 2517)</t>
  </si>
  <si>
    <t>53734-Furniture or Woodwork Stripping, Refinishing or Repairing – shop only (7641)</t>
  </si>
  <si>
    <t>53803-Galvanizing or Tinning (3479)</t>
  </si>
  <si>
    <t>53901-Gas Manufacturing – toxic and either flammable, explosive or reactive (2813, 2911)</t>
  </si>
  <si>
    <t>53902-Gas Manufacturing – inert (2813, 2911)</t>
  </si>
  <si>
    <t>53903-Gas Manufacturing – NOC (2813, 2911)</t>
  </si>
  <si>
    <t>53904-Gas Manufacturing – primarily flammable, explosive or reactive (2813, 2911)</t>
  </si>
  <si>
    <t>53905-Gas Manufacturing – primarily toxic or presenting a health hazard (2813, 2911)</t>
  </si>
  <si>
    <t>53907-Gasoline Distributors (5171, 5172)</t>
  </si>
  <si>
    <t>54012-Gemstone Cutting or Polishing (3915)</t>
  </si>
  <si>
    <t>54077-Glass or Glassware Manufacturing (3229, 3211, 3221)</t>
  </si>
  <si>
    <t>54444-Manufacturers NOC (See Note 2 – Bottom of Page 407)</t>
  </si>
  <si>
    <t>55010-Heating Equipment Manufacturing – coal or wood (3433)</t>
  </si>
  <si>
    <t>55011-Heating Equipment Manufacturing – electric (3567, 3585, 3634)</t>
  </si>
  <si>
    <t>55012-Heating Equipment Manufacturing – fuel oil or kerosene (3433)</t>
  </si>
  <si>
    <t>55013-Heating Equipment Manufacturing – gas, or liquefied petroleum gas (3433)</t>
  </si>
  <si>
    <t>55214-Hone, Oilstone or Whetstone Manufacturing (3291)</t>
  </si>
  <si>
    <t>55371-Honey Extracting (0279, 0752)</t>
  </si>
  <si>
    <t>55410-Importers (Classify based on merchandise)</t>
  </si>
  <si>
    <t>55426-Ink Manufacturing (2893, 2899, 3952)</t>
  </si>
  <si>
    <t>55597-Inner Tube Manufacturing (3011)</t>
  </si>
  <si>
    <t>55647-Instrument Manufacturing – analytical, calibrating, measuring, testing or recording (3823, 3824, 3825, 3826)</t>
  </si>
  <si>
    <t>55648-Instrument Manufacturing – control (3822, 3823, 3829)</t>
  </si>
  <si>
    <t>55649-Instrument Manufacturing – NOC (3827, 3829)</t>
  </si>
  <si>
    <t>55715-Insulating Material Manufacturing – mineral (3296)</t>
  </si>
  <si>
    <t>55716-Insulating Material Manufacturing – organic (2493, 2499, 2679)</t>
  </si>
  <si>
    <t>55717-Insulating Material Manufacturing – plastic – for application in solid state (3086)</t>
  </si>
  <si>
    <t>55718-Insulating Material Manufacturing – plastic – NOC (3086)</t>
  </si>
  <si>
    <t>55802-Jewelry Manufacturing (3911)</t>
  </si>
  <si>
    <t>55918-Ladder Manufacturing – NOC (3089, 3446)</t>
  </si>
  <si>
    <t>55919-Ladder Manufacturing – wood (2499)</t>
  </si>
  <si>
    <t>56040-Lamp Shade Manufacturing (3999, 3229, 3645, 3089)</t>
  </si>
  <si>
    <t>56041-Lamp or Lantern Manufacturing – electric (3641, 3645, 3646)</t>
  </si>
  <si>
    <t>56042-Lamp or Lantern Manufacturing – NOC (3648)</t>
  </si>
  <si>
    <t>56170-Lead Manufacturing – red or white (3339, 3341)</t>
  </si>
  <si>
    <t>56171-Lead Works – sheet, pipe or shot (3356)</t>
  </si>
  <si>
    <t>56202-Leather Goods Manufacturing – NOC (3151, 3161, 3171, 3172, 3199)</t>
  </si>
  <si>
    <t>56390-Light Bulb or Tubes Manufacturing (3641)</t>
  </si>
  <si>
    <t>56391-Lighting Fixtures Manufacturing – NOC (3645, 3646, 3647, 3648)</t>
  </si>
  <si>
    <t>56427-Lime Manufacturing (3274)</t>
  </si>
  <si>
    <t>56488-Liquor Manufacturing (2085)</t>
  </si>
  <si>
    <t>56567-Lubricants Manufacturing – grease (2992)</t>
  </si>
  <si>
    <t>56650-Machinery or Machinery Parts Manufacturing – construction, mining or materials handling type (3531, 3532, 3533, 3535, 3536)</t>
  </si>
  <si>
    <t>56651-Machinery or Machinery Parts Manufacturing – farm type (3523)</t>
  </si>
  <si>
    <t>56652-Machinery or Machinery Parts Manufacturing – industrial type (3559, 3561, 3563, 3564, 3565, 3566, 3567, 3568, 3569, 3592, 3593)</t>
  </si>
  <si>
    <t>56653-Machinery or Machinery Parts Manufacturing – metalworking (3541, 3542, 3543, 3547, 3548, 3549)</t>
  </si>
  <si>
    <t>56654-Machinery or Machinery Parts Manufacturing – NOC (3524, 3552, 3553, 3554, 3555, 3556, 3582, 3586, 3589, 3593, 3594)</t>
  </si>
  <si>
    <t>56690-Match Manufacturing (3999)</t>
  </si>
  <si>
    <t>56699-Mattress or Box Spring Manufacturing (2515)</t>
  </si>
  <si>
    <t>56758-Meat, Fish, Poultry or Seafood – curing (201, 2091)</t>
  </si>
  <si>
    <t>56759-Meat, Fish, Poultry or Seafood Processing – in airtight containers (201, 2091)</t>
  </si>
  <si>
    <t>56760-Meat, Fish, Poultry or Seafood Processing – not in airtight containers (201, 2091)</t>
  </si>
  <si>
    <t>56805-Medical, Dental, Hospital or Surgical Equipment or Supplies Manufacturing – expendable (384)</t>
  </si>
  <si>
    <t>56806-Medical, Dental, Hospital or Surgical Equipment or Supplies Manufacturing – nonexpendable (384)</t>
  </si>
  <si>
    <t>56807-Medical, Dental, Hospital or Surgical Instruments Manufacturing (384)</t>
  </si>
  <si>
    <t>56808-Medical, Dental or Surgical Diagnostic Treatment Machines or Devices Manufacturing (384)</t>
  </si>
  <si>
    <t>56900-Metal Extraction or Refining – NOC (3331, 3334, 3339, 3341)</t>
  </si>
  <si>
    <t>56910-Metal Foil Manufacturing (3353, 3497)</t>
  </si>
  <si>
    <t>56911-Metal Goods Manufacturing – NOC (See Note 2 – Bottom of Page 407)</t>
  </si>
  <si>
    <t>56912-Metal Goods Manufacturing – stamping – not signs (3465, 3466, 3469)</t>
  </si>
  <si>
    <t>56913-Metal Heat Processing (3398)</t>
  </si>
  <si>
    <t>56915-Metal Works – shop – structural – load bearing (3441)</t>
  </si>
  <si>
    <t>56916-Metal Works – shop – structural – not load bearing (3446)</t>
  </si>
  <si>
    <t>56917-Metals – extraction or refining – chemical processes (3331, 3334, 3339)</t>
  </si>
  <si>
    <t>56918-Metals – extraction or refining – electrometallurgical processes (3312, 3313)</t>
  </si>
  <si>
    <t>56919-Metals – extraction or refining of ferrous metals – blast furnace or other pyrometallurgical processes (3312)</t>
  </si>
  <si>
    <t>56920-Metals – extraction or refining of nonferrous metals – blast furnace or other pyrometallurgical processes (3312, 3331, 3334)</t>
  </si>
  <si>
    <t>56980-Mica Goods Manufacturing (3295, 3299)</t>
  </si>
  <si>
    <t>57001-Milk Depots or Dealers (5143)</t>
  </si>
  <si>
    <t>57002-Milk Processing (2020)</t>
  </si>
  <si>
    <t>57090-Mobile Home Manufacturing (2451)</t>
  </si>
  <si>
    <t>57146-Modular Units Manufacturing (2452, 3448)</t>
  </si>
  <si>
    <t>57202-Motorcycle, Moped or Motor Scooter Manufacturing (3751)</t>
  </si>
  <si>
    <t>57257-Musical Instrument Manufacturing (3931)</t>
  </si>
  <si>
    <t>57401-Nails or Spikes Manufacturing (3315, 3399)</t>
  </si>
  <si>
    <t>57403-Needles, Pins or Tacks Manufacturing (3965)</t>
  </si>
  <si>
    <t>57410-Net Manufacturing – NOC (2298)</t>
  </si>
  <si>
    <t>57411-Net Manufacturing – safety nets (2298)</t>
  </si>
  <si>
    <t>57572-Office Machines Manufacturing (3578, 3579)</t>
  </si>
  <si>
    <t>57600-Optical Goods Manufacturing (3827)</t>
  </si>
  <si>
    <t>57611-Ore Milling or Processing (3312, 1094, 1099, 1011, 1021, 1031, 1041, 1044, 1061)</t>
  </si>
  <si>
    <t>57625-Orthopedic, Ambulation or Prosthetic Devices Manufacturing (3842)</t>
  </si>
  <si>
    <t>57651-Packing Houses (2011)</t>
  </si>
  <si>
    <t>57690-Paint, Varnish, Shellac or Lacquer Manufacturing (2851)</t>
  </si>
  <si>
    <t>57716-Paper Coating or Finishing (2671, 2672, 2679)</t>
  </si>
  <si>
    <t>57725-Paper Goods Manufacturing – NOC (2673, 2674, 2675, 2676, 2677, 2678, 2679)</t>
  </si>
  <si>
    <t>57726-Paper Manufacturing (2621)</t>
  </si>
  <si>
    <t>57798-Parachute Manufacturing (2399)</t>
  </si>
  <si>
    <t>57808-Pattern Manufacturing – metal (3469)</t>
  </si>
  <si>
    <t>57809-Pattern Manufacturing – NOC (3543)</t>
  </si>
  <si>
    <t>57810-Pattern Manufacturing – paper (2741)</t>
  </si>
  <si>
    <t>57871-Pencil, Pen, Crayon or Chalk Manufacturing (3951, 3952)</t>
  </si>
  <si>
    <t>57913-Pet Food Manufacturing (2047, 2048)</t>
  </si>
  <si>
    <t>57997-Photo Finishing Laboratories (7384)</t>
  </si>
  <si>
    <t>57998-Photographic Equipment Manufacturing (3861)</t>
  </si>
  <si>
    <t>57999-Photographic Supplies Manufacturing (3861)</t>
  </si>
  <si>
    <t>58009-Pipes or Tubes Manufacturing – metal (3312, 3317, 3351, 3353)</t>
  </si>
  <si>
    <t>58010-Pipes or Tubes Manufacturing – plastic (3084)</t>
  </si>
  <si>
    <t>58020-Pipes Manufacturing – tobacco (3069, 3999)</t>
  </si>
  <si>
    <t>58056-Plastic Manufacturing – raw material (2821)</t>
  </si>
  <si>
    <t>58057-Plastic or Rubber Goods Manufacturing – NOC – household (3052, 3069, 3086, 3089)</t>
  </si>
  <si>
    <t>58058-Plastic or Rubber Goods Manufacturing – NOC – other than household (3052, 3061, 3081, 3082, 3086, 3089, 3053, 3069, 3083)</t>
  </si>
  <si>
    <t>58095-Plumbing Fixtures Manufacturing (3088, 3261, 3431, 3432, 3463)</t>
  </si>
  <si>
    <t>58096-Plumbing Supplies Manufacturing – NOC (3069, 3494)</t>
  </si>
  <si>
    <t>58301-Plywood, Veneer or Veneer Products Manufacturing – NOC (2435, 2436, 2411)</t>
  </si>
  <si>
    <t>58302-Plywood, Veneer or Veneer Products Manufacturing – without log processing (2435, 2436)</t>
  </si>
  <si>
    <t>58397-Prefabricated Building Manufacturing (2452, 3448)</t>
  </si>
  <si>
    <t>58408-Printing (2732, 2752, 2754, 2759, 2761)</t>
  </si>
  <si>
    <t>58409-Printing (2732, 2752, 2754, 2759, 2761)</t>
  </si>
  <si>
    <t>58456-Publishers – books or magazines (2721, 2731, 2741)</t>
  </si>
  <si>
    <t>58457-Publishers – books or magazines (2721, 2731, 2741)</t>
  </si>
  <si>
    <t>58458-Publishers – newspapers (2711)</t>
  </si>
  <si>
    <t>58459-Publishers – newspapers (2711)</t>
  </si>
  <si>
    <t>58503-Pulp Manufacturing (2611)</t>
  </si>
  <si>
    <t>58532-Pump or Compressor Manufacturing (3561, 3563, 3585, 3586, 3594)</t>
  </si>
  <si>
    <t>58559-Railroad Engine Manufacturing (3743)</t>
  </si>
  <si>
    <t>58560-Railroad or Other Public Conveyance Cars Manufacturing (3743)</t>
  </si>
  <si>
    <t>58561-Railroad or Other Public Conveyance Cars Parts Manufacturing (3743)</t>
  </si>
  <si>
    <t>58575-Razor or Razor Blade Manufacturing (3421)</t>
  </si>
  <si>
    <t>58627-Musical Products Manufacturing – prerecorded (3652)</t>
  </si>
  <si>
    <t>58663-Refrigeration Equipment Manufacturing (3585)</t>
  </si>
  <si>
    <t>58682-Rendering Works (2077)</t>
  </si>
  <si>
    <t>58713-Rolling Mills – cold or hot process (3321, 3325, 3351, 3355, 3356)</t>
  </si>
  <si>
    <t>58737-Rope Manufacturing (2298)</t>
  </si>
  <si>
    <t>58756-Rubber Manufacturing (2822)</t>
  </si>
  <si>
    <t>58757-Rubber Reclaiming (3069)</t>
  </si>
  <si>
    <t>58759-Rubber Stamp Manufacturing or Assembling (3069)</t>
  </si>
  <si>
    <t>58802-Saddles, Harnesses or Horses Furnishings Manufacturing (3199)</t>
  </si>
  <si>
    <t>58813-Safes or Safe Vaults Manufacturing (3499)</t>
  </si>
  <si>
    <t>58822-Sail Making (2394)</t>
  </si>
  <si>
    <t>58837-Salt, Borax, Potash or Phosphate – producing or refining – NOC (2819)</t>
  </si>
  <si>
    <t>58840-Salt Manufacturing (2899)</t>
  </si>
  <si>
    <t>58873-Saw Mills or Planing Mills (242)</t>
  </si>
  <si>
    <t>58903-Sewing Machine Manufacturing – commercial (3559)</t>
  </si>
  <si>
    <t>58904-Sewing Machine Manufacturing – household (3639)</t>
  </si>
  <si>
    <t>58922-Sheet Metal Work – shop only (7699)</t>
  </si>
  <si>
    <t>59005-Shoe, Boot or Slipper Manufacturing (314)</t>
  </si>
  <si>
    <t>59057-Sign Manufacturing – electrical (3993)</t>
  </si>
  <si>
    <t>59058-Sign Manufacturing – NOC (3993)</t>
  </si>
  <si>
    <t>59188-Slate Milling (1499)</t>
  </si>
  <si>
    <t>59189-Slate Splitting or Slate Roofing Manufacturing (1411, 1429, 3281)</t>
  </si>
  <si>
    <t>59223-Soap Manufacturing (2841)</t>
  </si>
  <si>
    <t>59257-Sponge Processing (3999)</t>
  </si>
  <si>
    <t>59306-Sporting Goods or Athletic Equipment Manufacturing (3949)</t>
  </si>
  <si>
    <t>59378-Steel Wool or Wire Wool Manufacturing (3291)</t>
  </si>
  <si>
    <t>59481-Stone Crushing (142, 3295)</t>
  </si>
  <si>
    <t>59482-Stone Cutting or Polishing (3281)</t>
  </si>
  <si>
    <t>59537-Sugar Refining (2062)</t>
  </si>
  <si>
    <t>59601-Swimming Pools or Accessories Manufacturing (2394, 3089, 3589, 3648, 3949)</t>
  </si>
  <si>
    <t>59647-Syrups or Molasses – refining, blending or manufacturing (2061, 2062, 2063, 2066, 2087, 2099)</t>
  </si>
  <si>
    <t>59660-Tank Building or Manufacturing – metal – not pressurized (3443)</t>
  </si>
  <si>
    <t>59661-Tank Building or Manufacturing – metal – pressurized (3443)</t>
  </si>
  <si>
    <t>59693-Tanning – animal hides (3111)</t>
  </si>
  <si>
    <t>59695-Telecommunication Equipment Manufacturing (3661, 3663)</t>
  </si>
  <si>
    <t>59701-Television Picture Tube Manufacturing (3663)</t>
  </si>
  <si>
    <t>59713-Tent or Canopy Manufacturing (2394)</t>
  </si>
  <si>
    <t>59722-Textile Bleaching, Dyeing, Mercerizing, Printing, Finishing or Silk Screening – new goods (2226)</t>
  </si>
  <si>
    <t>59723-Textile Coating or Impregnating (2295)</t>
  </si>
  <si>
    <t>59724-Textile Manufacturing – impregnated or coated (2295)</t>
  </si>
  <si>
    <t>59725-Textile Products Manufacturing – fabricated (239)</t>
  </si>
  <si>
    <t>59726-Textile Spinning, Weaving or Knitting Mills (221, 222, 223, 224, 228)</t>
  </si>
  <si>
    <t>59738-Tie, Post or Pole Yard (5211)</t>
  </si>
  <si>
    <t>59750-Tire Manufacturing – auto, bus or truck (3011)</t>
  </si>
  <si>
    <t>59751-Tire Manufacturing – not auto, bus or truck (3011)</t>
  </si>
  <si>
    <t>59773-Tobacco Products Manufacturing – cigars or cigarettes (2111, 2121)</t>
  </si>
  <si>
    <t>59774-Tobacco Products Manufacturing – NOC (2141)</t>
  </si>
  <si>
    <t>59775-Tobacco Products Manufacturing – plug or snuff (2131)</t>
  </si>
  <si>
    <t>59781-Tool Manufacturing – accessories – NOC (3545)</t>
  </si>
  <si>
    <t>59782-Tool Manufacturing – hand type – not powered (3423)</t>
  </si>
  <si>
    <t>59783-Tool Manufacturing – hand type – powered (3546)</t>
  </si>
  <si>
    <t>59784-Tool Manufacturing – power equipment – household type – outdoor or workshop (3541)</t>
  </si>
  <si>
    <t>59790-Toy or Game Manufacturing (3942, 3944)</t>
  </si>
  <si>
    <t>59798-Trailers Manufacturing (3792)</t>
  </si>
  <si>
    <t>59806-Truck Manufacturing or Assembling (3711)</t>
  </si>
  <si>
    <t>59867-Turpentine or Rosin Manufacturing (2861)</t>
  </si>
  <si>
    <t>59886-Twine or Cordage Manufacturing (2298)</t>
  </si>
  <si>
    <t>59889-Umbrella or Cane Manufacturing (3999)</t>
  </si>
  <si>
    <t>59892-Valves Manufacturing (3494, 3491, 3492)</t>
  </si>
  <si>
    <t>59904-Vegetable Oil Manufacturing – by solvent extraction (2076, 2074, 2075, 2079, 2046)</t>
  </si>
  <si>
    <t>59905-Vegetable Oil Manufacturing – NOC (2076, 2074, 2075, 2079, 2046)</t>
  </si>
  <si>
    <t>59914-Metal Works – shop – decorative or artistic (3446)</t>
  </si>
  <si>
    <t>59915-Vending Machines Manufacturing (3581)</t>
  </si>
  <si>
    <t>59917-Venetian Blinds Manufacturing or Assembling (2591)</t>
  </si>
  <si>
    <t>59923-Watch or Watch Case Manufacturing (3873)</t>
  </si>
  <si>
    <t>59925-Water Bottling – in siphons (2086)</t>
  </si>
  <si>
    <t>59926-Water Bottling – spring or well – not sparkling or carbonated (2086)</t>
  </si>
  <si>
    <t>59927-Water Bottling – spring or well – sparkling or carbonated (2086)</t>
  </si>
  <si>
    <t>59931-Wax or Wax Products Manufacturing – NOC (2842, 2891)</t>
  </si>
  <si>
    <t>59932-Wax, Wax Products or Polish Manufacturing – floor (2842)</t>
  </si>
  <si>
    <t>59941-Wheel Manufacturing (3714, 3499)</t>
  </si>
  <si>
    <t>59947-Wicker, Rattan, Willow or Twisted Fiber Products Manufacturing (2499)</t>
  </si>
  <si>
    <t>59955-Wigs or Hair Pieces Manufacturing (3999)</t>
  </si>
  <si>
    <t>59963-Wine Manufacturing – sparkling (2084)</t>
  </si>
  <si>
    <t>59964-Wine Manufacturing – still (2084)</t>
  </si>
  <si>
    <t>59970-Wire Cloth Manufacturing (3315)</t>
  </si>
  <si>
    <t>59973-Wire Drawing (3315, 3351, 3355, 3356, 3357)</t>
  </si>
  <si>
    <t>59975-Wire Goods Manufacturing – NOC (3312, 3315)</t>
  </si>
  <si>
    <t>59977-Wire Rope or Cable Manufacturing – metal (3315, 3357)</t>
  </si>
  <si>
    <t>59984-Wood Preserving (2491)</t>
  </si>
  <si>
    <t>59985-Wood Products Manufacturing – NOC (241, 242, 243, 244, 249)</t>
  </si>
  <si>
    <t>59986-Wood Turned Products Manufacturing – NOC (2499)</t>
  </si>
  <si>
    <t>59988-Wool Combing, Scouring or Separating from Cotton (2299)</t>
  </si>
  <si>
    <t>59989-Wool Pulling (3999)</t>
  </si>
  <si>
    <t>60010-Apartment Buildings (6513)</t>
  </si>
  <si>
    <t>60011-Apartment Buildings – garden (6513)</t>
  </si>
  <si>
    <t>60012-Apartment Buildings or Hotels – time-sharing – less than 4 stories (6513)</t>
  </si>
  <si>
    <t>60013-Apartment Buildings or Hotels – time-sharing – 4 stories or more (6513)</t>
  </si>
  <si>
    <t>60015-Apartment Hotels – less than 4 stories (6513)</t>
  </si>
  <si>
    <t>60016-Apartment Hotels – 4 stories or more (6513)</t>
  </si>
  <si>
    <t>60035-Automobile Renting or Leasing Companies (7514, 7515)</t>
  </si>
  <si>
    <t>61000-Boarding or Rooming Houses (7021)</t>
  </si>
  <si>
    <t>61212-Buildings or Premises – bank or office – mercantile or manufacturing (lessor’s risk only) (6512)</t>
  </si>
  <si>
    <t>61216-Buildings or Premises – bank or office – mercantile or manufacturing (lessor’s risk only) (6512)</t>
  </si>
  <si>
    <t>61217-Buildings or Premises – bank or office – mercantile or manufacturing – maintained by the insured (lessor’s risk only) (6512)</t>
  </si>
  <si>
    <t>61218-Buildings or Premises – bank or office – mercantile or manufacturing – maintained by the insured (lessor’s risk only) (6512)</t>
  </si>
  <si>
    <t>61223-Buildings or Premises – Bank (6512)</t>
  </si>
  <si>
    <t>61224-Buildings or Premises – bank or office – premises primarily occupied by employees of the insured (6512)</t>
  </si>
  <si>
    <t>61225-Buildings or Premises – bank or office – premises primarily occupied by employees of the insured (6512)</t>
  </si>
  <si>
    <t>61226-Buildings or Premises – bank or office – NOC (6512)</t>
  </si>
  <si>
    <t>61227-Buildings or Premises – bank or office – NOC (6512)</t>
  </si>
  <si>
    <t>62000-Condominiums – commercial – bank or mercantile, manufacturing or office (association risk only) (6512)</t>
  </si>
  <si>
    <t>62001-Condominiums – commercial – shopping centers (association risk only) (6512)</t>
  </si>
  <si>
    <t>62002-Condominiums – commercial warehouses – manufacturing or private (association risk only) (6512)</t>
  </si>
  <si>
    <t>62003-Condominiums – residential – (association risk only) (6513, 6514)</t>
  </si>
  <si>
    <t>63010-Dwellings – one-family (lessor’s risk only) (6514)</t>
  </si>
  <si>
    <t>63011-Dwellings – two-family (lessor’s risk only) (6514)</t>
  </si>
  <si>
    <t>63012-Dwellings – three-family (lessor’s risk only) (6514)</t>
  </si>
  <si>
    <t>63013-Dwellings – four-family (lessor’s risk only) (6514)</t>
  </si>
  <si>
    <t>63215-Exhibition or Convention Buildings (6512)</t>
  </si>
  <si>
    <t>63216-Exhibition or Convention Buildings (6512)</t>
  </si>
  <si>
    <t>63217-Exhibitions – in buildings – NOC (7999)</t>
  </si>
  <si>
    <t>63218-Exhibitions – in buildings – NOC (7999)</t>
  </si>
  <si>
    <t>63219-Exhibitions – in buildings – no admission charged (7999)</t>
  </si>
  <si>
    <t>63220-Exhibitions – in buildings – no admission charged (7999)</t>
  </si>
  <si>
    <t>64074-Hotels and Motels – less than 4 stories (lessor’s risk only) (6519)</t>
  </si>
  <si>
    <t>64075-Hotels and Motels – 4 stories or more (lessor’s risk only) (6519)</t>
  </si>
  <si>
    <t>64500-Housing Projects – federal, state, local (6513)</t>
  </si>
  <si>
    <t>65007-Labor Union Offices (8631)</t>
  </si>
  <si>
    <t>66122-Lawyers Offices (8111)</t>
  </si>
  <si>
    <t>66123-Lawyers Offices (8111)</t>
  </si>
  <si>
    <t>66309-Libraries (8231)</t>
  </si>
  <si>
    <t>66561-Medical Offices (8011, 8021, 8031, 8041, 8042, 8043, 8049)</t>
  </si>
  <si>
    <t>67017-Shelters, Mission Settlement or Halfway Houses – not church or office buildings (8361)</t>
  </si>
  <si>
    <t>67508-Schools – colleges, universities, junior colleges or college preparatory (8221, 8222)</t>
  </si>
  <si>
    <t>67509-Schools – colleges, universities, junior colleges or college preparatory (8221, 8222)</t>
  </si>
  <si>
    <t>67510-Schools – dormitory facilities (See Note 1 – Bottom of Page 407)</t>
  </si>
  <si>
    <t>67511-Schools – dormitory facilities (See Note 1 – Bottom of Page 407)</t>
  </si>
  <si>
    <t>67512-Schools – NOC (7911, 8299)</t>
  </si>
  <si>
    <t>67513-Schools – NOC (7911, 8299)</t>
  </si>
  <si>
    <t>67634-Shopping Centers – indoor malls — buildings, or premises not occupied by the insured (lessor’s risk only) (6512)</t>
  </si>
  <si>
    <t>67635-Shopping Centers – buildings, or premises not occupied by the insured (lessor’s risk only) (6512)</t>
  </si>
  <si>
    <t>68001-Taxicab Companies (4121)</t>
  </si>
  <si>
    <t>68439-Ticket Agencies (7922, 7999)</t>
  </si>
  <si>
    <t>68500-Townhouses or Similar Associations (association risk only) (6514)</t>
  </si>
  <si>
    <t>68604-Vacant Buildings – factories (See Note 2 – Bottom of Page 407)</t>
  </si>
  <si>
    <t>68606-Vacant Buildings – not factories (See Note 2 – Bottom of Page 407)</t>
  </si>
  <si>
    <t>68607-Vacant Buildings – not factories (See Note 2 – Bottom of Page 407)</t>
  </si>
  <si>
    <t>68702-Warehouses – manufacturing or private buildings or premises – occupied by multiple interests (lessor’s risk only) (6512)</t>
  </si>
  <si>
    <t>68703-Warehouses – manufacturing or private buildings or premises – occupied by single interest (lessor’s risk only) (6512)</t>
  </si>
  <si>
    <t>68706-Warehouses – private (See Note 1 – Bottom of Page 407)</t>
  </si>
  <si>
    <t>68707-Warehouses – private (See Note 1 – Bottom of Page 407)</t>
  </si>
  <si>
    <t>90089-Advertising Sign Companies – outdoor (7312)</t>
  </si>
  <si>
    <t>91111-Air Conditioning Systems or Equipment – dealers or distributors and installation, servicing or repair (1711, 5075)</t>
  </si>
  <si>
    <t>91125-Airport Runway or Warming Apron – paving or repaving, surfacing, resurfacing or scraping (1611)</t>
  </si>
  <si>
    <t>91127-Alarms and Alarm Systems – installation, servicing or repair (1731)</t>
  </si>
  <si>
    <t>91130-Alarms – security systems – monitoring (7382)</t>
  </si>
  <si>
    <t>91135-Analytical Chemists (8999)</t>
  </si>
  <si>
    <t>91150-Appliances and Accessories – installation, servicing or repair – commercial (762)</t>
  </si>
  <si>
    <t>91155-Appliances and Accessories – installation, servicing or repair – household (762)</t>
  </si>
  <si>
    <t>91160-Armored Car Service Companies (7381)</t>
  </si>
  <si>
    <t>91175-Auctioneers – livestock – sales conducted away from the insureds premises (5154)</t>
  </si>
  <si>
    <t>91177-Auctioneers – sales conducted away from the insureds premises (7389)</t>
  </si>
  <si>
    <t>91179-Auctions – on premises owned or rented by the insured (5999)</t>
  </si>
  <si>
    <t>91190-Automobile Dismantling (5093)</t>
  </si>
  <si>
    <t>91200-Blacksmithing (7699)</t>
  </si>
  <si>
    <t>91210-Blasting Operations (161, 15, 162)</t>
  </si>
  <si>
    <t>91235-Boat Repair and Servicing (3732)</t>
  </si>
  <si>
    <t>91250-Boiler Inspection, Installation, Cleaning or Repair (1711, 7699)</t>
  </si>
  <si>
    <t>91265-Bridge or Elevated Highway Construction – iron or steel (1622)</t>
  </si>
  <si>
    <t>91266-Bridge or Elevated Highway Construction – concrete (1622)</t>
  </si>
  <si>
    <t>91280-Building Structure – raising or moving (1799)</t>
  </si>
  <si>
    <t>91302-Cable Installation in Conduits or Subways (1623)</t>
  </si>
  <si>
    <t>91315-Cable or Subscription Television Companies (4841)</t>
  </si>
  <si>
    <t>91324-Caisson or Cofferdam Work – foundations for buildings (1799)</t>
  </si>
  <si>
    <t>91325-Caisson or Cofferdam Work – not foundations for buildings (1629)</t>
  </si>
  <si>
    <t>91340-Carpentry – construction of residential property not exceeding three stories in height (1751)</t>
  </si>
  <si>
    <t>91341-Carpentry – interior (1751)</t>
  </si>
  <si>
    <t>91342-Carpentry – NOC (1751)</t>
  </si>
  <si>
    <t>91343-Carpentry – shop only (1751)</t>
  </si>
  <si>
    <t>91405-Carpet, Rug, Furniture or Upholstery Cleaning – on customer’s premises (7217)</t>
  </si>
  <si>
    <t>91436-Ceiling or Wall Installation – metal (1761)</t>
  </si>
  <si>
    <t>91481-Chimney Cleaning (7349)</t>
  </si>
  <si>
    <t>91507-Clay or Shale Digging (1459)</t>
  </si>
  <si>
    <t>91523-Cleaning – outside surfaces of buildings (1799)</t>
  </si>
  <si>
    <t>91547-Commissary Work (5812)</t>
  </si>
  <si>
    <t>91551-Communication Equipment Installation – industrial or commercial (1731)</t>
  </si>
  <si>
    <t>91555-Computer Service or Repair (7378)</t>
  </si>
  <si>
    <t>91560-Concrete Construction (1771)</t>
  </si>
  <si>
    <t>91562-Concrete or Cement Distributing Towers – rented to others – installation, repair or removal operations only (7353)</t>
  </si>
  <si>
    <t>91577-Conduit Construction for Cables or Wires (1623)</t>
  </si>
  <si>
    <t>91580-Contractors – executive supervisors or executive superintendents (See Note 1 – Bottom of Page 407)</t>
  </si>
  <si>
    <t>91581-Contractors – subcontracted work – in connection with construction, reconstruction, erection or repair not buildings – NOC (See Note 2 – Bottom of Page 407)</t>
  </si>
  <si>
    <t>91582-Contractors – subcontracted work – in connection with building construction, reconstruction, repair or erection – apartment or office buildings over 4 stories (1542, 1522)</t>
  </si>
  <si>
    <t>91583-Contractors – subcontracted work – in connection with building construction, reconstruction, repair or erection – one or two family dwellings (1521, 1522, 1531)</t>
  </si>
  <si>
    <t>91584-Contractors – subcontracted work – in connection with construction, reconstruction, repair or erection of buildings – for industrial use (1541)</t>
  </si>
  <si>
    <t>91585-Contractors – subcontracted work – in connection with construction, reconstruction, repair or erection of buildings – NOC (See Note 2 – Bottom of Page 407)</t>
  </si>
  <si>
    <t>91586-Contractors – subcontracted work – in connection with oil and gas field construction, reconstruction or repair (1629)</t>
  </si>
  <si>
    <t>91587-Contractors – subcontracted work – in connection with pipeline (other than oil or gas), or communication or power line construction, reconstruction or repair (1623)</t>
  </si>
  <si>
    <t>91588-Contractors – subcontracted work – in connection with bridge, tunnel or elevated street or highway construction, reconstruction or repair. (1622)</t>
  </si>
  <si>
    <t>91589-Contractors – subcontracted work – in connection with street or highway construction, reconstruction or repair – not elevated (1611)</t>
  </si>
  <si>
    <t>91590-Contractors Permanent Yards – maintenance or storage of equipment or material (See Note 1 – Bottom of Page 407)</t>
  </si>
  <si>
    <t>91591-Contractors – subcontracted work – other than construction – related work (Type of contractor)</t>
  </si>
  <si>
    <t>91600-Construction or Project Manager (8741)</t>
  </si>
  <si>
    <t>91606-Crop Spraying – by contractors (0721)</t>
  </si>
  <si>
    <t>91618-Dam or Reservoir Construction (1629)</t>
  </si>
  <si>
    <t>91629-Debris Removal – construction site (4212)</t>
  </si>
  <si>
    <t>91636-Detective or Investigative Agencies – private (7381)</t>
  </si>
  <si>
    <t>91641-Dike, Levee or Revetment Construction (1629)</t>
  </si>
  <si>
    <t>91666-Diving – marine (7389)</t>
  </si>
  <si>
    <t>91722-Dock Operations – coal, grain or ore (4491)</t>
  </si>
  <si>
    <t>91746-Door, Window or Assembled Millwork – installation – metal (1751)</t>
  </si>
  <si>
    <t>91805-Draftsmen (7389)</t>
  </si>
  <si>
    <t>92053-Dredging – gold – endless bucket or ladder type (1041)</t>
  </si>
  <si>
    <t>92054-Dredging – gold – floating dragline type (1041)</t>
  </si>
  <si>
    <t>92055-Dredging – NOC (1629)</t>
  </si>
  <si>
    <t>92101-Drilling – NOC (1241, 1081, 1481)</t>
  </si>
  <si>
    <t>92102-Drilling – water (1781)</t>
  </si>
  <si>
    <t>92215-Driveway, Parking Area or Sidewalk – paving or repaving (1611)</t>
  </si>
  <si>
    <t>92338-Dry Wall or Wallboard Installation (1742)</t>
  </si>
  <si>
    <t>92445-Electric Light or Power Companies (4911, 4931)</t>
  </si>
  <si>
    <t>92446-Electric Light or Power Line Construction – NOC (1623)</t>
  </si>
  <si>
    <t>92447-Electric Light or Power Line Construction – rural electrification administration projects only (1623)</t>
  </si>
  <si>
    <t>92451-Electrical Apparatus – installation, servicing or repair – NOC (7629, 1731)</t>
  </si>
  <si>
    <t>92453-Electric Light or Power Cooperatives – rural electrification administration projects only (4911)</t>
  </si>
  <si>
    <t>92478-Electrical Work – within buildings (1731)</t>
  </si>
  <si>
    <t>92593-Elevator or Escalator Inspecting, Installation, Servicing or Repair (1796)</t>
  </si>
  <si>
    <t>92663-Engineers or Architects – consulting – not engaged in actual construction (8711, 8712, 8713)</t>
  </si>
  <si>
    <t>94007-Excavation (1794)</t>
  </si>
  <si>
    <t>94099-Express Companies (4513, 4215)</t>
  </si>
  <si>
    <t>94225-Farm Machinery Operations – by contractors (0761)</t>
  </si>
  <si>
    <t>94276-Fence Erection Contractors (1799)</t>
  </si>
  <si>
    <t>94304-Fire Extinguishers – servicing, refilling or testing (7389)</t>
  </si>
  <si>
    <t>94381-Fire Suppression Systems – installation, servicing or repair (7389)</t>
  </si>
  <si>
    <t>94404-Fireproofing – structures (1799)</t>
  </si>
  <si>
    <t>94444-Contractors NOC (See Note 2 – Bottom of Page 407)</t>
  </si>
  <si>
    <t>94569-Floor Covering Installation – not ceramic tile or stone (1752)</t>
  </si>
  <si>
    <t>94590-Floor Waxing (7349)</t>
  </si>
  <si>
    <t>94617-Freight Forwarders or Handlers – NOC (4731)</t>
  </si>
  <si>
    <t>94638-Freight Forwarders or Handlers – packing, handling or shipping explosives or ammunition under contract (4731)</t>
  </si>
  <si>
    <t>95124-Furniture or Fixtures – installation in offices or stores – portable – metal or wood (1796)</t>
  </si>
  <si>
    <t>95233-Garbage, Ash or Refuse Collecting (4953)</t>
  </si>
  <si>
    <t>95305-Gas Companies – NOC (4925, 4932)</t>
  </si>
  <si>
    <t>95306-Gas Companies – natural gas – local distribution (4922, 4923, 4924)</t>
  </si>
  <si>
    <t>95310-Gas Mains or Connections Construction (1623)</t>
  </si>
  <si>
    <t>95357-Geophysical Exploration – NOC (1081, 1382, 1481)</t>
  </si>
  <si>
    <t>95358-Geophysical Exploration – seismic method (1382)</t>
  </si>
  <si>
    <t>95410-Grading of Land (1794)</t>
  </si>
  <si>
    <t>95455-Grain Elevator Operations (4221, 5153)</t>
  </si>
  <si>
    <t>95487-Greenhouse Erection (1799)</t>
  </si>
  <si>
    <t>95505-Guniting or Shot-Crete (1771)</t>
  </si>
  <si>
    <t>95620-Gunsmiths (7699)</t>
  </si>
  <si>
    <t>95625-Handyman (1799)</t>
  </si>
  <si>
    <t>95630-Hazardous Material Contractors (1799)</t>
  </si>
  <si>
    <t>95647-Heating or Combined Heating and Air Conditioning Systems or Equipment – dealers or distributors and installation, servicing or repair – no liquefied petroleum gas (LPG) equipment sales or work (1711)</t>
  </si>
  <si>
    <t>95648-Heating or Combined Heating and Air Conditioning Systems or Equipment – dealers or distributors and installation, servicing or repair – NOC (1711)</t>
  </si>
  <si>
    <t>96053-House Furnishings Installation – NOC (1799)</t>
  </si>
  <si>
    <t>96317-Inspection and Appraisal Companies – inspecting for insurance or valuation purposes (6411, 6531, 7389)</t>
  </si>
  <si>
    <t>96408-Insulation Work – plastic – NOC (1742)</t>
  </si>
  <si>
    <t>96409-Insulation Work – organic or plastic in solid state (1742)</t>
  </si>
  <si>
    <t>96410-Insulation Work – mineral (1742)</t>
  </si>
  <si>
    <t>96611-Interior Decorators (7389)</t>
  </si>
  <si>
    <t>96702-Irrigation or Drainage System Construction (1629)</t>
  </si>
  <si>
    <t>96703-Irrigation Works Operations (4971)</t>
  </si>
  <si>
    <t>96816-Janitorial Services (7349)</t>
  </si>
  <si>
    <t>96872-Jetty or Breakwater Construction (1629)</t>
  </si>
  <si>
    <t>96930-Web Site Designers (7379)</t>
  </si>
  <si>
    <t>97002-Laboratories – research, development or testing (8731, 8734)</t>
  </si>
  <si>
    <t>97003-Laboratories – research, development or testing (8731, 8734)</t>
  </si>
  <si>
    <t>97047-Landscape Gardening (0782)</t>
  </si>
  <si>
    <t>97050-Lawn Care Services (0782)</t>
  </si>
  <si>
    <t>97111-Logging and Lumbering (2411)</t>
  </si>
  <si>
    <t>97220-Machine Shops – NOC (3599)</t>
  </si>
  <si>
    <t>97221-Machinery or Equipment – farm – installation, servicing, repair or erection (7699)</t>
  </si>
  <si>
    <t>97222-Machinery or Equipment – industrial – installation, servicing or repair (1796)</t>
  </si>
  <si>
    <t>97223-Machinery or Equipment – installation, servicing or repair – NOC (1796)</t>
  </si>
  <si>
    <t>97308-Marine Appraisers or Surveyors (8713)</t>
  </si>
  <si>
    <t>97447-Masonry (1741)</t>
  </si>
  <si>
    <t>97650-Metal Erection – decorative or artistic (1799)</t>
  </si>
  <si>
    <t>97651-Metal Erection – frame structures, iron work on outside of buildings (1791)</t>
  </si>
  <si>
    <t>97652-Metal Erection – in the construction of dwellings not exceeding 2 stories in height (1791)</t>
  </si>
  <si>
    <t>97653-Metal Erection – nonstructural – NOC (1799)</t>
  </si>
  <si>
    <t>97654-Metal Erection – steel lock gates, gas holders, standpipes, water towers, smoke stacks, tanks, silos, prison cells, fire or burglar-proof vaults (1799)</t>
  </si>
  <si>
    <t>97655-Metal Erection – structural – NOC (1791)</t>
  </si>
  <si>
    <t>98002-Mining – NOC (10, 12, 14)</t>
  </si>
  <si>
    <t>98003-Mining – surface (10, 12, 14)</t>
  </si>
  <si>
    <t>98090-Motion Pictures – development of negatives, printing and all subsequent operations (7819)</t>
  </si>
  <si>
    <t>98091-Motion Pictures – film distribution or exchanges – not located at motion picture studios (7822)</t>
  </si>
  <si>
    <t>98092-Motion Pictures – production – studios or outside – all operations prior to the development of negatives (7812)</t>
  </si>
  <si>
    <t>98111-Office Machines or Appliances – installation, inspection, adjustment, repair (7629)</t>
  </si>
  <si>
    <t>98150-Oil or Gas Lease Operations – natural gas (1311)</t>
  </si>
  <si>
    <t>98151-Oil or Gas Lease Operations – natural gas – within the limits of any town or city, on the right -of-way of any railroad, or in any ocean, gulf or bay (1311)</t>
  </si>
  <si>
    <t>98152-Oil or Gas Lease Work by Contractors – not lease operation (1629)</t>
  </si>
  <si>
    <t>98153-Oil or Gas Wells – acidizing (1389)</t>
  </si>
  <si>
    <t>98154-Oil or Gas Wells – cementing (1389)</t>
  </si>
  <si>
    <t>98155-Oil or Gas Wells – cleaning or swabbing by contractors (1389)</t>
  </si>
  <si>
    <t>98156-Oil or Gas Wells – cleaning or swabbing by contractors – within the limits of any town or city, on the right-of-way of any railroad, or in any ocean, gulf or bay (1389)</t>
  </si>
  <si>
    <t>98157-Oil or Gas Wells – drilling or redrilling, installation or recovery of casing (1381)</t>
  </si>
  <si>
    <t>98158-Oil or Gas Wells – drilling or redrilling, installation or recovery of casing – within the limits of any town or city, on the right-of-way of any railroad, or in any ocean, gulf or bay (1381)</t>
  </si>
  <si>
    <t>98159-Oil or Gas Wells – instrument logging or survey work in wells (1389)</t>
  </si>
  <si>
    <t>98160-Oil or Gas Wells – perforating of casing (1389)</t>
  </si>
  <si>
    <t>98161-Oil or Gas Wells – servicing – by contractors (1389)</t>
  </si>
  <si>
    <t>98162-Oil or Gas Wells – shooting (1389)</t>
  </si>
  <si>
    <t>98163-Oil Rig or Derrick Erecting or Dismantling – wood or metal (1389)</t>
  </si>
  <si>
    <t>98164-Oil Still Erection or Repair (1389)</t>
  </si>
  <si>
    <t>98257-Orchards and Vineyards – operation by contractors (0721)</t>
  </si>
  <si>
    <t>98303-Painting – exterior – buildings or structures – exceeding 3 stories in height – NOC (1721)</t>
  </si>
  <si>
    <t>98304-Painting – exterior – buildings or structures – 3 stories or less in height – NOC (1721)</t>
  </si>
  <si>
    <t>98305-Painting – interior – buildings or structures (1721)</t>
  </si>
  <si>
    <t>98306-Painting – oil or gasoline tanks (1721)</t>
  </si>
  <si>
    <t>98307-Painting – ship hulls (1721)</t>
  </si>
  <si>
    <t>98308-Painting – shop only (1721)</t>
  </si>
  <si>
    <t>98309-Painting – exterior – steel structures or bridges – exceeding 3 stories in height – NOC (1721)</t>
  </si>
  <si>
    <t>98344-Paperhanging (1721)</t>
  </si>
  <si>
    <t>98405-Piano Tuning (7699)</t>
  </si>
  <si>
    <t>98413-Pile Driving – building foundation only (1629)</t>
  </si>
  <si>
    <t>98414-Pile Driving – NOC (1629)</t>
  </si>
  <si>
    <t>98415-Pile Driving – sonic method (1629)</t>
  </si>
  <si>
    <t>98423-Pipeline Construction – gas (1623)</t>
  </si>
  <si>
    <t>98424-Pipeline Construction – NOC (1623)</t>
  </si>
  <si>
    <t>98425-Pipeline Construction – oil (1623)</t>
  </si>
  <si>
    <t>98426-Pipeline Construction – slurry – nonflammable mixtures (1623)</t>
  </si>
  <si>
    <t>98427-Pipelines – operation – gas (4922)</t>
  </si>
  <si>
    <t>98428-Pipelines – operation – NOC (4619)</t>
  </si>
  <si>
    <t>98429-Pipelines – operation – oil (4612, 4613)</t>
  </si>
  <si>
    <t>98430-Pipelines – operation – slurry – nonflammable mixtures (4619)</t>
  </si>
  <si>
    <t>98449-Plastering or Stucco Work (1742, 1771)</t>
  </si>
  <si>
    <t>98482-Plumbing – commercial and industrial (1711)</t>
  </si>
  <si>
    <t>98483-Plumbing – residential or domestic (1711)</t>
  </si>
  <si>
    <t>98502-Prefabricated Building Erection (1521, 1522, 1541, 1542)</t>
  </si>
  <si>
    <t>98555-Quarries (1411, 142, 1459, 1499)</t>
  </si>
  <si>
    <t>98597-Radio or TV Broadcasting Stations (4832, 4833)</t>
  </si>
  <si>
    <t>98598-Radio or TV Broadcasting Stations (4832, 4833)</t>
  </si>
  <si>
    <t>98601-Railroad Construction (1629)</t>
  </si>
  <si>
    <t>98622-Railroads – operation and maintenance – with BI passenger hazard (401)</t>
  </si>
  <si>
    <t>98623-Railroads – operation and maintenance – without BI passenger hazard (401)</t>
  </si>
  <si>
    <t>98624-Railroads – shop operation and maintenance (401)</t>
  </si>
  <si>
    <t>98636-Refrigeration Systems or Equipment – dealers and distributors and installation, servicing or repair – commercial (7623, 1711)</t>
  </si>
  <si>
    <t>98640-Renovating – outside surfaces of buildings (1799)</t>
  </si>
  <si>
    <t>98658-Rigging – not ship or boat (1799)</t>
  </si>
  <si>
    <t>98659-Rigging – ship or boat (3731, 3732)</t>
  </si>
  <si>
    <t>98677-Roofing – commercial (1761)</t>
  </si>
  <si>
    <t>98678-Roofing – residential (1761)</t>
  </si>
  <si>
    <t>98698-Salvage Operations – NOC (7389)</t>
  </si>
  <si>
    <t>98699-Salvage Operations – removing, sorting, reconditioning and distributing of merchandise in damaged buildings and incidental operations away from such buildings (7389)</t>
  </si>
  <si>
    <t>98705-Sandblasting (1799)</t>
  </si>
  <si>
    <t>98710-Sand or Gravel Digging (144)</t>
  </si>
  <si>
    <t>98751-Security and Patrol Agencies (7381)</t>
  </si>
  <si>
    <t>98805-Septic Tank Systems – cleaning (7699)</t>
  </si>
  <si>
    <t>98806-Septic Tank Systems – installation, servicing or repair (1711)</t>
  </si>
  <si>
    <t>98810-Sewage Disposal – plant operations (4952)</t>
  </si>
  <si>
    <t>98813-Sewer Cleaning (7699)</t>
  </si>
  <si>
    <t>98820-Sewer Mains or Connections Construction (1623)</t>
  </si>
  <si>
    <t>98871-Shaft Sinking (1081, 1241, 1481)</t>
  </si>
  <si>
    <t>98884-Sheet Metal Work – outside (1761)</t>
  </si>
  <si>
    <t>98914-Ship Ceiling or Scaling (7699)</t>
  </si>
  <si>
    <t>98949-Ship Repair or Conversion (3731, 3732)</t>
  </si>
  <si>
    <t>98967-Siding Installation (1761)</t>
  </si>
  <si>
    <t>98993-Sign Erection, Installation or Repair (1799)</t>
  </si>
  <si>
    <t>99003-Sign Painting or Lettering – inside of buildings (7389)</t>
  </si>
  <si>
    <t>99004-Sign Painting or Lettering on Buildings or Structures (7389)</t>
  </si>
  <si>
    <t>99080-Solar Energy Contractors (1711)</t>
  </si>
  <si>
    <t>99111-Stables – boarding, livery or racing (7948, 7999)</t>
  </si>
  <si>
    <t>99160-Steam Heating or Steam Power Companies (4961)</t>
  </si>
  <si>
    <t>99163-Steam Mains or Connections Construction (1623)</t>
  </si>
  <si>
    <t>99165-Steam Pipe or Boiler Insulation (1711)</t>
  </si>
  <si>
    <t>99220-Stevedoring – by hand or by means of hand trucks exclusively – no hoisting of cargo (4491)</t>
  </si>
  <si>
    <t>99221-Stevedoring – handling explosives or ammunition under contract (4491)</t>
  </si>
  <si>
    <t>99222-Stevedoring – NOC (4491)</t>
  </si>
  <si>
    <t>99223-Stevedoring – tallyers or checking clerks engaged in connection with stevedoring work (4491)</t>
  </si>
  <si>
    <t>99303-Street Cleaning (4959)</t>
  </si>
  <si>
    <t>99315-Street or Road Construction or Reconstruction (1611)</t>
  </si>
  <si>
    <t>99321-Street or Road Paving or Repaving, Surfacing or Resurfacing or Scraping (1611)</t>
  </si>
  <si>
    <t>99445-Subway Construction (1629)</t>
  </si>
  <si>
    <t>99471-Surveyors – land – not engaged in actual construction (8713)</t>
  </si>
  <si>
    <t>99505-Swimming Pool Servicing (7389)</t>
  </si>
  <si>
    <t>99506-Swimming Pools – installation, servicing or repair – above ground (1799, 7389)</t>
  </si>
  <si>
    <t>99507-Swimming Pools – installation, servicing or repair – below ground (1799, 7389)</t>
  </si>
  <si>
    <t>99570-Tank Construction, Installation, Erection or Repair – metal – not pressurized – NOC (1791)</t>
  </si>
  <si>
    <t>99571-Tank Construction, Installation, Erection or Repair – metal – pressurized – NOC (1791)</t>
  </si>
  <si>
    <t>99572-Tank Construction, Installation, Erection or Repair – metal – not pressurized – within buildings exclusively (1791)</t>
  </si>
  <si>
    <t>99573-Tank Construction, Installation, Erection or Repair – metal – pressurized – within buildings exclusively (1791)</t>
  </si>
  <si>
    <t>99600-Telecommunication Service Providers (4813)</t>
  </si>
  <si>
    <t>99613-Telephone, Telegraph or Cable Television Line Construction (1623)</t>
  </si>
  <si>
    <t>99614-Telegraph Companies (4822)</t>
  </si>
  <si>
    <t>99620-Teleproduction Studios (7812)</t>
  </si>
  <si>
    <t>99650-Television or Radio Receiving Set Installation or Repair (7622)</t>
  </si>
  <si>
    <t>99709-Tent or Canvas Goods – erection, removal or repair – away from shop (1799)</t>
  </si>
  <si>
    <t>99718-Theatrical Companies – traveling (7922)</t>
  </si>
  <si>
    <t>99746-Tile, Stone, Marble, Mosaic or Terrazzo Work – interior construction (1743)</t>
  </si>
  <si>
    <t>99760-Tobacco Rehandling or Warehousing (4221)</t>
  </si>
  <si>
    <t>99777-Tree Pruning, Dusting, Spraying, Repairing, Trimming or Fumigating (0783)</t>
  </si>
  <si>
    <t>99793-Truckers (421)</t>
  </si>
  <si>
    <t>99798-Tunneling (1622)</t>
  </si>
  <si>
    <t>99803-Underpinning Buildings or Structures (1799)</t>
  </si>
  <si>
    <t>99826-Upholstering – NOC (7641)</t>
  </si>
  <si>
    <t>99827-Upholstering – shop only (7641)</t>
  </si>
  <si>
    <t>99851-Veterinarian or Veterinary Hospitals (074)</t>
  </si>
  <si>
    <t>99917-Warehouse – cold storage – public (4222)</t>
  </si>
  <si>
    <t>99938-Warehouses – NOC (4221, 4225, 4226)</t>
  </si>
  <si>
    <t>99943-Water Companies (4941)</t>
  </si>
  <si>
    <t>99946-Water Mains or Connection Construction (1623)</t>
  </si>
  <si>
    <t>99948-Water Softening Equipment – installation, servicing or repair (1799)</t>
  </si>
  <si>
    <t>99952-Waterproofing – by pressure apparatus (1799)</t>
  </si>
  <si>
    <t>99953-Waterproofing – by trowel – exterior (1799)</t>
  </si>
  <si>
    <t>99954-Waterproofing – by trowel – interior or insulation work (1799)</t>
  </si>
  <si>
    <t>99955-Waterproofing – NOC (1799)</t>
  </si>
  <si>
    <t>99963-Weighers, Samplers or Inspectors of Merchandise – on vessels or docks or at railway stations or warehouses (4785)</t>
  </si>
  <si>
    <t>99969-Welding or Cutting (7692)</t>
  </si>
  <si>
    <t>99975-Window Cleaning (7349)</t>
  </si>
  <si>
    <t>99986-Wrecking – buildings or structures – NOC (1795)</t>
  </si>
  <si>
    <t>99987-Wrecking – dismantling of prefabricated dwellings not exceeding 3 stories – for reerection (1795)</t>
  </si>
  <si>
    <t>99988-Wrecking – marine (4499)</t>
  </si>
  <si>
    <t>Logan Smith</t>
  </si>
  <si>
    <t>lsmith@westcongress.com</t>
  </si>
  <si>
    <t>Kim Bilodeau</t>
  </si>
  <si>
    <t>kbilodeau@westcongress.com</t>
  </si>
  <si>
    <t>Luis Accardi</t>
  </si>
  <si>
    <t>laccardi@westcongress.com</t>
  </si>
  <si>
    <t>James Clark</t>
  </si>
  <si>
    <t>jclark@westcongress.com</t>
  </si>
  <si>
    <t>Leigh Ann Hawthorne</t>
  </si>
  <si>
    <t>lhawthorne@westcongress.com</t>
  </si>
  <si>
    <t>All-South Professional Liability, Inc.</t>
  </si>
  <si>
    <t>All-South Professional Liability, Inc.-Lafayette</t>
  </si>
  <si>
    <t>All-South Professional Liability, Inc.-Saint Petersburg</t>
  </si>
  <si>
    <t>Amelia Underwriters Inc</t>
  </si>
  <si>
    <t>Amelia Underwriters Inc-Fernandina Beach</t>
  </si>
  <si>
    <t>AmWINS Access Insurance Services, LLC-El Segundo</t>
  </si>
  <si>
    <t>AmWINS Access Insurance Services, LLC-Waukesha</t>
  </si>
  <si>
    <t>Amwins Access Insurance Services, LLC</t>
  </si>
  <si>
    <t>Amwins Access Insurance Services, LLC-Columbia</t>
  </si>
  <si>
    <t>AmWINS Insurance Brokerage of California, LLC-Lafayette</t>
  </si>
  <si>
    <t>Amwins Insurance Brokerage, LLC</t>
  </si>
  <si>
    <t>Amwins Insurance Brokerage, LLC-Denver</t>
  </si>
  <si>
    <t>AmWINS Insurance Brokerage, LLC</t>
  </si>
  <si>
    <t>AmWINS Insurance Brokerage, LLC-Dallas</t>
  </si>
  <si>
    <t>AmWINS Insurance Brokerage, LLC-Grand Rapids</t>
  </si>
  <si>
    <t>Breckenridge Insurance Services, LLC-Irvine</t>
  </si>
  <si>
    <t>Brown &amp; Riding Insurance Services, Inc.-New York</t>
  </si>
  <si>
    <t>Burns &amp; Wilcox-Pittsburgh</t>
  </si>
  <si>
    <t>Burns &amp; Wilcox-Lake Mary</t>
  </si>
  <si>
    <t>CRC Group-Shreveport</t>
  </si>
  <si>
    <t>First Choice Insurance Intermediaries, Inc</t>
  </si>
  <si>
    <t>First Choice Insurance Intermediaries, Inc-Ponte Vedra Beach</t>
  </si>
  <si>
    <t>Hamilton Hilands E&amp;S, LLC</t>
  </si>
  <si>
    <t>Hamilton Hilands E&amp;S, LLC-Bedford</t>
  </si>
  <si>
    <t>Insurance Protection Advisors, LLC</t>
  </si>
  <si>
    <t>Insurance Protection Advisors, LLC-Plano</t>
  </si>
  <si>
    <t>Jencap Group LLC/Jencap Insurance Services-Alpharetta, GA</t>
  </si>
  <si>
    <t>Jencap Group LLC/Jencap Insurance Services-Alpharetta, GA-Alpharetta</t>
  </si>
  <si>
    <t>Jencap Group LLC/Jencap Insurance Services-Atlanta, GA</t>
  </si>
  <si>
    <t>Jencap Group LLC/Jencap Insurance Services-Atlanta, GA-Atlanta</t>
  </si>
  <si>
    <t>Jencap Group LLC/Jencap Insurance Services-Brandon, MS</t>
  </si>
  <si>
    <t>Jencap Group LLC/Jencap Insurance Services-Brandon, MS-Brandon</t>
  </si>
  <si>
    <t>Jencap Group LLC/Jencap Insurance Services-Broomfield, CO</t>
  </si>
  <si>
    <t>Jencap Group LLC/Jencap Insurance Services-Broomfield, CO-Broomfield</t>
  </si>
  <si>
    <t>Jencap Group LLC/Jencap Insurance Services-Charlotte, NC</t>
  </si>
  <si>
    <t>Jencap Group LLC/Jencap Insurance Services-Charlotte, NC-Charlotte</t>
  </si>
  <si>
    <t>Jencap Group LLC/Jencap Insurance Services-Fort Worth, TX</t>
  </si>
  <si>
    <t>Jencap Group LLC/Jencap Insurance Services-Fort Worth, TX-Fort Worth</t>
  </si>
  <si>
    <t>Jencap Group LLC/Jencap Insurance Services-Houston, TX</t>
  </si>
  <si>
    <t>Jencap Group LLC/Jencap Insurance Services-Houston, TX-Houston</t>
  </si>
  <si>
    <t>Jencap Group LLC/Jencap Insurance Services-Largo, FL</t>
  </si>
  <si>
    <t>Jencap Group LLC/Jencap Insurance Services-Largo, FL-Seminole</t>
  </si>
  <si>
    <t>Jencap Group LLC/Jencap Insurance Services-Lees Summit, MO</t>
  </si>
  <si>
    <t>Jencap Group LLC/Jencap Insurance Services-Lees Summit, MO-Lees Summit</t>
  </si>
  <si>
    <t>Jencap Group LLC/Jencap Insurance Services-Little Rock, AR</t>
  </si>
  <si>
    <t>Jencap Group LLC/Jencap Insurance Services-Little Rock, AR-Little Rock</t>
  </si>
  <si>
    <t>Jencap Group LLC/Jencap Insurance Services-Peoria, AZ</t>
  </si>
  <si>
    <t>Jencap Group LLC/Jencap Insurance Services-Peoria, AZ-Peoria</t>
  </si>
  <si>
    <t>Jencap Group LLC/Jencap Insurance Services-San Francisco, CA</t>
  </si>
  <si>
    <t>Jencap Group LLC/Jencap Insurance Services-San Francisco, CA-San Francisco</t>
  </si>
  <si>
    <t>Jencap Group LLC/Jencap Insurance Services-Shreveport, LA</t>
  </si>
  <si>
    <t>Jencap Group LLC/Jencap Insurance Services-Shreveport, LA-Shreveport</t>
  </si>
  <si>
    <t>Jencap Group LLC/Jencap Insurance Services-Springfield, MO</t>
  </si>
  <si>
    <t>Jencap Group LLC/Jencap Insurance Services-Springfield, MO-Springfield</t>
  </si>
  <si>
    <t>Jencap Group LLC/Jencap Insurance Services-Sterling Heights, MI</t>
  </si>
  <si>
    <t>Jencap Group LLC/Jencap Insurance Services-Sterling Heights, MI-Sterling Heights</t>
  </si>
  <si>
    <t>Jencap Group LLC/Jencap Specialty Insurance Services-Alpharetta, GA</t>
  </si>
  <si>
    <t>Jencap Group LLC/Jencap Specialty Insurance Services-Alpharetta, GA-Alpharetta</t>
  </si>
  <si>
    <t>Jencap Group LLC/Jencap Specialty Insurance Services-Buffalo, NY</t>
  </si>
  <si>
    <t>Jencap Group LLC/Jencap Specialty Insurance Services-Buffalo, NY-Buffalo</t>
  </si>
  <si>
    <t>Jencap Group LLC/Jencap Specialty Insurance Services-Melville, NY</t>
  </si>
  <si>
    <t>Jencap Group LLC/Jencap Specialty Insurance Services-Melville, NY-Melville</t>
  </si>
  <si>
    <t>Jencap Group LLC/Jencap Specialty Insurance Services-Mendon, MA</t>
  </si>
  <si>
    <t>Jencap Group LLC/Jencap Specialty Insurance Services-Mendon, MA-Mendon</t>
  </si>
  <si>
    <t>Jencap Group LLC/Jencap Specialty Insurance Services-New Hyde Park, NY</t>
  </si>
  <si>
    <t>Jencap Group LLC/Jencap Specialty Insurance Services-New Hyde Park, NY-New Hyde Park</t>
  </si>
  <si>
    <t>Jencap Group LLC/Jencap Specialty Insurance Services-New York, NY</t>
  </si>
  <si>
    <t>Jencap Group LLC/Jencap Specialty Insurance Services-New York, NY-New York</t>
  </si>
  <si>
    <t>Jencap Group LLC/Jencap Specialty Insurance Services-Ponte Vedra, FL</t>
  </si>
  <si>
    <t>Jencap Group LLC/Jencap Specialty Insurance Services-Ponte Vedra, FL-Ponte Vedra</t>
  </si>
  <si>
    <t>Jencap Group LLC/Jencap Specialty Insurance Services-San Francisco, CA</t>
  </si>
  <si>
    <t>Jencap Group LLC/Jencap Specialty Insurance Services-San Francisco, CA-San Francisco</t>
  </si>
  <si>
    <t>Jencap Group LLC/Jencap Specialty Insurance Services-Santa Rosa, CA</t>
  </si>
  <si>
    <t>Jencap Group LLC/Jencap Specialty Insurance Services-Santa Rosa, CA-Santa Rosa</t>
  </si>
  <si>
    <t>Jencap Group LLC/Quaker Special Risk-Eatontown, NJ</t>
  </si>
  <si>
    <t>Jencap Group LLC/Quaker Special Risk-Eatontown, NJ-Eatontown</t>
  </si>
  <si>
    <t>Jencap Group LLC/Quaker Special Risk-Worchester, MA</t>
  </si>
  <si>
    <t>Jencap Group LLC/Quaker Special Risk-Worchester, MA-Worcester</t>
  </si>
  <si>
    <t>Marsh &amp; McLennan Agency, LLC</t>
  </si>
  <si>
    <t>Marsh &amp; McLennan Agency, LLC-Atlanta</t>
  </si>
  <si>
    <t>Maverick Commercial Insurance Services</t>
  </si>
  <si>
    <t>Maverick Commercial Insurance Services-Oxnard</t>
  </si>
  <si>
    <t>PCF Insurance Services of the West LLC</t>
  </si>
  <si>
    <t>PCF Insurance Services of the West LLC-Scottsdale</t>
  </si>
  <si>
    <t>PGH Excavating Inc</t>
  </si>
  <si>
    <t>PGH Excavating Inc-Enumclaw</t>
  </si>
  <si>
    <t>Pinnacle Risk Solutions</t>
  </si>
  <si>
    <t>Pinnacle Risk Solutions-Roseland</t>
  </si>
  <si>
    <t>QuoteWell Insurance Services, LLC</t>
  </si>
  <si>
    <t>QuoteWell Insurance Services, LLC-Austin</t>
  </si>
  <si>
    <t>Risk Placement Services, Inc.-Tulsa</t>
  </si>
  <si>
    <t>Risk Placement Services, Inc.-Saint Louis</t>
  </si>
  <si>
    <t>RSG National Specialty Programs</t>
  </si>
  <si>
    <t>RSG National Specialty Programs-Hunt Valley</t>
  </si>
  <si>
    <t>RT Specialty, LLC-Tacoma</t>
  </si>
  <si>
    <t>RT Specialty, LLC-Lake Mary</t>
  </si>
  <si>
    <t>RT Specialty, LLC-Edmond</t>
  </si>
  <si>
    <t>RT Specialty, LLC-Saint Paul</t>
  </si>
  <si>
    <t>RT Specialty, LLC-Austin</t>
  </si>
  <si>
    <t>RT Specialty, LLC-Sacramento</t>
  </si>
  <si>
    <t>RT Specialty, LLC-Norcross</t>
  </si>
  <si>
    <t>RT Specialty, LLC-Jupiter</t>
  </si>
  <si>
    <t>RT Specialty, LLC-Charlotte</t>
  </si>
  <si>
    <t>RT Specialty, LLC-New Orleans</t>
  </si>
  <si>
    <t>RT Specialty, LLC-Sunrise</t>
  </si>
  <si>
    <t>RT Specialty, LLC-Hamilton</t>
  </si>
  <si>
    <t>RT Specialty, LLC-Charleston</t>
  </si>
  <si>
    <t>RT Specialty, LLC-Ormond Beach</t>
  </si>
  <si>
    <t>RT Specialty, LLC-Hunt Valley</t>
  </si>
  <si>
    <t>RT Specialty, LLC-Bellevue</t>
  </si>
  <si>
    <t>Scottish American Insurance General Agency Inc-Ruston</t>
  </si>
  <si>
    <t>Standard Lines Brokerage, Inc.-New Orleans</t>
  </si>
  <si>
    <t>W.C. Specialty Risk, Inc.</t>
  </si>
  <si>
    <t>W.C. Specialty Risk, Inc.-Hood River</t>
  </si>
  <si>
    <t>W.N. Tuscano Agency, Inc.</t>
  </si>
  <si>
    <t>W.N. Tuscano Agency, Inc.-Greensburg</t>
  </si>
  <si>
    <t>W.N. Tuscano Angecy, Inc</t>
  </si>
  <si>
    <t>W.N. Tuscano Angecy, Inc-Greensburg</t>
  </si>
  <si>
    <t>X S Brokers Insurance Agency, Inc.</t>
  </si>
  <si>
    <t>X S Brokers Insurance Agency, Inc.-Quincy</t>
  </si>
  <si>
    <t>XPT Specialty</t>
  </si>
  <si>
    <t>XPT Specialty-San Antonio</t>
  </si>
  <si>
    <t>XPT Specialty-Houston</t>
  </si>
  <si>
    <t>Joe Angle</t>
  </si>
  <si>
    <t>jangle@westcongress.com</t>
  </si>
  <si>
    <t>Amwins Access Insurance Services, LLC-Henrico</t>
  </si>
  <si>
    <t>Amwins Insurance Brokerage, LLC-Scottsdale</t>
  </si>
  <si>
    <t>Lane &amp; Associates, Inc.</t>
  </si>
  <si>
    <t>Lane &amp; Associates, Inc.-Metairie</t>
  </si>
  <si>
    <t>Novatae Risk Group, LLC</t>
  </si>
  <si>
    <t>Novatae Risk Group, LLC-Tampa</t>
  </si>
  <si>
    <t>Novatae Risk Group, LLC-Grapevine</t>
  </si>
  <si>
    <t>R.E. Chaix &amp; Associates Insurance Brokers, LLC</t>
  </si>
  <si>
    <t>R.E. Chaix &amp; Associates Insurance Brokers, LLC-Irvine</t>
  </si>
  <si>
    <t>Risk Placement Services, Inc.-Fair Lawn</t>
  </si>
  <si>
    <t>RT Specialty, LLC-Fresno</t>
  </si>
  <si>
    <t>RT Specialty, LLC-Conshohocken</t>
  </si>
  <si>
    <t>Trae Perry</t>
  </si>
  <si>
    <t>tperry@westcongress.com</t>
  </si>
  <si>
    <t>Robert Fitzgerald</t>
  </si>
  <si>
    <t>rfitzgerald@westcongress.com</t>
  </si>
  <si>
    <t>Carrie Booker</t>
  </si>
  <si>
    <t>cbooker@wescongress.com</t>
  </si>
  <si>
    <t>Lauren Fischer</t>
  </si>
  <si>
    <t>lfischer@westcongress.com</t>
  </si>
  <si>
    <t>Bwronski@westcongress.com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</si>
</sst>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5" formatCode="&quot;$&quot;#,##0_);\(&quot;$&quot;#,##0\)"/>
    <numFmt numFmtId="6" formatCode="&quot;$&quot;#,##0_);[Red]\(&quot;$&quot;#,##0\)"/>
    <numFmt numFmtId="44" formatCode="_(&quot;$&quot;* #,##0.00_);_(&quot;$&quot;* \(#,##0.00\);_(&quot;$&quot;* &quot;-&quot;??_);_(@_)"/>
    <numFmt numFmtId="43" formatCode="_(* #,##0.00_);_(* \(#,##0.00\);_(* &quot;-&quot;??_);_(@_)"/>
    <numFmt numFmtId="168" formatCode="&quot;$&quot;#,##0.00"/>
    <numFmt numFmtId="169" formatCode="&quot;$&quot;#,##0"/>
    <numFmt numFmtId="174" formatCode="_(&quot;$&quot;* #,##0_);_(&quot;$&quot;* \(#,##0\);_(&quot;$&quot;* &quot;-&quot;??_);_(@_)"/>
    <numFmt numFmtId="175" formatCode="0.0%"/>
    <numFmt numFmtId="178" formatCode="m/d/yy;@"/>
    <numFmt numFmtId="186" formatCode="_(* #,##0_);_(* \(#,##0\);_(* &quot;-&quot;??_);_(@_)"/>
    <numFmt numFmtId="200" formatCode="&quot;$&quot;#,##0;[Red]&quot;$&quot;#,##0"/>
    <numFmt numFmtId="209" formatCode="&quot;$&quot;#,##0.0000"/>
  </numFmts>
  <fonts count="53">
    <font>
      <sz val="10"/>
      <name val="Arial"/>
    </font>
    <font>
      <sz val="10"/>
      <name val="Arial"/>
    </font>
    <font>
      <u/>
      <sz val="10"/>
      <color indexed="12"/>
      <name val="Arial"/>
      <family val="2"/>
    </font>
    <font>
      <sz val="8"/>
      <name val="Arial"/>
      <family val="2"/>
    </font>
    <font>
      <sz val="10"/>
      <name val="Arial"/>
      <family val="2"/>
    </font>
    <font>
      <sz val="8"/>
      <name val="Tahoma"/>
      <family val="2"/>
    </font>
    <font>
      <sz val="10"/>
      <name val="Arial"/>
      <family val="2"/>
    </font>
    <font>
      <sz val="10"/>
      <name val="Arial"/>
      <family val="2"/>
    </font>
    <font>
      <b/>
      <sz val="10"/>
      <name val="Arial"/>
      <family val="2"/>
    </font>
    <font>
      <b/>
      <u/>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2"/>
      <name val="Arial"/>
      <family val="2"/>
    </font>
    <font>
      <sz val="8"/>
      <name val="Arial"/>
      <family val="2"/>
    </font>
    <font>
      <u/>
      <sz val="10"/>
      <name val="Arial"/>
      <family val="2"/>
    </font>
    <font>
      <sz val="10"/>
      <name val="LiquorDebits"/>
    </font>
    <font>
      <sz val="10"/>
      <name val="LiquorCredits"/>
    </font>
    <font>
      <sz val="10"/>
      <name val="Arial"/>
      <family val="2"/>
    </font>
    <font>
      <sz val="10"/>
      <color indexed="8"/>
      <name val="Arial"/>
      <family val="2"/>
    </font>
    <font>
      <sz val="10"/>
      <name val="Arial"/>
      <family val="2"/>
    </font>
    <font>
      <sz val="10"/>
      <name val="Arial"/>
      <family val="2"/>
    </font>
    <font>
      <sz val="10"/>
      <name val="Arial"/>
      <family val="2"/>
    </font>
    <font>
      <sz val="10"/>
      <color indexed="8"/>
      <name val="Arial"/>
      <family val="2"/>
    </font>
    <font>
      <sz val="10"/>
      <name val="MS Sans Serif"/>
      <family val="2"/>
    </font>
    <font>
      <sz val="10"/>
      <name val="Arial"/>
      <family val="2"/>
    </font>
    <font>
      <b/>
      <sz val="11"/>
      <name val="Arial"/>
      <family val="2"/>
    </font>
    <font>
      <sz val="11"/>
      <color indexed="8"/>
      <name val="Calibri"/>
      <family val="2"/>
    </font>
    <font>
      <sz val="10"/>
      <color indexed="8"/>
      <name val="Arial"/>
      <family val="2"/>
    </font>
    <font>
      <sz val="10"/>
      <name val="Arial"/>
      <family val="2"/>
    </font>
    <font>
      <sz val="11"/>
      <color theme="1"/>
      <name val="Calibri"/>
      <family val="2"/>
      <scheme val="minor"/>
    </font>
    <font>
      <sz val="10"/>
      <color theme="1"/>
      <name val="Arial"/>
      <family val="2"/>
    </font>
    <font>
      <b/>
      <sz val="10"/>
      <color theme="1"/>
      <name val="Arial"/>
      <family val="2"/>
    </font>
    <font>
      <sz val="10"/>
      <color theme="0"/>
      <name val="Arial"/>
      <family val="2"/>
    </font>
    <font>
      <b/>
      <sz val="10"/>
      <color theme="0"/>
      <name val="Arial"/>
      <family val="2"/>
    </font>
    <font>
      <sz val="10"/>
      <color rgb="FFFFFFE5"/>
      <name val="Arial"/>
      <family val="2"/>
    </font>
    <font>
      <sz val="8"/>
      <color theme="1"/>
      <name val="Arial"/>
      <family val="2"/>
    </font>
    <font>
      <b/>
      <sz val="12"/>
      <color theme="0"/>
      <name val="Arial"/>
      <family val="2"/>
    </font>
    <font>
      <b/>
      <sz val="9"/>
      <color rgb="FFFF0000"/>
      <name val="Arial"/>
      <family val="2"/>
    </font>
  </fonts>
  <fills count="3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8"/>
        <bgColor indexed="64"/>
      </patternFill>
    </fill>
    <fill>
      <patternFill patternType="solid">
        <fgColor theme="0" tint="-0.249977111117893"/>
        <bgColor indexed="64"/>
      </patternFill>
    </fill>
    <fill>
      <patternFill patternType="solid">
        <fgColor rgb="FFFFFF00"/>
        <bgColor indexed="64"/>
      </patternFill>
    </fill>
    <fill>
      <patternFill patternType="solid">
        <fgColor rgb="FFFFFFE5"/>
        <bgColor indexed="64"/>
      </patternFill>
    </fill>
    <fill>
      <patternFill patternType="solid">
        <fgColor theme="0"/>
        <bgColor indexed="64"/>
      </patternFill>
    </fill>
    <fill>
      <patternFill patternType="solid">
        <fgColor rgb="FF009CDE"/>
        <bgColor indexed="64"/>
      </patternFill>
    </fill>
    <fill>
      <patternFill patternType="solid">
        <fgColor rgb="FFBFBFBF"/>
        <bgColor indexed="64"/>
      </patternFill>
    </fill>
    <fill>
      <patternFill patternType="solid">
        <fgColor rgb="FF00AB59"/>
        <bgColor indexed="64"/>
      </patternFill>
    </fill>
    <fill>
      <patternFill patternType="solid">
        <fgColor theme="0" tint="-0.34998626667073579"/>
        <bgColor indexed="64"/>
      </patternFill>
    </fill>
    <fill>
      <patternFill patternType="solid">
        <fgColor rgb="FF00B050"/>
        <bgColor indexed="64"/>
      </patternFill>
    </fill>
    <fill>
      <patternFill patternType="solid">
        <fgColor theme="0" tint="-4.9989318521683403E-2"/>
        <bgColor indexed="64"/>
      </patternFill>
    </fill>
    <fill>
      <patternFill patternType="solid">
        <fgColor rgb="FF366092"/>
        <bgColor indexed="64"/>
      </patternFill>
    </fill>
  </fills>
  <borders count="6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8"/>
      </left>
      <right style="thin">
        <color indexed="8"/>
      </right>
      <top style="thin">
        <color indexed="8"/>
      </top>
      <bottom style="thin">
        <color indexed="8"/>
      </bottom>
      <diagonal/>
    </border>
    <border>
      <left/>
      <right style="medium">
        <color indexed="64"/>
      </right>
      <top style="medium">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45">
    <xf numFmtId="0" fontId="0" fillId="0" borderId="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3" fillId="20" borderId="1" applyNumberFormat="0" applyAlignment="0" applyProtection="0"/>
    <xf numFmtId="0" fontId="13" fillId="20" borderId="1" applyNumberFormat="0" applyAlignment="0" applyProtection="0"/>
    <xf numFmtId="0" fontId="13" fillId="20" borderId="1" applyNumberFormat="0" applyAlignment="0" applyProtection="0"/>
    <xf numFmtId="0" fontId="14" fillId="21" borderId="2" applyNumberFormat="0" applyAlignment="0" applyProtection="0"/>
    <xf numFmtId="0" fontId="14" fillId="21" borderId="2" applyNumberFormat="0" applyAlignment="0" applyProtection="0"/>
    <xf numFmtId="0" fontId="14" fillId="21" borderId="2" applyNumberFormat="0" applyAlignment="0" applyProtection="0"/>
    <xf numFmtId="43" fontId="1" fillId="0" borderId="0" applyFont="0" applyFill="0" applyBorder="0" applyAlignment="0" applyProtection="0"/>
    <xf numFmtId="43" fontId="32" fillId="0" borderId="0" applyFont="0" applyFill="0" applyBorder="0" applyAlignment="0" applyProtection="0"/>
    <xf numFmtId="43" fontId="4"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4" fontId="1" fillId="0" borderId="0" applyFont="0" applyFill="0" applyBorder="0" applyAlignment="0" applyProtection="0"/>
    <xf numFmtId="44" fontId="32" fillId="0" borderId="0" applyFont="0" applyFill="0" applyBorder="0" applyAlignment="0" applyProtection="0"/>
    <xf numFmtId="44" fontId="4" fillId="0" borderId="0" applyFont="0" applyFill="0" applyBorder="0" applyAlignment="0" applyProtection="0"/>
    <xf numFmtId="44" fontId="37" fillId="0" borderId="0" applyFont="0" applyFill="0" applyBorder="0" applyAlignment="0" applyProtection="0"/>
    <xf numFmtId="44" fontId="34" fillId="0" borderId="0" applyFont="0" applyFill="0" applyBorder="0" applyAlignment="0" applyProtection="0"/>
    <xf numFmtId="44" fontId="4" fillId="0" borderId="0" applyFont="0" applyFill="0" applyBorder="0" applyAlignment="0" applyProtection="0"/>
    <xf numFmtId="44" fontId="36" fillId="0" borderId="0" applyFont="0" applyFill="0" applyBorder="0" applyAlignment="0" applyProtection="0"/>
    <xf numFmtId="44" fontId="36" fillId="0" borderId="0" applyFont="0" applyFill="0" applyBorder="0" applyAlignment="0" applyProtection="0"/>
    <xf numFmtId="44" fontId="44" fillId="0" borderId="0" applyFon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4" borderId="0" applyNumberFormat="0" applyBorder="0" applyAlignment="0" applyProtection="0"/>
    <xf numFmtId="0" fontId="16" fillId="4" borderId="0" applyNumberFormat="0" applyBorder="0" applyAlignment="0" applyProtection="0"/>
    <xf numFmtId="0" fontId="16" fillId="4" borderId="0" applyNumberFormat="0" applyBorder="0" applyAlignment="0" applyProtection="0"/>
    <xf numFmtId="0" fontId="17" fillId="0" borderId="3" applyNumberFormat="0" applyFill="0" applyAlignment="0" applyProtection="0"/>
    <xf numFmtId="0" fontId="17" fillId="0" borderId="3" applyNumberFormat="0" applyFill="0" applyAlignment="0" applyProtection="0"/>
    <xf numFmtId="0" fontId="17" fillId="0" borderId="3" applyNumberFormat="0" applyFill="0" applyAlignment="0" applyProtection="0"/>
    <xf numFmtId="0" fontId="18" fillId="0" borderId="4" applyNumberFormat="0" applyFill="0" applyAlignment="0" applyProtection="0"/>
    <xf numFmtId="0" fontId="18" fillId="0" borderId="4"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applyNumberFormat="0" applyFill="0" applyBorder="0" applyAlignment="0" applyProtection="0">
      <alignment vertical="top"/>
      <protection locked="0"/>
    </xf>
    <xf numFmtId="0" fontId="20" fillId="7" borderId="1" applyNumberFormat="0" applyAlignment="0" applyProtection="0"/>
    <xf numFmtId="0" fontId="20" fillId="7" borderId="1" applyNumberFormat="0" applyAlignment="0" applyProtection="0"/>
    <xf numFmtId="0" fontId="20" fillId="7" borderId="1" applyNumberFormat="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45" fillId="0" borderId="0"/>
    <xf numFmtId="0" fontId="38" fillId="0" borderId="0"/>
    <xf numFmtId="0" fontId="45" fillId="0" borderId="0"/>
    <xf numFmtId="0" fontId="45" fillId="0" borderId="0"/>
    <xf numFmtId="0" fontId="38" fillId="0" borderId="0"/>
    <xf numFmtId="0" fontId="45" fillId="0" borderId="0"/>
    <xf numFmtId="0" fontId="38" fillId="0" borderId="0"/>
    <xf numFmtId="0" fontId="45" fillId="0" borderId="0"/>
    <xf numFmtId="0" fontId="38" fillId="0" borderId="0"/>
    <xf numFmtId="0" fontId="45" fillId="0" borderId="0"/>
    <xf numFmtId="0" fontId="38" fillId="0" borderId="0"/>
    <xf numFmtId="0" fontId="45" fillId="0" borderId="0"/>
    <xf numFmtId="0" fontId="45" fillId="0" borderId="0"/>
    <xf numFmtId="0" fontId="45" fillId="0" borderId="0"/>
    <xf numFmtId="0" fontId="45" fillId="0" borderId="0"/>
    <xf numFmtId="0" fontId="4" fillId="0" borderId="0"/>
    <xf numFmtId="0" fontId="38" fillId="0" borderId="0"/>
    <xf numFmtId="0" fontId="44" fillId="0" borderId="0"/>
    <xf numFmtId="0" fontId="44" fillId="0" borderId="0"/>
    <xf numFmtId="0" fontId="4" fillId="0" borderId="0"/>
    <xf numFmtId="0" fontId="33"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4" fillId="0" borderId="0"/>
    <xf numFmtId="0" fontId="37"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36" fillId="0" borderId="0"/>
    <xf numFmtId="0" fontId="45" fillId="0" borderId="0"/>
    <xf numFmtId="0" fontId="45" fillId="0" borderId="0"/>
    <xf numFmtId="0" fontId="44" fillId="0" borderId="0"/>
    <xf numFmtId="0" fontId="39"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34" fillId="0" borderId="0"/>
    <xf numFmtId="0" fontId="4"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35" fillId="0" borderId="0"/>
    <xf numFmtId="0" fontId="4" fillId="0" borderId="0"/>
    <xf numFmtId="0" fontId="44" fillId="0" borderId="0"/>
    <xf numFmtId="0" fontId="45" fillId="0" borderId="0"/>
    <xf numFmtId="0" fontId="45" fillId="0" borderId="0"/>
    <xf numFmtId="0" fontId="45" fillId="0" borderId="0"/>
    <xf numFmtId="0" fontId="45" fillId="0" borderId="0"/>
    <xf numFmtId="0" fontId="45" fillId="0" borderId="0"/>
    <xf numFmtId="0" fontId="45" fillId="0" borderId="0"/>
    <xf numFmtId="0" fontId="35" fillId="0" borderId="0"/>
    <xf numFmtId="0" fontId="4" fillId="0" borderId="0"/>
    <xf numFmtId="0" fontId="45" fillId="0" borderId="0"/>
    <xf numFmtId="0" fontId="44" fillId="0" borderId="0"/>
    <xf numFmtId="0" fontId="4" fillId="0" borderId="0"/>
    <xf numFmtId="0" fontId="45" fillId="0" borderId="0"/>
    <xf numFmtId="0" fontId="4" fillId="0" borderId="0"/>
    <xf numFmtId="0" fontId="4" fillId="0" borderId="0"/>
    <xf numFmtId="0" fontId="4" fillId="0" borderId="0"/>
    <xf numFmtId="0" fontId="42" fillId="0" borderId="0"/>
    <xf numFmtId="0" fontId="33" fillId="0" borderId="0"/>
    <xf numFmtId="0" fontId="10" fillId="23" borderId="7" applyNumberFormat="0" applyFont="0" applyAlignment="0" applyProtection="0"/>
    <xf numFmtId="0" fontId="10" fillId="23" borderId="7" applyNumberFormat="0" applyFont="0" applyAlignment="0" applyProtection="0"/>
    <xf numFmtId="0" fontId="10" fillId="23" borderId="7" applyNumberFormat="0" applyFont="0" applyAlignment="0" applyProtection="0"/>
    <xf numFmtId="0" fontId="23" fillId="20" borderId="8" applyNumberFormat="0" applyAlignment="0" applyProtection="0"/>
    <xf numFmtId="0" fontId="23" fillId="20" borderId="8" applyNumberFormat="0" applyAlignment="0" applyProtection="0"/>
    <xf numFmtId="0" fontId="23" fillId="20" borderId="8" applyNumberFormat="0" applyAlignment="0" applyProtection="0"/>
    <xf numFmtId="9" fontId="1" fillId="0" borderId="0" applyFont="0" applyFill="0" applyBorder="0" applyAlignment="0" applyProtection="0"/>
    <xf numFmtId="9" fontId="32" fillId="0" borderId="0" applyFont="0" applyFill="0" applyBorder="0" applyAlignment="0" applyProtection="0"/>
    <xf numFmtId="9" fontId="4" fillId="0" borderId="0" applyFont="0" applyFill="0" applyBorder="0" applyAlignment="0" applyProtection="0"/>
    <xf numFmtId="5" fontId="4" fillId="0" borderId="0" applyFont="0" applyFill="0" applyBorder="0" applyAlignment="0" applyProtection="0"/>
    <xf numFmtId="5" fontId="4" fillId="0" borderId="0" applyFont="0" applyFill="0" applyBorder="0" applyAlignment="0" applyProtection="0"/>
    <xf numFmtId="9" fontId="34" fillId="0" borderId="0" applyFont="0" applyFill="0" applyBorder="0" applyAlignment="0" applyProtection="0"/>
    <xf numFmtId="9" fontId="4" fillId="0" borderId="0" applyFont="0" applyFill="0" applyBorder="0" applyAlignment="0" applyProtection="0"/>
    <xf numFmtId="5" fontId="4" fillId="0" borderId="0" applyFont="0" applyFill="0" applyBorder="0" applyAlignment="0" applyProtection="0"/>
    <xf numFmtId="5" fontId="4" fillId="0" borderId="0" applyFont="0" applyFill="0" applyBorder="0" applyAlignment="0" applyProtection="0"/>
    <xf numFmtId="9" fontId="36" fillId="0" borderId="0" applyFont="0" applyFill="0" applyBorder="0" applyAlignment="0" applyProtection="0"/>
    <xf numFmtId="5" fontId="36" fillId="0" borderId="0" applyFont="0" applyFill="0" applyBorder="0" applyAlignment="0" applyProtection="0"/>
    <xf numFmtId="5" fontId="36"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5" fillId="0" borderId="9" applyNumberFormat="0" applyFill="0" applyAlignment="0" applyProtection="0"/>
    <xf numFmtId="0" fontId="25" fillId="0" borderId="9" applyNumberFormat="0" applyFill="0" applyAlignment="0" applyProtection="0"/>
    <xf numFmtId="0" fontId="25" fillId="0" borderId="9" applyNumberFormat="0" applyFill="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697">
    <xf numFmtId="0" fontId="0" fillId="0" borderId="0" xfId="0"/>
    <xf numFmtId="0" fontId="0" fillId="0" borderId="0" xfId="0" applyProtection="1"/>
    <xf numFmtId="0" fontId="7" fillId="0" borderId="0" xfId="0" applyFont="1" applyProtection="1"/>
    <xf numFmtId="0" fontId="4" fillId="0" borderId="0" xfId="0" applyFont="1"/>
    <xf numFmtId="0" fontId="28" fillId="0" borderId="0" xfId="0" applyFont="1"/>
    <xf numFmtId="0" fontId="28" fillId="0" borderId="0" xfId="0" applyFont="1" applyFill="1"/>
    <xf numFmtId="0" fontId="28" fillId="0" borderId="0" xfId="0" applyFont="1" applyFill="1" applyProtection="1"/>
    <xf numFmtId="0" fontId="0" fillId="0" borderId="0" xfId="0" applyBorder="1"/>
    <xf numFmtId="0" fontId="4" fillId="0" borderId="0" xfId="0" applyFont="1" applyFill="1" applyProtection="1"/>
    <xf numFmtId="0" fontId="4" fillId="0" borderId="0" xfId="0" applyFont="1" applyFill="1" applyBorder="1" applyAlignment="1" applyProtection="1">
      <alignment horizontal="left"/>
    </xf>
    <xf numFmtId="6" fontId="28" fillId="0" borderId="0" xfId="0" applyNumberFormat="1" applyFont="1" applyAlignment="1">
      <alignment horizontal="left"/>
    </xf>
    <xf numFmtId="0" fontId="30" fillId="0" borderId="0" xfId="0" applyFont="1"/>
    <xf numFmtId="0" fontId="31" fillId="0" borderId="0" xfId="0" applyFont="1"/>
    <xf numFmtId="0" fontId="0" fillId="24" borderId="0" xfId="0" applyFill="1"/>
    <xf numFmtId="0" fontId="4" fillId="0" borderId="0" xfId="0" applyFont="1" applyAlignment="1"/>
    <xf numFmtId="0" fontId="4" fillId="0" borderId="0" xfId="0" applyFont="1" applyFill="1"/>
    <xf numFmtId="175" fontId="45" fillId="0" borderId="0" xfId="0" applyNumberFormat="1" applyFont="1" applyBorder="1" applyAlignment="1">
      <alignment horizontal="left"/>
    </xf>
    <xf numFmtId="0" fontId="45" fillId="0" borderId="0" xfId="0" applyFont="1" applyBorder="1" applyAlignment="1">
      <alignment horizontal="left"/>
    </xf>
    <xf numFmtId="0" fontId="45" fillId="0" borderId="0" xfId="0" applyFont="1" applyFill="1" applyBorder="1" applyAlignment="1">
      <alignment horizontal="left"/>
    </xf>
    <xf numFmtId="0" fontId="45" fillId="0" borderId="0" xfId="0" applyFont="1" applyFill="1" applyAlignment="1">
      <alignment horizontal="left"/>
    </xf>
    <xf numFmtId="0" fontId="45" fillId="0" borderId="0" xfId="0" applyFont="1" applyFill="1"/>
    <xf numFmtId="0" fontId="8" fillId="0" borderId="0" xfId="0" applyFont="1"/>
    <xf numFmtId="0" fontId="3" fillId="0" borderId="0" xfId="0" applyFont="1" applyFill="1" applyAlignment="1">
      <alignment horizontal="left"/>
    </xf>
    <xf numFmtId="0" fontId="4" fillId="0" borderId="0" xfId="0" applyFont="1" applyFill="1" applyBorder="1" applyAlignment="1" applyProtection="1"/>
    <xf numFmtId="0" fontId="4" fillId="0" borderId="10" xfId="0" applyFont="1" applyFill="1" applyBorder="1" applyAlignment="1" applyProtection="1">
      <alignment horizontal="left"/>
      <protection locked="0"/>
    </xf>
    <xf numFmtId="0" fontId="4" fillId="0" borderId="0" xfId="211" applyFont="1" applyFill="1" applyBorder="1" applyAlignment="1" applyProtection="1">
      <protection locked="0"/>
    </xf>
    <xf numFmtId="0" fontId="45" fillId="0" borderId="0" xfId="0" applyFont="1" applyBorder="1" applyAlignment="1"/>
    <xf numFmtId="0" fontId="4" fillId="0" borderId="0" xfId="139" applyFont="1" applyFill="1" applyBorder="1" applyAlignment="1" applyProtection="1">
      <protection locked="0"/>
    </xf>
    <xf numFmtId="0" fontId="4" fillId="0" borderId="0" xfId="139" applyFont="1" applyBorder="1" applyAlignment="1" applyProtection="1">
      <protection locked="0"/>
    </xf>
    <xf numFmtId="0" fontId="4" fillId="0" borderId="0" xfId="139" applyFont="1" applyFill="1" applyBorder="1" applyAlignment="1" applyProtection="1">
      <alignment wrapText="1"/>
      <protection locked="0"/>
    </xf>
    <xf numFmtId="0" fontId="4" fillId="0" borderId="0" xfId="139" applyFont="1" applyFill="1" applyBorder="1" applyAlignment="1" applyProtection="1">
      <alignment horizontal="left" wrapText="1"/>
      <protection locked="0"/>
    </xf>
    <xf numFmtId="0" fontId="4" fillId="0" borderId="0" xfId="139" applyFont="1" applyBorder="1" applyProtection="1">
      <protection locked="0"/>
    </xf>
    <xf numFmtId="0" fontId="0" fillId="25" borderId="0" xfId="0" applyFill="1" applyAlignment="1" applyProtection="1"/>
    <xf numFmtId="0" fontId="4" fillId="25" borderId="0" xfId="0" applyFont="1" applyFill="1" applyAlignment="1" applyProtection="1"/>
    <xf numFmtId="0" fontId="0" fillId="0" borderId="0" xfId="0" applyBorder="1" applyAlignment="1" applyProtection="1"/>
    <xf numFmtId="0" fontId="0" fillId="0" borderId="11" xfId="0" applyFill="1" applyBorder="1" applyAlignment="1" applyProtection="1"/>
    <xf numFmtId="0" fontId="4" fillId="0" borderId="0" xfId="0" applyFont="1" applyFill="1" applyBorder="1" applyProtection="1">
      <protection hidden="1"/>
    </xf>
    <xf numFmtId="0" fontId="45" fillId="0" borderId="0" xfId="163"/>
    <xf numFmtId="0" fontId="45" fillId="0" borderId="0" xfId="166"/>
    <xf numFmtId="0" fontId="45" fillId="0" borderId="0" xfId="170"/>
    <xf numFmtId="0" fontId="45" fillId="0" borderId="0" xfId="172"/>
    <xf numFmtId="0" fontId="45" fillId="0" borderId="0" xfId="174"/>
    <xf numFmtId="0" fontId="45" fillId="0" borderId="0" xfId="176"/>
    <xf numFmtId="0" fontId="45" fillId="0" borderId="0" xfId="178"/>
    <xf numFmtId="0" fontId="45" fillId="0" borderId="0" xfId="180"/>
    <xf numFmtId="0" fontId="45" fillId="0" borderId="0" xfId="182"/>
    <xf numFmtId="0" fontId="45" fillId="0" borderId="0" xfId="184"/>
    <xf numFmtId="0" fontId="45" fillId="0" borderId="0" xfId="186"/>
    <xf numFmtId="0" fontId="45" fillId="0" borderId="0" xfId="190"/>
    <xf numFmtId="0" fontId="45" fillId="0" borderId="0" xfId="192"/>
    <xf numFmtId="0" fontId="45" fillId="0" borderId="0" xfId="194"/>
    <xf numFmtId="0" fontId="45" fillId="0" borderId="0" xfId="196"/>
    <xf numFmtId="0" fontId="45" fillId="0" borderId="0" xfId="201"/>
    <xf numFmtId="0" fontId="45" fillId="0" borderId="0" xfId="203"/>
    <xf numFmtId="0" fontId="45" fillId="0" borderId="0" xfId="205"/>
    <xf numFmtId="0" fontId="8" fillId="0" borderId="0" xfId="0" applyFont="1" applyAlignment="1">
      <alignment horizontal="left"/>
    </xf>
    <xf numFmtId="0" fontId="4" fillId="0" borderId="0" xfId="0" applyFont="1" applyFill="1" applyBorder="1" applyAlignment="1" applyProtection="1">
      <alignment horizontal="left" wrapText="1"/>
      <protection hidden="1"/>
    </xf>
    <xf numFmtId="169" fontId="0" fillId="0" borderId="0" xfId="0" applyNumberFormat="1"/>
    <xf numFmtId="9" fontId="0" fillId="0" borderId="0" xfId="0" applyNumberFormat="1"/>
    <xf numFmtId="0" fontId="0" fillId="0" borderId="12" xfId="0" applyBorder="1"/>
    <xf numFmtId="9" fontId="0" fillId="0" borderId="12" xfId="0" applyNumberFormat="1" applyBorder="1"/>
    <xf numFmtId="0" fontId="4" fillId="25" borderId="0" xfId="0" applyFont="1" applyFill="1" applyBorder="1" applyAlignment="1" applyProtection="1"/>
    <xf numFmtId="0" fontId="4" fillId="0" borderId="0" xfId="0" applyFont="1" applyFill="1" applyAlignment="1" applyProtection="1"/>
    <xf numFmtId="0" fontId="3" fillId="0" borderId="0" xfId="0" applyFont="1" applyFill="1"/>
    <xf numFmtId="0" fontId="3" fillId="0" borderId="0" xfId="0" applyFont="1" applyFill="1" applyProtection="1"/>
    <xf numFmtId="178" fontId="0" fillId="0" borderId="0" xfId="0" applyNumberFormat="1" applyAlignment="1">
      <alignment horizontal="left"/>
    </xf>
    <xf numFmtId="0" fontId="4" fillId="0" borderId="0" xfId="139" applyFont="1" applyFill="1" applyBorder="1" applyProtection="1">
      <protection locked="0"/>
    </xf>
    <xf numFmtId="169" fontId="0" fillId="0" borderId="0" xfId="0" applyNumberFormat="1" applyAlignment="1">
      <alignment horizontal="left"/>
    </xf>
    <xf numFmtId="2" fontId="4" fillId="0" borderId="0" xfId="0" applyNumberFormat="1" applyFont="1"/>
    <xf numFmtId="0" fontId="0" fillId="0" borderId="0" xfId="0" applyAlignment="1">
      <alignment horizontal="left"/>
    </xf>
    <xf numFmtId="0" fontId="8" fillId="0" borderId="12" xfId="0" applyFont="1" applyBorder="1" applyAlignment="1">
      <alignment horizontal="center"/>
    </xf>
    <xf numFmtId="0" fontId="8" fillId="0" borderId="12" xfId="0" applyFont="1" applyBorder="1" applyAlignment="1">
      <alignment horizontal="center" wrapText="1"/>
    </xf>
    <xf numFmtId="0" fontId="29" fillId="0" borderId="0" xfId="114" applyFont="1" applyFill="1" applyBorder="1" applyAlignment="1" applyProtection="1"/>
    <xf numFmtId="0" fontId="4" fillId="0" borderId="0" xfId="0" applyFont="1" applyFill="1" applyAlignment="1">
      <alignment horizontal="left"/>
    </xf>
    <xf numFmtId="0" fontId="4" fillId="0" borderId="0" xfId="0" applyFont="1" applyFill="1" applyBorder="1" applyAlignment="1">
      <alignment horizontal="left"/>
    </xf>
    <xf numFmtId="0" fontId="8" fillId="0" borderId="12" xfId="0" applyFont="1" applyFill="1" applyBorder="1" applyAlignment="1">
      <alignment horizontal="center"/>
    </xf>
    <xf numFmtId="0" fontId="0" fillId="0" borderId="0" xfId="0" applyAlignment="1">
      <alignment horizontal="center"/>
    </xf>
    <xf numFmtId="169" fontId="0" fillId="0" borderId="0" xfId="0" applyNumberFormat="1" applyFill="1"/>
    <xf numFmtId="0" fontId="9" fillId="0" borderId="0" xfId="0" applyFont="1"/>
    <xf numFmtId="0" fontId="4" fillId="0" borderId="0" xfId="0" applyFont="1" applyFill="1" applyAlignment="1">
      <alignment horizontal="center"/>
    </xf>
    <xf numFmtId="0" fontId="4" fillId="0" borderId="0" xfId="0" applyFont="1" applyFill="1" applyBorder="1" applyAlignment="1"/>
    <xf numFmtId="169" fontId="4" fillId="0" borderId="0" xfId="0" applyNumberFormat="1" applyFont="1" applyFill="1"/>
    <xf numFmtId="6" fontId="4" fillId="0" borderId="0" xfId="0" applyNumberFormat="1" applyFont="1" applyFill="1"/>
    <xf numFmtId="10" fontId="4" fillId="0" borderId="0" xfId="0" applyNumberFormat="1" applyFont="1" applyFill="1"/>
    <xf numFmtId="0" fontId="29" fillId="0" borderId="0" xfId="114" applyFont="1" applyFill="1" applyAlignment="1" applyProtection="1"/>
    <xf numFmtId="0" fontId="45" fillId="0" borderId="0" xfId="165" applyFont="1" applyFill="1" applyBorder="1" applyAlignment="1">
      <alignment horizontal="left"/>
    </xf>
    <xf numFmtId="0" fontId="4" fillId="0" borderId="0" xfId="165" applyFont="1" applyFill="1" applyBorder="1" applyAlignment="1">
      <alignment horizontal="left"/>
    </xf>
    <xf numFmtId="178" fontId="2" fillId="0" borderId="0" xfId="114" applyNumberFormat="1" applyFill="1" applyAlignment="1" applyProtection="1"/>
    <xf numFmtId="1" fontId="0" fillId="0" borderId="0" xfId="0" applyNumberFormat="1"/>
    <xf numFmtId="0" fontId="0" fillId="0" borderId="0" xfId="0" applyAlignment="1">
      <alignment horizontal="left" wrapText="1"/>
    </xf>
    <xf numFmtId="0" fontId="0" fillId="0" borderId="0" xfId="0" applyNumberFormat="1"/>
    <xf numFmtId="169" fontId="0" fillId="0" borderId="0" xfId="0" applyNumberFormat="1" applyAlignment="1"/>
    <xf numFmtId="0" fontId="4" fillId="0" borderId="0" xfId="0" applyNumberFormat="1" applyFont="1" applyFill="1" applyBorder="1"/>
    <xf numFmtId="0" fontId="4" fillId="0" borderId="0" xfId="0" applyNumberFormat="1" applyFont="1"/>
    <xf numFmtId="0" fontId="0" fillId="0" borderId="13" xfId="0" applyBorder="1"/>
    <xf numFmtId="0" fontId="0" fillId="0" borderId="14" xfId="0" applyBorder="1"/>
    <xf numFmtId="0" fontId="0" fillId="0" borderId="15" xfId="0" applyBorder="1"/>
    <xf numFmtId="0" fontId="0" fillId="0" borderId="0" xfId="0" applyFill="1"/>
    <xf numFmtId="0" fontId="4" fillId="26" borderId="0" xfId="0" applyFont="1" applyFill="1" applyProtection="1">
      <protection hidden="1"/>
    </xf>
    <xf numFmtId="0" fontId="4" fillId="26" borderId="0" xfId="0" applyFont="1" applyFill="1" applyAlignment="1" applyProtection="1">
      <protection hidden="1"/>
    </xf>
    <xf numFmtId="0" fontId="4" fillId="25" borderId="0" xfId="0" applyFont="1" applyFill="1" applyProtection="1">
      <protection hidden="1"/>
    </xf>
    <xf numFmtId="0" fontId="4" fillId="25" borderId="0" xfId="0" applyFont="1" applyFill="1" applyAlignment="1" applyProtection="1">
      <protection hidden="1"/>
    </xf>
    <xf numFmtId="1" fontId="0" fillId="0" borderId="0" xfId="0" applyNumberFormat="1" applyAlignment="1">
      <alignment horizontal="left"/>
    </xf>
    <xf numFmtId="178" fontId="0" fillId="0" borderId="0" xfId="0" applyNumberFormat="1"/>
    <xf numFmtId="0" fontId="8" fillId="25" borderId="0" xfId="0" applyFont="1" applyFill="1" applyBorder="1" applyAlignment="1" applyProtection="1">
      <alignment horizontal="left" wrapText="1"/>
      <protection hidden="1"/>
    </xf>
    <xf numFmtId="0" fontId="33" fillId="25" borderId="0" xfId="214" applyFont="1" applyFill="1" applyBorder="1" applyAlignment="1" applyProtection="1">
      <alignment horizontal="left"/>
      <protection hidden="1"/>
    </xf>
    <xf numFmtId="0" fontId="8" fillId="0" borderId="11" xfId="0" applyFont="1" applyBorder="1" applyAlignment="1" applyProtection="1">
      <alignment horizontal="right"/>
      <protection hidden="1"/>
    </xf>
    <xf numFmtId="0" fontId="8" fillId="0" borderId="0" xfId="0" applyFont="1" applyBorder="1" applyAlignment="1" applyProtection="1">
      <alignment horizontal="right"/>
      <protection hidden="1"/>
    </xf>
    <xf numFmtId="0" fontId="4" fillId="0" borderId="16" xfId="0" applyFont="1" applyFill="1" applyBorder="1" applyProtection="1">
      <protection hidden="1"/>
    </xf>
    <xf numFmtId="1" fontId="46" fillId="0" borderId="11" xfId="215" applyNumberFormat="1" applyFont="1" applyFill="1" applyBorder="1" applyAlignment="1" applyProtection="1">
      <alignment horizontal="right" indent="1"/>
      <protection hidden="1"/>
    </xf>
    <xf numFmtId="0" fontId="46" fillId="0" borderId="11" xfId="215" applyFont="1" applyFill="1" applyBorder="1" applyAlignment="1" applyProtection="1">
      <alignment horizontal="right" indent="1"/>
      <protection hidden="1"/>
    </xf>
    <xf numFmtId="0" fontId="4" fillId="0" borderId="11" xfId="215" applyFont="1" applyFill="1" applyBorder="1" applyAlignment="1" applyProtection="1">
      <alignment horizontal="left"/>
      <protection hidden="1"/>
    </xf>
    <xf numFmtId="0" fontId="4" fillId="0" borderId="0" xfId="215" applyFont="1" applyFill="1" applyBorder="1" applyAlignment="1" applyProtection="1">
      <alignment horizontal="left"/>
      <protection hidden="1"/>
    </xf>
    <xf numFmtId="0" fontId="4" fillId="0" borderId="11" xfId="0" applyFont="1" applyFill="1" applyBorder="1" applyProtection="1">
      <protection hidden="1"/>
    </xf>
    <xf numFmtId="0" fontId="4" fillId="0" borderId="17" xfId="215" applyFont="1" applyFill="1" applyBorder="1" applyAlignment="1" applyProtection="1">
      <alignment horizontal="left"/>
      <protection hidden="1"/>
    </xf>
    <xf numFmtId="0" fontId="4" fillId="0" borderId="18" xfId="215" applyFont="1" applyFill="1" applyBorder="1" applyAlignment="1" applyProtection="1">
      <alignment horizontal="left"/>
      <protection hidden="1"/>
    </xf>
    <xf numFmtId="0" fontId="8" fillId="0" borderId="19" xfId="0" applyFont="1" applyFill="1" applyBorder="1" applyProtection="1">
      <protection hidden="1"/>
    </xf>
    <xf numFmtId="0" fontId="8" fillId="25" borderId="0" xfId="0" applyFont="1" applyFill="1" applyProtection="1">
      <protection hidden="1"/>
    </xf>
    <xf numFmtId="0" fontId="4" fillId="0" borderId="0" xfId="0" applyFont="1" applyFill="1" applyProtection="1">
      <protection hidden="1"/>
    </xf>
    <xf numFmtId="0" fontId="8" fillId="26" borderId="0" xfId="0" applyFont="1" applyFill="1" applyProtection="1">
      <protection hidden="1"/>
    </xf>
    <xf numFmtId="10" fontId="8" fillId="0" borderId="12" xfId="215" applyNumberFormat="1" applyFont="1" applyFill="1" applyBorder="1" applyAlignment="1" applyProtection="1">
      <alignment horizontal="center" vertical="center"/>
      <protection hidden="1"/>
    </xf>
    <xf numFmtId="209" fontId="4" fillId="0" borderId="14" xfId="215" applyNumberFormat="1" applyFont="1" applyFill="1" applyBorder="1" applyAlignment="1" applyProtection="1">
      <alignment horizontal="center" vertical="center"/>
      <protection hidden="1"/>
    </xf>
    <xf numFmtId="169" fontId="4" fillId="0" borderId="12" xfId="215" applyNumberFormat="1" applyFont="1" applyFill="1" applyBorder="1" applyAlignment="1" applyProtection="1">
      <alignment horizontal="center" vertical="center"/>
      <protection hidden="1"/>
    </xf>
    <xf numFmtId="0" fontId="4" fillId="0" borderId="11" xfId="0" applyFont="1" applyFill="1" applyBorder="1" applyAlignment="1" applyProtection="1">
      <alignment vertical="center"/>
      <protection hidden="1"/>
    </xf>
    <xf numFmtId="0" fontId="4" fillId="0" borderId="0" xfId="215" applyFont="1" applyFill="1" applyBorder="1" applyAlignment="1" applyProtection="1">
      <alignment horizontal="left" vertical="center"/>
      <protection hidden="1"/>
    </xf>
    <xf numFmtId="10" fontId="8" fillId="0" borderId="0" xfId="215" applyNumberFormat="1" applyFont="1" applyFill="1" applyBorder="1" applyAlignment="1" applyProtection="1">
      <alignment horizontal="center" vertical="center"/>
      <protection hidden="1"/>
    </xf>
    <xf numFmtId="10" fontId="4" fillId="0" borderId="12" xfId="215" applyNumberFormat="1" applyFont="1" applyFill="1" applyBorder="1" applyAlignment="1" applyProtection="1">
      <alignment horizontal="center" vertical="center"/>
      <protection hidden="1"/>
    </xf>
    <xf numFmtId="209" fontId="4" fillId="0" borderId="12" xfId="215" applyNumberFormat="1" applyFont="1" applyFill="1" applyBorder="1" applyAlignment="1" applyProtection="1">
      <alignment horizontal="center" vertical="center"/>
      <protection hidden="1"/>
    </xf>
    <xf numFmtId="169" fontId="4" fillId="27" borderId="12" xfId="215" applyNumberFormat="1" applyFont="1" applyFill="1" applyBorder="1" applyAlignment="1" applyProtection="1">
      <alignment horizontal="center" vertical="center"/>
      <protection locked="0"/>
    </xf>
    <xf numFmtId="0" fontId="8" fillId="0" borderId="11" xfId="0" applyFont="1" applyFill="1" applyBorder="1" applyAlignment="1" applyProtection="1">
      <alignment horizontal="left" vertical="center"/>
      <protection hidden="1"/>
    </xf>
    <xf numFmtId="10" fontId="4" fillId="0" borderId="0" xfId="215" applyNumberFormat="1" applyFont="1" applyFill="1" applyBorder="1" applyAlignment="1" applyProtection="1">
      <alignment horizontal="center" vertical="center"/>
      <protection hidden="1"/>
    </xf>
    <xf numFmtId="209" fontId="4" fillId="0" borderId="0" xfId="215" applyNumberFormat="1" applyFont="1" applyFill="1" applyBorder="1" applyAlignment="1" applyProtection="1">
      <alignment horizontal="center" vertical="center"/>
      <protection hidden="1"/>
    </xf>
    <xf numFmtId="169" fontId="4" fillId="0" borderId="0" xfId="215" applyNumberFormat="1" applyFont="1" applyFill="1" applyBorder="1" applyAlignment="1" applyProtection="1">
      <alignment horizontal="center" vertical="center"/>
      <protection locked="0"/>
    </xf>
    <xf numFmtId="10" fontId="4" fillId="27" borderId="12" xfId="215" applyNumberFormat="1" applyFont="1" applyFill="1" applyBorder="1" applyAlignment="1" applyProtection="1">
      <alignment horizontal="center" vertical="center"/>
      <protection locked="0"/>
    </xf>
    <xf numFmtId="169" fontId="4" fillId="26" borderId="0" xfId="0" applyNumberFormat="1" applyFont="1" applyFill="1" applyProtection="1">
      <protection hidden="1"/>
    </xf>
    <xf numFmtId="0" fontId="46" fillId="0" borderId="11" xfId="215" applyFont="1" applyFill="1" applyBorder="1" applyAlignment="1" applyProtection="1">
      <alignment horizontal="right" wrapText="1" indent="1"/>
      <protection hidden="1"/>
    </xf>
    <xf numFmtId="0" fontId="4" fillId="0" borderId="0" xfId="0" applyFont="1" applyFill="1" applyBorder="1"/>
    <xf numFmtId="0" fontId="0" fillId="25" borderId="0" xfId="0" applyFill="1" applyBorder="1" applyAlignment="1" applyProtection="1"/>
    <xf numFmtId="0" fontId="0" fillId="0" borderId="0" xfId="0" applyFill="1" applyBorder="1" applyAlignment="1" applyProtection="1"/>
    <xf numFmtId="0" fontId="27" fillId="0" borderId="0" xfId="0" applyFont="1" applyFill="1" applyBorder="1" applyAlignment="1" applyProtection="1"/>
    <xf numFmtId="0" fontId="27" fillId="25" borderId="0" xfId="0" applyFont="1" applyFill="1" applyBorder="1" applyAlignment="1" applyProtection="1"/>
    <xf numFmtId="0" fontId="27" fillId="25" borderId="0" xfId="0" applyFont="1" applyFill="1" applyAlignment="1" applyProtection="1"/>
    <xf numFmtId="0" fontId="8" fillId="0" borderId="11" xfId="0" applyFont="1" applyFill="1" applyBorder="1" applyAlignment="1" applyProtection="1">
      <alignment horizontal="right" indent="1"/>
    </xf>
    <xf numFmtId="0" fontId="8" fillId="0" borderId="0" xfId="0" applyFont="1" applyFill="1" applyBorder="1" applyAlignment="1" applyProtection="1">
      <alignment horizontal="right" indent="1"/>
    </xf>
    <xf numFmtId="0" fontId="6" fillId="0" borderId="11" xfId="0" applyFont="1" applyFill="1" applyBorder="1" applyAlignment="1" applyProtection="1"/>
    <xf numFmtId="0" fontId="6" fillId="0" borderId="0" xfId="0" applyFont="1" applyFill="1" applyBorder="1" applyAlignment="1" applyProtection="1"/>
    <xf numFmtId="0" fontId="8" fillId="0" borderId="0" xfId="0" applyFont="1" applyFill="1" applyBorder="1" applyAlignment="1" applyProtection="1"/>
    <xf numFmtId="0" fontId="6" fillId="0" borderId="16" xfId="0" applyFont="1" applyFill="1" applyBorder="1" applyAlignment="1" applyProtection="1"/>
    <xf numFmtId="0" fontId="6" fillId="25" borderId="0" xfId="0" applyFont="1" applyFill="1" applyBorder="1" applyAlignment="1" applyProtection="1"/>
    <xf numFmtId="0" fontId="6" fillId="25" borderId="0" xfId="0" applyFont="1" applyFill="1" applyAlignment="1" applyProtection="1"/>
    <xf numFmtId="0" fontId="6" fillId="0" borderId="0" xfId="0" applyFont="1" applyFill="1" applyBorder="1" applyAlignment="1" applyProtection="1">
      <alignment horizontal="centerContinuous"/>
    </xf>
    <xf numFmtId="0" fontId="6" fillId="0" borderId="16" xfId="0" applyFont="1" applyFill="1" applyBorder="1" applyAlignment="1" applyProtection="1">
      <alignment horizontal="centerContinuous"/>
    </xf>
    <xf numFmtId="0" fontId="8" fillId="0" borderId="20" xfId="0" applyFont="1" applyFill="1" applyBorder="1" applyAlignment="1" applyProtection="1">
      <alignment horizontal="right" indent="1"/>
    </xf>
    <xf numFmtId="0" fontId="6" fillId="0" borderId="0" xfId="0" applyFont="1" applyFill="1" applyBorder="1" applyAlignment="1" applyProtection="1">
      <alignment vertical="center"/>
    </xf>
    <xf numFmtId="0" fontId="6" fillId="25" borderId="0" xfId="0" applyFont="1" applyFill="1" applyBorder="1" applyAlignment="1" applyProtection="1">
      <alignment vertical="center"/>
    </xf>
    <xf numFmtId="174" fontId="8" fillId="25" borderId="0" xfId="87" applyNumberFormat="1" applyFont="1" applyFill="1" applyBorder="1" applyAlignment="1" applyProtection="1">
      <alignment horizontal="right"/>
    </xf>
    <xf numFmtId="0" fontId="7" fillId="0" borderId="0" xfId="0" applyFont="1" applyFill="1" applyBorder="1" applyAlignment="1" applyProtection="1"/>
    <xf numFmtId="0" fontId="7" fillId="25" borderId="0" xfId="0" applyFont="1" applyFill="1" applyAlignment="1" applyProtection="1"/>
    <xf numFmtId="0" fontId="8" fillId="25" borderId="0" xfId="0" applyFont="1" applyFill="1" applyBorder="1" applyAlignment="1" applyProtection="1">
      <alignment horizontal="right"/>
    </xf>
    <xf numFmtId="0" fontId="0" fillId="25" borderId="0" xfId="0" applyFill="1" applyBorder="1" applyAlignment="1" applyProtection="1">
      <alignment vertical="justify"/>
    </xf>
    <xf numFmtId="0" fontId="0" fillId="25" borderId="0" xfId="0" applyFill="1" applyAlignment="1" applyProtection="1">
      <alignment vertical="justify"/>
    </xf>
    <xf numFmtId="0" fontId="0" fillId="25" borderId="0" xfId="0" applyFill="1" applyBorder="1" applyAlignment="1" applyProtection="1">
      <alignment vertical="top" wrapText="1"/>
    </xf>
    <xf numFmtId="178" fontId="4" fillId="27" borderId="21" xfId="0" applyNumberFormat="1" applyFont="1" applyFill="1" applyBorder="1" applyAlignment="1" applyProtection="1">
      <alignment horizontal="center" vertical="center"/>
      <protection locked="0"/>
    </xf>
    <xf numFmtId="169" fontId="4" fillId="27" borderId="12" xfId="0" applyNumberFormat="1" applyFont="1" applyFill="1" applyBorder="1" applyAlignment="1" applyProtection="1">
      <alignment horizontal="center" vertical="center"/>
      <protection locked="0"/>
    </xf>
    <xf numFmtId="0" fontId="4" fillId="27" borderId="12" xfId="0" applyNumberFormat="1" applyFont="1" applyFill="1" applyBorder="1" applyAlignment="1" applyProtection="1">
      <alignment horizontal="center" vertical="center"/>
      <protection locked="0"/>
    </xf>
    <xf numFmtId="0" fontId="4" fillId="0" borderId="0" xfId="0" applyFont="1" applyAlignment="1">
      <alignment wrapText="1"/>
    </xf>
    <xf numFmtId="0" fontId="4" fillId="0" borderId="0" xfId="0" applyFont="1" applyFill="1" applyBorder="1" applyAlignment="1">
      <alignment wrapText="1"/>
    </xf>
    <xf numFmtId="0" fontId="4" fillId="0" borderId="22" xfId="0" applyFont="1" applyBorder="1" applyAlignment="1">
      <alignment wrapText="1"/>
    </xf>
    <xf numFmtId="0" fontId="4" fillId="0" borderId="22" xfId="0" applyFont="1" applyBorder="1"/>
    <xf numFmtId="0" fontId="4" fillId="0" borderId="22" xfId="0" applyFont="1" applyFill="1" applyBorder="1" applyAlignment="1">
      <alignment wrapText="1"/>
    </xf>
    <xf numFmtId="0" fontId="4" fillId="0" borderId="22" xfId="0" applyFont="1" applyFill="1" applyBorder="1"/>
    <xf numFmtId="0" fontId="45" fillId="0" borderId="10" xfId="0" applyFont="1" applyFill="1" applyBorder="1" applyAlignment="1" applyProtection="1">
      <alignment horizontal="left"/>
      <protection locked="0"/>
    </xf>
    <xf numFmtId="178" fontId="4" fillId="26" borderId="0" xfId="0" applyNumberFormat="1" applyFont="1" applyFill="1" applyAlignment="1" applyProtection="1">
      <protection hidden="1"/>
    </xf>
    <xf numFmtId="0" fontId="4" fillId="26" borderId="0" xfId="0" applyNumberFormat="1" applyFont="1" applyFill="1" applyProtection="1">
      <protection hidden="1"/>
    </xf>
    <xf numFmtId="0" fontId="47" fillId="0" borderId="11" xfId="215" applyFont="1" applyFill="1" applyBorder="1" applyAlignment="1" applyProtection="1">
      <alignment horizontal="center"/>
      <protection hidden="1"/>
    </xf>
    <xf numFmtId="169" fontId="4" fillId="0" borderId="0" xfId="87" applyNumberFormat="1" applyFont="1" applyFill="1" applyBorder="1" applyAlignment="1" applyProtection="1">
      <alignment horizontal="left"/>
      <protection hidden="1"/>
    </xf>
    <xf numFmtId="169" fontId="4" fillId="0" borderId="23" xfId="87" applyNumberFormat="1" applyFont="1" applyFill="1" applyBorder="1" applyAlignment="1" applyProtection="1">
      <alignment horizontal="left"/>
      <protection hidden="1"/>
    </xf>
    <xf numFmtId="178" fontId="4" fillId="0" borderId="23" xfId="215" applyNumberFormat="1" applyFont="1" applyFill="1" applyBorder="1" applyAlignment="1" applyProtection="1">
      <alignment horizontal="left"/>
      <protection hidden="1"/>
    </xf>
    <xf numFmtId="49" fontId="4" fillId="0" borderId="24" xfId="215" applyNumberFormat="1" applyFont="1" applyFill="1" applyBorder="1" applyAlignment="1" applyProtection="1">
      <alignment horizontal="left"/>
      <protection hidden="1"/>
    </xf>
    <xf numFmtId="0" fontId="8" fillId="0" borderId="11" xfId="215" applyFont="1" applyFill="1" applyBorder="1" applyAlignment="1" applyProtection="1">
      <alignment horizontal="left" indent="5"/>
      <protection hidden="1"/>
    </xf>
    <xf numFmtId="4" fontId="0" fillId="0" borderId="0" xfId="0" applyNumberFormat="1" applyBorder="1" applyAlignment="1" applyProtection="1">
      <protection hidden="1"/>
    </xf>
    <xf numFmtId="0" fontId="8" fillId="0" borderId="0" xfId="215" applyFont="1" applyBorder="1" applyAlignment="1" applyProtection="1">
      <alignment horizontal="right"/>
      <protection hidden="1"/>
    </xf>
    <xf numFmtId="169" fontId="0" fillId="0" borderId="0" xfId="0" applyNumberFormat="1" applyBorder="1" applyAlignment="1" applyProtection="1">
      <protection hidden="1"/>
    </xf>
    <xf numFmtId="0" fontId="8" fillId="0" borderId="11" xfId="215" applyFont="1" applyFill="1" applyBorder="1" applyAlignment="1" applyProtection="1">
      <alignment horizontal="left"/>
      <protection hidden="1"/>
    </xf>
    <xf numFmtId="0" fontId="8" fillId="0" borderId="0" xfId="215" applyFont="1" applyBorder="1" applyAlignment="1" applyProtection="1">
      <protection hidden="1"/>
    </xf>
    <xf numFmtId="169" fontId="8" fillId="0" borderId="0" xfId="215" applyNumberFormat="1" applyFont="1" applyBorder="1" applyAlignment="1" applyProtection="1">
      <alignment horizontal="center"/>
      <protection hidden="1"/>
    </xf>
    <xf numFmtId="0" fontId="8" fillId="0" borderId="0" xfId="215" applyFont="1" applyBorder="1" applyAlignment="1" applyProtection="1">
      <alignment horizontal="center"/>
      <protection hidden="1"/>
    </xf>
    <xf numFmtId="0" fontId="4" fillId="0" borderId="11" xfId="0" applyFont="1" applyFill="1" applyBorder="1" applyAlignment="1" applyProtection="1">
      <alignment horizontal="left" vertical="top" wrapText="1"/>
      <protection hidden="1"/>
    </xf>
    <xf numFmtId="0" fontId="4" fillId="0" borderId="0" xfId="0" applyFont="1" applyFill="1" applyBorder="1" applyAlignment="1" applyProtection="1">
      <alignment horizontal="left" vertical="top" wrapText="1"/>
      <protection hidden="1"/>
    </xf>
    <xf numFmtId="0" fontId="4" fillId="0" borderId="11" xfId="0" applyNumberFormat="1" applyFont="1" applyFill="1" applyBorder="1" applyAlignment="1" applyProtection="1">
      <protection hidden="1"/>
    </xf>
    <xf numFmtId="0" fontId="4" fillId="0" borderId="0" xfId="0" applyNumberFormat="1" applyFont="1" applyFill="1" applyBorder="1" applyAlignment="1" applyProtection="1">
      <protection hidden="1"/>
    </xf>
    <xf numFmtId="0" fontId="4" fillId="0" borderId="0" xfId="0" applyNumberFormat="1" applyFont="1" applyFill="1" applyBorder="1" applyAlignment="1" applyProtection="1">
      <alignment horizontal="left" indent="4"/>
      <protection hidden="1"/>
    </xf>
    <xf numFmtId="0" fontId="4" fillId="0" borderId="0" xfId="0" applyNumberFormat="1" applyFont="1" applyFill="1" applyBorder="1" applyAlignment="1" applyProtection="1">
      <alignment wrapText="1"/>
      <protection hidden="1"/>
    </xf>
    <xf numFmtId="0" fontId="4" fillId="0" borderId="0" xfId="0" applyNumberFormat="1" applyFont="1" applyFill="1" applyBorder="1" applyAlignment="1" applyProtection="1">
      <alignment horizontal="left" vertical="top" wrapText="1"/>
      <protection hidden="1"/>
    </xf>
    <xf numFmtId="0" fontId="4" fillId="0" borderId="0" xfId="0" applyNumberFormat="1" applyFont="1" applyFill="1" applyBorder="1" applyAlignment="1" applyProtection="1">
      <alignment vertical="top" wrapText="1"/>
      <protection hidden="1"/>
    </xf>
    <xf numFmtId="0" fontId="4" fillId="27" borderId="12" xfId="0" applyNumberFormat="1" applyFont="1" applyFill="1" applyBorder="1" applyAlignment="1" applyProtection="1">
      <alignment horizontal="center"/>
      <protection locked="0" hidden="1"/>
    </xf>
    <xf numFmtId="0" fontId="4" fillId="0" borderId="17" xfId="0" applyNumberFormat="1" applyFont="1" applyFill="1" applyBorder="1" applyAlignment="1" applyProtection="1">
      <alignment horizontal="left" vertical="top" wrapText="1"/>
      <protection hidden="1"/>
    </xf>
    <xf numFmtId="0" fontId="4" fillId="0" borderId="18" xfId="0" applyNumberFormat="1" applyFont="1" applyFill="1" applyBorder="1" applyAlignment="1" applyProtection="1">
      <alignment horizontal="left" vertical="top" wrapText="1"/>
      <protection hidden="1"/>
    </xf>
    <xf numFmtId="6" fontId="4" fillId="0" borderId="0" xfId="0" applyNumberFormat="1" applyFont="1" applyFill="1" applyAlignment="1">
      <alignment horizontal="left"/>
    </xf>
    <xf numFmtId="0" fontId="45" fillId="0" borderId="0" xfId="212" applyFill="1" applyAlignment="1">
      <alignment horizontal="left"/>
    </xf>
    <xf numFmtId="0" fontId="45" fillId="0" borderId="0" xfId="205" applyAlignment="1"/>
    <xf numFmtId="178" fontId="4" fillId="0" borderId="0" xfId="215" applyNumberFormat="1" applyFont="1" applyFill="1" applyBorder="1" applyAlignment="1" applyProtection="1">
      <alignment horizontal="left"/>
      <protection hidden="1"/>
    </xf>
    <xf numFmtId="49" fontId="4" fillId="0" borderId="16" xfId="215" applyNumberFormat="1" applyFont="1" applyFill="1" applyBorder="1" applyAlignment="1" applyProtection="1">
      <alignment horizontal="left"/>
      <protection hidden="1"/>
    </xf>
    <xf numFmtId="0" fontId="2" fillId="0" borderId="0" xfId="114" applyFill="1" applyBorder="1" applyAlignment="1" applyProtection="1"/>
    <xf numFmtId="0" fontId="4" fillId="28" borderId="25" xfId="0" applyFont="1" applyFill="1" applyBorder="1" applyAlignment="1" applyProtection="1">
      <protection locked="0"/>
    </xf>
    <xf numFmtId="0" fontId="7" fillId="25" borderId="0" xfId="0" applyFont="1" applyFill="1" applyBorder="1" applyAlignment="1" applyProtection="1"/>
    <xf numFmtId="0" fontId="7" fillId="28" borderId="0" xfId="0" applyFont="1" applyFill="1" applyBorder="1" applyAlignment="1" applyProtection="1"/>
    <xf numFmtId="0" fontId="6" fillId="0" borderId="25" xfId="0" applyFont="1" applyFill="1" applyBorder="1" applyAlignment="1" applyProtection="1"/>
    <xf numFmtId="0" fontId="6" fillId="0" borderId="20" xfId="0" applyFont="1" applyFill="1" applyBorder="1" applyAlignment="1" applyProtection="1"/>
    <xf numFmtId="0" fontId="8" fillId="0" borderId="18" xfId="0" applyFont="1" applyFill="1" applyBorder="1" applyAlignment="1" applyProtection="1">
      <alignment horizontal="right" indent="1"/>
    </xf>
    <xf numFmtId="0" fontId="6" fillId="0" borderId="18" xfId="0" applyFont="1" applyFill="1" applyBorder="1" applyAlignment="1" applyProtection="1"/>
    <xf numFmtId="0" fontId="6" fillId="0" borderId="25" xfId="0" applyFont="1" applyFill="1" applyBorder="1" applyAlignment="1" applyProtection="1">
      <alignment vertical="center"/>
    </xf>
    <xf numFmtId="9" fontId="3" fillId="27" borderId="23" xfId="87" applyNumberFormat="1" applyFont="1" applyFill="1" applyBorder="1" applyAlignment="1" applyProtection="1">
      <alignment horizontal="center"/>
    </xf>
    <xf numFmtId="0" fontId="0" fillId="27" borderId="26" xfId="0" applyFill="1" applyBorder="1" applyAlignment="1" applyProtection="1">
      <alignment horizontal="center"/>
    </xf>
    <xf numFmtId="0" fontId="0" fillId="27" borderId="23" xfId="0" applyFill="1" applyBorder="1" applyAlignment="1" applyProtection="1">
      <alignment horizontal="center"/>
    </xf>
    <xf numFmtId="0" fontId="6" fillId="0" borderId="27" xfId="0" applyFont="1" applyFill="1" applyBorder="1" applyAlignment="1" applyProtection="1"/>
    <xf numFmtId="0" fontId="0" fillId="0" borderId="18" xfId="0" applyBorder="1" applyAlignment="1" applyProtection="1"/>
    <xf numFmtId="0" fontId="6" fillId="0" borderId="19" xfId="0" applyFont="1" applyFill="1" applyBorder="1" applyAlignment="1" applyProtection="1"/>
    <xf numFmtId="0" fontId="48" fillId="29" borderId="21" xfId="215" applyFont="1" applyFill="1" applyBorder="1" applyAlignment="1" applyProtection="1">
      <alignment horizontal="center" vertical="center"/>
      <protection hidden="1"/>
    </xf>
    <xf numFmtId="1" fontId="47" fillId="29" borderId="21" xfId="215" applyNumberFormat="1" applyFont="1" applyFill="1" applyBorder="1" applyAlignment="1" applyProtection="1">
      <alignment horizontal="center"/>
      <protection hidden="1"/>
    </xf>
    <xf numFmtId="0" fontId="47" fillId="29" borderId="21" xfId="215" applyFont="1" applyFill="1" applyBorder="1" applyAlignment="1" applyProtection="1">
      <alignment horizontal="center"/>
      <protection hidden="1"/>
    </xf>
    <xf numFmtId="0" fontId="48" fillId="29" borderId="28" xfId="215" applyFont="1" applyFill="1" applyBorder="1" applyAlignment="1" applyProtection="1">
      <alignment horizontal="center" vertical="center"/>
      <protection hidden="1"/>
    </xf>
    <xf numFmtId="0" fontId="48" fillId="29" borderId="21" xfId="215" applyFont="1" applyFill="1" applyBorder="1" applyAlignment="1" applyProtection="1">
      <alignment horizontal="center" vertical="center" wrapText="1"/>
      <protection hidden="1"/>
    </xf>
    <xf numFmtId="186" fontId="4" fillId="0" borderId="0" xfId="82" applyNumberFormat="1" applyFont="1" applyFill="1" applyBorder="1" applyAlignment="1"/>
    <xf numFmtId="0" fontId="6" fillId="0" borderId="29" xfId="0" applyFont="1" applyFill="1" applyBorder="1" applyAlignment="1" applyProtection="1"/>
    <xf numFmtId="0" fontId="6" fillId="0" borderId="29" xfId="0" applyFont="1" applyFill="1" applyBorder="1" applyAlignment="1" applyProtection="1">
      <alignment vertical="center"/>
    </xf>
    <xf numFmtId="0" fontId="4" fillId="26" borderId="0" xfId="0" applyFont="1" applyFill="1" applyBorder="1" applyProtection="1">
      <protection hidden="1"/>
    </xf>
    <xf numFmtId="0" fontId="4" fillId="26" borderId="18" xfId="0" applyFont="1" applyFill="1" applyBorder="1" applyProtection="1">
      <protection hidden="1"/>
    </xf>
    <xf numFmtId="49" fontId="4" fillId="0" borderId="0" xfId="215" applyNumberFormat="1" applyFont="1" applyFill="1" applyBorder="1" applyAlignment="1" applyProtection="1">
      <alignment horizontal="left"/>
      <protection hidden="1"/>
    </xf>
    <xf numFmtId="0" fontId="8" fillId="0" borderId="0" xfId="0" applyFont="1" applyBorder="1" applyAlignment="1" applyProtection="1">
      <protection hidden="1"/>
    </xf>
    <xf numFmtId="0" fontId="8" fillId="0" borderId="0" xfId="0" applyNumberFormat="1" applyFont="1" applyFill="1" applyBorder="1" applyAlignment="1" applyProtection="1">
      <protection hidden="1"/>
    </xf>
    <xf numFmtId="0" fontId="8" fillId="0" borderId="16" xfId="0" applyFont="1" applyFill="1" applyBorder="1" applyProtection="1">
      <protection hidden="1"/>
    </xf>
    <xf numFmtId="0" fontId="8" fillId="0" borderId="11" xfId="0" applyNumberFormat="1" applyFont="1" applyFill="1" applyBorder="1" applyAlignment="1" applyProtection="1">
      <protection hidden="1"/>
    </xf>
    <xf numFmtId="0" fontId="4" fillId="0" borderId="19" xfId="0" applyFont="1" applyFill="1" applyBorder="1" applyProtection="1">
      <protection hidden="1"/>
    </xf>
    <xf numFmtId="0" fontId="4" fillId="30" borderId="0" xfId="0" applyFont="1" applyFill="1" applyProtection="1">
      <protection hidden="1"/>
    </xf>
    <xf numFmtId="0" fontId="4" fillId="30" borderId="16" xfId="0" applyFont="1" applyFill="1" applyBorder="1" applyProtection="1">
      <protection hidden="1"/>
    </xf>
    <xf numFmtId="0" fontId="4" fillId="30" borderId="0" xfId="0" applyFont="1" applyFill="1" applyBorder="1" applyProtection="1">
      <protection hidden="1"/>
    </xf>
    <xf numFmtId="0" fontId="41" fillId="0" borderId="7" xfId="216" applyFont="1" applyFill="1" applyBorder="1" applyAlignment="1">
      <alignment wrapText="1"/>
    </xf>
    <xf numFmtId="0" fontId="41" fillId="0" borderId="7" xfId="216" applyFont="1" applyFill="1" applyBorder="1" applyAlignment="1">
      <alignment horizontal="left" wrapText="1"/>
    </xf>
    <xf numFmtId="0" fontId="4" fillId="0" borderId="30" xfId="0" applyFont="1" applyFill="1" applyBorder="1" applyAlignment="1" applyProtection="1">
      <alignment horizontal="left" vertical="top" wrapText="1"/>
      <protection locked="0"/>
    </xf>
    <xf numFmtId="0" fontId="4" fillId="0" borderId="23" xfId="0" applyFont="1" applyFill="1" applyBorder="1" applyAlignment="1" applyProtection="1">
      <alignment horizontal="left" vertical="top" wrapText="1"/>
      <protection locked="0"/>
    </xf>
    <xf numFmtId="1" fontId="47" fillId="0" borderId="0" xfId="0" applyNumberFormat="1" applyFont="1" applyBorder="1" applyAlignment="1" applyProtection="1">
      <alignment vertical="center" wrapText="1"/>
      <protection hidden="1"/>
    </xf>
    <xf numFmtId="1" fontId="4" fillId="27" borderId="31" xfId="215" applyNumberFormat="1" applyFont="1" applyFill="1" applyBorder="1" applyAlignment="1" applyProtection="1">
      <alignment horizontal="center"/>
      <protection locked="0"/>
    </xf>
    <xf numFmtId="0" fontId="4" fillId="27" borderId="12" xfId="215" applyFont="1" applyFill="1" applyBorder="1" applyAlignment="1" applyProtection="1">
      <alignment horizontal="center"/>
      <protection locked="0"/>
    </xf>
    <xf numFmtId="178" fontId="4" fillId="27" borderId="32" xfId="215" applyNumberFormat="1" applyFont="1" applyFill="1" applyBorder="1" applyAlignment="1" applyProtection="1">
      <alignment horizontal="center"/>
      <protection locked="0"/>
    </xf>
    <xf numFmtId="1" fontId="49" fillId="27" borderId="33" xfId="215" applyNumberFormat="1" applyFont="1" applyFill="1" applyBorder="1" applyAlignment="1" applyProtection="1">
      <alignment horizontal="center"/>
      <protection locked="0"/>
    </xf>
    <xf numFmtId="0" fontId="4" fillId="27" borderId="31" xfId="215" applyFont="1" applyFill="1" applyBorder="1" applyAlignment="1" applyProtection="1">
      <alignment horizontal="center"/>
      <protection locked="0"/>
    </xf>
    <xf numFmtId="0" fontId="6" fillId="28" borderId="0" xfId="0" applyFont="1" applyFill="1" applyBorder="1" applyAlignment="1" applyProtection="1"/>
    <xf numFmtId="0" fontId="6" fillId="28" borderId="11" xfId="0" applyFont="1" applyFill="1" applyBorder="1" applyAlignment="1" applyProtection="1"/>
    <xf numFmtId="0" fontId="2" fillId="0" borderId="0" xfId="114" applyFill="1" applyAlignment="1" applyProtection="1"/>
    <xf numFmtId="186" fontId="4" fillId="0" borderId="0" xfId="82" applyNumberFormat="1" applyFont="1" applyFill="1"/>
    <xf numFmtId="0" fontId="2" fillId="0" borderId="0" xfId="114" applyFill="1" applyBorder="1" applyAlignment="1" applyProtection="1">
      <alignment horizontal="left"/>
    </xf>
    <xf numFmtId="0" fontId="4" fillId="25" borderId="0" xfId="0" applyFont="1" applyFill="1" applyBorder="1" applyAlignment="1" applyProtection="1">
      <alignment horizontal="right"/>
    </xf>
    <xf numFmtId="9" fontId="3" fillId="27" borderId="33" xfId="87" applyNumberFormat="1" applyFont="1" applyFill="1" applyBorder="1" applyAlignment="1" applyProtection="1">
      <alignment horizontal="center"/>
    </xf>
    <xf numFmtId="0" fontId="0" fillId="27" borderId="31" xfId="0" applyFill="1" applyBorder="1" applyAlignment="1" applyProtection="1">
      <alignment horizontal="center"/>
    </xf>
    <xf numFmtId="0" fontId="0" fillId="27" borderId="33" xfId="0" applyFill="1" applyBorder="1" applyAlignment="1" applyProtection="1">
      <alignment horizontal="center"/>
    </xf>
    <xf numFmtId="0" fontId="8" fillId="28" borderId="11" xfId="0" applyFont="1" applyFill="1" applyBorder="1" applyAlignment="1" applyProtection="1"/>
    <xf numFmtId="0" fontId="8" fillId="28" borderId="0" xfId="0" applyFont="1" applyFill="1" applyBorder="1" applyAlignment="1" applyProtection="1"/>
    <xf numFmtId="0" fontId="8" fillId="28" borderId="0" xfId="0" applyFont="1" applyFill="1" applyBorder="1" applyAlignment="1" applyProtection="1">
      <alignment horizontal="left"/>
    </xf>
    <xf numFmtId="0" fontId="46" fillId="28" borderId="0" xfId="0" applyNumberFormat="1" applyFont="1" applyFill="1" applyBorder="1" applyAlignment="1" applyProtection="1">
      <alignment horizontal="left"/>
    </xf>
    <xf numFmtId="0" fontId="0" fillId="28" borderId="0" xfId="0" applyFill="1" applyBorder="1" applyAlignment="1" applyProtection="1">
      <alignment horizontal="left"/>
    </xf>
    <xf numFmtId="0" fontId="48" fillId="28" borderId="0" xfId="0" applyFont="1" applyFill="1" applyBorder="1" applyAlignment="1" applyProtection="1">
      <alignment horizontal="left"/>
    </xf>
    <xf numFmtId="200" fontId="4" fillId="28" borderId="0" xfId="87" applyNumberFormat="1" applyFont="1" applyFill="1" applyBorder="1" applyAlignment="1" applyProtection="1"/>
    <xf numFmtId="200" fontId="4" fillId="28" borderId="16" xfId="87" applyNumberFormat="1" applyFont="1" applyFill="1" applyBorder="1" applyAlignment="1" applyProtection="1"/>
    <xf numFmtId="0" fontId="48" fillId="28" borderId="16" xfId="0" applyFont="1" applyFill="1" applyBorder="1" applyAlignment="1" applyProtection="1">
      <alignment horizontal="left"/>
    </xf>
    <xf numFmtId="0" fontId="7" fillId="28" borderId="16" xfId="0" applyFont="1" applyFill="1" applyBorder="1" applyAlignment="1" applyProtection="1"/>
    <xf numFmtId="0" fontId="7" fillId="28" borderId="17" xfId="0" applyFont="1" applyFill="1" applyBorder="1" applyAlignment="1" applyProtection="1"/>
    <xf numFmtId="0" fontId="7" fillId="28" borderId="18" xfId="0" applyFont="1" applyFill="1" applyBorder="1" applyAlignment="1" applyProtection="1"/>
    <xf numFmtId="0" fontId="7" fillId="0" borderId="18" xfId="0" applyFont="1" applyFill="1" applyBorder="1" applyAlignment="1" applyProtection="1"/>
    <xf numFmtId="10" fontId="50" fillId="28" borderId="18" xfId="0" applyNumberFormat="1" applyFont="1" applyFill="1" applyBorder="1" applyAlignment="1" applyProtection="1">
      <alignment horizontal="left"/>
    </xf>
    <xf numFmtId="10" fontId="50" fillId="28" borderId="19" xfId="0" applyNumberFormat="1" applyFont="1" applyFill="1" applyBorder="1" applyAlignment="1" applyProtection="1">
      <alignment horizontal="left"/>
    </xf>
    <xf numFmtId="0" fontId="6" fillId="28" borderId="23" xfId="0" applyFont="1" applyFill="1" applyBorder="1" applyAlignment="1" applyProtection="1"/>
    <xf numFmtId="168" fontId="45" fillId="28" borderId="0" xfId="0" applyNumberFormat="1" applyFont="1" applyFill="1" applyBorder="1" applyAlignment="1" applyProtection="1">
      <alignment horizontal="center"/>
      <protection locked="0"/>
    </xf>
    <xf numFmtId="0" fontId="8" fillId="28" borderId="0" xfId="0" applyFont="1" applyFill="1" applyBorder="1" applyAlignment="1" applyProtection="1">
      <alignment horizontal="right"/>
    </xf>
    <xf numFmtId="0" fontId="8" fillId="28" borderId="0" xfId="0" applyFont="1" applyFill="1" applyBorder="1" applyAlignment="1" applyProtection="1">
      <alignment horizontal="center"/>
    </xf>
    <xf numFmtId="168" fontId="4" fillId="28" borderId="16" xfId="87" applyNumberFormat="1" applyFont="1" applyFill="1" applyBorder="1" applyAlignment="1" applyProtection="1">
      <protection locked="0"/>
    </xf>
    <xf numFmtId="168" fontId="4" fillId="28" borderId="0" xfId="87" applyNumberFormat="1" applyFont="1" applyFill="1" applyBorder="1" applyAlignment="1" applyProtection="1">
      <protection locked="0"/>
    </xf>
    <xf numFmtId="168" fontId="4" fillId="28" borderId="0" xfId="0" applyNumberFormat="1" applyFont="1" applyFill="1" applyBorder="1" applyAlignment="1" applyProtection="1">
      <alignment horizontal="center"/>
      <protection locked="0"/>
    </xf>
    <xf numFmtId="168" fontId="4" fillId="28" borderId="0" xfId="0" applyNumberFormat="1" applyFont="1" applyFill="1" applyBorder="1" applyAlignment="1" applyProtection="1">
      <protection locked="0"/>
    </xf>
    <xf numFmtId="0" fontId="8" fillId="28" borderId="0" xfId="0" applyFont="1" applyFill="1" applyBorder="1" applyAlignment="1" applyProtection="1">
      <alignment horizontal="right" vertical="top"/>
    </xf>
    <xf numFmtId="168" fontId="4" fillId="28" borderId="0" xfId="87" applyNumberFormat="1" applyFont="1" applyFill="1" applyBorder="1" applyAlignment="1" applyProtection="1">
      <alignment horizontal="center"/>
      <protection locked="0"/>
    </xf>
    <xf numFmtId="168" fontId="8" fillId="28" borderId="0" xfId="87" applyNumberFormat="1" applyFont="1" applyFill="1" applyBorder="1" applyAlignment="1" applyProtection="1">
      <alignment horizontal="right"/>
      <protection locked="0"/>
    </xf>
    <xf numFmtId="0" fontId="6" fillId="28" borderId="34" xfId="0" applyFont="1" applyFill="1" applyBorder="1" applyAlignment="1" applyProtection="1"/>
    <xf numFmtId="168" fontId="4" fillId="28" borderId="23" xfId="87" applyNumberFormat="1" applyFont="1" applyFill="1" applyBorder="1" applyAlignment="1" applyProtection="1">
      <protection locked="0"/>
    </xf>
    <xf numFmtId="0" fontId="8" fillId="28" borderId="23" xfId="0" applyFont="1" applyFill="1" applyBorder="1" applyAlignment="1" applyProtection="1">
      <alignment horizontal="right"/>
    </xf>
    <xf numFmtId="0" fontId="6" fillId="28" borderId="26" xfId="0" applyFont="1" applyFill="1" applyBorder="1" applyAlignment="1" applyProtection="1"/>
    <xf numFmtId="0" fontId="8" fillId="28" borderId="10" xfId="0" applyFont="1" applyFill="1" applyBorder="1" applyAlignment="1" applyProtection="1">
      <alignment horizontal="right" vertical="top"/>
    </xf>
    <xf numFmtId="0" fontId="6" fillId="28" borderId="20" xfId="0" applyFont="1" applyFill="1" applyBorder="1" applyAlignment="1" applyProtection="1"/>
    <xf numFmtId="0" fontId="8" fillId="28" borderId="35" xfId="0" applyFont="1" applyFill="1" applyBorder="1" applyAlignment="1" applyProtection="1">
      <alignment horizontal="right" vertical="top"/>
    </xf>
    <xf numFmtId="168" fontId="4" fillId="28" borderId="25" xfId="87" applyNumberFormat="1" applyFont="1" applyFill="1" applyBorder="1" applyAlignment="1" applyProtection="1">
      <alignment horizontal="center"/>
      <protection locked="0"/>
    </xf>
    <xf numFmtId="168" fontId="4" fillId="28" borderId="25" xfId="87" applyNumberFormat="1" applyFont="1" applyFill="1" applyBorder="1" applyAlignment="1" applyProtection="1">
      <protection locked="0"/>
    </xf>
    <xf numFmtId="0" fontId="8" fillId="28" borderId="25" xfId="0" applyFont="1" applyFill="1" applyBorder="1" applyAlignment="1" applyProtection="1">
      <alignment horizontal="right"/>
    </xf>
    <xf numFmtId="0" fontId="6" fillId="28" borderId="27" xfId="0" applyFont="1" applyFill="1" applyBorder="1" applyAlignment="1" applyProtection="1"/>
    <xf numFmtId="168" fontId="45" fillId="28" borderId="23" xfId="0" applyNumberFormat="1" applyFont="1" applyFill="1" applyBorder="1" applyAlignment="1" applyProtection="1">
      <alignment horizontal="center"/>
      <protection locked="0"/>
    </xf>
    <xf numFmtId="168" fontId="45" fillId="28" borderId="26" xfId="0" applyNumberFormat="1" applyFont="1" applyFill="1" applyBorder="1" applyAlignment="1" applyProtection="1">
      <protection locked="0"/>
    </xf>
    <xf numFmtId="168" fontId="45" fillId="28" borderId="20" xfId="0" applyNumberFormat="1" applyFont="1" applyFill="1" applyBorder="1" applyAlignment="1" applyProtection="1">
      <protection locked="0"/>
    </xf>
    <xf numFmtId="0" fontId="6" fillId="28" borderId="25" xfId="0" applyFont="1" applyFill="1" applyBorder="1" applyAlignment="1" applyProtection="1"/>
    <xf numFmtId="0" fontId="4" fillId="28" borderId="25" xfId="0" applyNumberFormat="1" applyFont="1" applyFill="1" applyBorder="1" applyAlignment="1" applyProtection="1"/>
    <xf numFmtId="168" fontId="4" fillId="28" borderId="25" xfId="0" applyNumberFormat="1" applyFont="1" applyFill="1" applyBorder="1" applyAlignment="1" applyProtection="1">
      <protection locked="0"/>
    </xf>
    <xf numFmtId="168" fontId="45" fillId="28" borderId="25" xfId="0" applyNumberFormat="1" applyFont="1" applyFill="1" applyBorder="1" applyAlignment="1" applyProtection="1">
      <alignment horizontal="center"/>
      <protection locked="0"/>
    </xf>
    <xf numFmtId="168" fontId="45" fillId="28" borderId="27" xfId="0" applyNumberFormat="1" applyFont="1" applyFill="1" applyBorder="1" applyAlignment="1" applyProtection="1">
      <protection locked="0"/>
    </xf>
    <xf numFmtId="0" fontId="48" fillId="29" borderId="23" xfId="0" applyFont="1" applyFill="1" applyBorder="1" applyAlignment="1" applyProtection="1"/>
    <xf numFmtId="0" fontId="48" fillId="28" borderId="23" xfId="0" applyFont="1" applyFill="1" applyBorder="1" applyAlignment="1" applyProtection="1"/>
    <xf numFmtId="0" fontId="48" fillId="28" borderId="24" xfId="0" applyFont="1" applyFill="1" applyBorder="1" applyAlignment="1" applyProtection="1"/>
    <xf numFmtId="0" fontId="48" fillId="29" borderId="26" xfId="0" applyFont="1" applyFill="1" applyBorder="1" applyAlignment="1" applyProtection="1"/>
    <xf numFmtId="168" fontId="6" fillId="28" borderId="25" xfId="0" applyNumberFormat="1" applyFont="1" applyFill="1" applyBorder="1" applyAlignment="1" applyProtection="1">
      <alignment horizontal="center"/>
    </xf>
    <xf numFmtId="200" fontId="8" fillId="28" borderId="25" xfId="87" applyNumberFormat="1" applyFont="1" applyFill="1" applyBorder="1" applyAlignment="1" applyProtection="1">
      <alignment horizontal="right"/>
      <protection locked="0" hidden="1"/>
    </xf>
    <xf numFmtId="168" fontId="4" fillId="28" borderId="25" xfId="0" applyNumberFormat="1" applyFont="1" applyFill="1" applyBorder="1" applyAlignment="1" applyProtection="1">
      <alignment horizontal="center"/>
      <protection locked="0"/>
    </xf>
    <xf numFmtId="169" fontId="46" fillId="28" borderId="25" xfId="0" applyNumberFormat="1" applyFont="1" applyFill="1" applyBorder="1" applyAlignment="1" applyProtection="1">
      <alignment horizontal="right"/>
    </xf>
    <xf numFmtId="168" fontId="46" fillId="28" borderId="25" xfId="0" applyNumberFormat="1" applyFont="1" applyFill="1" applyBorder="1" applyAlignment="1" applyProtection="1">
      <alignment horizontal="center" wrapText="1"/>
    </xf>
    <xf numFmtId="0" fontId="6" fillId="28" borderId="16" xfId="0" applyFont="1" applyFill="1" applyBorder="1" applyAlignment="1" applyProtection="1"/>
    <xf numFmtId="0" fontId="8" fillId="28" borderId="29" xfId="0" applyFont="1" applyFill="1" applyBorder="1" applyAlignment="1" applyProtection="1">
      <alignment horizontal="right"/>
    </xf>
    <xf numFmtId="168" fontId="46" fillId="28" borderId="36" xfId="0" applyNumberFormat="1" applyFont="1" applyFill="1" applyBorder="1" applyAlignment="1" applyProtection="1">
      <alignment horizontal="center" wrapText="1"/>
    </xf>
    <xf numFmtId="168" fontId="8" fillId="28" borderId="0" xfId="0" applyNumberFormat="1" applyFont="1" applyFill="1" applyBorder="1" applyAlignment="1" applyProtection="1"/>
    <xf numFmtId="0" fontId="25" fillId="0" borderId="37" xfId="217" applyFont="1" applyFill="1" applyBorder="1" applyAlignment="1">
      <alignment horizontal="left"/>
    </xf>
    <xf numFmtId="0" fontId="4" fillId="25" borderId="0" xfId="0" applyFont="1" applyFill="1" applyBorder="1" applyAlignment="1" applyProtection="1">
      <alignment horizontal="left"/>
    </xf>
    <xf numFmtId="0" fontId="48" fillId="31" borderId="36" xfId="0" applyFont="1" applyFill="1" applyBorder="1" applyAlignment="1" applyProtection="1">
      <alignment horizontal="center" vertical="center" wrapText="1"/>
      <protection locked="0"/>
    </xf>
    <xf numFmtId="0" fontId="48" fillId="29" borderId="12" xfId="215" applyFont="1" applyFill="1" applyBorder="1" applyAlignment="1" applyProtection="1">
      <alignment horizontal="center" vertical="center" wrapText="1"/>
      <protection hidden="1"/>
    </xf>
    <xf numFmtId="0" fontId="51" fillId="32" borderId="38" xfId="0" applyFont="1" applyFill="1" applyBorder="1" applyAlignment="1" applyProtection="1">
      <alignment horizontal="center" vertical="center" wrapText="1"/>
      <protection hidden="1"/>
    </xf>
    <xf numFmtId="0" fontId="48" fillId="29" borderId="31" xfId="215" applyFont="1" applyFill="1" applyBorder="1" applyAlignment="1" applyProtection="1">
      <alignment horizontal="center" vertical="center" wrapText="1"/>
      <protection hidden="1"/>
    </xf>
    <xf numFmtId="0" fontId="48" fillId="29" borderId="16" xfId="0" applyFont="1" applyFill="1" applyBorder="1" applyAlignment="1" applyProtection="1">
      <alignment horizontal="center" vertical="center" wrapText="1"/>
      <protection hidden="1"/>
    </xf>
    <xf numFmtId="0" fontId="8" fillId="28" borderId="0" xfId="0" applyFont="1" applyFill="1" applyBorder="1" applyAlignment="1" applyProtection="1"/>
    <xf numFmtId="0" fontId="8" fillId="0" borderId="0" xfId="0" applyFont="1" applyFill="1" applyBorder="1" applyProtection="1">
      <protection hidden="1"/>
    </xf>
    <xf numFmtId="0" fontId="48" fillId="29" borderId="32" xfId="215" applyFont="1" applyFill="1" applyBorder="1" applyAlignment="1" applyProtection="1">
      <alignment horizontal="center" vertical="center"/>
      <protection hidden="1"/>
    </xf>
    <xf numFmtId="0" fontId="4" fillId="27" borderId="32" xfId="215" applyNumberFormat="1" applyFont="1" applyFill="1" applyBorder="1" applyAlignment="1" applyProtection="1">
      <alignment horizontal="center"/>
      <protection locked="0"/>
    </xf>
    <xf numFmtId="0" fontId="4" fillId="0" borderId="18" xfId="0" applyFont="1" applyFill="1" applyBorder="1" applyProtection="1">
      <protection hidden="1"/>
    </xf>
    <xf numFmtId="0" fontId="48" fillId="31" borderId="16" xfId="0" applyFont="1" applyFill="1" applyBorder="1" applyAlignment="1" applyProtection="1">
      <alignment horizontal="center" vertical="center"/>
      <protection hidden="1"/>
    </xf>
    <xf numFmtId="0" fontId="48" fillId="29" borderId="16" xfId="215" applyFont="1" applyFill="1" applyBorder="1" applyAlignment="1" applyProtection="1">
      <alignment horizontal="center" vertical="center"/>
      <protection hidden="1"/>
    </xf>
    <xf numFmtId="0" fontId="4" fillId="27" borderId="16" xfId="215" applyNumberFormat="1" applyFont="1" applyFill="1" applyBorder="1" applyAlignment="1" applyProtection="1">
      <alignment horizontal="center"/>
      <protection locked="0"/>
    </xf>
    <xf numFmtId="0" fontId="4" fillId="0" borderId="16" xfId="0" applyFont="1" applyFill="1" applyBorder="1" applyAlignment="1" applyProtection="1">
      <alignment horizontal="left" vertical="top" wrapText="1"/>
      <protection locked="0"/>
    </xf>
    <xf numFmtId="0" fontId="48" fillId="31" borderId="16" xfId="0" applyFont="1" applyFill="1" applyBorder="1" applyAlignment="1" applyProtection="1">
      <alignment horizontal="center" vertical="center" wrapText="1"/>
      <protection locked="0"/>
    </xf>
    <xf numFmtId="0" fontId="4" fillId="27" borderId="36" xfId="0" applyFont="1" applyFill="1" applyBorder="1" applyAlignment="1" applyProtection="1">
      <alignment horizontal="left" vertical="top" wrapText="1"/>
      <protection locked="0"/>
    </xf>
    <xf numFmtId="0" fontId="4" fillId="0" borderId="36" xfId="0" applyFont="1" applyFill="1" applyBorder="1" applyProtection="1">
      <protection hidden="1"/>
    </xf>
    <xf numFmtId="0" fontId="48" fillId="29" borderId="36" xfId="215" applyFont="1" applyFill="1" applyBorder="1" applyAlignment="1" applyProtection="1">
      <alignment horizontal="center" vertical="center" wrapText="1"/>
      <protection hidden="1"/>
    </xf>
    <xf numFmtId="0" fontId="4" fillId="27" borderId="36" xfId="0" applyNumberFormat="1" applyFont="1" applyFill="1" applyBorder="1" applyAlignment="1" applyProtection="1">
      <alignment horizontal="left" vertical="center" wrapText="1"/>
      <protection locked="0"/>
    </xf>
    <xf numFmtId="0" fontId="4" fillId="27" borderId="36" xfId="0" applyNumberFormat="1" applyFont="1" applyFill="1" applyBorder="1" applyAlignment="1" applyProtection="1">
      <alignment horizontal="center" vertical="center" wrapText="1"/>
      <protection locked="0"/>
    </xf>
    <xf numFmtId="0" fontId="48" fillId="29" borderId="39" xfId="215" applyFont="1" applyFill="1" applyBorder="1" applyAlignment="1" applyProtection="1">
      <alignment horizontal="center" vertical="center"/>
      <protection hidden="1"/>
    </xf>
    <xf numFmtId="0" fontId="4" fillId="27" borderId="40" xfId="215" applyNumberFormat="1" applyFont="1" applyFill="1" applyBorder="1" applyAlignment="1" applyProtection="1">
      <alignment horizontal="center"/>
      <protection locked="0"/>
    </xf>
    <xf numFmtId="0" fontId="52" fillId="0" borderId="17" xfId="0" applyFont="1" applyFill="1" applyBorder="1" applyAlignment="1" applyProtection="1">
      <alignment vertical="center" wrapText="1"/>
    </xf>
    <xf numFmtId="0" fontId="52" fillId="0" borderId="18" xfId="0" applyFont="1" applyFill="1" applyBorder="1" applyAlignment="1" applyProtection="1">
      <alignment vertical="center" wrapText="1"/>
    </xf>
    <xf numFmtId="0" fontId="8" fillId="0" borderId="17" xfId="0" applyFont="1" applyFill="1" applyBorder="1" applyAlignment="1" applyProtection="1">
      <alignment horizontal="right" indent="1"/>
    </xf>
    <xf numFmtId="0" fontId="48" fillId="0" borderId="0" xfId="0" applyFont="1" applyFill="1" applyBorder="1" applyAlignment="1" applyProtection="1">
      <alignment horizontal="center" vertical="center"/>
      <protection hidden="1"/>
    </xf>
    <xf numFmtId="0" fontId="48" fillId="0" borderId="25" xfId="0" applyFont="1" applyFill="1" applyBorder="1" applyAlignment="1" applyProtection="1">
      <alignment horizontal="center" vertical="center"/>
      <protection hidden="1"/>
    </xf>
    <xf numFmtId="0" fontId="48" fillId="0" borderId="10" xfId="0" applyFont="1" applyFill="1" applyBorder="1" applyAlignment="1" applyProtection="1"/>
    <xf numFmtId="0" fontId="48" fillId="28" borderId="0" xfId="0" applyFont="1" applyFill="1" applyBorder="1" applyAlignment="1" applyProtection="1"/>
    <xf numFmtId="0" fontId="6" fillId="0" borderId="10" xfId="0" applyFont="1" applyFill="1" applyBorder="1" applyAlignment="1" applyProtection="1"/>
    <xf numFmtId="0" fontId="6" fillId="0" borderId="10" xfId="0" applyFont="1" applyFill="1" applyBorder="1" applyAlignment="1" applyProtection="1">
      <alignment vertical="center"/>
    </xf>
    <xf numFmtId="0" fontId="6" fillId="28" borderId="25" xfId="0" applyFont="1" applyFill="1" applyBorder="1" applyAlignment="1" applyProtection="1">
      <alignment vertical="center"/>
    </xf>
    <xf numFmtId="0" fontId="48" fillId="28" borderId="10" xfId="0" applyFont="1" applyFill="1" applyBorder="1" applyAlignment="1" applyProtection="1"/>
    <xf numFmtId="0" fontId="6" fillId="28" borderId="33" xfId="0" applyFont="1" applyFill="1" applyBorder="1" applyAlignment="1" applyProtection="1"/>
    <xf numFmtId="0" fontId="6" fillId="27" borderId="32" xfId="0" applyFont="1" applyFill="1" applyBorder="1" applyAlignment="1" applyProtection="1">
      <alignment horizontal="center"/>
      <protection locked="0"/>
    </xf>
    <xf numFmtId="0" fontId="6" fillId="27" borderId="33" xfId="0" applyFont="1" applyFill="1" applyBorder="1" applyAlignment="1" applyProtection="1">
      <alignment horizontal="center"/>
      <protection locked="0"/>
    </xf>
    <xf numFmtId="0" fontId="6" fillId="27" borderId="31" xfId="0" applyFont="1" applyFill="1" applyBorder="1" applyAlignment="1" applyProtection="1">
      <alignment horizontal="center"/>
      <protection locked="0"/>
    </xf>
    <xf numFmtId="10" fontId="4" fillId="28" borderId="12" xfId="224" applyNumberFormat="1" applyFont="1" applyFill="1" applyBorder="1" applyAlignment="1" applyProtection="1">
      <alignment horizontal="center"/>
    </xf>
    <xf numFmtId="0" fontId="4" fillId="27" borderId="30" xfId="0" applyFont="1" applyFill="1" applyBorder="1" applyAlignment="1" applyProtection="1">
      <alignment horizontal="left" vertical="top" wrapText="1"/>
      <protection locked="0"/>
    </xf>
    <xf numFmtId="0" fontId="4" fillId="27" borderId="23" xfId="0" applyFont="1" applyFill="1" applyBorder="1" applyAlignment="1" applyProtection="1">
      <alignment horizontal="left" vertical="top" wrapText="1"/>
      <protection locked="0"/>
    </xf>
    <xf numFmtId="0" fontId="4" fillId="27" borderId="24" xfId="0" applyFont="1" applyFill="1" applyBorder="1" applyAlignment="1" applyProtection="1">
      <alignment horizontal="left" vertical="top" wrapText="1"/>
      <protection locked="0"/>
    </xf>
    <xf numFmtId="169" fontId="4" fillId="27" borderId="32" xfId="87" applyNumberFormat="1" applyFont="1" applyFill="1" applyBorder="1" applyAlignment="1" applyProtection="1">
      <alignment horizontal="center"/>
      <protection locked="0"/>
    </xf>
    <xf numFmtId="169" fontId="4" fillId="27" borderId="33" xfId="87" applyNumberFormat="1" applyFont="1" applyFill="1" applyBorder="1" applyAlignment="1" applyProtection="1">
      <alignment horizontal="center"/>
      <protection locked="0"/>
    </xf>
    <xf numFmtId="9" fontId="3" fillId="27" borderId="33" xfId="87" applyNumberFormat="1" applyFont="1" applyFill="1" applyBorder="1" applyAlignment="1" applyProtection="1">
      <alignment horizontal="center"/>
    </xf>
    <xf numFmtId="0" fontId="0" fillId="27" borderId="31" xfId="0" applyFill="1" applyBorder="1" applyAlignment="1" applyProtection="1">
      <alignment horizontal="center"/>
    </xf>
    <xf numFmtId="0" fontId="0" fillId="25" borderId="55" xfId="0" applyFill="1" applyBorder="1" applyAlignment="1" applyProtection="1">
      <alignment horizontal="center"/>
      <protection locked="0"/>
    </xf>
    <xf numFmtId="0" fontId="4" fillId="34" borderId="34" xfId="0" applyFont="1" applyFill="1" applyBorder="1" applyAlignment="1" applyProtection="1">
      <alignment horizontal="left" vertical="top" wrapText="1" indent="1"/>
      <protection locked="0"/>
    </xf>
    <xf numFmtId="0" fontId="4" fillId="34" borderId="23" xfId="0" applyFont="1" applyFill="1" applyBorder="1" applyAlignment="1" applyProtection="1">
      <alignment horizontal="left" vertical="top" wrapText="1" indent="1"/>
      <protection locked="0"/>
    </xf>
    <xf numFmtId="0" fontId="4" fillId="34" borderId="24" xfId="0" applyFont="1" applyFill="1" applyBorder="1" applyAlignment="1" applyProtection="1">
      <alignment horizontal="left" vertical="top" wrapText="1" indent="1"/>
      <protection locked="0"/>
    </xf>
    <xf numFmtId="0" fontId="4" fillId="34" borderId="10" xfId="0" applyFont="1" applyFill="1" applyBorder="1" applyAlignment="1" applyProtection="1">
      <alignment horizontal="left" vertical="top" wrapText="1" indent="1"/>
      <protection locked="0"/>
    </xf>
    <xf numFmtId="0" fontId="4" fillId="34" borderId="0" xfId="0" applyFont="1" applyFill="1" applyBorder="1" applyAlignment="1" applyProtection="1">
      <alignment horizontal="left" vertical="top" wrapText="1" indent="1"/>
      <protection locked="0"/>
    </xf>
    <xf numFmtId="0" fontId="4" fillId="34" borderId="16" xfId="0" applyFont="1" applyFill="1" applyBorder="1" applyAlignment="1" applyProtection="1">
      <alignment horizontal="left" vertical="top" wrapText="1" indent="1"/>
      <protection locked="0"/>
    </xf>
    <xf numFmtId="0" fontId="4" fillId="34" borderId="56" xfId="0" applyFont="1" applyFill="1" applyBorder="1" applyAlignment="1" applyProtection="1">
      <alignment horizontal="left" vertical="top" wrapText="1" indent="1"/>
      <protection locked="0"/>
    </xf>
    <xf numFmtId="0" fontId="4" fillId="34" borderId="18" xfId="0" applyFont="1" applyFill="1" applyBorder="1" applyAlignment="1" applyProtection="1">
      <alignment horizontal="left" vertical="top" wrapText="1" indent="1"/>
      <protection locked="0"/>
    </xf>
    <xf numFmtId="0" fontId="4" fillId="34" borderId="19" xfId="0" applyFont="1" applyFill="1" applyBorder="1" applyAlignment="1" applyProtection="1">
      <alignment horizontal="left" vertical="top" wrapText="1" indent="1"/>
      <protection locked="0"/>
    </xf>
    <xf numFmtId="0" fontId="48" fillId="29" borderId="35" xfId="0" applyFont="1" applyFill="1" applyBorder="1" applyAlignment="1" applyProtection="1">
      <alignment horizontal="center"/>
    </xf>
    <xf numFmtId="0" fontId="48" fillId="29" borderId="25" xfId="0" applyFont="1" applyFill="1" applyBorder="1" applyAlignment="1" applyProtection="1">
      <alignment horizontal="center"/>
    </xf>
    <xf numFmtId="0" fontId="48" fillId="29" borderId="36" xfId="0" applyFont="1" applyFill="1" applyBorder="1" applyAlignment="1" applyProtection="1">
      <alignment horizontal="center"/>
    </xf>
    <xf numFmtId="9" fontId="43" fillId="28" borderId="0" xfId="224" applyNumberFormat="1" applyFont="1" applyFill="1" applyBorder="1" applyAlignment="1" applyProtection="1">
      <alignment horizontal="center"/>
    </xf>
    <xf numFmtId="9" fontId="43" fillId="28" borderId="16" xfId="224" applyNumberFormat="1" applyFont="1" applyFill="1" applyBorder="1" applyAlignment="1" applyProtection="1">
      <alignment horizontal="center"/>
    </xf>
    <xf numFmtId="0" fontId="8" fillId="0" borderId="11" xfId="0" applyFont="1" applyFill="1" applyBorder="1" applyAlignment="1" applyProtection="1">
      <alignment horizontal="left"/>
    </xf>
    <xf numFmtId="0" fontId="8" fillId="0" borderId="0" xfId="0" applyFont="1" applyFill="1" applyBorder="1" applyAlignment="1" applyProtection="1">
      <alignment horizontal="left"/>
    </xf>
    <xf numFmtId="0" fontId="8" fillId="0" borderId="20" xfId="0" applyFont="1" applyFill="1" applyBorder="1" applyAlignment="1" applyProtection="1">
      <alignment horizontal="left"/>
    </xf>
    <xf numFmtId="1" fontId="8" fillId="0" borderId="32" xfId="0" applyNumberFormat="1" applyFont="1" applyFill="1" applyBorder="1" applyAlignment="1" applyProtection="1">
      <alignment horizontal="center"/>
    </xf>
    <xf numFmtId="0" fontId="0" fillId="0" borderId="33" xfId="0" applyBorder="1" applyAlignment="1" applyProtection="1">
      <alignment horizontal="center"/>
    </xf>
    <xf numFmtId="0" fontId="0" fillId="0" borderId="31" xfId="0" applyBorder="1" applyAlignment="1" applyProtection="1">
      <alignment horizontal="center"/>
    </xf>
    <xf numFmtId="0" fontId="4" fillId="27" borderId="12" xfId="224" applyNumberFormat="1" applyFont="1" applyFill="1" applyBorder="1" applyAlignment="1" applyProtection="1">
      <alignment horizontal="center"/>
      <protection locked="0"/>
    </xf>
    <xf numFmtId="0" fontId="8" fillId="0" borderId="11" xfId="0" applyFont="1" applyFill="1" applyBorder="1" applyAlignment="1" applyProtection="1">
      <alignment horizontal="left"/>
      <protection locked="0" hidden="1"/>
    </xf>
    <xf numFmtId="0" fontId="8" fillId="0" borderId="0" xfId="0" applyFont="1" applyFill="1" applyBorder="1" applyAlignment="1" applyProtection="1">
      <alignment horizontal="left"/>
      <protection locked="0" hidden="1"/>
    </xf>
    <xf numFmtId="10" fontId="6" fillId="28" borderId="23" xfId="224" applyNumberFormat="1" applyFont="1" applyFill="1" applyBorder="1" applyAlignment="1" applyProtection="1">
      <alignment horizontal="center"/>
    </xf>
    <xf numFmtId="0" fontId="48" fillId="31" borderId="53" xfId="0" applyFont="1" applyFill="1" applyBorder="1" applyAlignment="1" applyProtection="1">
      <alignment horizontal="center" wrapText="1"/>
    </xf>
    <xf numFmtId="0" fontId="48" fillId="31" borderId="54" xfId="0" applyFont="1" applyFill="1" applyBorder="1" applyAlignment="1" applyProtection="1">
      <alignment horizontal="center" wrapText="1"/>
    </xf>
    <xf numFmtId="0" fontId="48" fillId="31" borderId="38" xfId="0" applyFont="1" applyFill="1" applyBorder="1" applyAlignment="1" applyProtection="1">
      <alignment horizontal="center" wrapText="1"/>
    </xf>
    <xf numFmtId="168" fontId="7" fillId="27" borderId="35" xfId="0" applyNumberFormat="1" applyFont="1" applyFill="1" applyBorder="1" applyAlignment="1" applyProtection="1">
      <alignment horizontal="center"/>
      <protection locked="0"/>
    </xf>
    <xf numFmtId="168" fontId="7" fillId="27" borderId="25" xfId="0" applyNumberFormat="1" applyFont="1" applyFill="1" applyBorder="1" applyAlignment="1" applyProtection="1">
      <alignment horizontal="center"/>
      <protection locked="0"/>
    </xf>
    <xf numFmtId="168" fontId="7" fillId="27" borderId="27" xfId="0" applyNumberFormat="1" applyFont="1" applyFill="1" applyBorder="1" applyAlignment="1" applyProtection="1">
      <alignment horizontal="center"/>
      <protection locked="0"/>
    </xf>
    <xf numFmtId="0" fontId="8" fillId="28" borderId="0" xfId="0" applyFont="1" applyFill="1" applyBorder="1" applyAlignment="1" applyProtection="1"/>
    <xf numFmtId="0" fontId="4" fillId="27" borderId="47" xfId="0" applyFont="1" applyFill="1" applyBorder="1" applyAlignment="1" applyProtection="1">
      <alignment vertical="top" wrapText="1"/>
      <protection locked="0"/>
    </xf>
    <xf numFmtId="0" fontId="4" fillId="27" borderId="43" xfId="0" applyFont="1" applyFill="1" applyBorder="1" applyAlignment="1" applyProtection="1">
      <alignment vertical="top" wrapText="1"/>
      <protection locked="0"/>
    </xf>
    <xf numFmtId="0" fontId="4" fillId="27" borderId="48" xfId="0" applyFont="1" applyFill="1" applyBorder="1" applyAlignment="1" applyProtection="1">
      <alignment vertical="top" wrapText="1"/>
      <protection locked="0"/>
    </xf>
    <xf numFmtId="169" fontId="7" fillId="28" borderId="32" xfId="0" applyNumberFormat="1" applyFont="1" applyFill="1" applyBorder="1" applyAlignment="1" applyProtection="1">
      <alignment horizontal="center"/>
    </xf>
    <xf numFmtId="0" fontId="7" fillId="28" borderId="33" xfId="0" applyFont="1" applyFill="1" applyBorder="1" applyAlignment="1" applyProtection="1">
      <alignment horizontal="center"/>
    </xf>
    <xf numFmtId="0" fontId="7" fillId="28" borderId="31" xfId="0" applyFont="1" applyFill="1" applyBorder="1" applyAlignment="1" applyProtection="1">
      <alignment horizontal="center"/>
    </xf>
    <xf numFmtId="0" fontId="48" fillId="29" borderId="53" xfId="0" applyFont="1" applyFill="1" applyBorder="1" applyAlignment="1" applyProtection="1">
      <alignment horizontal="center"/>
    </xf>
    <xf numFmtId="0" fontId="48" fillId="29" borderId="54" xfId="0" applyFont="1" applyFill="1" applyBorder="1" applyAlignment="1" applyProtection="1">
      <alignment horizontal="center"/>
    </xf>
    <xf numFmtId="0" fontId="48" fillId="29" borderId="38" xfId="0" applyFont="1" applyFill="1" applyBorder="1" applyAlignment="1" applyProtection="1">
      <alignment horizontal="center"/>
    </xf>
    <xf numFmtId="169" fontId="4" fillId="27" borderId="12" xfId="87" applyNumberFormat="1" applyFont="1" applyFill="1" applyBorder="1" applyAlignment="1" applyProtection="1">
      <alignment horizontal="center"/>
      <protection locked="0" hidden="1"/>
    </xf>
    <xf numFmtId="0" fontId="0" fillId="27" borderId="12" xfId="0" applyFill="1" applyBorder="1" applyAlignment="1" applyProtection="1">
      <alignment horizontal="center"/>
      <protection locked="0" hidden="1"/>
    </xf>
    <xf numFmtId="0" fontId="8" fillId="28" borderId="11" xfId="0" applyFont="1" applyFill="1" applyBorder="1" applyAlignment="1" applyProtection="1"/>
    <xf numFmtId="0" fontId="8" fillId="0" borderId="35" xfId="0" applyFont="1" applyFill="1" applyBorder="1" applyAlignment="1" applyProtection="1">
      <alignment horizontal="center"/>
    </xf>
    <xf numFmtId="0" fontId="8" fillId="0" borderId="25" xfId="0" applyFont="1" applyFill="1" applyBorder="1" applyAlignment="1" applyProtection="1">
      <alignment horizontal="center"/>
    </xf>
    <xf numFmtId="0" fontId="8" fillId="0" borderId="27" xfId="0" applyFont="1" applyFill="1" applyBorder="1" applyAlignment="1" applyProtection="1">
      <alignment horizontal="center"/>
    </xf>
    <xf numFmtId="0" fontId="8" fillId="0" borderId="10" xfId="0" applyFont="1" applyFill="1" applyBorder="1" applyAlignment="1" applyProtection="1">
      <alignment horizontal="center"/>
    </xf>
    <xf numFmtId="0" fontId="8" fillId="0" borderId="0" xfId="0" applyFont="1" applyFill="1" applyBorder="1" applyAlignment="1" applyProtection="1">
      <alignment horizontal="center"/>
    </xf>
    <xf numFmtId="0" fontId="8" fillId="0" borderId="20" xfId="0" applyFont="1" applyFill="1" applyBorder="1" applyAlignment="1" applyProtection="1">
      <alignment horizontal="center"/>
    </xf>
    <xf numFmtId="169" fontId="4" fillId="27" borderId="31" xfId="87" applyNumberFormat="1" applyFont="1" applyFill="1" applyBorder="1" applyAlignment="1" applyProtection="1">
      <alignment horizontal="center"/>
      <protection locked="0"/>
    </xf>
    <xf numFmtId="0" fontId="8" fillId="0" borderId="34" xfId="0" applyFont="1" applyFill="1" applyBorder="1" applyAlignment="1" applyProtection="1">
      <alignment horizontal="left"/>
    </xf>
    <xf numFmtId="0" fontId="8" fillId="0" borderId="23" xfId="0" applyFont="1" applyFill="1" applyBorder="1" applyAlignment="1" applyProtection="1">
      <alignment horizontal="left"/>
    </xf>
    <xf numFmtId="200" fontId="7" fillId="28" borderId="35" xfId="0" applyNumberFormat="1" applyFont="1" applyFill="1" applyBorder="1" applyAlignment="1" applyProtection="1">
      <alignment horizontal="center"/>
    </xf>
    <xf numFmtId="0" fontId="7" fillId="28" borderId="25" xfId="0" applyFont="1" applyFill="1" applyBorder="1" applyAlignment="1" applyProtection="1">
      <alignment horizontal="center"/>
    </xf>
    <xf numFmtId="0" fontId="7" fillId="28" borderId="27" xfId="0" applyFont="1" applyFill="1" applyBorder="1" applyAlignment="1" applyProtection="1">
      <alignment horizontal="center"/>
    </xf>
    <xf numFmtId="0" fontId="4" fillId="27" borderId="32" xfId="0" applyFont="1" applyFill="1" applyBorder="1" applyAlignment="1" applyProtection="1">
      <alignment horizontal="left" indent="1"/>
      <protection locked="0"/>
    </xf>
    <xf numFmtId="0" fontId="0" fillId="27" borderId="33" xfId="0" applyFill="1" applyBorder="1" applyAlignment="1" applyProtection="1">
      <alignment horizontal="left" indent="1"/>
      <protection locked="0"/>
    </xf>
    <xf numFmtId="0" fontId="0" fillId="27" borderId="31" xfId="0" applyFill="1" applyBorder="1" applyAlignment="1" applyProtection="1">
      <alignment horizontal="left" indent="1"/>
      <protection locked="0"/>
    </xf>
    <xf numFmtId="0" fontId="0" fillId="27" borderId="33" xfId="0" applyFill="1" applyBorder="1" applyAlignment="1" applyProtection="1">
      <alignment horizontal="center"/>
      <protection locked="0"/>
    </xf>
    <xf numFmtId="0" fontId="48" fillId="29" borderId="52" xfId="0" applyFont="1" applyFill="1" applyBorder="1" applyAlignment="1" applyProtection="1">
      <alignment horizontal="center"/>
    </xf>
    <xf numFmtId="0" fontId="48" fillId="29" borderId="50" xfId="0" applyFont="1" applyFill="1" applyBorder="1" applyAlignment="1" applyProtection="1">
      <alignment horizontal="center"/>
    </xf>
    <xf numFmtId="0" fontId="48" fillId="29" borderId="51" xfId="0" applyFont="1" applyFill="1" applyBorder="1" applyAlignment="1" applyProtection="1">
      <alignment horizontal="center"/>
    </xf>
    <xf numFmtId="5" fontId="4" fillId="27" borderId="12" xfId="87" applyNumberFormat="1" applyFont="1" applyFill="1" applyBorder="1" applyAlignment="1" applyProtection="1">
      <alignment horizontal="center"/>
      <protection locked="0" hidden="1"/>
    </xf>
    <xf numFmtId="5" fontId="4" fillId="27" borderId="28" xfId="87" applyNumberFormat="1" applyFont="1" applyFill="1" applyBorder="1" applyAlignment="1" applyProtection="1">
      <alignment horizontal="center"/>
      <protection locked="0" hidden="1"/>
    </xf>
    <xf numFmtId="0" fontId="46" fillId="27" borderId="12" xfId="0" applyFont="1" applyFill="1" applyBorder="1" applyAlignment="1" applyProtection="1">
      <alignment horizontal="center"/>
      <protection locked="0"/>
    </xf>
    <xf numFmtId="0" fontId="46" fillId="27" borderId="32" xfId="0" applyFont="1" applyFill="1" applyBorder="1" applyAlignment="1" applyProtection="1">
      <alignment horizontal="center"/>
      <protection locked="0"/>
    </xf>
    <xf numFmtId="0" fontId="4" fillId="27" borderId="12" xfId="0" applyFont="1" applyFill="1" applyBorder="1" applyAlignment="1" applyProtection="1">
      <alignment horizontal="left" indent="1"/>
      <protection locked="0" hidden="1"/>
    </xf>
    <xf numFmtId="0" fontId="4" fillId="0" borderId="0" xfId="0" applyFont="1" applyFill="1" applyBorder="1" applyAlignment="1" applyProtection="1">
      <alignment horizontal="left" indent="1"/>
      <protection locked="0" hidden="1"/>
    </xf>
    <xf numFmtId="0" fontId="0" fillId="0" borderId="0" xfId="0" applyFill="1" applyBorder="1" applyAlignment="1" applyProtection="1">
      <alignment horizontal="left" indent="1"/>
      <protection locked="0" hidden="1"/>
    </xf>
    <xf numFmtId="178" fontId="4" fillId="0" borderId="18" xfId="0" applyNumberFormat="1" applyFont="1" applyFill="1" applyBorder="1" applyAlignment="1" applyProtection="1">
      <alignment horizontal="left" indent="1"/>
      <protection locked="0"/>
    </xf>
    <xf numFmtId="0" fontId="46" fillId="27" borderId="12" xfId="0" applyFont="1" applyFill="1" applyBorder="1" applyAlignment="1" applyProtection="1">
      <alignment horizontal="center"/>
      <protection locked="0" hidden="1"/>
    </xf>
    <xf numFmtId="0" fontId="46" fillId="27" borderId="31" xfId="0" applyFont="1" applyFill="1" applyBorder="1" applyAlignment="1" applyProtection="1">
      <alignment horizontal="center"/>
      <protection locked="0"/>
    </xf>
    <xf numFmtId="0" fontId="4" fillId="27" borderId="33" xfId="0" applyFont="1" applyFill="1" applyBorder="1" applyAlignment="1" applyProtection="1">
      <alignment horizontal="left" indent="1"/>
      <protection locked="0"/>
    </xf>
    <xf numFmtId="0" fontId="4" fillId="27" borderId="31" xfId="0" applyFont="1" applyFill="1" applyBorder="1" applyAlignment="1" applyProtection="1">
      <alignment horizontal="left" indent="1"/>
      <protection locked="0"/>
    </xf>
    <xf numFmtId="0" fontId="2" fillId="27" borderId="32" xfId="114" applyFill="1" applyBorder="1" applyAlignment="1" applyProtection="1">
      <alignment horizontal="left" indent="1"/>
      <protection locked="0"/>
    </xf>
    <xf numFmtId="0" fontId="48" fillId="29" borderId="30" xfId="0" applyFont="1" applyFill="1" applyBorder="1" applyAlignment="1" applyProtection="1">
      <alignment horizontal="center"/>
    </xf>
    <xf numFmtId="0" fontId="48" fillId="29" borderId="23" xfId="0" applyFont="1" applyFill="1" applyBorder="1" applyAlignment="1" applyProtection="1">
      <alignment horizontal="center"/>
    </xf>
    <xf numFmtId="0" fontId="8" fillId="27" borderId="32" xfId="0" applyFont="1" applyFill="1" applyBorder="1" applyAlignment="1" applyProtection="1">
      <alignment horizontal="center"/>
    </xf>
    <xf numFmtId="0" fontId="8" fillId="27" borderId="33" xfId="0" applyFont="1" applyFill="1" applyBorder="1" applyAlignment="1" applyProtection="1">
      <alignment horizontal="center"/>
    </xf>
    <xf numFmtId="0" fontId="8" fillId="27" borderId="31" xfId="0" applyFont="1" applyFill="1" applyBorder="1" applyAlignment="1" applyProtection="1">
      <alignment horizontal="center"/>
    </xf>
    <xf numFmtId="0" fontId="8" fillId="27" borderId="14" xfId="0" applyFont="1" applyFill="1" applyBorder="1" applyAlignment="1" applyProtection="1">
      <alignment horizontal="left" indent="1"/>
      <protection locked="0"/>
    </xf>
    <xf numFmtId="0" fontId="8" fillId="0" borderId="30" xfId="0" applyFont="1" applyFill="1" applyBorder="1" applyAlignment="1" applyProtection="1">
      <alignment horizontal="left"/>
    </xf>
    <xf numFmtId="0" fontId="3" fillId="0" borderId="11" xfId="0" applyFont="1" applyFill="1" applyBorder="1" applyAlignment="1" applyProtection="1">
      <alignment horizontal="center" vertical="center"/>
    </xf>
    <xf numFmtId="0" fontId="3" fillId="0" borderId="0" xfId="0" applyFont="1" applyFill="1" applyBorder="1" applyAlignment="1" applyProtection="1">
      <alignment horizontal="center" vertical="center"/>
    </xf>
    <xf numFmtId="14" fontId="4" fillId="27" borderId="12" xfId="0" applyNumberFormat="1" applyFont="1" applyFill="1" applyBorder="1" applyAlignment="1" applyProtection="1">
      <alignment horizontal="left" indent="1"/>
      <protection locked="0"/>
    </xf>
    <xf numFmtId="0" fontId="0" fillId="27" borderId="12" xfId="0" applyFill="1" applyBorder="1" applyAlignment="1" applyProtection="1">
      <alignment horizontal="left" indent="1"/>
      <protection locked="0"/>
    </xf>
    <xf numFmtId="0" fontId="0" fillId="27" borderId="28" xfId="0" applyFill="1" applyBorder="1" applyAlignment="1" applyProtection="1">
      <alignment horizontal="left" indent="1"/>
      <protection locked="0"/>
    </xf>
    <xf numFmtId="0" fontId="4" fillId="27" borderId="12" xfId="0" applyFont="1" applyFill="1" applyBorder="1" applyAlignment="1" applyProtection="1">
      <alignment horizontal="left" indent="1"/>
      <protection locked="0"/>
    </xf>
    <xf numFmtId="0" fontId="4" fillId="27" borderId="32" xfId="114" applyFont="1" applyFill="1" applyBorder="1" applyAlignment="1" applyProtection="1">
      <alignment horizontal="left" indent="1"/>
      <protection locked="0"/>
    </xf>
    <xf numFmtId="0" fontId="40" fillId="0" borderId="30" xfId="0" applyFont="1" applyFill="1" applyBorder="1" applyAlignment="1" applyProtection="1">
      <alignment horizontal="center"/>
    </xf>
    <xf numFmtId="0" fontId="40" fillId="0" borderId="23" xfId="0" applyFont="1" applyFill="1" applyBorder="1" applyAlignment="1" applyProtection="1">
      <alignment horizontal="center"/>
    </xf>
    <xf numFmtId="0" fontId="40" fillId="0" borderId="24" xfId="0" applyFont="1" applyFill="1" applyBorder="1" applyAlignment="1" applyProtection="1">
      <alignment horizontal="center"/>
    </xf>
    <xf numFmtId="174" fontId="4" fillId="27" borderId="12" xfId="87" applyNumberFormat="1" applyFont="1" applyFill="1" applyBorder="1" applyAlignment="1" applyProtection="1">
      <alignment horizontal="center"/>
      <protection locked="0"/>
    </xf>
    <xf numFmtId="0" fontId="0" fillId="27" borderId="12" xfId="0" applyFill="1" applyBorder="1" applyAlignment="1" applyProtection="1">
      <alignment horizontal="center"/>
      <protection locked="0"/>
    </xf>
    <xf numFmtId="0" fontId="0" fillId="0" borderId="0" xfId="0" applyBorder="1" applyAlignment="1" applyProtection="1">
      <alignment horizontal="left"/>
    </xf>
    <xf numFmtId="0" fontId="0" fillId="0" borderId="20" xfId="0" applyBorder="1" applyAlignment="1" applyProtection="1">
      <alignment horizontal="left"/>
    </xf>
    <xf numFmtId="10" fontId="4" fillId="27" borderId="12" xfId="87" applyNumberFormat="1" applyFont="1" applyFill="1" applyBorder="1" applyAlignment="1" applyProtection="1">
      <alignment horizontal="center"/>
      <protection locked="0" hidden="1"/>
    </xf>
    <xf numFmtId="10" fontId="0" fillId="27" borderId="12" xfId="0" applyNumberFormat="1" applyFill="1" applyBorder="1" applyAlignment="1" applyProtection="1">
      <alignment horizontal="center"/>
      <protection locked="0" hidden="1"/>
    </xf>
    <xf numFmtId="0" fontId="48" fillId="31" borderId="49" xfId="0" applyFont="1" applyFill="1" applyBorder="1" applyAlignment="1" applyProtection="1">
      <alignment horizontal="center"/>
    </xf>
    <xf numFmtId="0" fontId="48" fillId="31" borderId="50" xfId="0" applyFont="1" applyFill="1" applyBorder="1" applyAlignment="1" applyProtection="1">
      <alignment horizontal="center"/>
    </xf>
    <xf numFmtId="0" fontId="48" fillId="31" borderId="51" xfId="0" applyFont="1" applyFill="1" applyBorder="1" applyAlignment="1" applyProtection="1">
      <alignment horizontal="center"/>
    </xf>
    <xf numFmtId="0" fontId="48" fillId="29" borderId="29" xfId="0" applyFont="1" applyFill="1" applyBorder="1" applyAlignment="1" applyProtection="1">
      <alignment horizontal="center"/>
    </xf>
    <xf numFmtId="0" fontId="48" fillId="29" borderId="27" xfId="0" applyFont="1" applyFill="1" applyBorder="1" applyAlignment="1" applyProtection="1">
      <alignment horizontal="center"/>
    </xf>
    <xf numFmtId="0" fontId="6" fillId="27" borderId="12" xfId="0" applyFont="1" applyFill="1" applyBorder="1" applyAlignment="1" applyProtection="1">
      <alignment horizontal="left"/>
      <protection locked="0"/>
    </xf>
    <xf numFmtId="169" fontId="0" fillId="27" borderId="32" xfId="0" applyNumberFormat="1" applyFill="1" applyBorder="1" applyAlignment="1" applyProtection="1">
      <alignment horizontal="center"/>
      <protection locked="0"/>
    </xf>
    <xf numFmtId="169" fontId="0" fillId="27" borderId="33" xfId="0" applyNumberFormat="1" applyFill="1" applyBorder="1" applyAlignment="1" applyProtection="1">
      <alignment horizontal="center"/>
      <protection locked="0"/>
    </xf>
    <xf numFmtId="169" fontId="4" fillId="27" borderId="32" xfId="224" applyNumberFormat="1" applyFont="1" applyFill="1" applyBorder="1" applyAlignment="1" applyProtection="1">
      <alignment horizontal="left" indent="1"/>
      <protection locked="0"/>
    </xf>
    <xf numFmtId="169" fontId="4" fillId="27" borderId="33" xfId="224" applyNumberFormat="1" applyFont="1" applyFill="1" applyBorder="1" applyAlignment="1" applyProtection="1">
      <alignment horizontal="left" indent="1"/>
      <protection locked="0"/>
    </xf>
    <xf numFmtId="169" fontId="4" fillId="27" borderId="41" xfId="224" applyNumberFormat="1" applyFont="1" applyFill="1" applyBorder="1" applyAlignment="1" applyProtection="1">
      <alignment horizontal="left" indent="1"/>
      <protection locked="0"/>
    </xf>
    <xf numFmtId="5" fontId="4" fillId="0" borderId="0" xfId="87" applyNumberFormat="1" applyFont="1" applyFill="1" applyBorder="1" applyAlignment="1" applyProtection="1">
      <alignment horizontal="center"/>
      <protection locked="0" hidden="1"/>
    </xf>
    <xf numFmtId="5" fontId="4" fillId="0" borderId="16" xfId="87" applyNumberFormat="1" applyFont="1" applyFill="1" applyBorder="1" applyAlignment="1" applyProtection="1">
      <alignment horizontal="center"/>
      <protection locked="0" hidden="1"/>
    </xf>
    <xf numFmtId="175" fontId="4" fillId="27" borderId="32" xfId="224" applyNumberFormat="1" applyFont="1" applyFill="1" applyBorder="1" applyAlignment="1" applyProtection="1">
      <alignment horizontal="left" indent="1"/>
      <protection locked="0"/>
    </xf>
    <xf numFmtId="175" fontId="4" fillId="27" borderId="33" xfId="224" applyNumberFormat="1" applyFont="1" applyFill="1" applyBorder="1" applyAlignment="1" applyProtection="1">
      <alignment horizontal="left" indent="1"/>
      <protection locked="0"/>
    </xf>
    <xf numFmtId="175" fontId="4" fillId="27" borderId="41" xfId="224" applyNumberFormat="1" applyFont="1" applyFill="1" applyBorder="1" applyAlignment="1" applyProtection="1">
      <alignment horizontal="left" indent="1"/>
      <protection locked="0"/>
    </xf>
    <xf numFmtId="0" fontId="8" fillId="0" borderId="10" xfId="0" applyFont="1" applyFill="1" applyBorder="1" applyAlignment="1" applyProtection="1">
      <alignment horizontal="left"/>
    </xf>
    <xf numFmtId="1" fontId="8" fillId="0" borderId="33" xfId="0" applyNumberFormat="1" applyFont="1" applyFill="1" applyBorder="1" applyAlignment="1" applyProtection="1">
      <alignment horizontal="center"/>
    </xf>
    <xf numFmtId="0" fontId="8" fillId="0" borderId="26" xfId="0" applyFont="1" applyFill="1" applyBorder="1" applyAlignment="1" applyProtection="1">
      <alignment horizontal="left"/>
    </xf>
    <xf numFmtId="0" fontId="8" fillId="0" borderId="0" xfId="0" applyFont="1" applyFill="1" applyBorder="1" applyAlignment="1" applyProtection="1"/>
    <xf numFmtId="0" fontId="0" fillId="0" borderId="0" xfId="0" applyBorder="1" applyAlignment="1" applyProtection="1"/>
    <xf numFmtId="9" fontId="4" fillId="27" borderId="12" xfId="224" applyFont="1" applyFill="1" applyBorder="1" applyAlignment="1" applyProtection="1">
      <alignment horizontal="center"/>
      <protection locked="0" hidden="1"/>
    </xf>
    <xf numFmtId="0" fontId="8" fillId="0" borderId="18" xfId="0" applyFont="1" applyFill="1" applyBorder="1" applyAlignment="1" applyProtection="1">
      <alignment horizontal="left"/>
    </xf>
    <xf numFmtId="0" fontId="8" fillId="28" borderId="18" xfId="0" applyFont="1" applyFill="1" applyBorder="1" applyAlignment="1" applyProtection="1"/>
    <xf numFmtId="0" fontId="0" fillId="28" borderId="18" xfId="0" applyFill="1" applyBorder="1" applyAlignment="1" applyProtection="1"/>
    <xf numFmtId="0" fontId="48" fillId="29" borderId="46" xfId="0" applyFont="1" applyFill="1" applyBorder="1" applyAlignment="1" applyProtection="1">
      <alignment horizontal="center"/>
    </xf>
    <xf numFmtId="0" fontId="48" fillId="29" borderId="33" xfId="0" applyFont="1" applyFill="1" applyBorder="1" applyAlignment="1" applyProtection="1">
      <alignment horizontal="center"/>
    </xf>
    <xf numFmtId="0" fontId="4" fillId="27" borderId="47" xfId="0" applyFont="1" applyFill="1" applyBorder="1" applyAlignment="1" applyProtection="1">
      <alignment horizontal="left" vertical="top" wrapText="1"/>
      <protection locked="0"/>
    </xf>
    <xf numFmtId="0" fontId="4" fillId="27" borderId="43" xfId="0" applyFont="1" applyFill="1" applyBorder="1" applyAlignment="1" applyProtection="1">
      <alignment horizontal="left" vertical="top" wrapText="1"/>
      <protection locked="0"/>
    </xf>
    <xf numFmtId="0" fontId="4" fillId="27" borderId="48" xfId="0" applyFont="1" applyFill="1" applyBorder="1" applyAlignment="1" applyProtection="1">
      <alignment horizontal="left" vertical="top" wrapText="1"/>
      <protection locked="0"/>
    </xf>
    <xf numFmtId="169" fontId="4" fillId="28" borderId="32" xfId="224" applyNumberFormat="1" applyFont="1" applyFill="1" applyBorder="1" applyAlignment="1" applyProtection="1">
      <alignment horizontal="center"/>
    </xf>
    <xf numFmtId="10" fontId="4" fillId="28" borderId="32" xfId="87" applyNumberFormat="1" applyFont="1" applyFill="1" applyBorder="1" applyAlignment="1" applyProtection="1">
      <alignment horizontal="center"/>
    </xf>
    <xf numFmtId="174" fontId="4" fillId="0" borderId="18" xfId="87" applyNumberFormat="1" applyFont="1" applyFill="1" applyBorder="1" applyAlignment="1" applyProtection="1">
      <alignment horizontal="center"/>
      <protection locked="0"/>
    </xf>
    <xf numFmtId="0" fontId="0" fillId="0" borderId="18" xfId="0" applyFill="1" applyBorder="1" applyAlignment="1" applyProtection="1">
      <alignment horizontal="center"/>
      <protection locked="0"/>
    </xf>
    <xf numFmtId="169" fontId="4" fillId="34" borderId="32" xfId="224" applyNumberFormat="1" applyFont="1" applyFill="1" applyBorder="1" applyAlignment="1" applyProtection="1">
      <alignment horizontal="center"/>
      <protection locked="0" hidden="1"/>
    </xf>
    <xf numFmtId="169" fontId="4" fillId="34" borderId="33" xfId="224" applyNumberFormat="1" applyFont="1" applyFill="1" applyBorder="1" applyAlignment="1" applyProtection="1">
      <alignment horizontal="center"/>
      <protection locked="0" hidden="1"/>
    </xf>
    <xf numFmtId="0" fontId="0" fillId="34" borderId="33" xfId="0" applyFill="1" applyBorder="1" applyAlignment="1" applyProtection="1">
      <alignment horizontal="center"/>
      <protection locked="0" hidden="1"/>
    </xf>
    <xf numFmtId="0" fontId="0" fillId="34" borderId="31" xfId="0" applyFill="1" applyBorder="1" applyAlignment="1" applyProtection="1">
      <alignment horizontal="center"/>
      <protection locked="0" hidden="1"/>
    </xf>
    <xf numFmtId="169" fontId="4" fillId="34" borderId="32" xfId="87" applyNumberFormat="1" applyFont="1" applyFill="1" applyBorder="1" applyAlignment="1" applyProtection="1">
      <alignment horizontal="center"/>
      <protection locked="0" hidden="1"/>
    </xf>
    <xf numFmtId="10" fontId="4" fillId="34" borderId="42" xfId="87" applyNumberFormat="1" applyFont="1" applyFill="1" applyBorder="1" applyAlignment="1" applyProtection="1">
      <alignment horizontal="center"/>
      <protection locked="0" hidden="1"/>
    </xf>
    <xf numFmtId="10" fontId="4" fillId="34" borderId="43" xfId="87" applyNumberFormat="1" applyFont="1" applyFill="1" applyBorder="1" applyAlignment="1" applyProtection="1">
      <alignment horizontal="center"/>
      <protection locked="0" hidden="1"/>
    </xf>
    <xf numFmtId="0" fontId="0" fillId="34" borderId="43" xfId="0" applyFill="1" applyBorder="1" applyAlignment="1" applyProtection="1">
      <alignment horizontal="center"/>
      <protection locked="0" hidden="1"/>
    </xf>
    <xf numFmtId="0" fontId="0" fillId="34" borderId="44" xfId="0" applyFill="1" applyBorder="1" applyAlignment="1" applyProtection="1">
      <alignment horizontal="center"/>
      <protection locked="0" hidden="1"/>
    </xf>
    <xf numFmtId="169" fontId="4" fillId="28" borderId="32" xfId="87" applyNumberFormat="1" applyFont="1" applyFill="1" applyBorder="1" applyAlignment="1" applyProtection="1">
      <alignment horizontal="center"/>
    </xf>
    <xf numFmtId="209" fontId="4" fillId="34" borderId="32" xfId="87" applyNumberFormat="1" applyFont="1" applyFill="1" applyBorder="1" applyAlignment="1" applyProtection="1">
      <alignment horizontal="center"/>
      <protection locked="0" hidden="1"/>
    </xf>
    <xf numFmtId="209" fontId="4" fillId="34" borderId="33" xfId="87" applyNumberFormat="1" applyFont="1" applyFill="1" applyBorder="1" applyAlignment="1" applyProtection="1">
      <alignment horizontal="center"/>
      <protection locked="0" hidden="1"/>
    </xf>
    <xf numFmtId="209" fontId="4" fillId="28" borderId="32" xfId="87" applyNumberFormat="1" applyFont="1" applyFill="1" applyBorder="1" applyAlignment="1" applyProtection="1">
      <alignment horizontal="center"/>
    </xf>
    <xf numFmtId="9" fontId="6" fillId="0" borderId="21" xfId="0" applyNumberFormat="1" applyFont="1" applyFill="1" applyBorder="1" applyAlignment="1" applyProtection="1">
      <alignment horizontal="center"/>
      <protection locked="0" hidden="1"/>
    </xf>
    <xf numFmtId="9" fontId="6" fillId="0" borderId="12" xfId="0" applyNumberFormat="1" applyFont="1" applyFill="1" applyBorder="1" applyAlignment="1" applyProtection="1">
      <alignment horizontal="center"/>
      <protection locked="0" hidden="1"/>
    </xf>
    <xf numFmtId="0" fontId="8" fillId="0" borderId="23" xfId="0" applyFont="1" applyFill="1" applyBorder="1" applyAlignment="1" applyProtection="1">
      <alignment horizontal="left"/>
      <protection hidden="1"/>
    </xf>
    <xf numFmtId="168" fontId="4" fillId="27" borderId="32" xfId="87" applyNumberFormat="1" applyFont="1" applyFill="1" applyBorder="1" applyAlignment="1" applyProtection="1">
      <alignment horizontal="center"/>
      <protection locked="0" hidden="1"/>
    </xf>
    <xf numFmtId="168" fontId="4" fillId="27" borderId="33" xfId="87" applyNumberFormat="1" applyFont="1" applyFill="1" applyBorder="1" applyAlignment="1" applyProtection="1">
      <alignment horizontal="center"/>
      <protection locked="0" hidden="1"/>
    </xf>
    <xf numFmtId="168" fontId="4" fillId="27" borderId="31" xfId="87" applyNumberFormat="1" applyFont="1" applyFill="1" applyBorder="1" applyAlignment="1" applyProtection="1">
      <alignment horizontal="center"/>
      <protection locked="0" hidden="1"/>
    </xf>
    <xf numFmtId="0" fontId="8" fillId="0" borderId="34" xfId="0" applyFont="1" applyFill="1" applyBorder="1" applyAlignment="1" applyProtection="1">
      <alignment horizontal="left"/>
      <protection hidden="1"/>
    </xf>
    <xf numFmtId="10" fontId="4" fillId="28" borderId="42" xfId="87" applyNumberFormat="1" applyFont="1" applyFill="1" applyBorder="1" applyAlignment="1" applyProtection="1">
      <alignment horizontal="center"/>
    </xf>
    <xf numFmtId="0" fontId="0" fillId="0" borderId="43" xfId="0" applyBorder="1" applyAlignment="1" applyProtection="1">
      <alignment horizontal="center"/>
    </xf>
    <xf numFmtId="0" fontId="0" fillId="0" borderId="44" xfId="0" applyBorder="1" applyAlignment="1" applyProtection="1">
      <alignment horizontal="center"/>
    </xf>
    <xf numFmtId="5" fontId="4" fillId="34" borderId="32" xfId="87" applyNumberFormat="1" applyFont="1" applyFill="1" applyBorder="1" applyAlignment="1" applyProtection="1">
      <alignment horizontal="center"/>
      <protection locked="0" hidden="1"/>
    </xf>
    <xf numFmtId="5" fontId="4" fillId="34" borderId="33" xfId="87" applyNumberFormat="1" applyFont="1" applyFill="1" applyBorder="1" applyAlignment="1" applyProtection="1">
      <alignment horizontal="center"/>
      <protection locked="0" hidden="1"/>
    </xf>
    <xf numFmtId="0" fontId="52" fillId="27" borderId="42" xfId="0" applyFont="1" applyFill="1" applyBorder="1" applyAlignment="1" applyProtection="1">
      <alignment horizontal="left" vertical="center" wrapText="1"/>
      <protection locked="0"/>
    </xf>
    <xf numFmtId="0" fontId="52" fillId="27" borderId="43" xfId="0" applyFont="1" applyFill="1" applyBorder="1" applyAlignment="1" applyProtection="1">
      <alignment horizontal="left" vertical="center" wrapText="1"/>
      <protection locked="0"/>
    </xf>
    <xf numFmtId="0" fontId="52" fillId="27" borderId="44" xfId="0" applyFont="1" applyFill="1" applyBorder="1" applyAlignment="1" applyProtection="1">
      <alignment horizontal="left" vertical="center" wrapText="1"/>
      <protection locked="0"/>
    </xf>
    <xf numFmtId="0" fontId="8" fillId="0" borderId="17" xfId="0" applyFont="1" applyFill="1" applyBorder="1" applyAlignment="1" applyProtection="1">
      <alignment horizontal="left"/>
    </xf>
    <xf numFmtId="0" fontId="8" fillId="0" borderId="45" xfId="0" applyFont="1" applyFill="1" applyBorder="1" applyAlignment="1" applyProtection="1">
      <alignment horizontal="left"/>
    </xf>
    <xf numFmtId="0" fontId="0" fillId="27" borderId="33" xfId="0" applyFill="1" applyBorder="1" applyAlignment="1" applyProtection="1">
      <alignment horizontal="center"/>
    </xf>
    <xf numFmtId="0" fontId="48" fillId="29" borderId="41" xfId="0" applyFont="1" applyFill="1" applyBorder="1" applyAlignment="1" applyProtection="1">
      <alignment horizontal="center"/>
    </xf>
    <xf numFmtId="14" fontId="4" fillId="27" borderId="12" xfId="0" applyNumberFormat="1" applyFont="1" applyFill="1" applyBorder="1" applyAlignment="1" applyProtection="1">
      <alignment horizontal="left" indent="1"/>
      <protection locked="0" hidden="1"/>
    </xf>
    <xf numFmtId="0" fontId="0" fillId="27" borderId="12" xfId="0" applyFill="1" applyBorder="1" applyAlignment="1" applyProtection="1">
      <alignment horizontal="left" indent="1"/>
      <protection locked="0" hidden="1"/>
    </xf>
    <xf numFmtId="0" fontId="0" fillId="27" borderId="28" xfId="0" applyFill="1" applyBorder="1" applyAlignment="1" applyProtection="1">
      <alignment horizontal="left" indent="1"/>
      <protection locked="0" hidden="1"/>
    </xf>
    <xf numFmtId="169" fontId="4" fillId="0" borderId="0" xfId="87" applyNumberFormat="1" applyFont="1" applyFill="1" applyBorder="1" applyAlignment="1" applyProtection="1">
      <alignment horizontal="center"/>
      <protection locked="0" hidden="1"/>
    </xf>
    <xf numFmtId="169" fontId="4" fillId="0" borderId="16" xfId="87" applyNumberFormat="1" applyFont="1" applyFill="1" applyBorder="1" applyAlignment="1" applyProtection="1">
      <alignment horizontal="center"/>
      <protection locked="0" hidden="1"/>
    </xf>
    <xf numFmtId="1" fontId="4" fillId="27" borderId="12" xfId="0" applyNumberFormat="1" applyFont="1" applyFill="1" applyBorder="1" applyAlignment="1" applyProtection="1">
      <alignment horizontal="left" indent="1"/>
      <protection locked="0"/>
    </xf>
    <xf numFmtId="0" fontId="4" fillId="0" borderId="23" xfId="0" applyFont="1" applyFill="1" applyBorder="1" applyAlignment="1" applyProtection="1">
      <alignment horizontal="left" indent="1"/>
      <protection locked="0"/>
    </xf>
    <xf numFmtId="0" fontId="46" fillId="28" borderId="18" xfId="0" applyNumberFormat="1" applyFont="1" applyFill="1" applyBorder="1" applyAlignment="1" applyProtection="1"/>
    <xf numFmtId="169" fontId="45" fillId="28" borderId="18" xfId="0" applyNumberFormat="1" applyFont="1" applyFill="1" applyBorder="1" applyAlignment="1" applyProtection="1">
      <alignment horizontal="center" wrapText="1"/>
      <protection locked="0"/>
    </xf>
    <xf numFmtId="0" fontId="45" fillId="25" borderId="0" xfId="0" applyNumberFormat="1" applyFont="1" applyFill="1" applyBorder="1" applyAlignment="1" applyProtection="1">
      <alignment horizontal="left" wrapText="1"/>
    </xf>
    <xf numFmtId="0" fontId="4" fillId="25" borderId="0" xfId="0" applyFont="1" applyFill="1" applyBorder="1" applyAlignment="1" applyProtection="1">
      <alignment horizontal="left"/>
    </xf>
    <xf numFmtId="0" fontId="48" fillId="29" borderId="11" xfId="0" applyFont="1" applyFill="1" applyBorder="1" applyAlignment="1" applyProtection="1">
      <alignment horizontal="center" vertical="top"/>
    </xf>
    <xf numFmtId="0" fontId="47" fillId="29" borderId="0" xfId="0" applyFont="1" applyFill="1" applyBorder="1" applyAlignment="1" applyProtection="1">
      <alignment horizontal="center" vertical="top"/>
    </xf>
    <xf numFmtId="0" fontId="47" fillId="29" borderId="16" xfId="0" applyFont="1" applyFill="1" applyBorder="1" applyAlignment="1" applyProtection="1">
      <alignment horizontal="center" vertical="top"/>
    </xf>
    <xf numFmtId="0" fontId="4" fillId="27" borderId="29" xfId="0" applyFont="1" applyFill="1" applyBorder="1" applyAlignment="1" applyProtection="1">
      <alignment horizontal="left" vertical="top" wrapText="1"/>
      <protection locked="0"/>
    </xf>
    <xf numFmtId="0" fontId="4" fillId="27" borderId="25" xfId="0" applyFont="1" applyFill="1" applyBorder="1" applyAlignment="1" applyProtection="1">
      <alignment horizontal="left" vertical="top" wrapText="1"/>
      <protection locked="0"/>
    </xf>
    <xf numFmtId="0" fontId="4" fillId="27" borderId="36" xfId="0" applyFont="1" applyFill="1" applyBorder="1" applyAlignment="1" applyProtection="1">
      <alignment horizontal="left" vertical="top" wrapText="1"/>
      <protection locked="0"/>
    </xf>
    <xf numFmtId="168" fontId="4" fillId="0" borderId="32" xfId="82" applyNumberFormat="1" applyFont="1" applyFill="1" applyBorder="1" applyAlignment="1" applyProtection="1">
      <alignment horizontal="center" vertical="center"/>
      <protection hidden="1"/>
    </xf>
    <xf numFmtId="168" fontId="4" fillId="0" borderId="33" xfId="82" applyNumberFormat="1" applyFont="1" applyFill="1" applyBorder="1" applyAlignment="1" applyProtection="1">
      <alignment horizontal="center" vertical="center"/>
      <protection hidden="1"/>
    </xf>
    <xf numFmtId="168" fontId="4" fillId="0" borderId="31" xfId="82" applyNumberFormat="1" applyFont="1" applyFill="1" applyBorder="1" applyAlignment="1" applyProtection="1">
      <alignment horizontal="center" vertical="center"/>
      <protection hidden="1"/>
    </xf>
    <xf numFmtId="0" fontId="4" fillId="0" borderId="32" xfId="0" applyFont="1" applyFill="1" applyBorder="1" applyAlignment="1" applyProtection="1">
      <alignment horizontal="center"/>
      <protection hidden="1"/>
    </xf>
    <xf numFmtId="0" fontId="4" fillId="0" borderId="33" xfId="0" applyFont="1" applyFill="1" applyBorder="1" applyAlignment="1" applyProtection="1">
      <alignment horizontal="center"/>
      <protection hidden="1"/>
    </xf>
    <xf numFmtId="0" fontId="4" fillId="0" borderId="31" xfId="0" applyFont="1" applyFill="1" applyBorder="1" applyAlignment="1" applyProtection="1">
      <alignment horizontal="center"/>
      <protection hidden="1"/>
    </xf>
    <xf numFmtId="0" fontId="45" fillId="25" borderId="0" xfId="0" applyNumberFormat="1" applyFont="1" applyFill="1" applyBorder="1" applyAlignment="1" applyProtection="1"/>
    <xf numFmtId="169" fontId="4" fillId="0" borderId="18" xfId="87" applyNumberFormat="1" applyFont="1" applyFill="1" applyBorder="1" applyAlignment="1" applyProtection="1">
      <alignment horizontal="center"/>
      <protection locked="0" hidden="1"/>
    </xf>
    <xf numFmtId="0" fontId="0" fillId="0" borderId="18" xfId="0" applyFill="1" applyBorder="1" applyAlignment="1" applyProtection="1">
      <alignment horizontal="center"/>
      <protection locked="0" hidden="1"/>
    </xf>
    <xf numFmtId="200" fontId="4" fillId="28" borderId="0" xfId="87" applyNumberFormat="1" applyFont="1" applyFill="1" applyBorder="1" applyAlignment="1" applyProtection="1">
      <alignment horizontal="center"/>
      <protection locked="0"/>
    </xf>
    <xf numFmtId="0" fontId="46" fillId="28" borderId="0" xfId="0" applyNumberFormat="1" applyFont="1" applyFill="1" applyBorder="1" applyAlignment="1" applyProtection="1">
      <alignment horizontal="left" wrapText="1"/>
    </xf>
    <xf numFmtId="0" fontId="0" fillId="28" borderId="0" xfId="0" applyFill="1" applyBorder="1" applyAlignment="1" applyProtection="1">
      <alignment horizontal="left"/>
    </xf>
    <xf numFmtId="169" fontId="45" fillId="28" borderId="0" xfId="0" applyNumberFormat="1" applyFont="1" applyFill="1" applyBorder="1" applyAlignment="1" applyProtection="1">
      <alignment horizontal="center"/>
    </xf>
    <xf numFmtId="0" fontId="8" fillId="0" borderId="29" xfId="0" applyFont="1" applyFill="1" applyBorder="1" applyAlignment="1" applyProtection="1">
      <alignment horizontal="center"/>
    </xf>
    <xf numFmtId="0" fontId="4" fillId="27" borderId="32" xfId="0" applyFont="1" applyFill="1" applyBorder="1" applyAlignment="1" applyProtection="1">
      <alignment horizontal="center"/>
      <protection locked="0" hidden="1"/>
    </xf>
    <xf numFmtId="0" fontId="4" fillId="27" borderId="33" xfId="0" applyFont="1" applyFill="1" applyBorder="1" applyAlignment="1" applyProtection="1">
      <alignment horizontal="center"/>
      <protection locked="0" hidden="1"/>
    </xf>
    <xf numFmtId="0" fontId="4" fillId="27" borderId="31" xfId="0" applyFont="1" applyFill="1" applyBorder="1" applyAlignment="1" applyProtection="1">
      <alignment horizontal="center"/>
      <protection locked="0" hidden="1"/>
    </xf>
    <xf numFmtId="0" fontId="48" fillId="33" borderId="32" xfId="0" applyFont="1" applyFill="1" applyBorder="1" applyAlignment="1" applyProtection="1">
      <alignment horizontal="center" vertical="center"/>
      <protection hidden="1"/>
    </xf>
    <xf numFmtId="0" fontId="48" fillId="33" borderId="33" xfId="0" applyFont="1" applyFill="1" applyBorder="1" applyAlignment="1" applyProtection="1">
      <alignment horizontal="center" vertical="center"/>
      <protection hidden="1"/>
    </xf>
    <xf numFmtId="0" fontId="48" fillId="33" borderId="31" xfId="0" applyFont="1" applyFill="1" applyBorder="1" applyAlignment="1" applyProtection="1">
      <alignment horizontal="center" vertical="center"/>
      <protection hidden="1"/>
    </xf>
    <xf numFmtId="168" fontId="45" fillId="28" borderId="0" xfId="0" applyNumberFormat="1" applyFont="1" applyFill="1" applyBorder="1" applyAlignment="1" applyProtection="1">
      <alignment horizontal="center"/>
      <protection locked="0"/>
    </xf>
    <xf numFmtId="200" fontId="7" fillId="0" borderId="32" xfId="0" applyNumberFormat="1" applyFont="1" applyFill="1" applyBorder="1" applyAlignment="1" applyProtection="1">
      <alignment horizontal="center"/>
    </xf>
    <xf numFmtId="0" fontId="7" fillId="0" borderId="33" xfId="0" applyFont="1" applyFill="1" applyBorder="1" applyAlignment="1" applyProtection="1">
      <alignment horizontal="center"/>
    </xf>
    <xf numFmtId="0" fontId="7" fillId="0" borderId="31" xfId="0" applyFont="1" applyFill="1" applyBorder="1" applyAlignment="1" applyProtection="1">
      <alignment horizontal="center"/>
    </xf>
    <xf numFmtId="0" fontId="7" fillId="0" borderId="34" xfId="0" applyFont="1" applyFill="1" applyBorder="1" applyAlignment="1" applyProtection="1">
      <alignment horizontal="center"/>
    </xf>
    <xf numFmtId="0" fontId="7" fillId="0" borderId="23" xfId="0" applyFont="1" applyFill="1" applyBorder="1" applyAlignment="1" applyProtection="1">
      <alignment horizontal="center"/>
    </xf>
    <xf numFmtId="0" fontId="7" fillId="0" borderId="26" xfId="0" applyFont="1" applyFill="1" applyBorder="1" applyAlignment="1" applyProtection="1">
      <alignment horizontal="center"/>
    </xf>
    <xf numFmtId="0" fontId="4" fillId="27" borderId="46" xfId="0" applyFont="1" applyFill="1" applyBorder="1" applyAlignment="1" applyProtection="1">
      <alignment horizontal="left" vertical="top" wrapText="1"/>
      <protection locked="0"/>
    </xf>
    <xf numFmtId="0" fontId="4" fillId="27" borderId="33" xfId="0" applyFont="1" applyFill="1" applyBorder="1" applyAlignment="1" applyProtection="1">
      <alignment horizontal="left" vertical="top" wrapText="1"/>
      <protection locked="0"/>
    </xf>
    <xf numFmtId="0" fontId="4" fillId="27" borderId="41" xfId="0" applyFont="1" applyFill="1" applyBorder="1" applyAlignment="1" applyProtection="1">
      <alignment horizontal="left" vertical="top" wrapText="1"/>
      <protection locked="0"/>
    </xf>
    <xf numFmtId="0" fontId="4" fillId="27" borderId="15" xfId="0" applyFont="1" applyFill="1" applyBorder="1" applyAlignment="1" applyProtection="1">
      <alignment horizontal="left" indent="1"/>
      <protection locked="0" hidden="1"/>
    </xf>
    <xf numFmtId="0" fontId="4" fillId="27" borderId="32" xfId="87" applyNumberFormat="1" applyFont="1" applyFill="1" applyBorder="1" applyAlignment="1" applyProtection="1">
      <alignment horizontal="center"/>
      <protection locked="0"/>
    </xf>
    <xf numFmtId="0" fontId="4" fillId="27" borderId="33" xfId="87" applyNumberFormat="1" applyFont="1" applyFill="1" applyBorder="1" applyAlignment="1" applyProtection="1">
      <alignment horizontal="center"/>
      <protection locked="0"/>
    </xf>
    <xf numFmtId="0" fontId="4" fillId="27" borderId="31" xfId="87" applyNumberFormat="1" applyFont="1" applyFill="1" applyBorder="1" applyAlignment="1" applyProtection="1">
      <alignment horizontal="center"/>
      <protection locked="0"/>
    </xf>
    <xf numFmtId="0" fontId="4" fillId="27" borderId="14" xfId="0" applyFont="1" applyFill="1" applyBorder="1" applyAlignment="1" applyProtection="1">
      <alignment horizontal="left" indent="1"/>
      <protection locked="0"/>
    </xf>
    <xf numFmtId="0" fontId="8" fillId="0" borderId="30" xfId="0" applyFont="1" applyFill="1" applyBorder="1" applyAlignment="1" applyProtection="1">
      <alignment horizontal="center"/>
    </xf>
    <xf numFmtId="0" fontId="8" fillId="0" borderId="23" xfId="0" applyFont="1" applyFill="1" applyBorder="1" applyAlignment="1" applyProtection="1">
      <alignment horizontal="center"/>
    </xf>
    <xf numFmtId="0" fontId="8" fillId="0" borderId="24" xfId="0" applyFont="1" applyFill="1" applyBorder="1" applyAlignment="1" applyProtection="1">
      <alignment horizontal="center"/>
    </xf>
    <xf numFmtId="0" fontId="8" fillId="0" borderId="11" xfId="0" applyFont="1" applyFill="1" applyBorder="1" applyAlignment="1" applyProtection="1">
      <alignment horizontal="right"/>
    </xf>
    <xf numFmtId="0" fontId="8" fillId="0" borderId="0" xfId="0" applyFont="1" applyFill="1" applyBorder="1" applyAlignment="1" applyProtection="1">
      <alignment horizontal="right"/>
    </xf>
    <xf numFmtId="168" fontId="4" fillId="27" borderId="35" xfId="0" applyNumberFormat="1" applyFont="1" applyFill="1" applyBorder="1" applyAlignment="1" applyProtection="1">
      <alignment horizontal="center"/>
      <protection locked="0"/>
    </xf>
    <xf numFmtId="168" fontId="4" fillId="27" borderId="25" xfId="0" applyNumberFormat="1" applyFont="1" applyFill="1" applyBorder="1" applyAlignment="1" applyProtection="1">
      <alignment horizontal="center"/>
      <protection locked="0"/>
    </xf>
    <xf numFmtId="168" fontId="4" fillId="27" borderId="27" xfId="0" applyNumberFormat="1" applyFont="1" applyFill="1" applyBorder="1" applyAlignment="1" applyProtection="1">
      <alignment horizontal="center"/>
      <protection locked="0"/>
    </xf>
    <xf numFmtId="1" fontId="4" fillId="27" borderId="15" xfId="0" applyNumberFormat="1" applyFont="1" applyFill="1" applyBorder="1" applyAlignment="1" applyProtection="1">
      <alignment horizontal="left" indent="1"/>
      <protection locked="0"/>
    </xf>
    <xf numFmtId="0" fontId="0" fillId="27" borderId="15" xfId="0" applyFill="1" applyBorder="1" applyAlignment="1" applyProtection="1">
      <alignment horizontal="left" indent="1"/>
      <protection locked="0"/>
    </xf>
    <xf numFmtId="0" fontId="0" fillId="27" borderId="39" xfId="0" applyFill="1" applyBorder="1" applyAlignment="1" applyProtection="1">
      <alignment horizontal="left" indent="1"/>
      <protection locked="0"/>
    </xf>
    <xf numFmtId="0" fontId="4" fillId="27" borderId="32" xfId="87" applyNumberFormat="1" applyFont="1" applyFill="1" applyBorder="1" applyAlignment="1" applyProtection="1">
      <alignment horizontal="left"/>
      <protection locked="0"/>
    </xf>
    <xf numFmtId="0" fontId="4" fillId="27" borderId="33" xfId="87" applyNumberFormat="1" applyFont="1" applyFill="1" applyBorder="1" applyAlignment="1" applyProtection="1">
      <alignment horizontal="left"/>
      <protection locked="0"/>
    </xf>
    <xf numFmtId="0" fontId="4" fillId="27" borderId="31" xfId="87" applyNumberFormat="1" applyFont="1" applyFill="1" applyBorder="1" applyAlignment="1" applyProtection="1">
      <alignment horizontal="left"/>
      <protection locked="0"/>
    </xf>
    <xf numFmtId="0" fontId="4" fillId="27" borderId="32" xfId="0" applyNumberFormat="1" applyFont="1" applyFill="1" applyBorder="1" applyAlignment="1" applyProtection="1">
      <alignment horizontal="center"/>
      <protection locked="0"/>
    </xf>
    <xf numFmtId="0" fontId="4" fillId="27" borderId="33" xfId="0" applyNumberFormat="1" applyFont="1" applyFill="1" applyBorder="1" applyAlignment="1" applyProtection="1">
      <alignment horizontal="center"/>
      <protection locked="0"/>
    </xf>
    <xf numFmtId="0" fontId="4" fillId="27" borderId="31" xfId="0" applyNumberFormat="1" applyFont="1" applyFill="1" applyBorder="1" applyAlignment="1" applyProtection="1">
      <alignment horizontal="center"/>
      <protection locked="0"/>
    </xf>
    <xf numFmtId="0" fontId="4" fillId="27" borderId="32" xfId="0" applyNumberFormat="1" applyFont="1" applyFill="1" applyBorder="1" applyAlignment="1" applyProtection="1">
      <alignment horizontal="left"/>
      <protection locked="0"/>
    </xf>
    <xf numFmtId="0" fontId="4" fillId="27" borderId="33" xfId="0" applyNumberFormat="1" applyFont="1" applyFill="1" applyBorder="1" applyAlignment="1" applyProtection="1">
      <alignment horizontal="left"/>
      <protection locked="0"/>
    </xf>
    <xf numFmtId="0" fontId="4" fillId="27" borderId="31" xfId="0" applyNumberFormat="1" applyFont="1" applyFill="1" applyBorder="1" applyAlignment="1" applyProtection="1">
      <alignment horizontal="left"/>
      <protection locked="0"/>
    </xf>
    <xf numFmtId="0" fontId="8" fillId="28" borderId="0" xfId="0" applyFont="1" applyFill="1" applyBorder="1" applyAlignment="1" applyProtection="1">
      <alignment horizontal="right"/>
    </xf>
    <xf numFmtId="168" fontId="6" fillId="28" borderId="0" xfId="0" applyNumberFormat="1" applyFont="1" applyFill="1" applyBorder="1" applyAlignment="1" applyProtection="1">
      <alignment horizontal="center"/>
    </xf>
    <xf numFmtId="169" fontId="46" fillId="28" borderId="0" xfId="0" applyNumberFormat="1" applyFont="1" applyFill="1" applyBorder="1" applyAlignment="1" applyProtection="1">
      <alignment horizontal="right"/>
    </xf>
    <xf numFmtId="168" fontId="46" fillId="28" borderId="0" xfId="0" applyNumberFormat="1" applyFont="1" applyFill="1" applyBorder="1" applyAlignment="1" applyProtection="1">
      <alignment horizontal="center" wrapText="1"/>
    </xf>
    <xf numFmtId="168" fontId="46" fillId="28" borderId="16" xfId="0" applyNumberFormat="1" applyFont="1" applyFill="1" applyBorder="1" applyAlignment="1" applyProtection="1">
      <alignment horizontal="center" wrapText="1"/>
    </xf>
    <xf numFmtId="0" fontId="4" fillId="27" borderId="34" xfId="0" applyNumberFormat="1" applyFont="1" applyFill="1" applyBorder="1" applyAlignment="1" applyProtection="1">
      <alignment horizontal="center"/>
      <protection locked="0"/>
    </xf>
    <xf numFmtId="0" fontId="4" fillId="27" borderId="23" xfId="0" applyNumberFormat="1" applyFont="1" applyFill="1" applyBorder="1" applyAlignment="1" applyProtection="1">
      <alignment horizontal="center"/>
      <protection locked="0"/>
    </xf>
    <xf numFmtId="0" fontId="4" fillId="27" borderId="26" xfId="0" applyNumberFormat="1" applyFont="1" applyFill="1" applyBorder="1" applyAlignment="1" applyProtection="1">
      <alignment horizontal="center"/>
      <protection locked="0"/>
    </xf>
    <xf numFmtId="0" fontId="48" fillId="31" borderId="46" xfId="0" applyFont="1" applyFill="1" applyBorder="1" applyAlignment="1" applyProtection="1">
      <alignment horizontal="center" wrapText="1"/>
    </xf>
    <xf numFmtId="0" fontId="48" fillId="31" borderId="33" xfId="0" applyFont="1" applyFill="1" applyBorder="1" applyAlignment="1" applyProtection="1">
      <alignment horizontal="center" wrapText="1"/>
    </xf>
    <xf numFmtId="0" fontId="48" fillId="31" borderId="41" xfId="0" applyFont="1" applyFill="1" applyBorder="1" applyAlignment="1" applyProtection="1">
      <alignment horizontal="center" wrapText="1"/>
    </xf>
    <xf numFmtId="0" fontId="8" fillId="28" borderId="11" xfId="0" applyFont="1" applyFill="1" applyBorder="1" applyAlignment="1" applyProtection="1">
      <alignment horizontal="right"/>
    </xf>
    <xf numFmtId="168" fontId="4" fillId="28" borderId="32" xfId="0" applyNumberFormat="1" applyFont="1" applyFill="1" applyBorder="1" applyAlignment="1" applyProtection="1">
      <alignment horizontal="center"/>
    </xf>
    <xf numFmtId="168" fontId="4" fillId="28" borderId="33" xfId="0" applyNumberFormat="1" applyFont="1" applyFill="1" applyBorder="1" applyAlignment="1" applyProtection="1">
      <alignment horizontal="center"/>
    </xf>
    <xf numFmtId="168" fontId="4" fillId="28" borderId="31" xfId="0" applyNumberFormat="1" applyFont="1" applyFill="1" applyBorder="1" applyAlignment="1" applyProtection="1">
      <alignment horizontal="center"/>
    </xf>
    <xf numFmtId="200" fontId="8" fillId="28" borderId="0" xfId="87" applyNumberFormat="1" applyFont="1" applyFill="1" applyBorder="1" applyAlignment="1" applyProtection="1">
      <alignment horizontal="right"/>
      <protection locked="0" hidden="1"/>
    </xf>
    <xf numFmtId="168" fontId="4" fillId="28" borderId="0" xfId="0" applyNumberFormat="1" applyFont="1" applyFill="1" applyBorder="1" applyAlignment="1" applyProtection="1">
      <alignment horizontal="center"/>
      <protection locked="0"/>
    </xf>
    <xf numFmtId="10" fontId="6" fillId="28" borderId="0" xfId="224" applyNumberFormat="1" applyFont="1" applyFill="1" applyBorder="1" applyAlignment="1" applyProtection="1">
      <alignment horizontal="center"/>
    </xf>
    <xf numFmtId="0" fontId="8" fillId="0" borderId="26" xfId="0" applyFont="1" applyFill="1" applyBorder="1" applyAlignment="1" applyProtection="1">
      <alignment horizontal="center"/>
    </xf>
    <xf numFmtId="168" fontId="4" fillId="27" borderId="32" xfId="0" applyNumberFormat="1" applyFont="1" applyFill="1" applyBorder="1" applyAlignment="1" applyProtection="1">
      <alignment horizontal="center"/>
      <protection locked="0"/>
    </xf>
    <xf numFmtId="168" fontId="4" fillId="27" borderId="33" xfId="0" applyNumberFormat="1" applyFont="1" applyFill="1" applyBorder="1" applyAlignment="1" applyProtection="1">
      <alignment horizontal="center"/>
      <protection locked="0"/>
    </xf>
    <xf numFmtId="168" fontId="4" fillId="27" borderId="31" xfId="0" applyNumberFormat="1" applyFont="1" applyFill="1" applyBorder="1" applyAlignment="1" applyProtection="1">
      <alignment horizontal="center"/>
      <protection locked="0"/>
    </xf>
    <xf numFmtId="168" fontId="4" fillId="27" borderId="32" xfId="0" applyNumberFormat="1" applyFont="1" applyFill="1" applyBorder="1" applyAlignment="1" applyProtection="1">
      <alignment horizontal="left"/>
      <protection locked="0"/>
    </xf>
    <xf numFmtId="168" fontId="4" fillId="27" borderId="33" xfId="0" applyNumberFormat="1" applyFont="1" applyFill="1" applyBorder="1" applyAlignment="1" applyProtection="1">
      <alignment horizontal="left"/>
      <protection locked="0"/>
    </xf>
    <xf numFmtId="168" fontId="4" fillId="27" borderId="31" xfId="0" applyNumberFormat="1" applyFont="1" applyFill="1" applyBorder="1" applyAlignment="1" applyProtection="1">
      <alignment horizontal="left"/>
      <protection locked="0"/>
    </xf>
    <xf numFmtId="168" fontId="4" fillId="27" borderId="32" xfId="0" applyNumberFormat="1" applyFont="1" applyFill="1" applyBorder="1" applyAlignment="1" applyProtection="1">
      <alignment horizontal="left" vertical="top"/>
      <protection locked="0"/>
    </xf>
    <xf numFmtId="168" fontId="4" fillId="27" borderId="33" xfId="0" applyNumberFormat="1" applyFont="1" applyFill="1" applyBorder="1" applyAlignment="1" applyProtection="1">
      <alignment horizontal="left" vertical="top"/>
      <protection locked="0"/>
    </xf>
    <xf numFmtId="168" fontId="4" fillId="27" borderId="31" xfId="0" applyNumberFormat="1" applyFont="1" applyFill="1" applyBorder="1" applyAlignment="1" applyProtection="1">
      <alignment horizontal="left" vertical="top"/>
      <protection locked="0"/>
    </xf>
    <xf numFmtId="168" fontId="4" fillId="27" borderId="32" xfId="87" applyNumberFormat="1" applyFont="1" applyFill="1" applyBorder="1" applyAlignment="1" applyProtection="1">
      <alignment horizontal="left"/>
      <protection locked="0"/>
    </xf>
    <xf numFmtId="168" fontId="4" fillId="27" borderId="33" xfId="87" applyNumberFormat="1" applyFont="1" applyFill="1" applyBorder="1" applyAlignment="1" applyProtection="1">
      <alignment horizontal="left"/>
      <protection locked="0"/>
    </xf>
    <xf numFmtId="168" fontId="4" fillId="27" borderId="31" xfId="87" applyNumberFormat="1" applyFont="1" applyFill="1" applyBorder="1" applyAlignment="1" applyProtection="1">
      <alignment horizontal="left"/>
      <protection locked="0"/>
    </xf>
    <xf numFmtId="0" fontId="48" fillId="29" borderId="32" xfId="0" applyFont="1" applyFill="1" applyBorder="1" applyAlignment="1" applyProtection="1">
      <alignment horizontal="center"/>
    </xf>
    <xf numFmtId="0" fontId="48" fillId="29" borderId="31" xfId="0" applyFont="1" applyFill="1" applyBorder="1" applyAlignment="1" applyProtection="1">
      <alignment horizontal="center"/>
    </xf>
    <xf numFmtId="168" fontId="8" fillId="28" borderId="32" xfId="0" applyNumberFormat="1" applyFont="1" applyFill="1" applyBorder="1" applyAlignment="1" applyProtection="1">
      <alignment horizontal="center"/>
    </xf>
    <xf numFmtId="168" fontId="8" fillId="28" borderId="33" xfId="0" applyNumberFormat="1" applyFont="1" applyFill="1" applyBorder="1" applyAlignment="1" applyProtection="1">
      <alignment horizontal="center"/>
    </xf>
    <xf numFmtId="168" fontId="8" fillId="28" borderId="31" xfId="0" applyNumberFormat="1" applyFont="1" applyFill="1" applyBorder="1" applyAlignment="1" applyProtection="1">
      <alignment horizontal="center"/>
    </xf>
    <xf numFmtId="0" fontId="8" fillId="28" borderId="0" xfId="0" applyFont="1" applyFill="1" applyBorder="1" applyAlignment="1" applyProtection="1">
      <alignment horizontal="center"/>
    </xf>
    <xf numFmtId="0" fontId="8" fillId="28" borderId="20" xfId="0" applyFont="1" applyFill="1" applyBorder="1" applyAlignment="1" applyProtection="1">
      <alignment horizontal="center"/>
    </xf>
    <xf numFmtId="169" fontId="8" fillId="28" borderId="11" xfId="87" applyNumberFormat="1" applyFont="1" applyFill="1" applyBorder="1" applyAlignment="1" applyProtection="1">
      <alignment horizontal="right"/>
      <protection locked="0"/>
    </xf>
    <xf numFmtId="169" fontId="8" fillId="28" borderId="0" xfId="87" applyNumberFormat="1" applyFont="1" applyFill="1" applyBorder="1" applyAlignment="1" applyProtection="1">
      <alignment horizontal="right"/>
      <protection locked="0"/>
    </xf>
    <xf numFmtId="0" fontId="45" fillId="27" borderId="32" xfId="0" applyNumberFormat="1" applyFont="1" applyFill="1" applyBorder="1" applyAlignment="1" applyProtection="1">
      <alignment horizontal="left"/>
      <protection locked="0"/>
    </xf>
    <xf numFmtId="0" fontId="45" fillId="27" borderId="33" xfId="0" applyNumberFormat="1" applyFont="1" applyFill="1" applyBorder="1" applyAlignment="1" applyProtection="1">
      <alignment horizontal="left"/>
      <protection locked="0"/>
    </xf>
    <xf numFmtId="0" fontId="45" fillId="27" borderId="31" xfId="0" applyNumberFormat="1" applyFont="1" applyFill="1" applyBorder="1" applyAlignment="1" applyProtection="1">
      <alignment horizontal="left"/>
      <protection locked="0"/>
    </xf>
    <xf numFmtId="0" fontId="8" fillId="0" borderId="29" xfId="0" applyFont="1" applyFill="1" applyBorder="1" applyAlignment="1" applyProtection="1">
      <alignment horizontal="right"/>
    </xf>
    <xf numFmtId="0" fontId="8" fillId="0" borderId="25" xfId="0" applyFont="1" applyFill="1" applyBorder="1" applyAlignment="1" applyProtection="1">
      <alignment horizontal="right"/>
    </xf>
    <xf numFmtId="0" fontId="8" fillId="28" borderId="32" xfId="0" applyNumberFormat="1" applyFont="1" applyFill="1" applyBorder="1" applyAlignment="1" applyProtection="1">
      <alignment horizontal="center"/>
    </xf>
    <xf numFmtId="0" fontId="8" fillId="28" borderId="33" xfId="0" applyNumberFormat="1" applyFont="1" applyFill="1" applyBorder="1" applyAlignment="1" applyProtection="1">
      <alignment horizontal="center"/>
    </xf>
    <xf numFmtId="0" fontId="8" fillId="28" borderId="31" xfId="0" applyNumberFormat="1" applyFont="1" applyFill="1" applyBorder="1" applyAlignment="1" applyProtection="1">
      <alignment horizontal="center"/>
    </xf>
    <xf numFmtId="0" fontId="8" fillId="28" borderId="30" xfId="0" applyFont="1" applyFill="1" applyBorder="1" applyAlignment="1" applyProtection="1">
      <alignment horizontal="right"/>
    </xf>
    <xf numFmtId="0" fontId="8" fillId="28" borderId="23" xfId="0" applyFont="1" applyFill="1" applyBorder="1" applyAlignment="1" applyProtection="1">
      <alignment horizontal="right"/>
    </xf>
    <xf numFmtId="0" fontId="46" fillId="28" borderId="11" xfId="0" applyFont="1" applyFill="1" applyBorder="1" applyAlignment="1" applyProtection="1">
      <alignment horizontal="right"/>
      <protection locked="0"/>
    </xf>
    <xf numFmtId="0" fontId="46" fillId="28" borderId="0" xfId="0" applyFont="1" applyFill="1" applyBorder="1" applyAlignment="1" applyProtection="1">
      <alignment horizontal="right"/>
      <protection locked="0"/>
    </xf>
    <xf numFmtId="0" fontId="4" fillId="0" borderId="11" xfId="215" applyFont="1" applyFill="1" applyBorder="1" applyAlignment="1" applyProtection="1">
      <alignment horizontal="left" vertical="center" wrapText="1" indent="1"/>
      <protection hidden="1"/>
    </xf>
    <xf numFmtId="0" fontId="4" fillId="0" borderId="0" xfId="215" applyFont="1" applyFill="1" applyBorder="1" applyAlignment="1" applyProtection="1">
      <alignment horizontal="left" vertical="center" wrapText="1" indent="1"/>
      <protection hidden="1"/>
    </xf>
    <xf numFmtId="0" fontId="4" fillId="0" borderId="20" xfId="215" applyFont="1" applyFill="1" applyBorder="1" applyAlignment="1" applyProtection="1">
      <alignment horizontal="left" vertical="center" wrapText="1" indent="1"/>
      <protection hidden="1"/>
    </xf>
    <xf numFmtId="0" fontId="48" fillId="35" borderId="57" xfId="0" applyFont="1" applyFill="1" applyBorder="1" applyAlignment="1" applyProtection="1">
      <alignment horizontal="left"/>
      <protection hidden="1"/>
    </xf>
    <xf numFmtId="0" fontId="48" fillId="35" borderId="58" xfId="0" applyFont="1" applyFill="1" applyBorder="1" applyAlignment="1" applyProtection="1">
      <alignment horizontal="left"/>
      <protection hidden="1"/>
    </xf>
    <xf numFmtId="0" fontId="48" fillId="35" borderId="59" xfId="0" applyFont="1" applyFill="1" applyBorder="1" applyAlignment="1" applyProtection="1">
      <alignment horizontal="left"/>
      <protection hidden="1"/>
    </xf>
    <xf numFmtId="0" fontId="8" fillId="0" borderId="11" xfId="215" applyFont="1" applyFill="1" applyBorder="1" applyAlignment="1" applyProtection="1">
      <alignment horizontal="right"/>
      <protection hidden="1"/>
    </xf>
    <xf numFmtId="0" fontId="8" fillId="0" borderId="0" xfId="215" applyFont="1" applyFill="1" applyBorder="1" applyAlignment="1" applyProtection="1">
      <alignment horizontal="right"/>
      <protection hidden="1"/>
    </xf>
    <xf numFmtId="169" fontId="4" fillId="0" borderId="0" xfId="215" applyNumberFormat="1" applyFont="1" applyBorder="1" applyAlignment="1" applyProtection="1">
      <alignment horizontal="left"/>
      <protection hidden="1"/>
    </xf>
    <xf numFmtId="0" fontId="48" fillId="31" borderId="29" xfId="0" applyFont="1" applyFill="1" applyBorder="1" applyAlignment="1" applyProtection="1">
      <alignment horizontal="center" vertical="center" wrapText="1"/>
      <protection locked="0"/>
    </xf>
    <xf numFmtId="0" fontId="48" fillId="31" borderId="25" xfId="0" applyFont="1" applyFill="1" applyBorder="1" applyAlignment="1" applyProtection="1">
      <alignment horizontal="center" vertical="center" wrapText="1"/>
      <protection locked="0"/>
    </xf>
    <xf numFmtId="2" fontId="4" fillId="0" borderId="0" xfId="87" applyNumberFormat="1" applyFont="1" applyFill="1" applyBorder="1" applyAlignment="1" applyProtection="1">
      <alignment horizontal="left"/>
      <protection hidden="1"/>
    </xf>
    <xf numFmtId="4" fontId="4" fillId="0" borderId="0" xfId="215" applyNumberFormat="1" applyFont="1" applyBorder="1" applyAlignment="1" applyProtection="1">
      <alignment horizontal="left"/>
      <protection hidden="1"/>
    </xf>
    <xf numFmtId="0" fontId="8" fillId="0" borderId="0" xfId="215" applyFont="1" applyBorder="1" applyAlignment="1" applyProtection="1">
      <alignment horizontal="right"/>
      <protection hidden="1"/>
    </xf>
    <xf numFmtId="169" fontId="4" fillId="27" borderId="12" xfId="87" applyNumberFormat="1" applyFont="1" applyFill="1" applyBorder="1" applyAlignment="1" applyProtection="1">
      <alignment horizontal="center"/>
      <protection locked="0"/>
    </xf>
    <xf numFmtId="0" fontId="8" fillId="0" borderId="0" xfId="215" applyFont="1" applyBorder="1" applyAlignment="1" applyProtection="1">
      <alignment horizontal="right" vertical="top" wrapText="1"/>
      <protection hidden="1"/>
    </xf>
    <xf numFmtId="9" fontId="4" fillId="0" borderId="0" xfId="215" applyNumberFormat="1" applyFont="1" applyBorder="1" applyAlignment="1" applyProtection="1">
      <alignment horizontal="left" vertical="center"/>
      <protection hidden="1"/>
    </xf>
    <xf numFmtId="0" fontId="0" fillId="0" borderId="0" xfId="0" applyBorder="1" applyAlignment="1" applyProtection="1">
      <alignment vertical="center"/>
      <protection hidden="1"/>
    </xf>
    <xf numFmtId="169" fontId="4" fillId="27" borderId="12" xfId="0" applyNumberFormat="1" applyFont="1" applyFill="1" applyBorder="1" applyAlignment="1" applyProtection="1">
      <alignment horizontal="center"/>
      <protection locked="0"/>
    </xf>
    <xf numFmtId="1" fontId="47" fillId="0" borderId="0" xfId="0" applyNumberFormat="1" applyFont="1" applyBorder="1" applyAlignment="1" applyProtection="1">
      <alignment horizontal="center" vertical="center" wrapText="1"/>
      <protection hidden="1"/>
    </xf>
    <xf numFmtId="0" fontId="48" fillId="29" borderId="11" xfId="0" applyFont="1" applyFill="1" applyBorder="1" applyAlignment="1" applyProtection="1">
      <alignment horizontal="center" vertical="center" wrapText="1"/>
      <protection hidden="1"/>
    </xf>
    <xf numFmtId="0" fontId="48" fillId="29" borderId="0" xfId="0" applyFont="1" applyFill="1" applyBorder="1" applyAlignment="1" applyProtection="1">
      <alignment horizontal="center" vertical="center" wrapText="1"/>
      <protection hidden="1"/>
    </xf>
    <xf numFmtId="0" fontId="48" fillId="29" borderId="12" xfId="215" applyFont="1" applyFill="1" applyBorder="1" applyAlignment="1" applyProtection="1">
      <alignment horizontal="center" vertical="center" wrapText="1"/>
      <protection hidden="1"/>
    </xf>
    <xf numFmtId="0" fontId="48" fillId="29" borderId="12" xfId="215" applyFont="1" applyFill="1" applyBorder="1" applyAlignment="1" applyProtection="1">
      <alignment horizontal="center" vertical="center"/>
      <protection hidden="1"/>
    </xf>
    <xf numFmtId="169" fontId="4" fillId="27" borderId="32" xfId="87" applyNumberFormat="1" applyFont="1" applyFill="1" applyBorder="1" applyAlignment="1" applyProtection="1">
      <alignment horizontal="center"/>
      <protection locked="0" hidden="1"/>
    </xf>
    <xf numFmtId="169" fontId="4" fillId="27" borderId="31" xfId="87" applyNumberFormat="1" applyFont="1" applyFill="1" applyBorder="1" applyAlignment="1" applyProtection="1">
      <alignment horizontal="center"/>
      <protection locked="0" hidden="1"/>
    </xf>
    <xf numFmtId="169" fontId="4" fillId="27" borderId="34" xfId="87" applyNumberFormat="1" applyFont="1" applyFill="1" applyBorder="1" applyAlignment="1" applyProtection="1">
      <alignment horizontal="center"/>
      <protection locked="0" hidden="1"/>
    </xf>
    <xf numFmtId="169" fontId="4" fillId="27" borderId="26" xfId="87" applyNumberFormat="1" applyFont="1" applyFill="1" applyBorder="1" applyAlignment="1" applyProtection="1">
      <alignment horizontal="center"/>
      <protection locked="0" hidden="1"/>
    </xf>
    <xf numFmtId="0" fontId="48" fillId="29" borderId="32" xfId="215" applyFont="1" applyFill="1" applyBorder="1" applyAlignment="1" applyProtection="1">
      <alignment horizontal="center" vertical="center" wrapText="1"/>
      <protection hidden="1"/>
    </xf>
    <xf numFmtId="0" fontId="0" fillId="29" borderId="33" xfId="0" applyFill="1" applyBorder="1" applyAlignment="1" applyProtection="1">
      <alignment horizontal="center" vertical="center" wrapText="1"/>
      <protection hidden="1"/>
    </xf>
    <xf numFmtId="3" fontId="4" fillId="27" borderId="32" xfId="87" applyNumberFormat="1" applyFont="1" applyFill="1" applyBorder="1" applyAlignment="1" applyProtection="1">
      <alignment horizontal="center"/>
      <protection locked="0" hidden="1"/>
    </xf>
    <xf numFmtId="3" fontId="4" fillId="27" borderId="31" xfId="87" applyNumberFormat="1" applyFont="1" applyFill="1" applyBorder="1" applyAlignment="1" applyProtection="1">
      <alignment horizontal="center"/>
      <protection locked="0" hidden="1"/>
    </xf>
    <xf numFmtId="0" fontId="4" fillId="27" borderId="11" xfId="0" applyFont="1" applyFill="1" applyBorder="1" applyAlignment="1" applyProtection="1">
      <alignment horizontal="left" vertical="top" wrapText="1"/>
      <protection locked="0"/>
    </xf>
    <xf numFmtId="0" fontId="4" fillId="27" borderId="0" xfId="0" applyFont="1" applyFill="1" applyBorder="1" applyAlignment="1" applyProtection="1">
      <alignment horizontal="left" vertical="top" wrapText="1"/>
      <protection locked="0"/>
    </xf>
    <xf numFmtId="178" fontId="4" fillId="27" borderId="12" xfId="0" applyNumberFormat="1" applyFont="1" applyFill="1" applyBorder="1" applyAlignment="1" applyProtection="1">
      <alignment horizontal="center" vertical="center" wrapText="1"/>
      <protection locked="0"/>
    </xf>
    <xf numFmtId="178" fontId="4" fillId="27" borderId="32" xfId="0" applyNumberFormat="1" applyFont="1" applyFill="1" applyBorder="1" applyAlignment="1" applyProtection="1">
      <alignment horizontal="center" vertical="center" wrapText="1"/>
      <protection locked="0"/>
    </xf>
    <xf numFmtId="178" fontId="4" fillId="27" borderId="31" xfId="0" applyNumberFormat="1" applyFont="1" applyFill="1" applyBorder="1" applyAlignment="1" applyProtection="1">
      <alignment horizontal="center" vertical="center" wrapText="1"/>
      <protection locked="0"/>
    </xf>
    <xf numFmtId="0" fontId="4" fillId="27" borderId="32" xfId="0" applyNumberFormat="1" applyFont="1" applyFill="1" applyBorder="1" applyAlignment="1" applyProtection="1">
      <alignment horizontal="left" vertical="center" wrapText="1"/>
      <protection locked="0"/>
    </xf>
    <xf numFmtId="0" fontId="4" fillId="27" borderId="33" xfId="0" applyNumberFormat="1" applyFont="1" applyFill="1" applyBorder="1" applyAlignment="1" applyProtection="1">
      <alignment horizontal="left" vertical="center" wrapText="1"/>
      <protection locked="0"/>
    </xf>
    <xf numFmtId="0" fontId="4" fillId="27" borderId="32" xfId="0" applyNumberFormat="1" applyFont="1" applyFill="1" applyBorder="1" applyAlignment="1" applyProtection="1">
      <alignment horizontal="center" vertical="center" wrapText="1"/>
      <protection locked="0"/>
    </xf>
    <xf numFmtId="0" fontId="4" fillId="27" borderId="33" xfId="0" applyNumberFormat="1" applyFont="1" applyFill="1" applyBorder="1" applyAlignment="1" applyProtection="1">
      <alignment horizontal="center" vertical="center" wrapText="1"/>
      <protection locked="0"/>
    </xf>
    <xf numFmtId="0" fontId="48" fillId="29" borderId="31" xfId="215" applyFont="1" applyFill="1" applyBorder="1" applyAlignment="1" applyProtection="1">
      <alignment horizontal="center" vertical="center" wrapText="1"/>
      <protection hidden="1"/>
    </xf>
    <xf numFmtId="0" fontId="48" fillId="29" borderId="33" xfId="215" applyFont="1" applyFill="1" applyBorder="1" applyAlignment="1" applyProtection="1">
      <alignment horizontal="center" vertical="center" wrapText="1"/>
      <protection hidden="1"/>
    </xf>
    <xf numFmtId="0" fontId="51" fillId="32" borderId="53" xfId="0" applyFont="1" applyFill="1" applyBorder="1" applyAlignment="1" applyProtection="1">
      <alignment horizontal="center" vertical="center" wrapText="1"/>
      <protection hidden="1"/>
    </xf>
    <xf numFmtId="0" fontId="51" fillId="32" borderId="54" xfId="0" applyFont="1" applyFill="1" applyBorder="1" applyAlignment="1" applyProtection="1">
      <alignment horizontal="center" vertical="center" wrapText="1"/>
      <protection hidden="1"/>
    </xf>
    <xf numFmtId="0" fontId="48" fillId="31" borderId="29" xfId="0" applyFont="1" applyFill="1" applyBorder="1" applyAlignment="1" applyProtection="1">
      <alignment horizontal="center" vertical="center"/>
      <protection hidden="1"/>
    </xf>
    <xf numFmtId="0" fontId="48" fillId="31" borderId="25" xfId="0" applyFont="1" applyFill="1" applyBorder="1" applyAlignment="1" applyProtection="1">
      <alignment horizontal="center" vertical="center"/>
      <protection hidden="1"/>
    </xf>
  </cellXfs>
  <cellStyles count="245">
    <cellStyle name="20% - Accent1" xfId="1" builtinId="30" customBuiltin="1"/>
    <cellStyle name="20% - Accent1 2" xfId="2"/>
    <cellStyle name="20% - Accent1 3" xfId="3"/>
    <cellStyle name="20% - Accent2" xfId="4" builtinId="34" customBuiltin="1"/>
    <cellStyle name="20% - Accent2 2" xfId="5"/>
    <cellStyle name="20% - Accent2 3" xfId="6"/>
    <cellStyle name="20% - Accent3" xfId="7" builtinId="38" customBuiltin="1"/>
    <cellStyle name="20% - Accent3 2" xfId="8"/>
    <cellStyle name="20% - Accent3 3" xfId="9"/>
    <cellStyle name="20% - Accent4" xfId="10" builtinId="42" customBuiltin="1"/>
    <cellStyle name="20% - Accent4 2" xfId="11"/>
    <cellStyle name="20% - Accent4 3" xfId="12"/>
    <cellStyle name="20% - Accent5" xfId="13" builtinId="46" customBuiltin="1"/>
    <cellStyle name="20% - Accent5 2" xfId="14"/>
    <cellStyle name="20% - Accent5 3" xfId="15"/>
    <cellStyle name="20% - Accent6" xfId="16" builtinId="50" customBuiltin="1"/>
    <cellStyle name="20% - Accent6 2" xfId="17"/>
    <cellStyle name="20% - Accent6 3" xfId="18"/>
    <cellStyle name="40% - Accent1" xfId="19" builtinId="31" customBuiltin="1"/>
    <cellStyle name="40% - Accent1 2" xfId="20"/>
    <cellStyle name="40% - Accent1 3" xfId="21"/>
    <cellStyle name="40% - Accent2" xfId="22" builtinId="35" customBuiltin="1"/>
    <cellStyle name="40% - Accent2 2" xfId="23"/>
    <cellStyle name="40% - Accent2 3" xfId="24"/>
    <cellStyle name="40% - Accent3" xfId="25" builtinId="39" customBuiltin="1"/>
    <cellStyle name="40% - Accent3 2" xfId="26"/>
    <cellStyle name="40% - Accent3 3" xfId="27"/>
    <cellStyle name="40% - Accent4" xfId="28" builtinId="43" customBuiltin="1"/>
    <cellStyle name="40% - Accent4 2" xfId="29"/>
    <cellStyle name="40% - Accent4 3" xfId="30"/>
    <cellStyle name="40% - Accent5" xfId="31" builtinId="47" customBuiltin="1"/>
    <cellStyle name="40% - Accent5 2" xfId="32"/>
    <cellStyle name="40% - Accent5 3" xfId="33"/>
    <cellStyle name="40% - Accent6" xfId="34" builtinId="51" customBuiltin="1"/>
    <cellStyle name="40% - Accent6 2" xfId="35"/>
    <cellStyle name="40% - Accent6 3" xfId="36"/>
    <cellStyle name="60% - Accent1" xfId="37" builtinId="32" customBuiltin="1"/>
    <cellStyle name="60% - Accent1 2" xfId="38"/>
    <cellStyle name="60% - Accent1 3" xfId="39"/>
    <cellStyle name="60% - Accent2" xfId="40" builtinId="36" customBuiltin="1"/>
    <cellStyle name="60% - Accent2 2" xfId="41"/>
    <cellStyle name="60% - Accent2 3" xfId="42"/>
    <cellStyle name="60% - Accent3" xfId="43" builtinId="40" customBuiltin="1"/>
    <cellStyle name="60% - Accent3 2" xfId="44"/>
    <cellStyle name="60% - Accent3 3" xfId="45"/>
    <cellStyle name="60% - Accent4" xfId="46" builtinId="44" customBuiltin="1"/>
    <cellStyle name="60% - Accent4 2" xfId="47"/>
    <cellStyle name="60% - Accent4 3" xfId="48"/>
    <cellStyle name="60% - Accent5" xfId="49" builtinId="48" customBuiltin="1"/>
    <cellStyle name="60% - Accent5 2" xfId="50"/>
    <cellStyle name="60% - Accent5 3" xfId="51"/>
    <cellStyle name="60% - Accent6" xfId="52" builtinId="52" customBuiltin="1"/>
    <cellStyle name="60% - Accent6 2" xfId="53"/>
    <cellStyle name="60% - Accent6 3" xfId="54"/>
    <cellStyle name="Accent1" xfId="55" builtinId="29" customBuiltin="1"/>
    <cellStyle name="Accent1 2" xfId="56"/>
    <cellStyle name="Accent1 3" xfId="57"/>
    <cellStyle name="Accent2" xfId="58" builtinId="33" customBuiltin="1"/>
    <cellStyle name="Accent2 2" xfId="59"/>
    <cellStyle name="Accent2 3" xfId="60"/>
    <cellStyle name="Accent3" xfId="61" builtinId="37" customBuiltin="1"/>
    <cellStyle name="Accent3 2" xfId="62"/>
    <cellStyle name="Accent3 3" xfId="63"/>
    <cellStyle name="Accent4" xfId="64" builtinId="41" customBuiltin="1"/>
    <cellStyle name="Accent4 2" xfId="65"/>
    <cellStyle name="Accent4 3" xfId="66"/>
    <cellStyle name="Accent5" xfId="67" builtinId="45" customBuiltin="1"/>
    <cellStyle name="Accent5 2" xfId="68"/>
    <cellStyle name="Accent5 3" xfId="69"/>
    <cellStyle name="Accent6" xfId="70" builtinId="49" customBuiltin="1"/>
    <cellStyle name="Accent6 2" xfId="71"/>
    <cellStyle name="Accent6 3" xfId="72"/>
    <cellStyle name="Bad" xfId="73" builtinId="27" customBuiltin="1"/>
    <cellStyle name="Bad 2" xfId="74"/>
    <cellStyle name="Bad 3" xfId="75"/>
    <cellStyle name="Calculation" xfId="76" builtinId="22" customBuiltin="1"/>
    <cellStyle name="Calculation 2" xfId="77"/>
    <cellStyle name="Calculation 3" xfId="78"/>
    <cellStyle name="Check Cell" xfId="79" builtinId="23" customBuiltin="1"/>
    <cellStyle name="Check Cell 2" xfId="80"/>
    <cellStyle name="Check Cell 3" xfId="81"/>
    <cellStyle name="Comma" xfId="82" builtinId="3"/>
    <cellStyle name="Comma 2" xfId="83"/>
    <cellStyle name="Comma 2 2" xfId="84"/>
    <cellStyle name="Comma 3" xfId="85"/>
    <cellStyle name="Comma 4" xfId="86"/>
    <cellStyle name="Currency" xfId="87" builtinId="4"/>
    <cellStyle name="Currency 2" xfId="88"/>
    <cellStyle name="Currency 2 2" xfId="89"/>
    <cellStyle name="Currency 2 3" xfId="90"/>
    <cellStyle name="Currency 3" xfId="91"/>
    <cellStyle name="Currency 3 2" xfId="92"/>
    <cellStyle name="Currency 4" xfId="93"/>
    <cellStyle name="Currency 5" xfId="94"/>
    <cellStyle name="Currency 6" xfId="95"/>
    <cellStyle name="Explanatory Text" xfId="96" builtinId="53" customBuiltin="1"/>
    <cellStyle name="Explanatory Text 2" xfId="97"/>
    <cellStyle name="Explanatory Text 3" xfId="98"/>
    <cellStyle name="Good" xfId="99" builtinId="26" customBuiltin="1"/>
    <cellStyle name="Good 2" xfId="100"/>
    <cellStyle name="Good 3" xfId="101"/>
    <cellStyle name="Heading 1" xfId="102" builtinId="16" customBuiltin="1"/>
    <cellStyle name="Heading 1 2" xfId="103"/>
    <cellStyle name="Heading 1 3" xfId="104"/>
    <cellStyle name="Heading 2" xfId="105" builtinId="17" customBuiltin="1"/>
    <cellStyle name="Heading 2 2" xfId="106"/>
    <cellStyle name="Heading 2 3" xfId="107"/>
    <cellStyle name="Heading 3" xfId="108" builtinId="18" customBuiltin="1"/>
    <cellStyle name="Heading 3 2" xfId="109"/>
    <cellStyle name="Heading 3 3" xfId="110"/>
    <cellStyle name="Heading 4" xfId="111" builtinId="19" customBuiltin="1"/>
    <cellStyle name="Heading 4 2" xfId="112"/>
    <cellStyle name="Heading 4 3" xfId="113"/>
    <cellStyle name="Hyperlink" xfId="114" builtinId="8"/>
    <cellStyle name="Input" xfId="115" builtinId="20" customBuiltin="1"/>
    <cellStyle name="Input 2" xfId="116"/>
    <cellStyle name="Input 3" xfId="117"/>
    <cellStyle name="Linked Cell" xfId="118" builtinId="24" customBuiltin="1"/>
    <cellStyle name="Linked Cell 2" xfId="119"/>
    <cellStyle name="Linked Cell 3" xfId="120"/>
    <cellStyle name="Neutral" xfId="121" builtinId="28" customBuiltin="1"/>
    <cellStyle name="Neutral 2" xfId="122"/>
    <cellStyle name="Neutral 3" xfId="123"/>
    <cellStyle name="Normal" xfId="0" builtinId="0"/>
    <cellStyle name="Normal 10 2" xfId="124"/>
    <cellStyle name="Normal 10 3" xfId="125"/>
    <cellStyle name="Normal 11 2" xfId="126"/>
    <cellStyle name="Normal 12 2" xfId="127"/>
    <cellStyle name="Normal 12 3" xfId="128"/>
    <cellStyle name="Normal 13 2" xfId="129"/>
    <cellStyle name="Normal 13 3" xfId="130"/>
    <cellStyle name="Normal 14 2" xfId="131"/>
    <cellStyle name="Normal 14 3" xfId="132"/>
    <cellStyle name="Normal 15 2" xfId="133"/>
    <cellStyle name="Normal 15 3" xfId="134"/>
    <cellStyle name="Normal 16 2" xfId="135"/>
    <cellStyle name="Normal 17 2" xfId="136"/>
    <cellStyle name="Normal 18 2" xfId="137"/>
    <cellStyle name="Normal 19 2" xfId="138"/>
    <cellStyle name="Normal 2 2" xfId="139"/>
    <cellStyle name="Normal 2 2 2" xfId="140"/>
    <cellStyle name="Normal 2 3" xfId="141"/>
    <cellStyle name="Normal 2 4" xfId="142"/>
    <cellStyle name="Normal 2 5" xfId="143"/>
    <cellStyle name="Normal 2 6" xfId="144"/>
    <cellStyle name="Normal 20 2" xfId="145"/>
    <cellStyle name="Normal 21 2" xfId="146"/>
    <cellStyle name="Normal 22 2" xfId="147"/>
    <cellStyle name="Normal 23 2" xfId="148"/>
    <cellStyle name="Normal 24 2" xfId="149"/>
    <cellStyle name="Normal 25 2" xfId="150"/>
    <cellStyle name="Normal 26 2" xfId="151"/>
    <cellStyle name="Normal 27 2" xfId="152"/>
    <cellStyle name="Normal 28 2" xfId="153"/>
    <cellStyle name="Normal 29 2" xfId="154"/>
    <cellStyle name="Normal 3 2" xfId="155"/>
    <cellStyle name="Normal 3 3" xfId="156"/>
    <cellStyle name="Normal 30 2" xfId="157"/>
    <cellStyle name="Normal 31 2" xfId="158"/>
    <cellStyle name="Normal 32 2" xfId="159"/>
    <cellStyle name="Normal 33 2" xfId="160"/>
    <cellStyle name="Normal 34 2" xfId="161"/>
    <cellStyle name="Normal 35 2" xfId="162"/>
    <cellStyle name="Normal 36" xfId="163"/>
    <cellStyle name="Normal 36 2" xfId="164"/>
    <cellStyle name="Normal 37 2" xfId="165"/>
    <cellStyle name="Normal 39" xfId="166"/>
    <cellStyle name="Normal 39 2" xfId="167"/>
    <cellStyle name="Normal 4" xfId="168"/>
    <cellStyle name="Normal 4 2" xfId="169"/>
    <cellStyle name="Normal 40" xfId="170"/>
    <cellStyle name="Normal 40 2" xfId="171"/>
    <cellStyle name="Normal 41" xfId="172"/>
    <cellStyle name="Normal 41 2" xfId="173"/>
    <cellStyle name="Normal 42" xfId="174"/>
    <cellStyle name="Normal 42 2" xfId="175"/>
    <cellStyle name="Normal 43" xfId="176"/>
    <cellStyle name="Normal 43 2" xfId="177"/>
    <cellStyle name="Normal 44" xfId="178"/>
    <cellStyle name="Normal 44 2" xfId="179"/>
    <cellStyle name="Normal 45" xfId="180"/>
    <cellStyle name="Normal 45 2" xfId="181"/>
    <cellStyle name="Normal 46" xfId="182"/>
    <cellStyle name="Normal 46 2" xfId="183"/>
    <cellStyle name="Normal 48" xfId="184"/>
    <cellStyle name="Normal 48 2" xfId="185"/>
    <cellStyle name="Normal 49" xfId="186"/>
    <cellStyle name="Normal 49 2" xfId="187"/>
    <cellStyle name="Normal 5" xfId="188"/>
    <cellStyle name="Normal 5 2" xfId="189"/>
    <cellStyle name="Normal 53" xfId="190"/>
    <cellStyle name="Normal 53 2" xfId="191"/>
    <cellStyle name="Normal 54" xfId="192"/>
    <cellStyle name="Normal 54 2" xfId="193"/>
    <cellStyle name="Normal 56" xfId="194"/>
    <cellStyle name="Normal 56 2" xfId="195"/>
    <cellStyle name="Normal 57" xfId="196"/>
    <cellStyle name="Normal 57 2" xfId="197"/>
    <cellStyle name="Normal 6" xfId="198"/>
    <cellStyle name="Normal 6 2" xfId="199"/>
    <cellStyle name="Normal 6 3" xfId="200"/>
    <cellStyle name="Normal 60" xfId="201"/>
    <cellStyle name="Normal 60 2" xfId="202"/>
    <cellStyle name="Normal 61" xfId="203"/>
    <cellStyle name="Normal 61 2" xfId="204"/>
    <cellStyle name="Normal 65" xfId="205"/>
    <cellStyle name="Normal 65 2" xfId="206"/>
    <cellStyle name="Normal 7" xfId="207"/>
    <cellStyle name="Normal 7 2" xfId="208"/>
    <cellStyle name="Normal 7 2 2" xfId="209"/>
    <cellStyle name="Normal 7 3" xfId="210"/>
    <cellStyle name="Normal 8" xfId="211"/>
    <cellStyle name="Normal 8 2" xfId="212"/>
    <cellStyle name="Normal 9" xfId="213"/>
    <cellStyle name="Normal_Sheet1" xfId="214"/>
    <cellStyle name="Normal_Sheet2_2" xfId="215"/>
    <cellStyle name="Normal_Underwriter_Information" xfId="216"/>
    <cellStyle name="Normal_Underwriter_Information_1" xfId="217"/>
    <cellStyle name="Note" xfId="218" builtinId="10" customBuiltin="1"/>
    <cellStyle name="Note 2" xfId="219"/>
    <cellStyle name="Note 3" xfId="220"/>
    <cellStyle name="Output" xfId="221" builtinId="21" customBuiltin="1"/>
    <cellStyle name="Output 2" xfId="222"/>
    <cellStyle name="Output 3" xfId="223"/>
    <cellStyle name="Percent" xfId="224" builtinId="5"/>
    <cellStyle name="Percent 2" xfId="225"/>
    <cellStyle name="Percent 2 2" xfId="226"/>
    <cellStyle name="Percent 2 2 2" xfId="227"/>
    <cellStyle name="Percent 2 3" xfId="228"/>
    <cellStyle name="Percent 3" xfId="229"/>
    <cellStyle name="Percent 3 2" xfId="230"/>
    <cellStyle name="Percent 3 2 2" xfId="231"/>
    <cellStyle name="Percent 3 3" xfId="232"/>
    <cellStyle name="Percent 4" xfId="233"/>
    <cellStyle name="Percent 4 2" xfId="234"/>
    <cellStyle name="Percent 5" xfId="235"/>
    <cellStyle name="Title" xfId="236" builtinId="15" customBuiltin="1"/>
    <cellStyle name="Title 2" xfId="237"/>
    <cellStyle name="Title 3" xfId="238"/>
    <cellStyle name="Total" xfId="239" builtinId="25" customBuiltin="1"/>
    <cellStyle name="Total 2" xfId="240"/>
    <cellStyle name="Total 3" xfId="241"/>
    <cellStyle name="Warning Text" xfId="242" builtinId="11" customBuiltin="1"/>
    <cellStyle name="Warning Text 2" xfId="243"/>
    <cellStyle name="Warning Text 3" xfId="244"/>
  </cellStyles>
  <dxfs count="201">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9" tint="-0.24994659260841701"/>
        </patternFill>
      </fill>
    </dxf>
    <dxf>
      <fill>
        <patternFill>
          <bgColor rgb="FF00B050"/>
        </patternFill>
      </fill>
    </dxf>
    <dxf>
      <fill>
        <patternFill>
          <bgColor rgb="FF705690"/>
        </patternFill>
      </fill>
    </dxf>
    <dxf>
      <fill>
        <patternFill>
          <bgColor theme="9" tint="-0.24994659260841701"/>
        </patternFill>
      </fill>
    </dxf>
    <dxf>
      <fill>
        <patternFill>
          <bgColor rgb="FF00B050"/>
        </patternFill>
      </fill>
    </dxf>
    <dxf>
      <fill>
        <patternFill>
          <bgColor rgb="FF705690"/>
        </patternFill>
      </fill>
    </dxf>
    <dxf>
      <fill>
        <patternFill>
          <bgColor theme="9" tint="-0.24994659260841701"/>
        </patternFill>
      </fill>
    </dxf>
    <dxf>
      <fill>
        <patternFill>
          <bgColor rgb="FF00B050"/>
        </patternFill>
      </fill>
    </dxf>
    <dxf>
      <fill>
        <patternFill>
          <bgColor rgb="FF705690"/>
        </patternFill>
      </fill>
    </dxf>
    <dxf>
      <fill>
        <patternFill>
          <bgColor theme="9" tint="-0.24994659260841701"/>
        </patternFill>
      </fill>
    </dxf>
    <dxf>
      <fill>
        <patternFill>
          <bgColor rgb="FF00B050"/>
        </patternFill>
      </fill>
    </dxf>
    <dxf>
      <fill>
        <patternFill>
          <bgColor rgb="FF705690"/>
        </patternFill>
      </fill>
    </dxf>
    <dxf>
      <fill>
        <patternFill>
          <bgColor theme="9" tint="-0.24994659260841701"/>
        </patternFill>
      </fill>
    </dxf>
    <dxf>
      <fill>
        <patternFill>
          <bgColor rgb="FF00B050"/>
        </patternFill>
      </fill>
    </dxf>
    <dxf>
      <fill>
        <patternFill>
          <bgColor rgb="FF705690"/>
        </patternFill>
      </fill>
    </dxf>
    <dxf>
      <fill>
        <patternFill>
          <bgColor theme="9" tint="-0.24994659260841701"/>
        </patternFill>
      </fill>
    </dxf>
    <dxf>
      <fill>
        <patternFill>
          <bgColor rgb="FF00B050"/>
        </patternFill>
      </fill>
    </dxf>
    <dxf>
      <fill>
        <patternFill>
          <bgColor rgb="FF705690"/>
        </patternFill>
      </fill>
    </dxf>
    <dxf>
      <fill>
        <patternFill>
          <bgColor theme="9" tint="-0.24994659260841701"/>
        </patternFill>
      </fill>
    </dxf>
    <dxf>
      <fill>
        <patternFill>
          <bgColor rgb="FF00B050"/>
        </patternFill>
      </fill>
    </dxf>
    <dxf>
      <fill>
        <patternFill>
          <bgColor rgb="FF705690"/>
        </patternFill>
      </fill>
    </dxf>
    <dxf>
      <fill>
        <patternFill>
          <bgColor rgb="FF705690"/>
        </patternFill>
      </fill>
    </dxf>
    <dxf>
      <fill>
        <patternFill>
          <bgColor rgb="FF00B050"/>
        </patternFill>
      </fill>
    </dxf>
    <dxf>
      <fill>
        <patternFill>
          <bgColor theme="9" tint="-0.24994659260841701"/>
        </patternFill>
      </fill>
    </dxf>
    <dxf>
      <fill>
        <patternFill>
          <bgColor rgb="FF705690"/>
        </patternFill>
      </fill>
    </dxf>
    <dxf>
      <fill>
        <patternFill>
          <bgColor rgb="FF00B050"/>
        </patternFill>
      </fill>
    </dxf>
    <dxf>
      <fill>
        <patternFill>
          <bgColor theme="9" tint="-0.24994659260841701"/>
        </patternFill>
      </fill>
    </dxf>
    <dxf>
      <fill>
        <patternFill>
          <bgColor rgb="FF705690"/>
        </patternFill>
      </fill>
    </dxf>
    <dxf>
      <fill>
        <patternFill>
          <bgColor rgb="FF00B050"/>
        </patternFill>
      </fill>
    </dxf>
    <dxf>
      <fill>
        <patternFill>
          <bgColor theme="9" tint="-0.24994659260841701"/>
        </patternFill>
      </fill>
    </dxf>
    <dxf>
      <fill>
        <patternFill>
          <bgColor rgb="FF705690"/>
        </patternFill>
      </fill>
    </dxf>
    <dxf>
      <fill>
        <patternFill>
          <bgColor rgb="FF00B050"/>
        </patternFill>
      </fill>
    </dxf>
    <dxf>
      <fill>
        <patternFill>
          <bgColor theme="9" tint="-0.24994659260841701"/>
        </patternFill>
      </fill>
    </dxf>
    <dxf>
      <fill>
        <patternFill>
          <bgColor rgb="FF705690"/>
        </patternFill>
      </fill>
    </dxf>
    <dxf>
      <fill>
        <patternFill>
          <bgColor rgb="FF00B050"/>
        </patternFill>
      </fill>
    </dxf>
    <dxf>
      <fill>
        <patternFill>
          <bgColor theme="9" tint="-0.24994659260841701"/>
        </patternFill>
      </fill>
    </dxf>
    <dxf>
      <fill>
        <patternFill>
          <bgColor rgb="FF705690"/>
        </patternFill>
      </fill>
    </dxf>
    <dxf>
      <fill>
        <patternFill>
          <bgColor rgb="FF00B050"/>
        </patternFill>
      </fill>
    </dxf>
    <dxf>
      <fill>
        <patternFill>
          <bgColor theme="9" tint="-0.24994659260841701"/>
        </patternFill>
      </fill>
    </dxf>
    <dxf>
      <fill>
        <patternFill>
          <bgColor rgb="FF705690"/>
        </patternFill>
      </fill>
    </dxf>
    <dxf>
      <fill>
        <patternFill>
          <bgColor rgb="FF00B050"/>
        </patternFill>
      </fill>
    </dxf>
    <dxf>
      <fill>
        <patternFill>
          <bgColor theme="9" tint="-0.24994659260841701"/>
        </patternFill>
      </fill>
    </dxf>
    <dxf>
      <fill>
        <patternFill>
          <bgColor rgb="FF705690"/>
        </patternFill>
      </fill>
    </dxf>
    <dxf>
      <fill>
        <patternFill>
          <bgColor rgb="FF00B050"/>
        </patternFill>
      </fill>
    </dxf>
    <dxf>
      <fill>
        <patternFill>
          <bgColor theme="9" tint="-0.24994659260841701"/>
        </patternFill>
      </fill>
    </dxf>
    <dxf>
      <fill>
        <patternFill>
          <bgColor rgb="FF705690"/>
        </patternFill>
      </fill>
    </dxf>
    <dxf>
      <fill>
        <patternFill>
          <bgColor rgb="FF00B050"/>
        </patternFill>
      </fill>
    </dxf>
    <dxf>
      <fill>
        <patternFill>
          <bgColor theme="9" tint="-0.24994659260841701"/>
        </patternFill>
      </fill>
    </dxf>
    <dxf>
      <fill>
        <patternFill>
          <bgColor rgb="FF705690"/>
        </patternFill>
      </fill>
    </dxf>
    <dxf>
      <fill>
        <patternFill>
          <bgColor rgb="FF00B050"/>
        </patternFill>
      </fill>
    </dxf>
    <dxf>
      <fill>
        <patternFill>
          <bgColor theme="9" tint="-0.24994659260841701"/>
        </patternFill>
      </fill>
    </dxf>
    <dxf>
      <fill>
        <patternFill>
          <bgColor rgb="FF705690"/>
        </patternFill>
      </fill>
    </dxf>
    <dxf>
      <fill>
        <patternFill>
          <bgColor rgb="FF00B050"/>
        </patternFill>
      </fill>
    </dxf>
    <dxf>
      <fill>
        <patternFill>
          <bgColor theme="9" tint="-0.24994659260841701"/>
        </patternFill>
      </fill>
    </dxf>
    <dxf>
      <fill>
        <patternFill>
          <bgColor rgb="FF705690"/>
        </patternFill>
      </fill>
    </dxf>
    <dxf>
      <fill>
        <patternFill>
          <bgColor rgb="FF00B050"/>
        </patternFill>
      </fill>
    </dxf>
    <dxf>
      <fill>
        <patternFill>
          <bgColor theme="9" tint="-0.24994659260841701"/>
        </patternFill>
      </fill>
    </dxf>
    <dxf>
      <fill>
        <patternFill>
          <bgColor rgb="FF705690"/>
        </patternFill>
      </fill>
    </dxf>
    <dxf>
      <fill>
        <patternFill>
          <bgColor rgb="FF00B050"/>
        </patternFill>
      </fill>
    </dxf>
    <dxf>
      <fill>
        <patternFill>
          <bgColor theme="9" tint="-0.24994659260841701"/>
        </patternFill>
      </fill>
    </dxf>
    <dxf>
      <fill>
        <patternFill>
          <bgColor rgb="FF705690"/>
        </patternFill>
      </fill>
    </dxf>
    <dxf>
      <fill>
        <patternFill>
          <bgColor rgb="FF00B050"/>
        </patternFill>
      </fill>
    </dxf>
    <dxf>
      <fill>
        <patternFill>
          <bgColor theme="9" tint="-0.24994659260841701"/>
        </patternFill>
      </fill>
    </dxf>
    <dxf>
      <fill>
        <patternFill>
          <bgColor rgb="FF705690"/>
        </patternFill>
      </fill>
    </dxf>
    <dxf>
      <fill>
        <patternFill>
          <bgColor rgb="FF00B050"/>
        </patternFill>
      </fill>
    </dxf>
    <dxf>
      <fill>
        <patternFill>
          <bgColor theme="9" tint="-0.24994659260841701"/>
        </patternFill>
      </fill>
    </dxf>
    <dxf>
      <fill>
        <patternFill>
          <bgColor rgb="FF705690"/>
        </patternFill>
      </fill>
    </dxf>
    <dxf>
      <fill>
        <patternFill>
          <bgColor rgb="FF00B050"/>
        </patternFill>
      </fill>
    </dxf>
    <dxf>
      <fill>
        <patternFill>
          <bgColor theme="9" tint="-0.24994659260841701"/>
        </patternFill>
      </fill>
    </dxf>
    <dxf>
      <fill>
        <patternFill>
          <bgColor rgb="FF705690"/>
        </patternFill>
      </fill>
    </dxf>
    <dxf>
      <fill>
        <patternFill>
          <bgColor rgb="FF00B050"/>
        </patternFill>
      </fill>
    </dxf>
    <dxf>
      <fill>
        <patternFill>
          <bgColor theme="9" tint="-0.24994659260841701"/>
        </patternFill>
      </fill>
    </dxf>
    <dxf>
      <fill>
        <patternFill>
          <bgColor rgb="FF705690"/>
        </patternFill>
      </fill>
    </dxf>
    <dxf>
      <fill>
        <patternFill>
          <bgColor rgb="FF00B050"/>
        </patternFill>
      </fill>
    </dxf>
    <dxf>
      <fill>
        <patternFill>
          <bgColor theme="9" tint="-0.24994659260841701"/>
        </patternFill>
      </fill>
    </dxf>
    <dxf>
      <fill>
        <patternFill>
          <bgColor rgb="FF705690"/>
        </patternFill>
      </fill>
    </dxf>
    <dxf>
      <fill>
        <patternFill>
          <bgColor rgb="FF00B050"/>
        </patternFill>
      </fill>
    </dxf>
    <dxf>
      <fill>
        <patternFill>
          <bgColor theme="9" tint="-0.24994659260841701"/>
        </patternFill>
      </fill>
    </dxf>
    <dxf>
      <fill>
        <patternFill>
          <bgColor rgb="FF705690"/>
        </patternFill>
      </fill>
    </dxf>
    <dxf>
      <fill>
        <patternFill>
          <bgColor rgb="FF00B050"/>
        </patternFill>
      </fill>
    </dxf>
    <dxf>
      <fill>
        <patternFill>
          <bgColor theme="9" tint="-0.24994659260841701"/>
        </patternFill>
      </fill>
    </dxf>
    <dxf>
      <fill>
        <patternFill>
          <bgColor rgb="FF705690"/>
        </patternFill>
      </fill>
    </dxf>
    <dxf>
      <fill>
        <patternFill>
          <bgColor rgb="FF00B050"/>
        </patternFill>
      </fill>
    </dxf>
    <dxf>
      <fill>
        <patternFill>
          <bgColor theme="9" tint="-0.24994659260841701"/>
        </patternFill>
      </fill>
    </dxf>
    <dxf>
      <fill>
        <patternFill>
          <bgColor theme="9" tint="-0.24994659260841701"/>
        </patternFill>
      </fill>
    </dxf>
    <dxf>
      <fill>
        <patternFill>
          <bgColor rgb="FF00B050"/>
        </patternFill>
      </fill>
    </dxf>
    <dxf>
      <fill>
        <patternFill>
          <bgColor rgb="FF705690"/>
        </patternFill>
      </fill>
    </dxf>
    <dxf>
      <fill>
        <patternFill>
          <bgColor rgb="FF705690"/>
        </patternFill>
      </fill>
    </dxf>
    <dxf>
      <fill>
        <patternFill>
          <bgColor rgb="FF00B050"/>
        </patternFill>
      </fill>
    </dxf>
    <dxf>
      <fill>
        <patternFill>
          <bgColor theme="9" tint="-0.24994659260841701"/>
        </patternFill>
      </fill>
    </dxf>
    <dxf>
      <fill>
        <patternFill>
          <bgColor rgb="FF705690"/>
        </patternFill>
      </fill>
    </dxf>
    <dxf>
      <fill>
        <patternFill>
          <bgColor rgb="FF00B050"/>
        </patternFill>
      </fill>
    </dxf>
    <dxf>
      <fill>
        <patternFill>
          <bgColor theme="9" tint="-0.24994659260841701"/>
        </patternFill>
      </fill>
    </dxf>
    <dxf>
      <fill>
        <patternFill>
          <bgColor rgb="FF705690"/>
        </patternFill>
      </fill>
    </dxf>
    <dxf>
      <fill>
        <patternFill>
          <bgColor rgb="FF00B050"/>
        </patternFill>
      </fill>
    </dxf>
    <dxf>
      <fill>
        <patternFill>
          <bgColor theme="9" tint="-0.24994659260841701"/>
        </patternFill>
      </fill>
    </dxf>
    <dxf>
      <font>
        <b/>
        <i val="0"/>
        <color rgb="FFFF0000"/>
      </font>
    </dxf>
    <dxf>
      <fill>
        <patternFill>
          <bgColor rgb="FFFFFFE5"/>
        </patternFill>
      </fill>
      <border>
        <left style="thin">
          <color indexed="64"/>
        </left>
        <right style="thin">
          <color indexed="64"/>
        </right>
        <top style="thin">
          <color indexed="64"/>
        </top>
        <bottom style="thin">
          <color indexed="64"/>
        </bottom>
      </border>
    </dxf>
    <dxf>
      <font>
        <color rgb="FF376091"/>
      </font>
      <fill>
        <patternFill>
          <bgColor rgb="FF376091"/>
        </patternFill>
      </fill>
    </dxf>
    <dxf>
      <font>
        <color rgb="FF00B050"/>
        <name val="Cambria"/>
        <scheme val="none"/>
      </font>
      <fill>
        <patternFill>
          <bgColor rgb="FF00B050"/>
        </patternFill>
      </fill>
    </dxf>
    <dxf>
      <font>
        <color rgb="FF705690"/>
        <name val="Cambria"/>
        <scheme val="none"/>
      </font>
      <fill>
        <patternFill>
          <bgColor rgb="FF705690"/>
        </patternFill>
      </fill>
    </dxf>
    <dxf>
      <font>
        <color theme="9" tint="-0.24994659260841701"/>
      </font>
      <fill>
        <patternFill>
          <bgColor theme="9" tint="-0.24994659260841701"/>
        </patternFill>
      </fill>
    </dxf>
    <dxf>
      <font>
        <b/>
        <i val="0"/>
        <color rgb="FFFF0000"/>
      </font>
    </dxf>
    <dxf>
      <font>
        <color rgb="FF00B050"/>
      </font>
    </dxf>
    <dxf>
      <font>
        <color rgb="FFFF0000"/>
      </font>
    </dxf>
    <dxf>
      <fill>
        <patternFill>
          <bgColor rgb="FFFFFFE5"/>
        </patternFill>
      </fill>
      <border>
        <left style="thin">
          <color indexed="64"/>
        </left>
        <right style="thin">
          <color indexed="64"/>
        </right>
        <top style="thin">
          <color indexed="64"/>
        </top>
        <bottom style="thin">
          <color indexed="64"/>
        </bottom>
      </border>
    </dxf>
    <dxf>
      <fill>
        <patternFill>
          <bgColor rgb="FFFF0000"/>
        </patternFill>
      </fill>
    </dxf>
    <dxf>
      <fill>
        <patternFill>
          <bgColor rgb="FFFFC000"/>
        </patternFill>
      </fill>
    </dxf>
    <dxf>
      <fill>
        <patternFill>
          <bgColor indexed="31"/>
        </patternFill>
      </fill>
    </dxf>
    <dxf>
      <numFmt numFmtId="169" formatCode="&quot;$&quot;#,##0"/>
    </dxf>
    <dxf>
      <numFmt numFmtId="169" formatCode="&quot;$&quot;#,##0"/>
    </dxf>
    <dxf>
      <numFmt numFmtId="169" formatCode="&quot;$&quot;#,##0"/>
    </dxf>
    <dxf>
      <numFmt numFmtId="169" formatCode="&quot;$&quot;#,##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69" formatCode="&quot;$&quot;#,##0"/>
    </dxf>
    <dxf>
      <numFmt numFmtId="169" formatCode="&quot;$&quot;#,##0"/>
    </dxf>
    <dxf>
      <numFmt numFmtId="169" formatCode="&quot;$&quot;#,##0"/>
    </dxf>
    <dxf>
      <numFmt numFmtId="169" formatCode="&quot;$&quot;#,##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69" formatCode="&quot;$&quot;#,##0"/>
    </dxf>
    <dxf>
      <numFmt numFmtId="169" formatCode="&quot;$&quot;#,##0"/>
    </dxf>
    <dxf>
      <numFmt numFmtId="169" formatCode="&quot;$&quot;#,##0"/>
    </dxf>
    <dxf>
      <numFmt numFmtId="169" formatCode="&quot;$&quot;#,##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69" formatCode="&quot;$&quot;#,##0"/>
    </dxf>
    <dxf>
      <numFmt numFmtId="169" formatCode="&quot;$&quot;#,##0"/>
    </dxf>
    <dxf>
      <numFmt numFmtId="169" formatCode="&quot;$&quot;#,##0"/>
    </dxf>
    <dxf>
      <numFmt numFmtId="169" formatCode="&quot;$&quot;#,##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5E5FF"/>
      <rgbColor rgb="001E2D4C"/>
      <rgbColor rgb="00FFFFE1"/>
      <rgbColor rgb="00CCFFFF"/>
      <rgbColor rgb="00E2FBDD"/>
      <rgbColor rgb="00133119"/>
      <rgbColor rgb="00C5E2FF"/>
      <rgbColor rgb="00DDDDDD"/>
      <rgbColor rgb="00000080"/>
      <rgbColor rgb="00D22800"/>
      <rgbColor rgb="00EDECE3"/>
      <rgbColor rgb="0000FFFF"/>
      <rgbColor rgb="00800080"/>
      <rgbColor rgb="00800000"/>
      <rgbColor rgb="00333333"/>
      <rgbColor rgb="0080808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trlProps/ctrlProp1.xml><?xml version="1.0" encoding="utf-8"?>
<formControlPr xmlns="http://schemas.microsoft.com/office/spreadsheetml/2009/9/main" objectType="CheckBox" checked="Checked"/>
</file>

<file path=xl/ctrlProps/ctrlProp2.xml><?xml version="1.0" encoding="utf-8"?>
<formControlPr xmlns="http://schemas.microsoft.com/office/spreadsheetml/2009/9/main" objectType="CheckBox" checked="Checked"/>
</file>

<file path=xl/ctrlProps/ctrlProp3.xml><?xml version="1.0" encoding="utf-8"?>
<formControlPr xmlns="http://schemas.microsoft.com/office/spreadsheetml/2009/9/main" objectType="CheckBox" checked="Checked"/>
</file>

<file path=xl/ctrlProps/ctrlProp4.xml><?xml version="1.0" encoding="utf-8"?>
<formControlPr xmlns="http://schemas.microsoft.com/office/spreadsheetml/2009/9/main" objectType="CheckBox" checked="Checked"/>
</file>

<file path=xl/ctrlProps/ctrlProp5.xml><?xml version="1.0" encoding="utf-8"?>
<formControlPr xmlns="http://schemas.microsoft.com/office/spreadsheetml/2009/9/main" objectType="CheckBox" checked="Checked"/>
</file>

<file path=xl/ctrlProps/ctrlProp6.xml><?xml version="1.0" encoding="utf-8"?>
<formControlPr xmlns="http://schemas.microsoft.com/office/spreadsheetml/2009/9/main" objectType="CheckBox" checked="Checked"/>
</file>

<file path=xl/ctrlProps/ctrlProp7.xml><?xml version="1.0" encoding="utf-8"?>
<formControlPr xmlns="http://schemas.microsoft.com/office/spreadsheetml/2009/9/main" objectType="CheckBox" checked="Checked"/>
</file>

<file path=xl/ctrlProps/ctrlProp8.xml><?xml version="1.0" encoding="utf-8"?>
<formControlPr xmlns="http://schemas.microsoft.com/office/spreadsheetml/2009/9/main" objectType="CheckBox" checked="Checked"/>
</file>

<file path=xl/ctrlProps/ctrlProp9.xml><?xml version="1.0" encoding="utf-8"?>
<formControlPr xmlns="http://schemas.microsoft.com/office/spreadsheetml/2009/9/main" objectType="CheckBox" checked="Checked"/>
</file>

<file path=xl/ctrlProps/ctrlProp10.xml><?xml version="1.0" encoding="utf-8"?>
<formControlPr xmlns="http://schemas.microsoft.com/office/spreadsheetml/2009/9/main" objectType="CheckBox" checked="Checked"/>
</file>

<file path=xl/ctrlProps/ctrlProp11.xml><?xml version="1.0" encoding="utf-8"?>
<formControlPr xmlns="http://schemas.microsoft.com/office/spreadsheetml/2009/9/main" objectType="CheckBox" checked="Checked"/>
</file>

<file path=xl/ctrlProps/ctrlProp12.xml><?xml version="1.0" encoding="utf-8"?>
<formControlPr xmlns="http://schemas.microsoft.com/office/spreadsheetml/2009/9/main" objectType="CheckBox"/>
</file>

<file path=xl/ctrlProps/ctrlProp13.xml><?xml version="1.0" encoding="utf-8"?>
<formControlPr xmlns="http://schemas.microsoft.com/office/spreadsheetml/2009/9/main" objectType="CheckBox" checked="Checked"/>
</file>

<file path=xl/ctrlProps/ctrlProp14.xml><?xml version="1.0" encoding="utf-8"?>
<formControlPr xmlns="http://schemas.microsoft.com/office/spreadsheetml/2009/9/main" objectType="CheckBox"/>
</file>

<file path=xl/ctrlProps/ctrlProp15.xml><?xml version="1.0" encoding="utf-8"?>
<formControlPr xmlns="http://schemas.microsoft.com/office/spreadsheetml/2009/9/main" objectType="CheckBox" checked="Checked"/>
</file>

<file path=xl/ctrlProps/ctrlProp16.xml><?xml version="1.0" encoding="utf-8"?>
<formControlPr xmlns="http://schemas.microsoft.com/office/spreadsheetml/2009/9/main" objectType="CheckBox"/>
</file>

<file path=xl/ctrlProps/ctrlProp17.xml><?xml version="1.0" encoding="utf-8"?>
<formControlPr xmlns="http://schemas.microsoft.com/office/spreadsheetml/2009/9/main" objectType="CheckBox"/>
</file>

<file path=xl/ctrlProps/ctrlProp18.xml><?xml version="1.0" encoding="utf-8"?>
<formControlPr xmlns="http://schemas.microsoft.com/office/spreadsheetml/2009/9/main" objectType="CheckBox"/>
</file>

<file path=xl/ctrlProps/ctrlProp19.xml><?xml version="1.0" encoding="utf-8"?>
<formControlPr xmlns="http://schemas.microsoft.com/office/spreadsheetml/2009/9/main" objectType="CheckBox"/>
</file>

<file path=xl/ctrlProps/ctrlProp20.xml><?xml version="1.0" encoding="utf-8"?>
<formControlPr xmlns="http://schemas.microsoft.com/office/spreadsheetml/2009/9/main" objectType="CheckBox"/>
</file>

<file path=xl/ctrlProps/ctrlProp21.xml><?xml version="1.0" encoding="utf-8"?>
<formControlPr xmlns="http://schemas.microsoft.com/office/spreadsheetml/2009/9/main" objectType="CheckBox"/>
</file>

<file path=xl/ctrlProps/ctrlProp22.xml><?xml version="1.0" encoding="utf-8"?>
<formControlPr xmlns="http://schemas.microsoft.com/office/spreadsheetml/2009/9/main" objectType="CheckBox"/>
</file>

<file path=xl/ctrlProps/ctrlProp23.xml><?xml version="1.0" encoding="utf-8"?>
<formControlPr xmlns="http://schemas.microsoft.com/office/spreadsheetml/2009/9/main" objectType="CheckBox"/>
</file>

<file path=xl/ctrlProps/ctrlProp24.xml><?xml version="1.0" encoding="utf-8"?>
<formControlPr xmlns="http://schemas.microsoft.com/office/spreadsheetml/2009/9/main" objectType="CheckBox"/>
</file>

<file path=xl/ctrlProps/ctrlProp25.xml><?xml version="1.0" encoding="utf-8"?>
<formControlPr xmlns="http://schemas.microsoft.com/office/spreadsheetml/2009/9/main" objectType="CheckBox" checked="Checked"/>
</file>

<file path=xl/ctrlProps/ctrlProp26.xml><?xml version="1.0" encoding="utf-8"?>
<formControlPr xmlns="http://schemas.microsoft.com/office/spreadsheetml/2009/9/main" objectType="CheckBox"/>
</file>

<file path=xl/ctrlProps/ctrlProp27.xml><?xml version="1.0" encoding="utf-8"?>
<formControlPr xmlns="http://schemas.microsoft.com/office/spreadsheetml/2009/9/main" objectType="CheckBox" checked="Checked"/>
</file>

<file path=xl/ctrlProps/ctrlProp28.xml><?xml version="1.0" encoding="utf-8"?>
<formControlPr xmlns="http://schemas.microsoft.com/office/spreadsheetml/2009/9/main" objectType="CheckBox"/>
</file>

<file path=xl/ctrlProps/ctrlProp29.xml><?xml version="1.0" encoding="utf-8"?>
<formControlPr xmlns="http://schemas.microsoft.com/office/spreadsheetml/2009/9/main" objectType="CheckBox"/>
</file>

<file path=xl/ctrlProps/ctrlProp30.xml><?xml version="1.0" encoding="utf-8"?>
<formControlPr xmlns="http://schemas.microsoft.com/office/spreadsheetml/2009/9/main" objectType="CheckBox"/>
</file>

<file path=xl/ctrlProps/ctrlProp31.xml><?xml version="1.0" encoding="utf-8"?>
<formControlPr xmlns="http://schemas.microsoft.com/office/spreadsheetml/2009/9/main" objectType="CheckBox"/>
</file>

<file path=xl/ctrlProps/ctrlProp32.xml><?xml version="1.0" encoding="utf-8"?>
<formControlPr xmlns="http://schemas.microsoft.com/office/spreadsheetml/2009/9/main" objectType="CheckBox"/>
</file>

<file path=xl/ctrlProps/ctrlProp33.xml><?xml version="1.0" encoding="utf-8"?>
<formControlPr xmlns="http://schemas.microsoft.com/office/spreadsheetml/2009/9/main" objectType="CheckBox"/>
</file>

<file path=xl/ctrlProps/ctrlProp34.xml><?xml version="1.0" encoding="utf-8"?>
<formControlPr xmlns="http://schemas.microsoft.com/office/spreadsheetml/2009/9/main" objectType="CheckBox"/>
</file>

<file path=xl/ctrlProps/ctrlProp35.xml><?xml version="1.0" encoding="utf-8"?>
<formControlPr xmlns="http://schemas.microsoft.com/office/spreadsheetml/2009/9/main" objectType="CheckBox"/>
</file>

<file path=xl/ctrlProps/ctrlProp36.xml><?xml version="1.0" encoding="utf-8"?>
<formControlPr xmlns="http://schemas.microsoft.com/office/spreadsheetml/2009/9/main" objectType="CheckBox"/>
</file>

<file path=xl/ctrlProps/ctrlProp37.xml><?xml version="1.0" encoding="utf-8"?>
<formControlPr xmlns="http://schemas.microsoft.com/office/spreadsheetml/2009/9/main" objectType="CheckBox"/>
</file>

<file path=xl/ctrlProps/ctrlProp38.xml><?xml version="1.0" encoding="utf-8"?>
<formControlPr xmlns="http://schemas.microsoft.com/office/spreadsheetml/2009/9/main" objectType="CheckBox"/>
</file>

<file path=xl/ctrlProps/ctrlProp39.xml><?xml version="1.0" encoding="utf-8"?>
<formControlPr xmlns="http://schemas.microsoft.com/office/spreadsheetml/2009/9/main" objectType="CheckBox"/>
</file>

<file path=xl/ctrlProps/ctrlProp40.xml><?xml version="1.0" encoding="utf-8"?>
<formControlPr xmlns="http://schemas.microsoft.com/office/spreadsheetml/2009/9/main" objectType="CheckBox"/>
</file>

<file path=xl/ctrlProps/ctrlProp41.xml><?xml version="1.0" encoding="utf-8"?>
<formControlPr xmlns="http://schemas.microsoft.com/office/spreadsheetml/2009/9/main" objectType="CheckBox" checked="Checked"/>
</file>

<file path=xl/ctrlProps/ctrlProp42.xml><?xml version="1.0" encoding="utf-8"?>
<formControlPr xmlns="http://schemas.microsoft.com/office/spreadsheetml/2009/9/main" objectType="CheckBox"/>
</file>

<file path=xl/ctrlProps/ctrlProp43.xml><?xml version="1.0" encoding="utf-8"?>
<formControlPr xmlns="http://schemas.microsoft.com/office/spreadsheetml/2009/9/main" objectType="CheckBox" checked="Checked"/>
</file>

<file path=xl/ctrlProps/ctrlProp44.xml><?xml version="1.0" encoding="utf-8"?>
<formControlPr xmlns="http://schemas.microsoft.com/office/spreadsheetml/2009/9/main" objectType="CheckBox" checked="Checked"/>
</file>

<file path=xl/ctrlProps/ctrlProp45.xml><?xml version="1.0" encoding="utf-8"?>
<formControlPr xmlns="http://schemas.microsoft.com/office/spreadsheetml/2009/9/main" objectType="CheckBox" checked="Checked"/>
</file>

<file path=xl/ctrlProps/ctrlProp46.xml><?xml version="1.0" encoding="utf-8"?>
<formControlPr xmlns="http://schemas.microsoft.com/office/spreadsheetml/2009/9/main" objectType="CheckBox" checked="Checked"/>
</file>

<file path=xl/ctrlProps/ctrlProp47.xml><?xml version="1.0" encoding="utf-8"?>
<formControlPr xmlns="http://schemas.microsoft.com/office/spreadsheetml/2009/9/main" objectType="CheckBox" checked="Checked"/>
</file>

<file path=xl/ctrlProps/ctrlProp48.xml><?xml version="1.0" encoding="utf-8"?>
<formControlPr xmlns="http://schemas.microsoft.com/office/spreadsheetml/2009/9/main" objectType="CheckBox" checked="Checked"/>
</file>

<file path=xl/ctrlProps/ctrlProp49.xml><?xml version="1.0" encoding="utf-8"?>
<formControlPr xmlns="http://schemas.microsoft.com/office/spreadsheetml/2009/9/main" objectType="CheckBox" checked="Checked"/>
</file>

<file path=xl/ctrlProps/ctrlProp50.xml><?xml version="1.0" encoding="utf-8"?>
<formControlPr xmlns="http://schemas.microsoft.com/office/spreadsheetml/2009/9/main" objectType="CheckBox" checked="Checked"/>
</file>

<file path=xl/ctrlProps/ctrlProp51.xml><?xml version="1.0" encoding="utf-8"?>
<formControlPr xmlns="http://schemas.microsoft.com/office/spreadsheetml/2009/9/main" objectType="CheckBox" checked="Checked"/>
</file>

<file path=xl/ctrlProps/ctrlProp52.xml><?xml version="1.0" encoding="utf-8"?>
<formControlPr xmlns="http://schemas.microsoft.com/office/spreadsheetml/2009/9/main" objectType="CheckBox" checked="Checked"/>
</file>

<file path=xl/ctrlProps/ctrlProp53.xml><?xml version="1.0" encoding="utf-8"?>
<formControlPr xmlns="http://schemas.microsoft.com/office/spreadsheetml/2009/9/main" objectType="CheckBox" checked="Checked"/>
</file>

<file path=xl/ctrlProps/ctrlProp54.xml><?xml version="1.0" encoding="utf-8"?>
<formControlPr xmlns="http://schemas.microsoft.com/office/spreadsheetml/2009/9/main" objectType="CheckBox"/>
</file>

<file path=xl/ctrlProps/ctrlProp55.xml><?xml version="1.0" encoding="utf-8"?>
<formControlPr xmlns="http://schemas.microsoft.com/office/spreadsheetml/2009/9/main" objectType="CheckBox" checked="Checked"/>
</file>

<file path=xl/ctrlProps/ctrlProp56.xml><?xml version="1.0" encoding="utf-8"?>
<formControlPr xmlns="http://schemas.microsoft.com/office/spreadsheetml/2009/9/main" objectType="CheckBox"/>
</file>

<file path=xl/ctrlProps/ctrlProp57.xml><?xml version="1.0" encoding="utf-8"?>
<formControlPr xmlns="http://schemas.microsoft.com/office/spreadsheetml/2009/9/main" objectType="CheckBox" checked="Checked"/>
</file>

<file path=xl/ctrlProps/ctrlProp58.xml><?xml version="1.0" encoding="utf-8"?>
<formControlPr xmlns="http://schemas.microsoft.com/office/spreadsheetml/2009/9/main" objectType="CheckBox"/>
</file>

<file path=xl/ctrlProps/ctrlProp59.xml><?xml version="1.0" encoding="utf-8"?>
<formControlPr xmlns="http://schemas.microsoft.com/office/spreadsheetml/2009/9/main" objectType="CheckBox"/>
</file>

<file path=xl/ctrlProps/ctrlProp60.xml><?xml version="1.0" encoding="utf-8"?>
<formControlPr xmlns="http://schemas.microsoft.com/office/spreadsheetml/2009/9/main" objectType="CheckBox"/>
</file>

<file path=xl/ctrlProps/ctrlProp61.xml><?xml version="1.0" encoding="utf-8"?>
<formControlPr xmlns="http://schemas.microsoft.com/office/spreadsheetml/2009/9/main" objectType="CheckBox"/>
</file>

<file path=xl/ctrlProps/ctrlProp62.xml><?xml version="1.0" encoding="utf-8"?>
<formControlPr xmlns="http://schemas.microsoft.com/office/spreadsheetml/2009/9/main" objectType="CheckBox"/>
</file>

<file path=xl/ctrlProps/ctrlProp63.xml><?xml version="1.0" encoding="utf-8"?>
<formControlPr xmlns="http://schemas.microsoft.com/office/spreadsheetml/2009/9/main" objectType="CheckBox"/>
</file>

<file path=xl/ctrlProps/ctrlProp64.xml><?xml version="1.0" encoding="utf-8"?>
<formControlPr xmlns="http://schemas.microsoft.com/office/spreadsheetml/2009/9/main" objectType="CheckBox"/>
</file>

<file path=xl/ctrlProps/ctrlProp65.xml><?xml version="1.0" encoding="utf-8"?>
<formControlPr xmlns="http://schemas.microsoft.com/office/spreadsheetml/2009/9/main" objectType="CheckBox"/>
</file>

<file path=xl/ctrlProps/ctrlProp66.xml><?xml version="1.0" encoding="utf-8"?>
<formControlPr xmlns="http://schemas.microsoft.com/office/spreadsheetml/2009/9/main" objectType="CheckBox"/>
</file>

<file path=xl/ctrlProps/ctrlProp67.xml><?xml version="1.0" encoding="utf-8"?>
<formControlPr xmlns="http://schemas.microsoft.com/office/spreadsheetml/2009/9/main" objectType="CheckBox" checked="Checked"/>
</file>

<file path=xl/ctrlProps/ctrlProp68.xml><?xml version="1.0" encoding="utf-8"?>
<formControlPr xmlns="http://schemas.microsoft.com/office/spreadsheetml/2009/9/main" objectType="CheckBox"/>
</file>

<file path=xl/ctrlProps/ctrlProp69.xml><?xml version="1.0" encoding="utf-8"?>
<formControlPr xmlns="http://schemas.microsoft.com/office/spreadsheetml/2009/9/main" objectType="CheckBox" checked="Checked"/>
</file>

<file path=xl/ctrlProps/ctrlProp70.xml><?xml version="1.0" encoding="utf-8"?>
<formControlPr xmlns="http://schemas.microsoft.com/office/spreadsheetml/2009/9/main" objectType="CheckBox"/>
</file>

<file path=xl/ctrlProps/ctrlProp71.xml><?xml version="1.0" encoding="utf-8"?>
<formControlPr xmlns="http://schemas.microsoft.com/office/spreadsheetml/2009/9/main" objectType="CheckBox"/>
</file>

<file path=xl/ctrlProps/ctrlProp72.xml><?xml version="1.0" encoding="utf-8"?>
<formControlPr xmlns="http://schemas.microsoft.com/office/spreadsheetml/2009/9/main" objectType="CheckBox"/>
</file>

<file path=xl/ctrlProps/ctrlProp73.xml><?xml version="1.0" encoding="utf-8"?>
<formControlPr xmlns="http://schemas.microsoft.com/office/spreadsheetml/2009/9/main" objectType="CheckBox"/>
</file>

<file path=xl/ctrlProps/ctrlProp74.xml><?xml version="1.0" encoding="utf-8"?>
<formControlPr xmlns="http://schemas.microsoft.com/office/spreadsheetml/2009/9/main" objectType="CheckBox"/>
</file>

<file path=xl/ctrlProps/ctrlProp75.xml><?xml version="1.0" encoding="utf-8"?>
<formControlPr xmlns="http://schemas.microsoft.com/office/spreadsheetml/2009/9/main" objectType="CheckBox"/>
</file>

<file path=xl/ctrlProps/ctrlProp76.xml><?xml version="1.0" encoding="utf-8"?>
<formControlPr xmlns="http://schemas.microsoft.com/office/spreadsheetml/2009/9/main" objectType="CheckBox"/>
</file>

<file path=xl/ctrlProps/ctrlProp77.xml><?xml version="1.0" encoding="utf-8"?>
<formControlPr xmlns="http://schemas.microsoft.com/office/spreadsheetml/2009/9/main" objectType="CheckBox"/>
</file>

<file path=xl/ctrlProps/ctrlProp78.xml><?xml version="1.0" encoding="utf-8"?>
<formControlPr xmlns="http://schemas.microsoft.com/office/spreadsheetml/2009/9/main" objectType="CheckBox"/>
</file>

<file path=xl/ctrlProps/ctrlProp79.xml><?xml version="1.0" encoding="utf-8"?>
<formControlPr xmlns="http://schemas.microsoft.com/office/spreadsheetml/2009/9/main" objectType="CheckBox"/>
</file>

<file path=xl/ctrlProps/ctrlProp80.xml><?xml version="1.0" encoding="utf-8"?>
<formControlPr xmlns="http://schemas.microsoft.com/office/spreadsheetml/2009/9/main" objectType="CheckBox"/>
</file>

<file path=xl/ctrlProps/ctrlProp81.xml><?xml version="1.0" encoding="utf-8"?>
<formControlPr xmlns="http://schemas.microsoft.com/office/spreadsheetml/2009/9/main" objectType="CheckBox"/>
</file>

<file path=xl/ctrlProps/ctrlProp82.xml><?xml version="1.0" encoding="utf-8"?>
<formControlPr xmlns="http://schemas.microsoft.com/office/spreadsheetml/2009/9/main" objectType="CheckBox"/>
</file>

<file path=xl/ctrlProps/ctrlProp83.xml><?xml version="1.0" encoding="utf-8"?>
<formControlPr xmlns="http://schemas.microsoft.com/office/spreadsheetml/2009/9/main" objectType="CheckBox" checked="Checked"/>
</file>

<file path=xl/ctrlProps/ctrlProp84.xml><?xml version="1.0" encoding="utf-8"?>
<formControlPr xmlns="http://schemas.microsoft.com/office/spreadsheetml/2009/9/main" objectType="CheckBox"/>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43FF46F9-E8EA-D2EA-116B-43A07E2BD9C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192A574F-FBBD-C238-96A8-EEC758D265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CF86D112-6F15-1E79-BFC5-ECBB1B6F84D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4D3FB6C2-5F66-A173-D8DD-2C0DF42221F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3064EE27-6F42-0044-8EBB-0FA7D1D9D5E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856CAE8C-EB21-6031-DD9B-B7483ED456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6536392-77ED-7578-F421-7CB4BD0010C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FD114050-5E6D-99F2-9AB1-935737D8B6D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D8491DAF-0EF5-C5CC-ABA4-2BA3EA360A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D202BEF2-64C8-F3FD-4665-26C3E8A438B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F45ACC20-9DD9-B1E6-60BE-41E85F04D5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6B94DCB0-CFB0-3787-D05C-2C2171CE7DE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8259B2DD-D167-12D3-34DC-B67F564ED5A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A1B90B89-9385-D2DA-9B86-9E0FB4C388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5268EAD2-9C56-99AD-5A48-5AF9005D4FE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8160B467-2454-7077-4C61-AC9D40BBB78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7731B22E-88F6-EE93-B89B-D7744E29DAA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9ADE1748-5DD2-1F25-7124-FA88A8F2FED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4C604BD0-319C-B07B-C833-60596FF08E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FB89EBCD-EB5C-1C05-4856-28F4BD434F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42A0960A-A184-3D93-4DA2-4F0CC4BB25B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9B3DE5B-9610-175C-9770-52E8DF8BDF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2C48092F-FCE4-9E4B-910E-4BC7DB8F8A8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F866D571-A0E5-7F2C-1451-B2184F38280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309F796C-21A9-9A15-AA32-0408805606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452F9FF6-BF98-9F37-0B03-D44F2FCDA2D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F4D8F10B-8ED7-68BE-DF15-BEB44BB796A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CC5AA7D0-8636-67CC-BE9F-EB5E06B91F7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71A9CA4E-E9BC-D0C7-8660-1B45B534506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6B11CC3D-C09B-DB30-83DC-15777A0256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2F2452FE-0CC4-7699-7012-E218D730ED5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8B4C8853-9A89-A92C-DE5F-AD7A6879FEC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14EC7D9E-3BA2-1AA5-9F5F-7FACEEA51FF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81D5A6D5-DE6A-8F48-98FC-0014A2A90E9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42347EAC-AFF7-FD61-8B59-06E1686112D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7DEA7A5F-7262-82B5-8BFE-82F7056F60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3F5BE530-6904-AFB8-7EF0-50F6B9630A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EFF7F1DD-BD93-ED87-36A1-56B3EB90A1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CB6B38DD-F9CC-7204-1AB8-8C7C982BD1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3E10BFEF-DCD1-A38B-2D34-989B9CE5C25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F472AF53-B45C-A209-E5E1-30A118E5A3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61</xdr:col>
          <xdr:colOff>0</xdr:colOff>
          <xdr:row>2470</xdr:row>
          <xdr:rowOff>9525</xdr:rowOff>
        </xdr:from>
        <xdr:to>
          <xdr:col>61</xdr:col>
          <xdr:colOff>304800</xdr:colOff>
          <xdr:row>2471</xdr:row>
          <xdr:rowOff>66675</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F4823C57-F797-46C3-E33B-D94FC84130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41" name="Check Box 1" hidden="1">
              <a:extLst>
                <a:ext uri="{63B3BB69-23CF-44E3-9099-C40C66FF867C}">
                  <a14:compatExt spid="_x0000_s240641"/>
                </a:ext>
                <a:ext uri="{FF2B5EF4-FFF2-40B4-BE49-F238E27FC236}">
                  <a16:creationId xmlns:a16="http://schemas.microsoft.com/office/drawing/2014/main" id="{9F893C20-03A8-A4A9-886B-654361CB94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42" name="Check Box 2" hidden="1">
              <a:extLst>
                <a:ext uri="{63B3BB69-23CF-44E3-9099-C40C66FF867C}">
                  <a14:compatExt spid="_x0000_s240642"/>
                </a:ext>
                <a:ext uri="{FF2B5EF4-FFF2-40B4-BE49-F238E27FC236}">
                  <a16:creationId xmlns:a16="http://schemas.microsoft.com/office/drawing/2014/main" id="{1DE8ECCF-EB8B-CB98-D629-362BFB1299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43" name="Check Box 3" hidden="1">
              <a:extLst>
                <a:ext uri="{63B3BB69-23CF-44E3-9099-C40C66FF867C}">
                  <a14:compatExt spid="_x0000_s240643"/>
                </a:ext>
                <a:ext uri="{FF2B5EF4-FFF2-40B4-BE49-F238E27FC236}">
                  <a16:creationId xmlns:a16="http://schemas.microsoft.com/office/drawing/2014/main" id="{BBC3B8D7-9266-E52A-5689-E6DBC0AD6C2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44" name="Check Box 4" hidden="1">
              <a:extLst>
                <a:ext uri="{63B3BB69-23CF-44E3-9099-C40C66FF867C}">
                  <a14:compatExt spid="_x0000_s240644"/>
                </a:ext>
                <a:ext uri="{FF2B5EF4-FFF2-40B4-BE49-F238E27FC236}">
                  <a16:creationId xmlns:a16="http://schemas.microsoft.com/office/drawing/2014/main" id="{1254E2D3-FD9A-12DD-209D-5913B3A480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45" name="Check Box 5" hidden="1">
              <a:extLst>
                <a:ext uri="{63B3BB69-23CF-44E3-9099-C40C66FF867C}">
                  <a14:compatExt spid="_x0000_s240645"/>
                </a:ext>
                <a:ext uri="{FF2B5EF4-FFF2-40B4-BE49-F238E27FC236}">
                  <a16:creationId xmlns:a16="http://schemas.microsoft.com/office/drawing/2014/main" id="{214148DB-D422-1164-7770-805B3CC9587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46" name="Check Box 6" hidden="1">
              <a:extLst>
                <a:ext uri="{63B3BB69-23CF-44E3-9099-C40C66FF867C}">
                  <a14:compatExt spid="_x0000_s240646"/>
                </a:ext>
                <a:ext uri="{FF2B5EF4-FFF2-40B4-BE49-F238E27FC236}">
                  <a16:creationId xmlns:a16="http://schemas.microsoft.com/office/drawing/2014/main" id="{CE23E0AB-16EB-B297-D13F-534B5C3002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47" name="Check Box 7" hidden="1">
              <a:extLst>
                <a:ext uri="{63B3BB69-23CF-44E3-9099-C40C66FF867C}">
                  <a14:compatExt spid="_x0000_s240647"/>
                </a:ext>
                <a:ext uri="{FF2B5EF4-FFF2-40B4-BE49-F238E27FC236}">
                  <a16:creationId xmlns:a16="http://schemas.microsoft.com/office/drawing/2014/main" id="{7D72D51E-484F-16AC-996A-FBDE44420DA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48" name="Check Box 8" hidden="1">
              <a:extLst>
                <a:ext uri="{63B3BB69-23CF-44E3-9099-C40C66FF867C}">
                  <a14:compatExt spid="_x0000_s240648"/>
                </a:ext>
                <a:ext uri="{FF2B5EF4-FFF2-40B4-BE49-F238E27FC236}">
                  <a16:creationId xmlns:a16="http://schemas.microsoft.com/office/drawing/2014/main" id="{5D019E1E-C664-A80C-34F2-AD4958A828E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49" name="Check Box 9" hidden="1">
              <a:extLst>
                <a:ext uri="{63B3BB69-23CF-44E3-9099-C40C66FF867C}">
                  <a14:compatExt spid="_x0000_s240649"/>
                </a:ext>
                <a:ext uri="{FF2B5EF4-FFF2-40B4-BE49-F238E27FC236}">
                  <a16:creationId xmlns:a16="http://schemas.microsoft.com/office/drawing/2014/main" id="{25AF7021-3A62-01D6-4424-F97105BF9A6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50" name="Check Box 10" hidden="1">
              <a:extLst>
                <a:ext uri="{63B3BB69-23CF-44E3-9099-C40C66FF867C}">
                  <a14:compatExt spid="_x0000_s240650"/>
                </a:ext>
                <a:ext uri="{FF2B5EF4-FFF2-40B4-BE49-F238E27FC236}">
                  <a16:creationId xmlns:a16="http://schemas.microsoft.com/office/drawing/2014/main" id="{07BF317F-92BA-2F91-3E99-2EFDB84BC5A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51" name="Check Box 11" hidden="1">
              <a:extLst>
                <a:ext uri="{63B3BB69-23CF-44E3-9099-C40C66FF867C}">
                  <a14:compatExt spid="_x0000_s240651"/>
                </a:ext>
                <a:ext uri="{FF2B5EF4-FFF2-40B4-BE49-F238E27FC236}">
                  <a16:creationId xmlns:a16="http://schemas.microsoft.com/office/drawing/2014/main" id="{E54E009B-E206-CCAF-8766-43F7A890CC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52" name="Check Box 12" hidden="1">
              <a:extLst>
                <a:ext uri="{63B3BB69-23CF-44E3-9099-C40C66FF867C}">
                  <a14:compatExt spid="_x0000_s240652"/>
                </a:ext>
                <a:ext uri="{FF2B5EF4-FFF2-40B4-BE49-F238E27FC236}">
                  <a16:creationId xmlns:a16="http://schemas.microsoft.com/office/drawing/2014/main" id="{2AD93CF2-43D2-D7AE-D87C-EB54F6D101F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53" name="Check Box 13" hidden="1">
              <a:extLst>
                <a:ext uri="{63B3BB69-23CF-44E3-9099-C40C66FF867C}">
                  <a14:compatExt spid="_x0000_s240653"/>
                </a:ext>
                <a:ext uri="{FF2B5EF4-FFF2-40B4-BE49-F238E27FC236}">
                  <a16:creationId xmlns:a16="http://schemas.microsoft.com/office/drawing/2014/main" id="{A4BD1E3A-BCFA-26FB-0B9F-C549AC625F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54" name="Check Box 14" hidden="1">
              <a:extLst>
                <a:ext uri="{63B3BB69-23CF-44E3-9099-C40C66FF867C}">
                  <a14:compatExt spid="_x0000_s240654"/>
                </a:ext>
                <a:ext uri="{FF2B5EF4-FFF2-40B4-BE49-F238E27FC236}">
                  <a16:creationId xmlns:a16="http://schemas.microsoft.com/office/drawing/2014/main" id="{3AEE8D98-27D5-42EA-D026-913BC1E354A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55" name="Check Box 15" hidden="1">
              <a:extLst>
                <a:ext uri="{63B3BB69-23CF-44E3-9099-C40C66FF867C}">
                  <a14:compatExt spid="_x0000_s240655"/>
                </a:ext>
                <a:ext uri="{FF2B5EF4-FFF2-40B4-BE49-F238E27FC236}">
                  <a16:creationId xmlns:a16="http://schemas.microsoft.com/office/drawing/2014/main" id="{7D3D51EE-A38F-293E-EA74-89042A13A7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56" name="Check Box 16" hidden="1">
              <a:extLst>
                <a:ext uri="{63B3BB69-23CF-44E3-9099-C40C66FF867C}">
                  <a14:compatExt spid="_x0000_s240656"/>
                </a:ext>
                <a:ext uri="{FF2B5EF4-FFF2-40B4-BE49-F238E27FC236}">
                  <a16:creationId xmlns:a16="http://schemas.microsoft.com/office/drawing/2014/main" id="{E8E383FE-D523-F2D7-3AD5-952945737F1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57" name="Check Box 17" hidden="1">
              <a:extLst>
                <a:ext uri="{63B3BB69-23CF-44E3-9099-C40C66FF867C}">
                  <a14:compatExt spid="_x0000_s240657"/>
                </a:ext>
                <a:ext uri="{FF2B5EF4-FFF2-40B4-BE49-F238E27FC236}">
                  <a16:creationId xmlns:a16="http://schemas.microsoft.com/office/drawing/2014/main" id="{D61934C3-033F-64A2-91DD-11660DDF5C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58" name="Check Box 18" hidden="1">
              <a:extLst>
                <a:ext uri="{63B3BB69-23CF-44E3-9099-C40C66FF867C}">
                  <a14:compatExt spid="_x0000_s240658"/>
                </a:ext>
                <a:ext uri="{FF2B5EF4-FFF2-40B4-BE49-F238E27FC236}">
                  <a16:creationId xmlns:a16="http://schemas.microsoft.com/office/drawing/2014/main" id="{17D768B7-0AB4-C695-40D7-7EEA4924A5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59" name="Check Box 19" hidden="1">
              <a:extLst>
                <a:ext uri="{63B3BB69-23CF-44E3-9099-C40C66FF867C}">
                  <a14:compatExt spid="_x0000_s240659"/>
                </a:ext>
                <a:ext uri="{FF2B5EF4-FFF2-40B4-BE49-F238E27FC236}">
                  <a16:creationId xmlns:a16="http://schemas.microsoft.com/office/drawing/2014/main" id="{C8EBAC8E-10F2-786B-F8BE-97B5928999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60" name="Check Box 20" hidden="1">
              <a:extLst>
                <a:ext uri="{63B3BB69-23CF-44E3-9099-C40C66FF867C}">
                  <a14:compatExt spid="_x0000_s240660"/>
                </a:ext>
                <a:ext uri="{FF2B5EF4-FFF2-40B4-BE49-F238E27FC236}">
                  <a16:creationId xmlns:a16="http://schemas.microsoft.com/office/drawing/2014/main" id="{5CA7FA3B-5602-1CA0-CA32-E4A3A9C779C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61" name="Check Box 21" hidden="1">
              <a:extLst>
                <a:ext uri="{63B3BB69-23CF-44E3-9099-C40C66FF867C}">
                  <a14:compatExt spid="_x0000_s240661"/>
                </a:ext>
                <a:ext uri="{FF2B5EF4-FFF2-40B4-BE49-F238E27FC236}">
                  <a16:creationId xmlns:a16="http://schemas.microsoft.com/office/drawing/2014/main" id="{D24655F5-7099-531C-CD9B-AD176304A1A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62" name="Check Box 22" hidden="1">
              <a:extLst>
                <a:ext uri="{63B3BB69-23CF-44E3-9099-C40C66FF867C}">
                  <a14:compatExt spid="_x0000_s240662"/>
                </a:ext>
                <a:ext uri="{FF2B5EF4-FFF2-40B4-BE49-F238E27FC236}">
                  <a16:creationId xmlns:a16="http://schemas.microsoft.com/office/drawing/2014/main" id="{A007BCA4-B7FA-5376-532C-A7EC5FEB0A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63" name="Check Box 23" hidden="1">
              <a:extLst>
                <a:ext uri="{63B3BB69-23CF-44E3-9099-C40C66FF867C}">
                  <a14:compatExt spid="_x0000_s240663"/>
                </a:ext>
                <a:ext uri="{FF2B5EF4-FFF2-40B4-BE49-F238E27FC236}">
                  <a16:creationId xmlns:a16="http://schemas.microsoft.com/office/drawing/2014/main" id="{62AB6162-599B-B9A7-7FB6-A82E7C9CEE4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64" name="Check Box 24" hidden="1">
              <a:extLst>
                <a:ext uri="{63B3BB69-23CF-44E3-9099-C40C66FF867C}">
                  <a14:compatExt spid="_x0000_s240664"/>
                </a:ext>
                <a:ext uri="{FF2B5EF4-FFF2-40B4-BE49-F238E27FC236}">
                  <a16:creationId xmlns:a16="http://schemas.microsoft.com/office/drawing/2014/main" id="{2CD42DC9-3B1B-E576-EA68-89E5E03890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65" name="Check Box 25" hidden="1">
              <a:extLst>
                <a:ext uri="{63B3BB69-23CF-44E3-9099-C40C66FF867C}">
                  <a14:compatExt spid="_x0000_s240665"/>
                </a:ext>
                <a:ext uri="{FF2B5EF4-FFF2-40B4-BE49-F238E27FC236}">
                  <a16:creationId xmlns:a16="http://schemas.microsoft.com/office/drawing/2014/main" id="{ABC139F1-C094-41BE-4785-A1A77E3FDE9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66" name="Check Box 26" hidden="1">
              <a:extLst>
                <a:ext uri="{63B3BB69-23CF-44E3-9099-C40C66FF867C}">
                  <a14:compatExt spid="_x0000_s240666"/>
                </a:ext>
                <a:ext uri="{FF2B5EF4-FFF2-40B4-BE49-F238E27FC236}">
                  <a16:creationId xmlns:a16="http://schemas.microsoft.com/office/drawing/2014/main" id="{6DBC2E7F-18D2-7308-3FB1-0F78394B9B4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67" name="Check Box 27" hidden="1">
              <a:extLst>
                <a:ext uri="{63B3BB69-23CF-44E3-9099-C40C66FF867C}">
                  <a14:compatExt spid="_x0000_s240667"/>
                </a:ext>
                <a:ext uri="{FF2B5EF4-FFF2-40B4-BE49-F238E27FC236}">
                  <a16:creationId xmlns:a16="http://schemas.microsoft.com/office/drawing/2014/main" id="{67E11777-14FE-9175-7EF2-1D97735EEFE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68" name="Check Box 28" hidden="1">
              <a:extLst>
                <a:ext uri="{63B3BB69-23CF-44E3-9099-C40C66FF867C}">
                  <a14:compatExt spid="_x0000_s240668"/>
                </a:ext>
                <a:ext uri="{FF2B5EF4-FFF2-40B4-BE49-F238E27FC236}">
                  <a16:creationId xmlns:a16="http://schemas.microsoft.com/office/drawing/2014/main" id="{4D9C288F-48B8-1907-171D-D50AB16B96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69" name="Check Box 29" hidden="1">
              <a:extLst>
                <a:ext uri="{63B3BB69-23CF-44E3-9099-C40C66FF867C}">
                  <a14:compatExt spid="_x0000_s240669"/>
                </a:ext>
                <a:ext uri="{FF2B5EF4-FFF2-40B4-BE49-F238E27FC236}">
                  <a16:creationId xmlns:a16="http://schemas.microsoft.com/office/drawing/2014/main" id="{AAEF2CEB-790F-E2B9-181B-CF048CE999D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70" name="Check Box 30" hidden="1">
              <a:extLst>
                <a:ext uri="{63B3BB69-23CF-44E3-9099-C40C66FF867C}">
                  <a14:compatExt spid="_x0000_s240670"/>
                </a:ext>
                <a:ext uri="{FF2B5EF4-FFF2-40B4-BE49-F238E27FC236}">
                  <a16:creationId xmlns:a16="http://schemas.microsoft.com/office/drawing/2014/main" id="{ECC9E9E8-0C8C-3A27-7845-24B8956CA5C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71" name="Check Box 31" hidden="1">
              <a:extLst>
                <a:ext uri="{63B3BB69-23CF-44E3-9099-C40C66FF867C}">
                  <a14:compatExt spid="_x0000_s240671"/>
                </a:ext>
                <a:ext uri="{FF2B5EF4-FFF2-40B4-BE49-F238E27FC236}">
                  <a16:creationId xmlns:a16="http://schemas.microsoft.com/office/drawing/2014/main" id="{6EC0BDFE-3760-DA25-8A5A-F3084A87E2C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72" name="Check Box 32" hidden="1">
              <a:extLst>
                <a:ext uri="{63B3BB69-23CF-44E3-9099-C40C66FF867C}">
                  <a14:compatExt spid="_x0000_s240672"/>
                </a:ext>
                <a:ext uri="{FF2B5EF4-FFF2-40B4-BE49-F238E27FC236}">
                  <a16:creationId xmlns:a16="http://schemas.microsoft.com/office/drawing/2014/main" id="{EE71A294-D8CF-5A90-48A6-088BD460C8F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73" name="Check Box 33" hidden="1">
              <a:extLst>
                <a:ext uri="{63B3BB69-23CF-44E3-9099-C40C66FF867C}">
                  <a14:compatExt spid="_x0000_s240673"/>
                </a:ext>
                <a:ext uri="{FF2B5EF4-FFF2-40B4-BE49-F238E27FC236}">
                  <a16:creationId xmlns:a16="http://schemas.microsoft.com/office/drawing/2014/main" id="{C2AEF73F-7C69-E6C2-77BA-DB5921DFFD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74" name="Check Box 34" hidden="1">
              <a:extLst>
                <a:ext uri="{63B3BB69-23CF-44E3-9099-C40C66FF867C}">
                  <a14:compatExt spid="_x0000_s240674"/>
                </a:ext>
                <a:ext uri="{FF2B5EF4-FFF2-40B4-BE49-F238E27FC236}">
                  <a16:creationId xmlns:a16="http://schemas.microsoft.com/office/drawing/2014/main" id="{72CB0E7D-1B4F-AB5E-CCA9-7AE4439511D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75" name="Check Box 35" hidden="1">
              <a:extLst>
                <a:ext uri="{63B3BB69-23CF-44E3-9099-C40C66FF867C}">
                  <a14:compatExt spid="_x0000_s240675"/>
                </a:ext>
                <a:ext uri="{FF2B5EF4-FFF2-40B4-BE49-F238E27FC236}">
                  <a16:creationId xmlns:a16="http://schemas.microsoft.com/office/drawing/2014/main" id="{CCF243DB-87BC-FC3F-C53D-2D534A01DBE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76" name="Check Box 36" hidden="1">
              <a:extLst>
                <a:ext uri="{63B3BB69-23CF-44E3-9099-C40C66FF867C}">
                  <a14:compatExt spid="_x0000_s240676"/>
                </a:ext>
                <a:ext uri="{FF2B5EF4-FFF2-40B4-BE49-F238E27FC236}">
                  <a16:creationId xmlns:a16="http://schemas.microsoft.com/office/drawing/2014/main" id="{C6CA5DC5-35FD-4DD4-042F-767D7E57CDF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77" name="Check Box 37" hidden="1">
              <a:extLst>
                <a:ext uri="{63B3BB69-23CF-44E3-9099-C40C66FF867C}">
                  <a14:compatExt spid="_x0000_s240677"/>
                </a:ext>
                <a:ext uri="{FF2B5EF4-FFF2-40B4-BE49-F238E27FC236}">
                  <a16:creationId xmlns:a16="http://schemas.microsoft.com/office/drawing/2014/main" id="{AC147D46-EB47-C915-4FEF-B926F32FA22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78" name="Check Box 38" hidden="1">
              <a:extLst>
                <a:ext uri="{63B3BB69-23CF-44E3-9099-C40C66FF867C}">
                  <a14:compatExt spid="_x0000_s240678"/>
                </a:ext>
                <a:ext uri="{FF2B5EF4-FFF2-40B4-BE49-F238E27FC236}">
                  <a16:creationId xmlns:a16="http://schemas.microsoft.com/office/drawing/2014/main" id="{07578468-9472-9951-2D3A-5814E20AA2F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79" name="Check Box 39" hidden="1">
              <a:extLst>
                <a:ext uri="{63B3BB69-23CF-44E3-9099-C40C66FF867C}">
                  <a14:compatExt spid="_x0000_s240679"/>
                </a:ext>
                <a:ext uri="{FF2B5EF4-FFF2-40B4-BE49-F238E27FC236}">
                  <a16:creationId xmlns:a16="http://schemas.microsoft.com/office/drawing/2014/main" id="{AFB02692-9AE3-C901-31DB-9F2C257BD61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80" name="Check Box 40" hidden="1">
              <a:extLst>
                <a:ext uri="{63B3BB69-23CF-44E3-9099-C40C66FF867C}">
                  <a14:compatExt spid="_x0000_s240680"/>
                </a:ext>
                <a:ext uri="{FF2B5EF4-FFF2-40B4-BE49-F238E27FC236}">
                  <a16:creationId xmlns:a16="http://schemas.microsoft.com/office/drawing/2014/main" id="{7C075A0A-949D-8546-68FA-93AF56048E7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81" name="Check Box 41" hidden="1">
              <a:extLst>
                <a:ext uri="{63B3BB69-23CF-44E3-9099-C40C66FF867C}">
                  <a14:compatExt spid="_x0000_s240681"/>
                </a:ext>
                <a:ext uri="{FF2B5EF4-FFF2-40B4-BE49-F238E27FC236}">
                  <a16:creationId xmlns:a16="http://schemas.microsoft.com/office/drawing/2014/main" id="{61753E3A-9812-36B5-B432-0D90B2E561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60</xdr:col>
          <xdr:colOff>0</xdr:colOff>
          <xdr:row>2435</xdr:row>
          <xdr:rowOff>9525</xdr:rowOff>
        </xdr:from>
        <xdr:to>
          <xdr:col>60</xdr:col>
          <xdr:colOff>304800</xdr:colOff>
          <xdr:row>2436</xdr:row>
          <xdr:rowOff>66675</xdr:rowOff>
        </xdr:to>
        <xdr:sp macro="" textlink="">
          <xdr:nvSpPr>
            <xdr:cNvPr id="240682" name="Check Box 42" hidden="1">
              <a:extLst>
                <a:ext uri="{63B3BB69-23CF-44E3-9099-C40C66FF867C}">
                  <a14:compatExt spid="_x0000_s240682"/>
                </a:ext>
                <a:ext uri="{FF2B5EF4-FFF2-40B4-BE49-F238E27FC236}">
                  <a16:creationId xmlns:a16="http://schemas.microsoft.com/office/drawing/2014/main" id="{DFF3A838-C97B-BDEB-5CA7-F9B0F8E3CB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mdata1\public\Users\kmann\AppData\Local\Microsoft\Windows\Temporary%20Internet%20Files\Content.Outlook\ARFTU8ZD\Temp\CG%202037%20Matrix.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perry@westcongress.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7" Type="http://schemas.openxmlformats.org/officeDocument/2006/relationships/ctrlProp" Target="../ctrlProps/ctrlProp4.xml"/><Relationship Id="rId2" Type="http://schemas.openxmlformats.org/officeDocument/2006/relationships/drawing" Target="../drawings/drawing1.xml"/><Relationship Id="rId16" Type="http://schemas.openxmlformats.org/officeDocument/2006/relationships/ctrlProp" Target="../ctrlProps/ctrlProp13.xml"/><Relationship Id="rId29" Type="http://schemas.openxmlformats.org/officeDocument/2006/relationships/ctrlProp" Target="../ctrlProps/ctrlProp26.xml"/><Relationship Id="rId1" Type="http://schemas.openxmlformats.org/officeDocument/2006/relationships/printerSettings" Target="../printerSettings/printerSettings5.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8" Type="http://schemas.openxmlformats.org/officeDocument/2006/relationships/ctrlProp" Target="../ctrlProps/ctrlProp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20" Type="http://schemas.openxmlformats.org/officeDocument/2006/relationships/ctrlProp" Target="../ctrlProps/ctrlProp17.xml"/><Relationship Id="rId41" Type="http://schemas.openxmlformats.org/officeDocument/2006/relationships/ctrlProp" Target="../ctrlProps/ctrlProp38.xml"/></Relationships>
</file>

<file path=xl/worksheets/_rels/sheet6.xml.rels><?xml version="1.0" encoding="UTF-8" standalone="yes"?>
<Relationships xmlns="http://schemas.openxmlformats.org/package/2006/relationships"><Relationship Id="rId13" Type="http://schemas.openxmlformats.org/officeDocument/2006/relationships/ctrlProp" Target="../ctrlProps/ctrlProp52.xml"/><Relationship Id="rId18" Type="http://schemas.openxmlformats.org/officeDocument/2006/relationships/ctrlProp" Target="../ctrlProps/ctrlProp57.xml"/><Relationship Id="rId26" Type="http://schemas.openxmlformats.org/officeDocument/2006/relationships/ctrlProp" Target="../ctrlProps/ctrlProp65.xml"/><Relationship Id="rId39" Type="http://schemas.openxmlformats.org/officeDocument/2006/relationships/ctrlProp" Target="../ctrlProps/ctrlProp78.xml"/><Relationship Id="rId21" Type="http://schemas.openxmlformats.org/officeDocument/2006/relationships/ctrlProp" Target="../ctrlProps/ctrlProp60.xml"/><Relationship Id="rId34" Type="http://schemas.openxmlformats.org/officeDocument/2006/relationships/ctrlProp" Target="../ctrlProps/ctrlProp73.xml"/><Relationship Id="rId42" Type="http://schemas.openxmlformats.org/officeDocument/2006/relationships/ctrlProp" Target="../ctrlProps/ctrlProp81.xml"/><Relationship Id="rId7" Type="http://schemas.openxmlformats.org/officeDocument/2006/relationships/ctrlProp" Target="../ctrlProps/ctrlProp46.xml"/><Relationship Id="rId2" Type="http://schemas.openxmlformats.org/officeDocument/2006/relationships/drawing" Target="../drawings/drawing2.xml"/><Relationship Id="rId16" Type="http://schemas.openxmlformats.org/officeDocument/2006/relationships/ctrlProp" Target="../ctrlProps/ctrlProp55.xml"/><Relationship Id="rId29" Type="http://schemas.openxmlformats.org/officeDocument/2006/relationships/ctrlProp" Target="../ctrlProps/ctrlProp68.xml"/><Relationship Id="rId1" Type="http://schemas.openxmlformats.org/officeDocument/2006/relationships/printerSettings" Target="../printerSettings/printerSettings6.bin"/><Relationship Id="rId6" Type="http://schemas.openxmlformats.org/officeDocument/2006/relationships/ctrlProp" Target="../ctrlProps/ctrlProp45.xml"/><Relationship Id="rId11" Type="http://schemas.openxmlformats.org/officeDocument/2006/relationships/ctrlProp" Target="../ctrlProps/ctrlProp50.xml"/><Relationship Id="rId24" Type="http://schemas.openxmlformats.org/officeDocument/2006/relationships/ctrlProp" Target="../ctrlProps/ctrlProp63.xml"/><Relationship Id="rId32" Type="http://schemas.openxmlformats.org/officeDocument/2006/relationships/ctrlProp" Target="../ctrlProps/ctrlProp71.xml"/><Relationship Id="rId37" Type="http://schemas.openxmlformats.org/officeDocument/2006/relationships/ctrlProp" Target="../ctrlProps/ctrlProp76.xml"/><Relationship Id="rId40" Type="http://schemas.openxmlformats.org/officeDocument/2006/relationships/ctrlProp" Target="../ctrlProps/ctrlProp79.xml"/><Relationship Id="rId45" Type="http://schemas.openxmlformats.org/officeDocument/2006/relationships/ctrlProp" Target="../ctrlProps/ctrlProp84.xml"/><Relationship Id="rId5" Type="http://schemas.openxmlformats.org/officeDocument/2006/relationships/ctrlProp" Target="../ctrlProps/ctrlProp44.xml"/><Relationship Id="rId15" Type="http://schemas.openxmlformats.org/officeDocument/2006/relationships/ctrlProp" Target="../ctrlProps/ctrlProp54.xml"/><Relationship Id="rId23" Type="http://schemas.openxmlformats.org/officeDocument/2006/relationships/ctrlProp" Target="../ctrlProps/ctrlProp62.xml"/><Relationship Id="rId28" Type="http://schemas.openxmlformats.org/officeDocument/2006/relationships/ctrlProp" Target="../ctrlProps/ctrlProp67.xml"/><Relationship Id="rId36" Type="http://schemas.openxmlformats.org/officeDocument/2006/relationships/ctrlProp" Target="../ctrlProps/ctrlProp75.xml"/><Relationship Id="rId10" Type="http://schemas.openxmlformats.org/officeDocument/2006/relationships/ctrlProp" Target="../ctrlProps/ctrlProp49.xml"/><Relationship Id="rId19" Type="http://schemas.openxmlformats.org/officeDocument/2006/relationships/ctrlProp" Target="../ctrlProps/ctrlProp58.xml"/><Relationship Id="rId31" Type="http://schemas.openxmlformats.org/officeDocument/2006/relationships/ctrlProp" Target="../ctrlProps/ctrlProp70.xml"/><Relationship Id="rId44" Type="http://schemas.openxmlformats.org/officeDocument/2006/relationships/ctrlProp" Target="../ctrlProps/ctrlProp83.xml"/><Relationship Id="rId4" Type="http://schemas.openxmlformats.org/officeDocument/2006/relationships/ctrlProp" Target="../ctrlProps/ctrlProp43.xml"/><Relationship Id="rId9" Type="http://schemas.openxmlformats.org/officeDocument/2006/relationships/ctrlProp" Target="../ctrlProps/ctrlProp48.xml"/><Relationship Id="rId14" Type="http://schemas.openxmlformats.org/officeDocument/2006/relationships/ctrlProp" Target="../ctrlProps/ctrlProp53.xml"/><Relationship Id="rId22" Type="http://schemas.openxmlformats.org/officeDocument/2006/relationships/ctrlProp" Target="../ctrlProps/ctrlProp61.xml"/><Relationship Id="rId27" Type="http://schemas.openxmlformats.org/officeDocument/2006/relationships/ctrlProp" Target="../ctrlProps/ctrlProp66.xml"/><Relationship Id="rId30" Type="http://schemas.openxmlformats.org/officeDocument/2006/relationships/ctrlProp" Target="../ctrlProps/ctrlProp69.xml"/><Relationship Id="rId35" Type="http://schemas.openxmlformats.org/officeDocument/2006/relationships/ctrlProp" Target="../ctrlProps/ctrlProp74.xml"/><Relationship Id="rId43" Type="http://schemas.openxmlformats.org/officeDocument/2006/relationships/ctrlProp" Target="../ctrlProps/ctrlProp82.xml"/><Relationship Id="rId8" Type="http://schemas.openxmlformats.org/officeDocument/2006/relationships/ctrlProp" Target="../ctrlProps/ctrlProp47.xml"/><Relationship Id="rId3" Type="http://schemas.openxmlformats.org/officeDocument/2006/relationships/vmlDrawing" Target="../drawings/vmlDrawing2.vml"/><Relationship Id="rId12" Type="http://schemas.openxmlformats.org/officeDocument/2006/relationships/ctrlProp" Target="../ctrlProps/ctrlProp51.xml"/><Relationship Id="rId17" Type="http://schemas.openxmlformats.org/officeDocument/2006/relationships/ctrlProp" Target="../ctrlProps/ctrlProp56.xml"/><Relationship Id="rId25" Type="http://schemas.openxmlformats.org/officeDocument/2006/relationships/ctrlProp" Target="../ctrlProps/ctrlProp64.xml"/><Relationship Id="rId33" Type="http://schemas.openxmlformats.org/officeDocument/2006/relationships/ctrlProp" Target="../ctrlProps/ctrlProp72.xml"/><Relationship Id="rId38" Type="http://schemas.openxmlformats.org/officeDocument/2006/relationships/ctrlProp" Target="../ctrlProps/ctrlProp77.xml"/><Relationship Id="rId20" Type="http://schemas.openxmlformats.org/officeDocument/2006/relationships/ctrlProp" Target="../ctrlProps/ctrlProp59.xml"/><Relationship Id="rId41" Type="http://schemas.openxmlformats.org/officeDocument/2006/relationships/ctrlProp" Target="../ctrlProps/ctrlProp80.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T689"/>
  <sheetViews>
    <sheetView topLeftCell="Z1" zoomScale="90" zoomScaleNormal="90" workbookViewId="0">
      <selection activeCell="K16" sqref="K16"/>
    </sheetView>
  </sheetViews>
  <sheetFormatPr defaultRowHeight="12.75"/>
  <cols>
    <col min="1" max="1" width="121.85546875" customWidth="1"/>
    <col min="2" max="2" width="6" bestFit="1" customWidth="1"/>
    <col min="3" max="3" width="22.140625" bestFit="1" customWidth="1"/>
    <col min="4" max="4" width="17.85546875" bestFit="1" customWidth="1"/>
    <col min="5" max="5" width="54.28515625" bestFit="1" customWidth="1"/>
    <col min="6" max="6" width="24.42578125" bestFit="1" customWidth="1"/>
    <col min="7" max="7" width="5.5703125" bestFit="1" customWidth="1"/>
    <col min="9" max="9" width="58.7109375" bestFit="1" customWidth="1"/>
    <col min="10" max="10" width="9.140625" style="13" customWidth="1"/>
    <col min="11" max="11" width="56.85546875" bestFit="1" customWidth="1"/>
    <col min="13" max="13" width="67.28515625" bestFit="1" customWidth="1"/>
    <col min="14" max="14" width="8.7109375" customWidth="1"/>
    <col min="15" max="15" width="5.5703125" bestFit="1" customWidth="1"/>
    <col min="20" max="20" width="18.5703125" bestFit="1" customWidth="1"/>
    <col min="21" max="21" width="13.28515625" bestFit="1" customWidth="1"/>
    <col min="22" max="22" width="8.5703125" bestFit="1" customWidth="1"/>
    <col min="24" max="24" width="23.140625" bestFit="1" customWidth="1"/>
    <col min="25" max="25" width="7.7109375" bestFit="1" customWidth="1"/>
    <col min="27" max="27" width="6.7109375" bestFit="1" customWidth="1"/>
    <col min="28" max="28" width="24.7109375" bestFit="1" customWidth="1"/>
    <col min="29" max="29" width="7.7109375" bestFit="1" customWidth="1"/>
    <col min="31" max="31" width="7.5703125" customWidth="1"/>
    <col min="32" max="32" width="22.85546875" customWidth="1"/>
    <col min="33" max="33" width="16.85546875" customWidth="1"/>
    <col min="34" max="34" width="31.28515625" bestFit="1" customWidth="1"/>
    <col min="35" max="35" width="53.42578125" bestFit="1" customWidth="1"/>
    <col min="36" max="36" width="24.85546875" bestFit="1" customWidth="1"/>
    <col min="37" max="38" width="18.140625" customWidth="1"/>
    <col min="39" max="39" width="150" bestFit="1" customWidth="1"/>
    <col min="41" max="41" width="28" customWidth="1"/>
    <col min="42" max="42" width="16.42578125" customWidth="1"/>
    <col min="45" max="45" width="18.5703125" bestFit="1" customWidth="1"/>
    <col min="46" max="46" width="82" bestFit="1" customWidth="1"/>
    <col min="47" max="47" width="113" bestFit="1" customWidth="1"/>
    <col min="49" max="49" width="23.140625" style="3" bestFit="1" customWidth="1"/>
    <col min="50" max="50" width="9.140625" style="3" customWidth="1"/>
    <col min="51" max="51" width="22" style="3" bestFit="1" customWidth="1"/>
    <col min="52" max="52" width="9.140625" style="3" customWidth="1"/>
    <col min="53" max="53" width="24" customWidth="1"/>
    <col min="55" max="57" width="19.140625" bestFit="1" customWidth="1"/>
    <col min="58" max="58" width="19.140625" customWidth="1"/>
    <col min="60" max="62" width="24.42578125" customWidth="1"/>
    <col min="63" max="63" width="59" bestFit="1" customWidth="1"/>
    <col min="64" max="64" width="37.5703125" customWidth="1"/>
    <col min="65" max="65" width="23.140625" bestFit="1" customWidth="1"/>
    <col min="66" max="67" width="12.5703125" customWidth="1"/>
    <col min="68" max="68" width="14.85546875" customWidth="1"/>
    <col min="69" max="69" width="21.42578125" bestFit="1" customWidth="1"/>
    <col min="70" max="70" width="12.140625" customWidth="1"/>
    <col min="72" max="72" width="84.5703125" bestFit="1" customWidth="1"/>
    <col min="73" max="73" width="25.85546875" customWidth="1"/>
    <col min="74" max="74" width="42.5703125" bestFit="1" customWidth="1"/>
    <col min="75" max="75" width="67.42578125" customWidth="1"/>
    <col min="76" max="76" width="60" customWidth="1"/>
    <col min="77" max="77" width="36.28515625" customWidth="1"/>
    <col min="78" max="78" width="14.5703125" customWidth="1"/>
    <col min="79" max="79" width="32.42578125" customWidth="1"/>
    <col min="80" max="80" width="29.28515625" customWidth="1"/>
    <col min="82" max="82" width="24.28515625" customWidth="1"/>
    <col min="83" max="83" width="33.140625" style="90" customWidth="1"/>
    <col min="84" max="84" width="15.28515625" style="90" customWidth="1"/>
    <col min="85" max="85" width="121.140625" customWidth="1"/>
    <col min="86" max="86" width="56.7109375" customWidth="1"/>
    <col min="87" max="87" width="44" customWidth="1"/>
    <col min="88" max="88" width="19.28515625" customWidth="1"/>
    <col min="89" max="89" width="60" customWidth="1"/>
    <col min="91" max="91" width="69.42578125" customWidth="1"/>
    <col min="92" max="92" width="13.140625" customWidth="1"/>
    <col min="93" max="93" width="21.5703125" customWidth="1"/>
    <col min="94" max="94" width="49.140625" customWidth="1"/>
    <col min="96" max="97" width="15.140625" style="103" customWidth="1"/>
    <col min="98" max="98" width="19.140625" customWidth="1"/>
    <col min="99" max="99" width="21.7109375" bestFit="1" customWidth="1"/>
    <col min="100" max="100" width="133.5703125" customWidth="1"/>
    <col min="102" max="102" width="29.140625" customWidth="1"/>
    <col min="103" max="103" width="153.5703125" customWidth="1"/>
    <col min="104" max="104" width="97.42578125" customWidth="1"/>
    <col min="106" max="106" width="23.140625" bestFit="1" customWidth="1"/>
    <col min="108" max="108" width="60.7109375" customWidth="1"/>
    <col min="109" max="109" width="21" customWidth="1"/>
    <col min="110" max="110" width="27.28515625" customWidth="1"/>
    <col min="111" max="111" width="21.7109375" customWidth="1"/>
    <col min="112" max="112" width="25.42578125" bestFit="1" customWidth="1"/>
    <col min="113" max="113" width="112" customWidth="1"/>
    <col min="114" max="114" width="17.140625" customWidth="1"/>
    <col min="115" max="115" width="19.140625" bestFit="1" customWidth="1"/>
    <col min="116" max="116" width="24" style="76" customWidth="1"/>
    <col min="117" max="117" width="69.85546875" customWidth="1"/>
    <col min="118" max="118" width="61" customWidth="1"/>
    <col min="119" max="119" width="23.140625" customWidth="1"/>
    <col min="120" max="120" width="23.28515625" customWidth="1"/>
    <col min="121" max="121" width="16.42578125" customWidth="1"/>
    <col min="122" max="122" width="51.5703125" customWidth="1"/>
    <col min="123" max="123" width="49" bestFit="1" customWidth="1"/>
    <col min="124" max="124" width="71.42578125" bestFit="1" customWidth="1"/>
  </cols>
  <sheetData>
    <row r="1" spans="1:124">
      <c r="A1" s="15" t="s">
        <v>145</v>
      </c>
      <c r="B1" s="68">
        <v>12</v>
      </c>
      <c r="C1" t="s">
        <v>285</v>
      </c>
      <c r="D1" s="4" t="s">
        <v>139</v>
      </c>
      <c r="E1" s="5" t="s">
        <v>114</v>
      </c>
      <c r="F1" s="22" t="s">
        <v>232</v>
      </c>
      <c r="G1" s="2">
        <v>0.05</v>
      </c>
      <c r="I1" t="s">
        <v>8</v>
      </c>
      <c r="K1" t="s">
        <v>220</v>
      </c>
      <c r="M1" t="s">
        <v>613</v>
      </c>
      <c r="T1" s="5" t="s">
        <v>93</v>
      </c>
      <c r="U1" t="s">
        <v>94</v>
      </c>
      <c r="V1" t="s">
        <v>95</v>
      </c>
      <c r="X1" s="15" t="s">
        <v>145</v>
      </c>
      <c r="Y1" s="16">
        <v>0.315</v>
      </c>
      <c r="AA1" s="18">
        <v>91580</v>
      </c>
      <c r="AB1" s="18" t="s">
        <v>236</v>
      </c>
      <c r="AC1" s="16">
        <v>0.64400000000000002</v>
      </c>
      <c r="AF1" s="3" t="s">
        <v>321</v>
      </c>
      <c r="AG1" s="3">
        <v>1E-3</v>
      </c>
      <c r="AH1" s="3" t="s">
        <v>320</v>
      </c>
      <c r="AI1" t="str">
        <f>'NOTES &amp; RATING'!I17</f>
        <v>Gross Sales</v>
      </c>
      <c r="AJ1" t="str">
        <f>'NOTES &amp; RATING'!R17</f>
        <v>Payroll</v>
      </c>
      <c r="AK1" t="str">
        <f>'NOTES &amp; RATING'!AA17</f>
        <v>Sub Costs</v>
      </c>
      <c r="AM1" t="s">
        <v>363</v>
      </c>
      <c r="AO1" t="s">
        <v>321</v>
      </c>
      <c r="AP1" s="57">
        <f>IF('NOTES &amp; RATING'!I17="Gross Sales",fmSales,IF('NOTES &amp; RATING'!R17="Gross Sales",fmPayroll,IF('NOTES &amp; RATING'!AA17="Gross Sales",fmContractCosts,"")))</f>
        <v>0</v>
      </c>
      <c r="AS1" s="63" t="s">
        <v>145</v>
      </c>
      <c r="AT1" s="3" t="s">
        <v>413</v>
      </c>
      <c r="AU1" s="15" t="s">
        <v>444</v>
      </c>
      <c r="AW1" s="15" t="s">
        <v>145</v>
      </c>
      <c r="AX1" s="15" t="s">
        <v>489</v>
      </c>
      <c r="AY1" s="3">
        <v>10</v>
      </c>
      <c r="BA1" t="s">
        <v>588</v>
      </c>
      <c r="BC1" t="s">
        <v>542</v>
      </c>
      <c r="BD1" t="s">
        <v>542</v>
      </c>
      <c r="BE1" t="s">
        <v>542</v>
      </c>
      <c r="BF1" t="s">
        <v>542</v>
      </c>
      <c r="BH1" s="15" t="s">
        <v>616</v>
      </c>
      <c r="BI1" s="15" t="s">
        <v>617</v>
      </c>
      <c r="BJ1" s="15" t="s">
        <v>618</v>
      </c>
      <c r="BK1" s="15" t="s">
        <v>611</v>
      </c>
      <c r="BN1" s="76" t="s">
        <v>647</v>
      </c>
      <c r="BO1" s="76" t="s">
        <v>646</v>
      </c>
      <c r="BQ1" t="s">
        <v>651</v>
      </c>
      <c r="BT1" t="s">
        <v>1213</v>
      </c>
      <c r="BU1" t="s">
        <v>657</v>
      </c>
      <c r="BV1" t="s">
        <v>658</v>
      </c>
      <c r="BW1" t="str">
        <f>IF(OR(PIAI="Excluded",PIAI=""),"(BI/PD:  Per Occurrence; PI/AI:  Excluded; Med Pay:  Per Occur)","(BI/PD:  Per Occurrence; PI/AI:  Per Injury; Med Pay:  Per Occur)")</f>
        <v>(BI/PD:  Per Occurrence; PI/AI:  Excluded; Med Pay:  Per Occur)</v>
      </c>
      <c r="BX1" s="3" t="s">
        <v>715</v>
      </c>
      <c r="BY1" t="str">
        <f>IF(OR(ChosenState="Washington (WA)",ChosenState="Oregon (OR)",ChosenState="California (CA)",ChosenState="Florida (FL)",ChosenState="Texas (TX)",ChosenState="South Carolina (SC)",ChosenState="Minnesota (MN)",ChosenState="Hawaii (HI)",ChosenState="Alaska (AK)",ChosenState="Nevada (NV)",ChosenState="Arizona (AZ)",ChosenState="Colorado (CO)",ChosenState="New Mexico (NM)"),"Yes","No")</f>
        <v>No</v>
      </c>
      <c r="CA1" s="88" t="str">
        <f>IF('LOSS EVALUATION'!L4="","",'LOSS EVALUATION'!A4&amp;":  "&amp;DOLLAR('LOSS EVALUATION'!L4,0))</f>
        <v/>
      </c>
      <c r="CB1" t="str">
        <f>IF(CA1="","Blank","Value")</f>
        <v>Blank</v>
      </c>
      <c r="CD1" s="97" t="s">
        <v>696</v>
      </c>
      <c r="CE1" s="91"/>
      <c r="CF1" s="90" t="s">
        <v>630</v>
      </c>
      <c r="CG1" t="str">
        <f>"P/CO Coverage Form:  Occurrence: "&amp;DOLLAR('NOTES &amp; RATING'!BB15,0)&amp;"; Aggregate: "&amp;DOLLAR(PCO,0)</f>
        <v>P/CO Coverage Form:  Occurrence: $0; Aggregate: $0</v>
      </c>
      <c r="CI1" t="s">
        <v>719</v>
      </c>
      <c r="CJ1" t="s">
        <v>631</v>
      </c>
      <c r="CK1" t="e">
        <f>IF(Coverage="OCP","OCP","")</f>
        <v>#NAME?</v>
      </c>
      <c r="CM1" s="102" t="e">
        <f>IF(QuoteRate1="","",QuoteRate1)</f>
        <v>#REF!</v>
      </c>
      <c r="CO1" t="s">
        <v>680</v>
      </c>
      <c r="CP1" t="e">
        <f>IF(AND(TypeOfWrap&lt;&gt;"",LEFT(TypeOfWrap,11)="Residential"),"Residential",IF(AND(TypeOfWrap&lt;&gt;"",LEFT(TypeOfWrap,10)="Commercial"),"Commercial",""))</f>
        <v>#REF!</v>
      </c>
      <c r="CR1" s="103">
        <v>42140</v>
      </c>
      <c r="CS1" s="103">
        <v>42170</v>
      </c>
      <c r="CT1" t="str">
        <f>IF(AND(EffectiveDate&gt;=CR1,EffectiveDate&lt;=CS1),"6/15","")</f>
        <v/>
      </c>
      <c r="CU1" t="s">
        <v>1216</v>
      </c>
      <c r="CV1" t="e">
        <f>IF(AND(Rating2Type="Flat Charge",OR(Rating2Premium="",Rating2Premium=0)),"",IF(Rating2Type="Flat Charge","Flat Charge:  "&amp;DOLLAR(Rating2Premium,0)&amp;IF(Rating2Notes="",""," ("&amp;Rating2Notes&amp;")"),""))</f>
        <v>#REF!</v>
      </c>
      <c r="CX1" t="s">
        <v>319</v>
      </c>
      <c r="CY1" t="str">
        <f>IF(AND(BrokerCompanyName="",BrokerName=""),"",IF(BrokerCompanyName="","",IF(BrokerName="",BrokerCompanyName,BrokerCompanyName&amp;" ("&amp;BrokerName&amp;")")))</f>
        <v/>
      </c>
      <c r="CZ1" t="e">
        <f>CONCATENATE(Rating1Notes,Rating2Notes,Rating3Notes,Rating4Notes,Rating5Notes)</f>
        <v>#REF!</v>
      </c>
      <c r="DB1" s="15" t="s">
        <v>145</v>
      </c>
      <c r="DC1" t="s">
        <v>489</v>
      </c>
      <c r="DD1" t="s">
        <v>1764</v>
      </c>
      <c r="DE1" t="s">
        <v>1820</v>
      </c>
      <c r="DF1" t="e">
        <f>IF(AND(#REF!="x",#REF!="x",OR(#REF!="CG 20 37 10 01",#REF!="CG 20 37 10 01 ",#REF!="CG 20 37 10 01 (A+)",#REF!="CG 20 37 10 01 A+",#REF!="CG 20 37 10 01A+",#REF!="CG 20 37 10 01 (A+) ",#REF!="CG 20 37 10 01 A+ ")),"Problem","OK")</f>
        <v>#REF!</v>
      </c>
      <c r="DG1" t="s">
        <v>1798</v>
      </c>
      <c r="DH1" s="3" t="s">
        <v>1806</v>
      </c>
      <c r="DI1" t="str">
        <f>IF(AND(Underwriter&lt;&gt;"",Underwriter&lt;&gt;" "),VLOOKUP(Underwriter,UWPrefs,47,FALSE),IF(New?="New","Hi, please find attached the quote for the captioned new business account.  Please let me know if you have any questions.",IF(New?="Renewal","Hi, please find attached the renewal quote for the captioned.  Please let me know if you have any questions.","Hi, please find attached the quote for the captioned.  Please let me know if you have any questions.")))</f>
        <v>Hi, please find attached the quote for the captioned new business account.  Please let me know if you have any questions.</v>
      </c>
      <c r="DJ1" s="199" t="s">
        <v>490</v>
      </c>
      <c r="DK1" t="s">
        <v>1822</v>
      </c>
      <c r="DL1" s="76" t="e">
        <f>IF(AND(#REF!="x",#REF!=A134),10,IF(AND(#REF!="x",#REF!=A135),25,IF(AND(#REF!="x",#REF!=A136),50,IF(AND(#REF!="x",#REF!=A137),100,IF(AND(#REF!="x",#REF!=A138),125,IF(AND(#REF!="x",#REF!=A139),150,""))))))</f>
        <v>#REF!</v>
      </c>
      <c r="DM1" t="e">
        <f>IF(Coverage="P/CO","PRODUCTS/COMPLETED OPERATIONS LIABILITY QUOTATION",IF(Coverage="OCP","OWNERS AND CONTRACTORS PROTECTIVE LIABILITY QUOTATION",IF(Coverage="LL","LIQUOR LIABILITY QUOTATION",IF(OR(Coverage="GL",Coverage="GL/LL"),"COMMERCIAL GENERAL LIABILITY QUOTATION","COMMERCIAL GENERAL LIABILITY QUOTATION"))))</f>
        <v>#NAME?</v>
      </c>
      <c r="DN1" t="e">
        <f>IF(Coverage="P/CO","PRODUCTS/COMPLETED OPERATIONS LIABILITY BINDER",IF(Coverage="OCP","OWNERS AND CONTRACTORS PROTECTIVE LIABILITY BINDER",IF(Coverage="LL","LIQUOR LIABILITY BINDER",IF(OR(Coverage="GL",Coverage="GL/LL"),"COMMERCIAL GENERAL LIABILITY BINDER","COMMERCIAL GENERAL LIABILITY BINDER"))))</f>
        <v>#NAME?</v>
      </c>
      <c r="DO1" t="s">
        <v>219</v>
      </c>
      <c r="DP1" t="e">
        <f>IF(AND(Premium_Bucket="Home Builders",'NOTES &amp; RATING'!#REF!="Type Of Residential Contractor:"),"Residential",IF(AND(Premium_Bucket="Home Builders",'NOTES &amp; RATING'!#REF!="Type Of Commercial Contractor:"),"Commercial",""))</f>
        <v>#REF!</v>
      </c>
      <c r="DQ1" t="s">
        <v>1970</v>
      </c>
      <c r="DR1" t="e">
        <f t="shared" ref="DR1:DR7" si="0">IF(DS1&lt;&gt;"","Form","")</f>
        <v>#REF!</v>
      </c>
      <c r="DS1" t="e">
        <f>IF(#REF!="x","Contractors Pollution Liability:","")</f>
        <v>#REF!</v>
      </c>
      <c r="DT1" t="e">
        <f>IF(Coverage="P/CO","Products Coverage Form",IF(Coverage="OCP","OCP Coverage Form",IF(AND(#REF!="x",#REF!="x"),"Problem - Excluded And Limited",IF(#REF!="x","Excluded",IF(#REF!="x","Limited"&amp;DT3,"Silent")))))</f>
        <v>#NAME?</v>
      </c>
    </row>
    <row r="2" spans="1:124">
      <c r="A2" s="15" t="s">
        <v>177</v>
      </c>
      <c r="B2" s="68">
        <v>9.5</v>
      </c>
      <c r="C2" t="s">
        <v>286</v>
      </c>
      <c r="D2" s="4" t="s">
        <v>140</v>
      </c>
      <c r="E2" s="5" t="s">
        <v>73</v>
      </c>
      <c r="F2" s="10">
        <v>1000000</v>
      </c>
      <c r="G2" s="2">
        <v>0.06</v>
      </c>
      <c r="I2" t="s">
        <v>9</v>
      </c>
      <c r="K2" s="14" t="s">
        <v>12</v>
      </c>
      <c r="M2" s="59" t="s">
        <v>375</v>
      </c>
      <c r="N2" s="60" t="e">
        <f>IF(AND('NOTES &amp; RATING'!#REF!&gt;0,'NOTES &amp; RATING'!#REF!&gt;0),'NOTES &amp; RATING'!#REF!/'NOTES &amp; RATING'!#REF!,IF(AND('NOTES &amp; RATING'!#REF!&gt;0,'NOTES &amp; RATING'!#REF!=0),1,""))</f>
        <v>#REF!</v>
      </c>
      <c r="T2" s="5" t="s">
        <v>145</v>
      </c>
      <c r="X2" s="15" t="s">
        <v>177</v>
      </c>
      <c r="Y2" s="16">
        <v>0.32</v>
      </c>
      <c r="AA2" s="18">
        <v>91581</v>
      </c>
      <c r="AB2" s="18" t="s">
        <v>236</v>
      </c>
      <c r="AC2" s="16">
        <v>0.64400000000000002</v>
      </c>
      <c r="AF2" s="3" t="s">
        <v>323</v>
      </c>
      <c r="AG2" s="3">
        <v>1E-3</v>
      </c>
      <c r="AH2" s="3" t="s">
        <v>322</v>
      </c>
      <c r="AM2" t="s">
        <v>364</v>
      </c>
      <c r="AO2" t="s">
        <v>323</v>
      </c>
      <c r="AP2" s="57">
        <f>IF('NOTES &amp; RATING'!I17="Payroll",fmSales,IF('NOTES &amp; RATING'!R17="Payroll",fmPayroll,IF('NOTES &amp; RATING'!AA17="Payroll",fmContractCosts,"")))</f>
        <v>0</v>
      </c>
      <c r="AS2" s="63" t="s">
        <v>177</v>
      </c>
      <c r="AT2" s="3" t="s">
        <v>385</v>
      </c>
      <c r="AU2" s="3" t="s">
        <v>433</v>
      </c>
      <c r="AW2" s="15" t="s">
        <v>177</v>
      </c>
      <c r="AX2" s="15" t="s">
        <v>490</v>
      </c>
      <c r="AY2" s="3">
        <v>8</v>
      </c>
      <c r="BA2" t="s">
        <v>589</v>
      </c>
      <c r="BC2" t="s">
        <v>219</v>
      </c>
      <c r="BD2" t="s">
        <v>219</v>
      </c>
      <c r="BE2" t="s">
        <v>252</v>
      </c>
      <c r="BF2" t="s">
        <v>631</v>
      </c>
      <c r="BH2" s="15" t="s">
        <v>177</v>
      </c>
      <c r="BI2" s="15" t="s">
        <v>145</v>
      </c>
      <c r="BJ2" s="15" t="s">
        <v>182</v>
      </c>
      <c r="BK2" s="15" t="s">
        <v>638</v>
      </c>
      <c r="BM2" s="15" t="s">
        <v>145</v>
      </c>
      <c r="BN2" s="57">
        <v>150</v>
      </c>
      <c r="BO2" s="57">
        <v>1000000</v>
      </c>
      <c r="BQ2" t="s">
        <v>594</v>
      </c>
      <c r="BR2" s="57" t="str">
        <f>IF(ChosenState="Nevada (NV)",Policy_Premium,"")</f>
        <v/>
      </c>
      <c r="BT2" t="s">
        <v>1225</v>
      </c>
      <c r="BU2" t="s">
        <v>234</v>
      </c>
      <c r="BV2" t="s">
        <v>659</v>
      </c>
      <c r="BW2" t="str">
        <f>IF(OR(PIAI="Excluded",PIAI=""),"(BI/PD:  Per Claim; PI/AI:  Excluded; Med Pay:  Per Claim)","(BI/PD:  Per Claim; PI/AI:  Per Injury; Med Pay:  Per Claim)")</f>
        <v>(BI/PD:  Per Claim; PI/AI:  Excluded; Med Pay:  Per Claim)</v>
      </c>
      <c r="BX2" s="3" t="s">
        <v>716</v>
      </c>
      <c r="BY2" t="e">
        <f>IF(AND(HighCDState="Yes",OR(TypeOfWrap="Residential - Single Family",TypeOfWrap="Residential - Multi Family",TypeOfWrap="Commercial - Apartments")),"Higher Risk Wrap","Lower Risk Wrap")</f>
        <v>#REF!</v>
      </c>
      <c r="CA2" s="88" t="str">
        <f>IF('LOSS EVALUATION'!L5="","",'LOSS EVALUATION'!A5&amp;":  "&amp;DOLLAR('LOSS EVALUATION'!L5,0))</f>
        <v/>
      </c>
      <c r="CB2" t="str">
        <f t="shared" ref="CB2:CB8" si="1">IF(CA2="","Blank","Value")</f>
        <v>Blank</v>
      </c>
      <c r="CD2" s="97" t="s">
        <v>697</v>
      </c>
      <c r="CE2" s="91"/>
      <c r="CF2" s="90" t="s">
        <v>631</v>
      </c>
      <c r="CG2" t="str">
        <f>"OCP Coverage Form:  Occurrence: "&amp;DOLLAR('NOTES &amp; RATING'!BB15,0)&amp;"; General Aggregate: "&amp;DOLLAR('NOTES &amp; RATING'!BB13,0)</f>
        <v>OCP Coverage Form:  Occurrence: $0; General Aggregate: $0</v>
      </c>
      <c r="CI2" t="s">
        <v>720</v>
      </c>
      <c r="CJ2" t="s">
        <v>615</v>
      </c>
      <c r="CK2" t="e">
        <f>IF(AND('NOTES &amp; RATING'!#REF!="Specialty",Premium_Bucket&lt;&gt;"",Premium_Bucket&lt;&gt;"Select Type"),Premium_Bucket,IF('NOTES &amp; RATING'!#REF!="Specialty","Specialty - Type Not Entered",""))</f>
        <v>#REF!</v>
      </c>
      <c r="CM2" s="102" t="e">
        <f>IF(QuoteRate2="","",QuoteRate2)</f>
        <v>#REF!</v>
      </c>
      <c r="CO2" t="s">
        <v>732</v>
      </c>
      <c r="CP2" t="e">
        <f>IF(AND(TypeOfProjectSpecific&lt;&gt;"",LEFT(TypeOfProjectSpecific,11)="Residential"),"Residential",IF(AND(TypeOfProjectSpecific&lt;&gt;"",LEFT(TypeOfProjectSpecific,10)="Commercial"),"Commercial",""))</f>
        <v>#REF!</v>
      </c>
      <c r="CR2" s="103">
        <v>42171</v>
      </c>
      <c r="CS2" s="103">
        <v>42200</v>
      </c>
      <c r="CT2" t="str">
        <f>IF(AND(EffectiveDate&gt;=CR2,EffectiveDate&lt;=CS2),"7/15","")</f>
        <v/>
      </c>
      <c r="CV2" t="e">
        <f>IF(CV1="","",IF(AND(Rating2Type="Flat Charge",Rating2ExposureBasis&lt;&gt;"",Rating2ExposureAmount&lt;&gt;"",Rating2ExposureAmount&gt;0)," ("&amp;Rating2ExposureBasis&amp;":  "&amp;IF(VLOOKUP(Rating2ExposureBasis,CFExp,2,FALSE)=1,DOLLAR(Rating2ExposureAmount,0),FIXED(Rating2ExposureAmount,0,FALSE))&amp;")",""))</f>
        <v>#REF!</v>
      </c>
      <c r="CX2" t="s">
        <v>1506</v>
      </c>
      <c r="CY2" t="e">
        <f>IF(ReferralNotes="","",ReferralNotes)</f>
        <v>#REF!</v>
      </c>
      <c r="CZ2" t="str">
        <f>IF(ISNUMBER(SEARCH("HNOA",CZ1)),"Yes","No")</f>
        <v>No</v>
      </c>
      <c r="DB2" s="15" t="s">
        <v>177</v>
      </c>
      <c r="DC2" t="s">
        <v>490</v>
      </c>
      <c r="DD2" t="s">
        <v>1765</v>
      </c>
      <c r="DE2" t="s">
        <v>1821</v>
      </c>
      <c r="DF2" t="e">
        <f>IF(AND(#REF!="x",#REF!="x",OR(#REF!="CG 20 37 10 01",#REF!="CG 20 37 10 01 ",#REF!="CG 20 37 10 01 (AA)",#REF!="CG 20 37 10 01 AA",#REF!="CG 20 37 10 01AA",#REF!="CG 20 37 10 01 (AA) ",#REF!="CG 20 37 10 01 AA ")),"Problem","OK")</f>
        <v>#REF!</v>
      </c>
      <c r="DG2" t="s">
        <v>1799</v>
      </c>
      <c r="DH2" s="3" t="s">
        <v>1807</v>
      </c>
      <c r="DI2" s="3" t="str">
        <f>IF(AND(Underwriter&lt;&gt;"",Underwriter&lt;&gt;" "),VLOOKUP(Underwriter,UWPrefs,48,FALSE),"Thank you for the opportunity,")</f>
        <v>Thank you for the opportunity,</v>
      </c>
      <c r="DJ2" s="199" t="s">
        <v>489</v>
      </c>
      <c r="DK2" t="s">
        <v>1758</v>
      </c>
      <c r="DL2" s="76" t="e">
        <f>IF(AND(#REF!="x",OR(#REF!=A241,#REF!=A242,#REF!=A243,#REF!=A250)),100,"")</f>
        <v>#REF!</v>
      </c>
      <c r="DM2" t="e">
        <f>IF(Coverage="P/CO","PRODUCTS/COMPLETED OPERATIONS LIABILITY QUOTATION - REVISION #1",IF(Coverage="OCP","OWNERS AND CONTRACTORS PROTECTIVE LIABILITY QUOTATION - REVISION #1",IF(Coverage="LL","LIQUOR LIABILITY QUOTATION - REVISION #1",IF(OR(Coverage="GL",Coverage="GL/LL"),"COMMERCIAL GENERAL LIABILITY QUOTATION - REVISION #1","COMMERCIAL GENERAL LIABILITY QUOTATION - REVISION #1"))))</f>
        <v>#NAME?</v>
      </c>
      <c r="DN2" t="e">
        <f>IF(Coverage="P/CO","PRODUCTS/COMPLETED OPERATIONS LIABILITY BINDER - REVISION #1",IF(Coverage="OCP","OWNERS AND CONTRACTORS PROTECTIVE LIABILITY BINDER - REVISION #1",IF(Coverage="LL","LIQUOR LIABILITY BINDER - REVISION #1",IF(OR(Coverage="GL",Coverage="GL/LL"),"COMMERCIAL GENERAL LIABILITY BINDER - REVISION #1","COMMERCIAL GENERAL LIABILITY BINDER - REVISION #1"))))</f>
        <v>#NAME?</v>
      </c>
      <c r="DO2" t="s">
        <v>237</v>
      </c>
      <c r="DP2" t="e">
        <f>IF(AND(Premium_Bucket="Roofing",'NOTES &amp; RATING'!#REF!="Type Of Residential Contractor:"),"Residential",IF(AND(Premium_Bucket="Roofing",'NOTES &amp; RATING'!#REF!="Type Of Commercial Contractor:"),"Commercial",""))</f>
        <v>#REF!</v>
      </c>
      <c r="DQ2" t="s">
        <v>1966</v>
      </c>
      <c r="DR2" t="e">
        <f t="shared" si="0"/>
        <v>#REF!</v>
      </c>
      <c r="DS2" t="e">
        <f>IF(#REF!="x","Designated Construction Projects General Aggregate:","")</f>
        <v>#REF!</v>
      </c>
    </row>
    <row r="3" spans="1:124">
      <c r="A3" s="15" t="s">
        <v>146</v>
      </c>
      <c r="B3" s="68">
        <v>8.25</v>
      </c>
      <c r="C3" t="s">
        <v>287</v>
      </c>
      <c r="D3" s="4" t="s">
        <v>138</v>
      </c>
      <c r="E3" s="5" t="s">
        <v>99</v>
      </c>
      <c r="G3" s="2">
        <v>7.0000000000000007E-2</v>
      </c>
      <c r="I3" t="s">
        <v>633</v>
      </c>
      <c r="K3" s="14" t="s">
        <v>13</v>
      </c>
      <c r="M3" s="59" t="s">
        <v>376</v>
      </c>
      <c r="N3" s="60" t="e">
        <f>IF(AND('NOTES &amp; RATING'!#REF!&gt;0,'NOTES &amp; RATING'!#REF!&gt;0),'NOTES &amp; RATING'!#REF!/'NOTES &amp; RATING'!#REF!,IF(AND('NOTES &amp; RATING'!#REF!&gt;0,'NOTES &amp; RATING'!#REF!=0),0,""))</f>
        <v>#REF!</v>
      </c>
      <c r="T3" s="5" t="s">
        <v>177</v>
      </c>
      <c r="U3" t="s">
        <v>226</v>
      </c>
      <c r="X3" s="15" t="s">
        <v>146</v>
      </c>
      <c r="Y3" s="16">
        <v>0.36499999999999999</v>
      </c>
      <c r="AA3" s="18">
        <v>91582</v>
      </c>
      <c r="AB3" s="18" t="s">
        <v>236</v>
      </c>
      <c r="AC3" s="16">
        <v>0.64400000000000002</v>
      </c>
      <c r="AF3" s="15" t="s">
        <v>325</v>
      </c>
      <c r="AG3" s="3">
        <v>1E-3</v>
      </c>
      <c r="AH3" s="3" t="s">
        <v>324</v>
      </c>
      <c r="AK3" s="3"/>
      <c r="AM3" t="s">
        <v>365</v>
      </c>
      <c r="AO3" t="s">
        <v>325</v>
      </c>
      <c r="AP3" s="57">
        <f>IF('NOTES &amp; RATING'!I17="Sub Costs",fmSales,IF('NOTES &amp; RATING'!R17="Sub Costs",fmPayroll,IF('NOTES &amp; RATING'!AA17="Sub Costs",fmContractCosts,"")))</f>
        <v>0</v>
      </c>
      <c r="AS3" s="63" t="s">
        <v>146</v>
      </c>
      <c r="AT3" s="3" t="s">
        <v>426</v>
      </c>
      <c r="AU3" s="15" t="s">
        <v>434</v>
      </c>
      <c r="AW3" s="15" t="s">
        <v>146</v>
      </c>
      <c r="AX3" s="15" t="s">
        <v>491</v>
      </c>
      <c r="AY3" s="3">
        <v>5</v>
      </c>
      <c r="BA3" t="s">
        <v>590</v>
      </c>
      <c r="BC3" t="s">
        <v>237</v>
      </c>
      <c r="BD3" t="s">
        <v>237</v>
      </c>
      <c r="BE3" t="s">
        <v>140</v>
      </c>
      <c r="BH3" s="15" t="s">
        <v>146</v>
      </c>
      <c r="BI3" s="15" t="s">
        <v>178</v>
      </c>
      <c r="BJ3" s="15" t="s">
        <v>151</v>
      </c>
      <c r="BK3" s="15" t="s">
        <v>639</v>
      </c>
      <c r="BM3" s="15" t="s">
        <v>177</v>
      </c>
      <c r="BN3" s="77">
        <v>150</v>
      </c>
      <c r="BO3" s="77">
        <v>1000000</v>
      </c>
      <c r="BQ3" t="s">
        <v>649</v>
      </c>
      <c r="BR3" s="57" t="str">
        <f>IF(ChosenState="Nevada (NV)",0.2*BR2,"")</f>
        <v/>
      </c>
      <c r="BT3" t="s">
        <v>1226</v>
      </c>
      <c r="BU3" t="s">
        <v>1827</v>
      </c>
      <c r="BV3" t="s">
        <v>1828</v>
      </c>
      <c r="BW3" t="str">
        <f>IF(OR(PIAI="Excluded",PIAI=""),"(BI/PD:  Per Occurrence; PI/AI:  Excluded; Med Pay:  N/A)","(BI/PD:  Per Occurrence; PI/AI:  Per Injury; Med Pay:  N/A)")</f>
        <v>(BI/PD:  Per Occurrence; PI/AI:  Excluded; Med Pay:  N/A)</v>
      </c>
      <c r="BX3" t="s">
        <v>717</v>
      </c>
      <c r="CA3" s="88" t="str">
        <f>IF('LOSS EVALUATION'!L6="","",'LOSS EVALUATION'!A6&amp;":  "&amp;DOLLAR('LOSS EVALUATION'!L6,0))</f>
        <v/>
      </c>
      <c r="CB3" t="str">
        <f t="shared" si="1"/>
        <v>Blank</v>
      </c>
      <c r="CD3" s="97" t="s">
        <v>698</v>
      </c>
      <c r="CE3" s="67"/>
      <c r="CF3" s="93" t="s">
        <v>706</v>
      </c>
      <c r="CG3" t="str">
        <f>CONCATENATE(CD15,CD16,CD17,CD18,CD19,CD20,CD21,CD22)</f>
        <v/>
      </c>
      <c r="CI3" t="s">
        <v>721</v>
      </c>
      <c r="CJ3" t="s">
        <v>239</v>
      </c>
      <c r="CK3" t="e">
        <f>IF('NOTES &amp; RATING'!#REF!="Oil &amp; Gas","Oil &amp; Gas","")</f>
        <v>#REF!</v>
      </c>
      <c r="CM3" s="102" t="e">
        <f>IF(QuoteRate3="","",QuoteRate3)</f>
        <v>#REF!</v>
      </c>
      <c r="CO3" t="s">
        <v>733</v>
      </c>
      <c r="CP3" t="e">
        <f>IF(AND(TypeOfOI&lt;&gt;"",LEFT(TypeOfOI,11)="Residential"),"Residential",IF(AND(TypeOfOI&lt;&gt;"",LEFT(TypeOfOI,10)="Commercial"),"Commercial",""))</f>
        <v>#REF!</v>
      </c>
      <c r="CR3" s="103">
        <v>42201</v>
      </c>
      <c r="CS3" s="103">
        <v>42231</v>
      </c>
      <c r="CT3" t="str">
        <f>IF(AND(EffectiveDate&gt;=CR3,EffectiveDate&lt;=CS3),"8/15","")</f>
        <v/>
      </c>
      <c r="CU3" t="s">
        <v>1217</v>
      </c>
      <c r="CV3" t="e">
        <f>CV1&amp;CV2</f>
        <v>#REF!</v>
      </c>
      <c r="CX3" t="s">
        <v>2</v>
      </c>
      <c r="CY3" t="str">
        <f>IF(ChosenState="","",ChosenState)</f>
        <v/>
      </c>
      <c r="DB3" s="15" t="s">
        <v>146</v>
      </c>
      <c r="DC3" t="s">
        <v>491</v>
      </c>
      <c r="DE3" t="s">
        <v>1822</v>
      </c>
      <c r="DF3" t="e">
        <f>IF(AND(#REF!="x",#REF!="x",OR(#REF!="CG 20 37 10 01",#REF!="CG 20 37 10 01 ",#REF!="CG 20 37 10 01 (B+)",#REF!="CG 20 37 10 01 B+",#REF!="CG 20 37 10 01B+",#REF!="CG 20 37 10 01 (B+) ",#REF!="CG 20 37 10 01 B+ ")),"Problem","OK")</f>
        <v>#REF!</v>
      </c>
      <c r="DG3" t="s">
        <v>1812</v>
      </c>
      <c r="DH3" s="3" t="s">
        <v>1813</v>
      </c>
      <c r="DJ3" s="199" t="s">
        <v>492</v>
      </c>
      <c r="DK3" s="3" t="s">
        <v>1823</v>
      </c>
      <c r="DL3" s="76" t="e">
        <f>IF(AND(#REF!="x",OR(#REF!=A260,#REF!=A261,#REF!=A262,#REF!=A269)),100,"")</f>
        <v>#REF!</v>
      </c>
      <c r="DM3" t="e">
        <f>IF(Coverage="P/CO","PRODUCTS/COMPLETED OPERATIONS LIABILITY QUOTATION - REVISION #2",IF(Coverage="OCP","OWNERS AND CONTRACTORS PROTECTIVE LIABILITY QUOTATION - REVISION #2",IF(Coverage="LL","LIQUOR LIABILITY QUOTATION - REVISION #2",IF(OR(Coverage="GL",Coverage="GL/LL"),"COMMERCIAL GENERAL LIABILITY QUOTATION - REVISION #2","COMMERCIAL GENERAL LIABILITY QUOTATION - REVISION #2"))))</f>
        <v>#NAME?</v>
      </c>
      <c r="DN3" t="e">
        <f>IF(Coverage="P/CO","PRODUCTS/COMPLETED OPERATIONS LIABILITY BINDER - REVISION #2",IF(Coverage="OCP","OWNERS AND CONTRACTORS PROTECTIVE LIABILITY BINDER - REVISION #2",IF(Coverage="LL","LIQUOR LIABILITY BINDER - REVISION #2",IF(OR(Coverage="GL",Coverage="GL/LL"),"COMMERCIAL GENERAL LIABILITY BINDER - REVISION #2","COMMERCIAL GENERAL LIABILITY BINDER - REVISION #2"))))</f>
        <v>#NAME?</v>
      </c>
      <c r="DO3" t="s">
        <v>297</v>
      </c>
      <c r="DP3" t="e">
        <f>IF(AND(Premium_Bucket="All Other Contracting",'NOTES &amp; RATING'!#REF!="Type Of Residential Contractor:"),"Residential",IF(AND(Premium_Bucket="All Other Contracting",'NOTES &amp; RATING'!#REF!="Type Of Commercial Contractor:"),"Commercial",""))</f>
        <v>#REF!</v>
      </c>
      <c r="DQ3" t="s">
        <v>1967</v>
      </c>
      <c r="DR3" t="e">
        <f t="shared" si="0"/>
        <v>#REF!</v>
      </c>
      <c r="DS3" t="e">
        <f>IF(#REF!="x","Designated Locations General Aggregate:","")</f>
        <v>#REF!</v>
      </c>
      <c r="DT3" t="e">
        <f>RIGHT(#REF!,LEN(#REF!)-39)</f>
        <v>#REF!</v>
      </c>
    </row>
    <row r="4" spans="1:124">
      <c r="A4" s="15" t="s">
        <v>178</v>
      </c>
      <c r="B4" s="68">
        <v>4.75</v>
      </c>
      <c r="C4" t="s">
        <v>288</v>
      </c>
      <c r="D4" s="4" t="s">
        <v>142</v>
      </c>
      <c r="E4" s="5" t="s">
        <v>109</v>
      </c>
      <c r="G4" s="2">
        <v>0.08</v>
      </c>
      <c r="I4" t="s">
        <v>634</v>
      </c>
      <c r="K4" s="14" t="s">
        <v>14</v>
      </c>
      <c r="T4" s="5" t="s">
        <v>146</v>
      </c>
      <c r="U4" t="s">
        <v>226</v>
      </c>
      <c r="V4" t="s">
        <v>226</v>
      </c>
      <c r="X4" s="15" t="s">
        <v>178</v>
      </c>
      <c r="Y4" s="16">
        <v>0.33200000000000002</v>
      </c>
      <c r="AA4" s="18">
        <v>91583</v>
      </c>
      <c r="AB4" s="18" t="s">
        <v>236</v>
      </c>
      <c r="AC4" s="16">
        <v>0.64400000000000002</v>
      </c>
      <c r="AF4" s="15" t="s">
        <v>327</v>
      </c>
      <c r="AG4" s="3">
        <v>1E-3</v>
      </c>
      <c r="AH4" s="3" t="s">
        <v>326</v>
      </c>
      <c r="AI4" s="21" t="s">
        <v>603</v>
      </c>
      <c r="AJ4" s="55" t="e">
        <f>IF('NOTES &amp; RATING'!#REF!="","",(HLOOKUP('NOTES &amp; RATING'!#REF!,'NOTES &amp; RATING'!I17:AA22,2,FALSE)))</f>
        <v>#REF!</v>
      </c>
      <c r="AK4" s="3"/>
      <c r="AS4" s="63" t="s">
        <v>178</v>
      </c>
      <c r="AT4" s="3" t="s">
        <v>414</v>
      </c>
      <c r="AU4" s="3" t="s">
        <v>435</v>
      </c>
      <c r="AW4" s="15" t="s">
        <v>178</v>
      </c>
      <c r="AX4" s="15" t="s">
        <v>492</v>
      </c>
      <c r="AY4" s="3">
        <v>3</v>
      </c>
      <c r="BA4" t="s">
        <v>591</v>
      </c>
      <c r="BC4" t="s">
        <v>297</v>
      </c>
      <c r="BD4" t="s">
        <v>297</v>
      </c>
      <c r="BE4" t="s">
        <v>244</v>
      </c>
      <c r="BF4" t="s">
        <v>542</v>
      </c>
      <c r="BH4" s="15" t="s">
        <v>172</v>
      </c>
      <c r="BI4" s="15" t="s">
        <v>158</v>
      </c>
      <c r="BJ4" s="15" t="s">
        <v>175</v>
      </c>
      <c r="BK4" s="15" t="s">
        <v>640</v>
      </c>
      <c r="BM4" s="15" t="s">
        <v>146</v>
      </c>
      <c r="BN4" s="77">
        <v>150</v>
      </c>
      <c r="BO4" s="77">
        <v>150</v>
      </c>
      <c r="BQ4" t="s">
        <v>652</v>
      </c>
      <c r="BR4" s="57" t="str">
        <f>IF(ChosenState="Nevada (NV)",Commission*Policy_Premium,"")</f>
        <v/>
      </c>
      <c r="BT4" t="s">
        <v>1209</v>
      </c>
      <c r="BW4" t="str">
        <f>IF(OR(PIAI="Excluded",PIAI=""),"(BI/PD:  Per Claim; PI/AI:  Excluded; Med Pay:  N/A)","(BI/PD:  Per Claim; PI/AI:  Per Injury; Med Pay:  N/A)")</f>
        <v>(BI/PD:  Per Claim; PI/AI:  Excluded; Med Pay:  N/A)</v>
      </c>
      <c r="BX4" t="s">
        <v>722</v>
      </c>
      <c r="CA4" s="88" t="str">
        <f>IF('LOSS EVALUATION'!L7="","",'LOSS EVALUATION'!A7&amp;":  "&amp;DOLLAR('LOSS EVALUATION'!L7,0))</f>
        <v/>
      </c>
      <c r="CB4" t="str">
        <f t="shared" si="1"/>
        <v>Blank</v>
      </c>
      <c r="CD4" s="97" t="s">
        <v>699</v>
      </c>
      <c r="CE4" s="91"/>
      <c r="CF4" s="93" t="s">
        <v>705</v>
      </c>
      <c r="CG4" s="67" t="str">
        <f>"Occurrence: "&amp;DOLLAR('NOTES &amp; RATING'!BB15,0)&amp;"; General Aggregate: "&amp;IF('NOTES &amp; RATING'!BB13="","",IF('NOTES &amp; RATING'!BB13="Excluded","Excluded",DOLLAR('NOTES &amp; RATING'!BB13,0)))&amp;"; P/CO Aggregate: "&amp;IF(PCO="","",IF(PCO="Excluded","Excluded",IF(PCO="Included In Gen Agg","Included In Gen Agg",DOLLAR(PCO,0))))&amp;"; PI/AI: "&amp;IF(PIAI="","",IF(PIAI="Excluded","Excluded",DOLLAR(PIAI,0)))</f>
        <v xml:space="preserve">Occurrence: $0; General Aggregate: ; P/CO Aggregate: ; PI/AI: </v>
      </c>
      <c r="CI4" t="s">
        <v>723</v>
      </c>
      <c r="CJ4" t="s">
        <v>674</v>
      </c>
      <c r="CK4" t="e">
        <f>IF(AND(Premium_Bucket="Owner's Interest",TypeOfOI&lt;&gt;""),Premium_Bucket&amp;" - "&amp;TypeOfOI,IF(Premium_Bucket="Owner's Interest","Owner's Interest - Type Not Entered",""))</f>
        <v>#REF!</v>
      </c>
      <c r="CM4" s="102" t="e">
        <f>IF(QuoteRate4="","",QuoteRate4)</f>
        <v>#REF!</v>
      </c>
      <c r="CO4" t="s">
        <v>734</v>
      </c>
      <c r="CP4" t="e">
        <f>IF(ResiComm="","",ResiComm)</f>
        <v>#REF!</v>
      </c>
      <c r="CR4" s="103">
        <v>42232</v>
      </c>
      <c r="CS4" s="103">
        <v>42262</v>
      </c>
      <c r="CT4" t="str">
        <f>IF(AND(EffectiveDate&gt;=CR4,EffectiveDate&lt;=CS4),"9/15","")</f>
        <v/>
      </c>
      <c r="CU4" t="s">
        <v>1768</v>
      </c>
      <c r="CV4" t="e">
        <f>IF(Rating2Type="Flat Charge","",IF(OR(Rating2ExposureBasis="",Rating2ExposureAmount="",Rating2Rate="",Rating2Premium=""),"",IF(OR(Rating2Type="Rate",Rating2Type="Back Into Rate"),DOLLAR(Rating2Rate,4)&amp;" "&amp;VLOOKUP(Rating2ExposureBasis,ExposureMatrix,3,FALSE)&amp;" Based On Estimated "&amp;IF(Length="Annual","Annual ","")&amp;Rating2ExposureBasis&amp;" Of "&amp;IF(VLOOKUP(Rating2ExposureBasis,CFExp,2,FALSE)=1,DOLLAR(Rating2ExposureAmount,0),FIXED(Rating2ExposureAmount,0,FALSE))&amp;IF(Rating2Notes="",""," - "&amp;Rating2Notes)&amp;IF(Rating2Premium=0,""," (Premium:  "&amp;DOLLAR(Rating2Premium,0)&amp;")"))))</f>
        <v>#REF!</v>
      </c>
      <c r="CX4" t="s">
        <v>1507</v>
      </c>
      <c r="CY4" t="e">
        <f>IF(Operations="","",Operations)</f>
        <v>#REF!</v>
      </c>
      <c r="DB4" s="15" t="s">
        <v>178</v>
      </c>
      <c r="DC4" t="s">
        <v>492</v>
      </c>
      <c r="DE4" t="s">
        <v>1772</v>
      </c>
      <c r="DF4" t="e">
        <f>IF(AND(#REF!="x",#REF!="x",OR(#REF!="CG 20 37 10 01",#REF!="CG 20 37 10 01 ",#REF!="CG 20 37 10 01 (C)",#REF!="CG 20 37 10 01 C",#REF!="CG 20 37 10 01C",#REF!="CG 20 37 10 01 (C) ",#REF!="CG 20 37 10 01 C ")),"Problem","OK")</f>
        <v>#REF!</v>
      </c>
      <c r="DG4" t="s">
        <v>1797</v>
      </c>
      <c r="DH4" s="3" t="s">
        <v>1808</v>
      </c>
      <c r="DJ4" s="199" t="s">
        <v>491</v>
      </c>
      <c r="DM4" t="e">
        <f>IF(Coverage="P/CO","PRODUCTS/COMPLETED OPERATIONS LIABILITY QUOTATION - REVISION #3",IF(Coverage="OCP","OWNERS AND CONTRACTORS PROTECTIVE LIABILITY QUOTATION - REVISION #3",IF(Coverage="LL","LIQUOR LIABILITY QUOTATION - REVISION #3",IF(OR(Coverage="GL",Coverage="GL/LL"),"COMMERCIAL GENERAL LIABILITY QUOTATION - REVISION #3","COMMERCIAL GENERAL LIABILITY QUOTATION - REVISION #3"))))</f>
        <v>#NAME?</v>
      </c>
      <c r="DN4" t="e">
        <f>IF(Coverage="P/CO","PRODUCTS/COMPLETED OPERATIONS LIABILITY BINDER - REVISION #3",IF(Coverage="OCP","OWNERS AND CONTRACTORS PROTECTIVE LIABILITY BINDER - REVISION #3",IF(Coverage="LL","LIQUOR LIABILITY BINDER - REVISION #3",IF(OR(Coverage="GL",Coverage="GL/LL"),"COMMERCIAL GENERAL LIABILITY BINDER - REVISION #3","COMMERCIAL GENERAL LIABILITY BINDER - REVISION #3"))))</f>
        <v>#NAME?</v>
      </c>
      <c r="DO4" t="s">
        <v>680</v>
      </c>
      <c r="DP4" t="e">
        <f>IF(AND(Premium_Bucket="Wrap",LEFT(TypeOfWrap,11)="Residential"),"Residential",IF(AND(Premium_Bucket="Wrap",LEFT(TypeOfWrap,10)="Commercial"),"Commercial",""))</f>
        <v>#REF!</v>
      </c>
      <c r="DQ4" t="s">
        <v>1968</v>
      </c>
      <c r="DR4" t="e">
        <f t="shared" si="0"/>
        <v>#REF!</v>
      </c>
      <c r="DS4" t="e">
        <f>IF(#REF!="x","Designated Event General Aggregate:","")</f>
        <v>#REF!</v>
      </c>
    </row>
    <row r="5" spans="1:124">
      <c r="A5" s="15" t="s">
        <v>172</v>
      </c>
      <c r="B5" s="68">
        <v>7</v>
      </c>
      <c r="C5" t="s">
        <v>289</v>
      </c>
      <c r="D5" s="4" t="s">
        <v>63</v>
      </c>
      <c r="E5" s="5" t="s">
        <v>197</v>
      </c>
      <c r="G5" s="2">
        <v>0.09</v>
      </c>
      <c r="I5" t="s">
        <v>635</v>
      </c>
      <c r="K5" s="14" t="s">
        <v>15</v>
      </c>
      <c r="M5" t="s">
        <v>612</v>
      </c>
      <c r="T5" s="5" t="s">
        <v>178</v>
      </c>
      <c r="U5" t="s">
        <v>226</v>
      </c>
      <c r="X5" s="15" t="s">
        <v>172</v>
      </c>
      <c r="Y5" s="16">
        <v>0.66800000000000004</v>
      </c>
      <c r="AA5" s="18">
        <v>91584</v>
      </c>
      <c r="AB5" s="18" t="s">
        <v>236</v>
      </c>
      <c r="AC5" s="16">
        <v>0.64400000000000002</v>
      </c>
      <c r="AF5" s="15" t="s">
        <v>544</v>
      </c>
      <c r="AG5" s="3">
        <v>1E-3</v>
      </c>
      <c r="AH5" s="3" t="s">
        <v>545</v>
      </c>
      <c r="AI5" s="21" t="s">
        <v>346</v>
      </c>
      <c r="AJ5" s="55" t="e">
        <f>VLOOKUP('NOTES &amp; RATING'!#REF!,Misc_Info!AF1:AG17,2,FALSE)</f>
        <v>#REF!</v>
      </c>
      <c r="AK5" s="3"/>
      <c r="AM5" t="s">
        <v>366</v>
      </c>
      <c r="AO5" s="3" t="s">
        <v>367</v>
      </c>
      <c r="AP5" s="58" t="str">
        <f>IF(AND(OR('NOTES &amp; RATING'!I17="Gross Sales",'NOTES &amp; RATING'!R17="Gross Sales",'NOTES &amp; RATING'!AA17="Gross Sales"),OR('NOTES &amp; RATING'!I17="Payroll",'NOTES &amp; RATING'!R17="Payroll",'NOTES &amp; RATING'!AA17="Payroll"),OR('NOTES &amp; RATING'!I17="Sub Costs",'NOTES &amp; RATING'!R17="Sub Costs",'NOTES &amp; RATING'!AA17="Sub Costs"),AP1&gt;0),(AP2+AP3)/AP1,"")</f>
        <v/>
      </c>
      <c r="AS5" s="63" t="s">
        <v>172</v>
      </c>
      <c r="AT5" s="3" t="s">
        <v>386</v>
      </c>
      <c r="AU5" s="3" t="s">
        <v>433</v>
      </c>
      <c r="AW5" s="15" t="s">
        <v>172</v>
      </c>
      <c r="AX5" s="15" t="s">
        <v>493</v>
      </c>
      <c r="AY5" s="3">
        <v>3</v>
      </c>
      <c r="BA5" t="s">
        <v>206</v>
      </c>
      <c r="BC5" t="s">
        <v>680</v>
      </c>
      <c r="BD5" t="s">
        <v>680</v>
      </c>
      <c r="BE5" t="s">
        <v>299</v>
      </c>
      <c r="BF5" t="s">
        <v>239</v>
      </c>
      <c r="BH5" s="15" t="s">
        <v>170</v>
      </c>
      <c r="BI5" s="15" t="s">
        <v>155</v>
      </c>
      <c r="BJ5" s="15" t="s">
        <v>150</v>
      </c>
      <c r="BK5" s="15" t="s">
        <v>641</v>
      </c>
      <c r="BM5" s="15" t="s">
        <v>178</v>
      </c>
      <c r="BN5" s="77">
        <f>IF(BO5&lt;150,BO5,150)</f>
        <v>0</v>
      </c>
      <c r="BO5" s="77">
        <f>IF(Policy_Premium="",0,IF(((0.2*#REF!)-(#REF!*Commission)-BR13)&lt;0,0,(0.2*#REF!)-(#REF!*Commission)-BR13))</f>
        <v>0</v>
      </c>
      <c r="BQ5" t="s">
        <v>454</v>
      </c>
      <c r="BR5" s="57">
        <f>IF(InspectionFee="N/A",0,InspectionFee)</f>
        <v>0</v>
      </c>
      <c r="BT5" t="e">
        <f>IF(OR(Rating1Type="",Rating1ExposureBasis=""),"Class Code ",IF(Rating1ExposureAmount="","Applies To "&amp;Rating1ExposureBasis&amp;" Exceeding ","Applies To "&amp;Rating1ExposureBasis&amp;" Exceeding "&amp;IF('NOTES &amp; RATING'!#REF!=1,DOLLAR(BT7,0),FIXED(BT7,0,FALSE))))</f>
        <v>#REF!</v>
      </c>
      <c r="BX5" t="s">
        <v>718</v>
      </c>
      <c r="CA5" s="88" t="str">
        <f>IF('LOSS EVALUATION'!L8="","",'LOSS EVALUATION'!A8&amp;":  "&amp;DOLLAR('LOSS EVALUATION'!L8,0))</f>
        <v/>
      </c>
      <c r="CB5" t="str">
        <f t="shared" si="1"/>
        <v>Blank</v>
      </c>
      <c r="CD5" t="s">
        <v>700</v>
      </c>
      <c r="CE5" s="67" t="str">
        <f>IF(OR(EBL="",EBL=" ",EBL="Excluded"),"",IF(OR(EBL="$1,000,000",EBL=1000000),"$1M EBL, ",IF(AND(EBL&gt;0,EBL&lt;10000000),"EBL: "&amp;DOLLAR(EBL,0)&amp;", ","EBL: "&amp;EBL&amp;", ")))</f>
        <v/>
      </c>
      <c r="CF5" s="93" t="s">
        <v>708</v>
      </c>
      <c r="CG5" t="e">
        <f>IF(Coverage="P/CO",CG1,IF(Coverage="OCP",CG2,IF(CG3&lt;&gt;"",CG3,CG4)))</f>
        <v>#NAME?</v>
      </c>
      <c r="CI5" t="s">
        <v>724</v>
      </c>
      <c r="CJ5" t="s">
        <v>681</v>
      </c>
      <c r="CK5" t="e">
        <f>IF(AND(Premium_Bucket="Project Specific",TypeOfProjectSpecific&lt;&gt;""),Premium_Bucket&amp;" - "&amp;TypeOfProjectSpecific,IF(Premium_Bucket="Project Specific","Project Specific - Type Not Entered",""))</f>
        <v>#REF!</v>
      </c>
      <c r="CM5" s="102" t="e">
        <f>IF(QuoteRate5="","",QuoteRate5)</f>
        <v>#REF!</v>
      </c>
      <c r="CP5" t="e">
        <f>CONCATENATE(CP1,CP2,CP3,CP4)</f>
        <v>#REF!</v>
      </c>
      <c r="CR5" s="103">
        <v>42263</v>
      </c>
      <c r="CS5" s="103">
        <v>42292</v>
      </c>
      <c r="CT5" t="str">
        <f>IF(AND(EffectiveDate&gt;=CR5,EffectiveDate&lt;=CS5),"10/15","")</f>
        <v/>
      </c>
      <c r="CU5" t="s">
        <v>1769</v>
      </c>
      <c r="CV5" t="e">
        <f>IF(Rating2Type="Flat Charge","",IF(OR(Rating2ExposureBasis="",Rating2Rate=""),"",IF(OR(Rating2Type="Rate",Rating2Type="Back Into Rate"),DOLLAR(Rating2Rate,4)&amp;" "&amp;VLOOKUP(Rating2ExposureBasis,ExposureMatrix,3,FALSE)&amp;IF(Rating2Notes="",""," - "&amp;Rating2Notes)&amp;IF(OR(Rating2Premium=0,Rating2Premium=""),""," (Premium:  "&amp;DOLLAR(Rating2Premium,0)&amp;")"))))</f>
        <v>#REF!</v>
      </c>
      <c r="CX5" t="s">
        <v>1508</v>
      </c>
      <c r="CY5" t="str">
        <f>IF(Exposures="","",Exposures)</f>
        <v/>
      </c>
      <c r="DB5" s="15" t="s">
        <v>172</v>
      </c>
      <c r="DC5" t="s">
        <v>493</v>
      </c>
      <c r="DE5" t="s">
        <v>317</v>
      </c>
      <c r="DF5" t="e">
        <f>IF(AND(#REF!="x",#REF!="x",OR(#REF!="CG 20 37 10 01",#REF!="CG 20 37 10 01 ",#REF!="CG 20 37 10 01 (D)",#REF!="CG 20 37 10 01 D",#REF!="CG 20 37 10 01D",#REF!="CG 20 37 10 01 (D) ",#REF!="CG 20 37 10 01 D ")),"Problem","OK")</f>
        <v>#REF!</v>
      </c>
      <c r="DG5" t="s">
        <v>1800</v>
      </c>
      <c r="DH5" s="3" t="s">
        <v>1809</v>
      </c>
      <c r="DJ5" s="199" t="s">
        <v>493</v>
      </c>
      <c r="DM5" t="e">
        <f>IF(Coverage="P/CO","PRODUCTS/COMPLETED OPERATIONS LIABILITY QUOTATION - REVISION #4",IF(Coverage="OCP","OWNERS AND CONTRACTORS PROTECTIVE LIABILITY QUOTATION - REVISION #4",IF(Coverage="LL","LIQUOR LIABILITY QUOTATION - REVISION #4",IF(OR(Coverage="GL",Coverage="GL/LL"),"COMMERCIAL GENERAL LIABILITY QUOTATION - REVISION #4","COMMERCIAL GENERAL LIABILITY QUOTATION - REVISION #4"))))</f>
        <v>#NAME?</v>
      </c>
      <c r="DN5" t="e">
        <f>IF(Coverage="P/CO","PRODUCTS/COMPLETED OPERATIONS LIABILITY BINDER - REVISION #4",IF(Coverage="OCP","OWNERS AND CONTRACTORS PROTECTIVE LIABILITY BINDER - REVISION #4",IF(Coverage="LL","LIQUOR LIABILITY BINDER - REVISION #4",IF(OR(Coverage="GL",Coverage="GL/LL"),"COMMERCIAL GENERAL LIABILITY BINDER - REVISION #4","COMMERCIAL GENERAL LIABILITY BINDER - REVISION #4"))))</f>
        <v>#NAME?</v>
      </c>
      <c r="DO5" t="s">
        <v>681</v>
      </c>
      <c r="DP5" t="e">
        <f>IF(AND(Premium_Bucket="Project Specific",LEFT(TypeOfProjectSpecific,11)="Residential"),"Residential",IF(AND(Premium_Bucket="Project Specific",LEFT(TypeOfProjectSpecific,10)="Commercial"),"Commercial",""))</f>
        <v>#REF!</v>
      </c>
      <c r="DQ5" t="s">
        <v>1969</v>
      </c>
      <c r="DR5" t="e">
        <f t="shared" si="0"/>
        <v>#REF!</v>
      </c>
      <c r="DS5" t="e">
        <f>IF(#REF!="x","Designated Construction Projects General Aggregate:","")</f>
        <v>#REF!</v>
      </c>
    </row>
    <row r="6" spans="1:124">
      <c r="A6" s="15" t="s">
        <v>170</v>
      </c>
      <c r="B6" s="68">
        <v>7</v>
      </c>
      <c r="C6" s="3" t="s">
        <v>290</v>
      </c>
      <c r="D6" s="4" t="s">
        <v>58</v>
      </c>
      <c r="E6" s="5" t="s">
        <v>115</v>
      </c>
      <c r="F6" s="22" t="s">
        <v>232</v>
      </c>
      <c r="G6" s="2">
        <v>0.1</v>
      </c>
      <c r="K6" s="14" t="s">
        <v>16</v>
      </c>
      <c r="M6" s="59" t="s">
        <v>375</v>
      </c>
      <c r="N6" s="60" t="e">
        <f>IF(AND('NOTES &amp; RATING'!#REF!&gt;0,'NOTES &amp; RATING'!#REF!&gt;0),'NOTES &amp; RATING'!#REF!/'NOTES &amp; RATING'!#REF!,IF(AND('NOTES &amp; RATING'!#REF!&gt;0,'NOTES &amp; RATING'!#REF!=0),1,""))</f>
        <v>#REF!</v>
      </c>
      <c r="T6" s="5" t="s">
        <v>172</v>
      </c>
      <c r="U6" t="s">
        <v>226</v>
      </c>
      <c r="V6" t="s">
        <v>226</v>
      </c>
      <c r="X6" s="15" t="s">
        <v>170</v>
      </c>
      <c r="Y6" s="16">
        <v>0.55000000000000004</v>
      </c>
      <c r="AA6" s="18">
        <v>91585</v>
      </c>
      <c r="AB6" s="18" t="s">
        <v>236</v>
      </c>
      <c r="AC6" s="16">
        <v>0.64400000000000002</v>
      </c>
      <c r="AF6" s="15" t="s">
        <v>666</v>
      </c>
      <c r="AG6" s="3">
        <v>1E-3</v>
      </c>
      <c r="AH6" s="3" t="s">
        <v>667</v>
      </c>
      <c r="AI6" s="21" t="s">
        <v>235</v>
      </c>
      <c r="AJ6" s="55" t="e">
        <f>VLOOKUP('NOTES &amp; RATING'!#REF!,Misc_Info!AF1:AH17,3,FALSE)</f>
        <v>#REF!</v>
      </c>
      <c r="AO6" s="3" t="s">
        <v>368</v>
      </c>
      <c r="AP6" s="58" t="str">
        <f>IF(AND(OR('NOTES &amp; RATING'!I17="Gross Sales",'NOTES &amp; RATING'!R17="Gross Sales",'NOTES &amp; RATING'!AA17="Gross Sales"),OR('NOTES &amp; RATING'!I17="Payroll",'NOTES &amp; RATING'!R17="Payroll",'NOTES &amp; RATING'!AA17="Payroll"),AP1&gt;0),AP2/AP1,"")</f>
        <v/>
      </c>
      <c r="AS6" s="63" t="s">
        <v>170</v>
      </c>
      <c r="AT6" s="3" t="s">
        <v>387</v>
      </c>
      <c r="AU6" s="3" t="s">
        <v>433</v>
      </c>
      <c r="AW6" s="15" t="s">
        <v>170</v>
      </c>
      <c r="AX6" s="15" t="s">
        <v>494</v>
      </c>
      <c r="AY6" s="3">
        <v>3</v>
      </c>
      <c r="BA6" t="s">
        <v>592</v>
      </c>
      <c r="BC6" t="s">
        <v>681</v>
      </c>
      <c r="BD6" t="s">
        <v>681</v>
      </c>
      <c r="BE6" t="s">
        <v>58</v>
      </c>
      <c r="BH6" s="15" t="s">
        <v>176</v>
      </c>
      <c r="BI6" s="15" t="s">
        <v>164</v>
      </c>
      <c r="BJ6" s="15" t="s">
        <v>152</v>
      </c>
      <c r="BK6" s="15" t="s">
        <v>636</v>
      </c>
      <c r="BM6" s="15" t="s">
        <v>172</v>
      </c>
      <c r="BN6" s="77">
        <v>150</v>
      </c>
      <c r="BO6" s="77">
        <v>1000000</v>
      </c>
      <c r="BQ6" t="s">
        <v>650</v>
      </c>
      <c r="BR6" s="57" t="str">
        <f>IF(OR(BR2="",BR3="",BR4="",BR5=""),"",IF(AND(ChosenState="Nevada (NV)",BR3-BR4-BR5&lt;0),"Problem",""))</f>
        <v/>
      </c>
      <c r="BT6" t="e">
        <f>IF(BT5="Class Code ","","Class Code ")</f>
        <v>#REF!</v>
      </c>
      <c r="CA6" s="88" t="str">
        <f>IF('LOSS EVALUATION'!L9="","",'LOSS EVALUATION'!A9&amp;":  "&amp;DOLLAR('LOSS EVALUATION'!L9,0))</f>
        <v/>
      </c>
      <c r="CB6" t="str">
        <f t="shared" si="1"/>
        <v>Blank</v>
      </c>
      <c r="CD6" t="s">
        <v>632</v>
      </c>
      <c r="CE6" s="67" t="str">
        <f>IF(OR(LiquorEachCommonCause="",LiquorEachCommonCause=" ",LiquorEachCommonCause="Excluded",LiquorAggregateLimit="Excluded"),"",IF(AND(OR(LiquorEachCommonCause="$1,000,000",LiquorEachCommonCause=1000000),OR(LiquorAggregateLimit="$1,000,000",LiquorAggregateLimit=1000000)),"$1M/$1M LL, ",IF(AND(OR(LiquorEachCommonCause="$2,000,000",LiquorEachCommonCause=2000000),OR(LiquorAggregateLimit="$2,000,000",LiquorAggregateLimit=2000000)),"$2M/$2M LL, ",IF(AND(OR(LiquorEachCommonCause="$1,000,000",LiquorEachCommonCause=1000000),OR(LiquorAggregateLimit="$2,000,000",LiquorAggregateLimit=2000000)),"$1M/$2M LL, ","LL ("&amp;DOLLAR(LiquorEachCommonCause,0)&amp;"/"&amp;DOLLAR(LiquorAggregateLimit,0)&amp;"), "))))</f>
        <v/>
      </c>
      <c r="CF6" s="93" t="s">
        <v>710</v>
      </c>
      <c r="CG6" t="e">
        <f>CONCATENATE(CE5,CE6,CE7,CE8,CE9,CE10,CE12)</f>
        <v>#REF!</v>
      </c>
      <c r="CI6" t="s">
        <v>725</v>
      </c>
      <c r="CJ6" t="s">
        <v>680</v>
      </c>
      <c r="CK6" t="e">
        <f>IF(AND(Premium_Bucket="Wrap",TypeOfWrap&lt;&gt;""),Premium_Bucket&amp;" - "&amp;TypeOfWrap&amp;IF(HighCDState="Yes"," - CD State"," - Not A CD State"),IF(Premium_Bucket="Wrap","Wrap - Type Not Entered",""))</f>
        <v>#REF!</v>
      </c>
      <c r="CM6" s="102"/>
      <c r="CR6" s="103">
        <v>42293</v>
      </c>
      <c r="CS6" s="103">
        <v>42323</v>
      </c>
      <c r="CT6" t="str">
        <f>IF(AND(EffectiveDate&gt;=CR6,EffectiveDate&lt;=CS6),"11/15","")</f>
        <v/>
      </c>
      <c r="CU6" t="s">
        <v>1218</v>
      </c>
      <c r="CV6" s="7" t="e">
        <f>CV3&amp;IF(OR(Rating2ExposureAmount=0,Rating2ExposureAmount=""),CV5,CV4)</f>
        <v>#REF!</v>
      </c>
      <c r="CX6" t="s">
        <v>1509</v>
      </c>
      <c r="CY6" t="str">
        <f>IF(Misc_Info!CA20="","",Misc_Info!CA20)</f>
        <v/>
      </c>
      <c r="DB6" s="15" t="s">
        <v>170</v>
      </c>
      <c r="DC6" t="s">
        <v>494</v>
      </c>
      <c r="DF6" t="e">
        <f>IF(OR(DF1="Problem",DF2="Problem",DF3="Problem",DF4="Problem",DF5="Problem"),"Problem","OK")</f>
        <v>#REF!</v>
      </c>
      <c r="DG6" t="s">
        <v>1801</v>
      </c>
      <c r="DH6" s="3" t="s">
        <v>1810</v>
      </c>
      <c r="DJ6" s="199" t="s">
        <v>494</v>
      </c>
      <c r="DM6" t="e">
        <f>IF(Coverage="P/CO","PRODUCTS/COMPLETED OPERATIONS LIABILITY QUOTATION - REVISION #5",IF(Coverage="OCP","OWNERS AND CONTRACTORS PROTECTIVE LIABILITY QUOTATION - REVISION #5",IF(Coverage="LL","LIQUOR LIABILITY QUOTATION - REVISION #5",IF(OR(Coverage="GL",Coverage="GL/LL"),"COMMERCIAL GENERAL LIABILITY QUOTATION - REVISION #5","COMMERCIAL GENERAL LIABILITY QUOTATION - REVISION #5"))))</f>
        <v>#NAME?</v>
      </c>
      <c r="DN6" t="e">
        <f>IF(Coverage="P/CO","PRODUCTS/COMPLETED OPERATIONS LIABILITY BINDER - REVISION #5",IF(Coverage="OCP","OWNERS AND CONTRACTORS PROTECTIVE LIABILITY BINDER - REVISION #5",IF(Coverage="LL","LIQUOR LIABILITY BINDER - REVISION #5",IF(OR(Coverage="GL",Coverage="GL/LL"),"COMMERCIAL GENERAL LIABILITY BINDER - REVISION #5","COMMERCIAL GENERAL LIABILITY BINDER - REVISION #5"))))</f>
        <v>#NAME?</v>
      </c>
      <c r="DO6" t="s">
        <v>674</v>
      </c>
      <c r="DP6" t="e">
        <f>IF(AND(Premium_Bucket="Owner's Interest",LEFT(TypeOfOI,11)="Residential"),"Residential",IF(AND(Premium_Bucket="Owner's Interest",LEFT(TypeOfOI,10)="Commercial"),"Commercial",""))</f>
        <v>#REF!</v>
      </c>
      <c r="DR6" t="e">
        <f t="shared" si="0"/>
        <v>#REF!</v>
      </c>
      <c r="DS6" t="e">
        <f>IF(#REF!="x","Designated Locations General Aggregate:","")</f>
        <v>#REF!</v>
      </c>
    </row>
    <row r="7" spans="1:124">
      <c r="A7" s="15" t="s">
        <v>182</v>
      </c>
      <c r="B7" s="68">
        <v>7</v>
      </c>
      <c r="C7" s="3" t="s">
        <v>291</v>
      </c>
      <c r="D7" s="4" t="s">
        <v>143</v>
      </c>
      <c r="E7" s="5" t="s">
        <v>105</v>
      </c>
      <c r="F7" s="10">
        <v>1000000</v>
      </c>
      <c r="G7" s="2">
        <v>0.15</v>
      </c>
      <c r="I7" t="s">
        <v>635</v>
      </c>
      <c r="K7" s="14" t="s">
        <v>17</v>
      </c>
      <c r="M7" s="59" t="s">
        <v>376</v>
      </c>
      <c r="N7" s="60" t="e">
        <f>IF(AND('NOTES &amp; RATING'!#REF!&gt;0,'NOTES &amp; RATING'!#REF!&gt;0),'NOTES &amp; RATING'!#REF!/'NOTES &amp; RATING'!#REF!,IF(AND('NOTES &amp; RATING'!#REF!&gt;0,'NOTES &amp; RATING'!#REF!=0),0,""))</f>
        <v>#REF!</v>
      </c>
      <c r="T7" s="5" t="s">
        <v>170</v>
      </c>
      <c r="U7" t="s">
        <v>226</v>
      </c>
      <c r="V7" t="s">
        <v>226</v>
      </c>
      <c r="X7" s="15" t="s">
        <v>182</v>
      </c>
      <c r="Y7" s="16">
        <v>0.55600000000000005</v>
      </c>
      <c r="AA7" s="18">
        <v>91589</v>
      </c>
      <c r="AB7" s="18" t="s">
        <v>236</v>
      </c>
      <c r="AC7" s="16">
        <v>0.64400000000000002</v>
      </c>
      <c r="AF7" s="3" t="s">
        <v>329</v>
      </c>
      <c r="AG7" s="3">
        <v>1E-3</v>
      </c>
      <c r="AH7" s="3" t="s">
        <v>328</v>
      </c>
      <c r="AI7" s="21" t="s">
        <v>347</v>
      </c>
      <c r="AJ7" s="55" t="e">
        <f>'NOTES &amp; RATING'!#REF!</f>
        <v>#REF!</v>
      </c>
      <c r="AO7" s="3" t="s">
        <v>369</v>
      </c>
      <c r="AP7" s="58" t="str">
        <f>IF(AND(OR('NOTES &amp; RATING'!I17="Gross Sales",'NOTES &amp; RATING'!R17="Gross Sales",'NOTES &amp; RATING'!AA17="Gross Sales"),OR('NOTES &amp; RATING'!I17="Sub Costs",'NOTES &amp; RATING'!R17="Sub Costs",'NOTES &amp; RATING'!AA17="Sub Costs"),AP1&gt;0),AP3/AP1,"")</f>
        <v/>
      </c>
      <c r="AS7" s="63" t="s">
        <v>182</v>
      </c>
      <c r="AT7" s="3" t="s">
        <v>427</v>
      </c>
      <c r="AU7" s="3" t="s">
        <v>437</v>
      </c>
      <c r="AW7" s="15" t="s">
        <v>182</v>
      </c>
      <c r="AX7" s="15" t="s">
        <v>495</v>
      </c>
      <c r="AY7" s="3">
        <v>5</v>
      </c>
      <c r="BA7" t="s">
        <v>207</v>
      </c>
      <c r="BC7" t="s">
        <v>674</v>
      </c>
      <c r="BD7" t="s">
        <v>674</v>
      </c>
      <c r="BE7" t="s">
        <v>455</v>
      </c>
      <c r="BH7" s="15" t="s">
        <v>167</v>
      </c>
      <c r="BI7" s="15" t="s">
        <v>162</v>
      </c>
      <c r="BJ7" s="8" t="s">
        <v>57</v>
      </c>
      <c r="BK7" s="15" t="s">
        <v>637</v>
      </c>
      <c r="BM7" s="15" t="s">
        <v>170</v>
      </c>
      <c r="BN7" s="77">
        <v>150</v>
      </c>
      <c r="BO7" s="77">
        <v>1000000</v>
      </c>
      <c r="BT7" s="69" t="e">
        <f>IF(Rating1ExposureBasis="","",VLOOKUP(Rating1ExposureBasis,ExposureRange,7,FALSE))</f>
        <v>#REF!</v>
      </c>
      <c r="CA7" s="88" t="str">
        <f>IF('LOSS EVALUATION'!L10="","",'LOSS EVALUATION'!A10&amp;":  "&amp;DOLLAR('LOSS EVALUATION'!L10,0))</f>
        <v/>
      </c>
      <c r="CB7" t="str">
        <f t="shared" si="1"/>
        <v>Blank</v>
      </c>
      <c r="CD7" t="s">
        <v>1771</v>
      </c>
      <c r="CE7" s="67" t="e">
        <f>IF(#REF!="x","URE Coverage, ","")</f>
        <v>#REF!</v>
      </c>
      <c r="CF7" s="92" t="s">
        <v>713</v>
      </c>
      <c r="CG7" s="97" t="e">
        <f>IF(CG6="",CG5,CG5&amp;" With "&amp;CG6)</f>
        <v>#REF!</v>
      </c>
      <c r="CI7" t="s">
        <v>726</v>
      </c>
      <c r="CJ7" t="s">
        <v>729</v>
      </c>
      <c r="CK7" t="e">
        <f>IF(OR(Premium_Bucket="",Premium_Bucket="Select Type",ResiComm=""),"",IF(AND('NOTES &amp; RATING'!#REF!="Construction",TypeOfContractor&lt;&gt;""),ResiComm&amp;" - "&amp;TypeOfContractor,ResiComm&amp;" - Type Not Entered"))</f>
        <v>#REF!</v>
      </c>
      <c r="CM7" s="102"/>
      <c r="CR7" s="103">
        <v>42324</v>
      </c>
      <c r="CS7" s="103">
        <v>42353</v>
      </c>
      <c r="CT7" t="str">
        <f>IF(AND(EffectiveDate&gt;=CR7,EffectiveDate&lt;=CS7),"12/15","")</f>
        <v/>
      </c>
      <c r="CX7" t="s">
        <v>1510</v>
      </c>
      <c r="CY7" t="str">
        <f>IF(LossEval="","",LossEval)</f>
        <v/>
      </c>
      <c r="DB7" s="15" t="s">
        <v>182</v>
      </c>
      <c r="DC7" t="s">
        <v>495</v>
      </c>
      <c r="DF7" t="str">
        <f>IF(ISNUMBER(SEARCH("XXXXX",E23)),"XXXXX","")</f>
        <v/>
      </c>
      <c r="DG7" t="s">
        <v>1802</v>
      </c>
      <c r="DH7" s="3" t="s">
        <v>1811</v>
      </c>
      <c r="DJ7" s="199" t="s">
        <v>495</v>
      </c>
      <c r="DM7" t="e">
        <f>IF(Coverage="P/CO","PRODUCTS/COMPLETED OPERATIONS LIABILITY QUOTATION - REVISION #6",IF(Coverage="OCP","OWNERS AND CONTRACTORS PROTECTIVE LIABILITY QUOTATION - REVISION #6",IF(Coverage="LL","LIQUOR LIABILITY QUOTATION - REVISION #6",IF(OR(Coverage="GL",Coverage="GL/LL"),"COMMERCIAL GENERAL LIABILITY QUOTATION - REVISION #6","COMMERCIAL GENERAL LIABILITY QUOTATION - REVISION #6"))))</f>
        <v>#NAME?</v>
      </c>
      <c r="DN7" t="e">
        <f>IF(Coverage="P/CO","PRODUCTS/COMPLETED OPERATIONS LIABILITY BINDER - REVISION #6",IF(Coverage="OCP","OWNERS AND CONTRACTORS PROTECTIVE LIABILITY BINDER - REVISION #6",IF(Coverage="LL","LIQUOR LIABILITY BINDER - REVISION #6",IF(OR(Coverage="GL",Coverage="GL/LL"),"COMMERCIAL GENERAL LIABILITY BINDER - REVISION #6","COMMERCIAL GENERAL LIABILITY BINDER - REVISION #6"))))</f>
        <v>#NAME?</v>
      </c>
      <c r="DQ7" t="s">
        <v>1971</v>
      </c>
      <c r="DR7" t="e">
        <f t="shared" si="0"/>
        <v>#REF!</v>
      </c>
      <c r="DS7" t="e">
        <f>IF(OR(#REF!="x",#REF!="x",#REF!="x",#REF!="x",#REF!="x",),"Total Policy Aggregate:","")</f>
        <v>#REF!</v>
      </c>
    </row>
    <row r="8" spans="1:124">
      <c r="A8" s="15" t="s">
        <v>151</v>
      </c>
      <c r="B8" s="68">
        <v>4.75</v>
      </c>
      <c r="C8" s="3" t="s">
        <v>292</v>
      </c>
      <c r="D8" s="4" t="s">
        <v>141</v>
      </c>
      <c r="E8" s="5" t="s">
        <v>116</v>
      </c>
      <c r="F8" s="10">
        <v>2000000</v>
      </c>
      <c r="G8" s="2">
        <v>0.2</v>
      </c>
      <c r="K8" s="14" t="s">
        <v>18</v>
      </c>
      <c r="M8" s="3"/>
      <c r="T8" s="5" t="s">
        <v>182</v>
      </c>
      <c r="U8" t="s">
        <v>226</v>
      </c>
      <c r="X8" s="15" t="s">
        <v>151</v>
      </c>
      <c r="Y8" s="16">
        <v>0.495</v>
      </c>
      <c r="AA8" s="18">
        <v>91600</v>
      </c>
      <c r="AB8" s="18" t="s">
        <v>236</v>
      </c>
      <c r="AC8" s="16">
        <v>0.64400000000000002</v>
      </c>
      <c r="AF8" s="3" t="s">
        <v>331</v>
      </c>
      <c r="AG8" s="3">
        <v>1E-3</v>
      </c>
      <c r="AH8" s="3" t="s">
        <v>330</v>
      </c>
      <c r="AI8" s="21" t="s">
        <v>595</v>
      </c>
      <c r="AJ8" s="55" t="e">
        <f>IF('NOTES &amp; RATING'!#REF!="","",(HLOOKUP('NOTES &amp; RATING'!#REF!,'NOTES &amp; RATING'!I17:AA22,3,FALSE)))</f>
        <v>#REF!</v>
      </c>
      <c r="AS8" s="63" t="s">
        <v>151</v>
      </c>
      <c r="AT8" s="3" t="s">
        <v>388</v>
      </c>
      <c r="AU8" s="15" t="s">
        <v>444</v>
      </c>
      <c r="AW8" s="15" t="s">
        <v>151</v>
      </c>
      <c r="AX8" s="15" t="s">
        <v>496</v>
      </c>
      <c r="AY8" s="3">
        <v>0</v>
      </c>
      <c r="BC8" s="3" t="s">
        <v>631</v>
      </c>
      <c r="BE8" t="s">
        <v>479</v>
      </c>
      <c r="BH8" s="15" t="s">
        <v>186</v>
      </c>
      <c r="BI8" s="15" t="s">
        <v>163</v>
      </c>
      <c r="BJ8" s="15" t="s">
        <v>181</v>
      </c>
      <c r="BK8" s="15" t="s">
        <v>239</v>
      </c>
      <c r="BM8" s="15" t="s">
        <v>182</v>
      </c>
      <c r="BN8" s="77">
        <v>150</v>
      </c>
      <c r="BO8" s="77">
        <f>IF(Policy_Premium="",250,IF(AND(0.05*#REF!&gt;250,0.05*#REF!&lt;501),0.05*#REF!,IF(0.05*#REF!&gt;500,500,250)))</f>
        <v>250</v>
      </c>
      <c r="CA8" s="88" t="str">
        <f>IF('LOSS EVALUATION'!L11="","",'LOSS EVALUATION'!A11&amp;":  "&amp;DOLLAR('LOSS EVALUATION'!L11,0))</f>
        <v/>
      </c>
      <c r="CB8" t="str">
        <f t="shared" si="1"/>
        <v>Blank</v>
      </c>
      <c r="CD8" t="s">
        <v>701</v>
      </c>
      <c r="CE8" s="57" t="e">
        <f>IF(OR(VariableLimit1="Designated Construction Projects General Aggregate:",VariableLimit2="Designated Construction Projects General Aggregate:",VariableLimit3="Designated Construction Projects General Aggregate:"),"Per Project Coverage, ","")</f>
        <v>#REF!</v>
      </c>
      <c r="CF8" s="92" t="s">
        <v>714</v>
      </c>
      <c r="CG8" t="e">
        <f>IF(LEN(CG7)&gt;2,LEFT(CG7,LEN(CG7)-2),CG7)</f>
        <v>#REF!</v>
      </c>
      <c r="CK8" t="e">
        <f>IF(CK1&lt;&gt;"",CK1,IF(CK2&lt;&gt;"",CK2,IF(CK3&lt;&gt;"",CK3,IF(OR(CK4&lt;&gt;"",CK5&lt;&gt;"",CK6&lt;&gt;""),CK4&amp;CK5&amp;CK6,IF(CK7&lt;&gt;"",CK7,"")))))</f>
        <v>#NAME?</v>
      </c>
      <c r="CM8" s="102"/>
      <c r="CR8" s="103">
        <v>42354</v>
      </c>
      <c r="CS8" s="103">
        <v>42384</v>
      </c>
      <c r="CT8" t="str">
        <f>IF(AND(EffectiveDate&gt;=CR8,EffectiveDate&lt;=CS8),"1/16","")</f>
        <v/>
      </c>
      <c r="CX8" t="s">
        <v>59</v>
      </c>
      <c r="CY8" t="e">
        <f>IF(Misc_Info!CG10="","",Misc_Info!CG10)</f>
        <v>#REF!</v>
      </c>
      <c r="DB8" s="15" t="s">
        <v>151</v>
      </c>
      <c r="DC8" t="s">
        <v>496</v>
      </c>
      <c r="DG8" t="s">
        <v>1803</v>
      </c>
      <c r="DH8" s="3" t="s">
        <v>1805</v>
      </c>
      <c r="DJ8" s="199" t="s">
        <v>497</v>
      </c>
      <c r="DM8" t="e">
        <f>IF(Coverage="P/CO","PRODUCTS/COMPLETED OPERATIONS LIABILITY QUOTATION - REVISION #7",IF(Coverage="OCP","OWNERS AND CONTRACTORS PROTECTIVE LIABILITY QUOTATION - REVISION #7",IF(Coverage="LL","LIQUOR LIABILITY QUOTATION - REVISION #7",IF(OR(Coverage="GL",Coverage="GL/LL"),"COMMERCIAL GENERAL LIABILITY QUOTATION - REVISION #7","COMMERCIAL GENERAL LIABILITY QUOTATION - REVISION #7"))))</f>
        <v>#NAME?</v>
      </c>
      <c r="DN8" t="e">
        <f>IF(Coverage="P/CO","PRODUCTS/COMPLETED OPERATIONS LIABILITY BINDER - REVISION #7",IF(Coverage="OCP","OWNERS AND CONTRACTORS PROTECTIVE LIABILITY BINDER - REVISION #7",IF(Coverage="LL","LIQUOR LIABILITY BINDER - REVISION #7",IF(OR(Coverage="GL",Coverage="GL/LL"),"COMMERCIAL GENERAL LIABILITY BINDER - REVISION #7","COMMERCIAL GENERAL LIABILITY BINDER - REVISION #7"))))</f>
        <v>#NAME?</v>
      </c>
    </row>
    <row r="9" spans="1:124">
      <c r="A9" s="15" t="s">
        <v>175</v>
      </c>
      <c r="B9" s="68">
        <v>10.25</v>
      </c>
      <c r="C9" s="3" t="s">
        <v>293</v>
      </c>
      <c r="D9" s="4" t="s">
        <v>3</v>
      </c>
      <c r="E9" s="5" t="s">
        <v>117</v>
      </c>
      <c r="G9" s="2">
        <v>0.25</v>
      </c>
      <c r="K9" s="14" t="s">
        <v>19</v>
      </c>
      <c r="T9" s="5" t="s">
        <v>151</v>
      </c>
      <c r="U9" t="s">
        <v>226</v>
      </c>
      <c r="X9" s="15" t="s">
        <v>175</v>
      </c>
      <c r="Y9" s="16">
        <v>0.4</v>
      </c>
      <c r="AA9" s="18">
        <v>94444</v>
      </c>
      <c r="AB9" s="18" t="s">
        <v>236</v>
      </c>
      <c r="AC9" s="16">
        <v>0.64400000000000002</v>
      </c>
      <c r="AF9" s="3" t="s">
        <v>332</v>
      </c>
      <c r="AG9" s="3">
        <v>1</v>
      </c>
      <c r="AH9" s="3" t="s">
        <v>339</v>
      </c>
      <c r="AI9" s="21" t="s">
        <v>596</v>
      </c>
      <c r="AJ9" s="55" t="e">
        <f>IF(OR(AJ8="",AJ8=0),"",AJ8)</f>
        <v>#REF!</v>
      </c>
      <c r="AS9" s="63" t="s">
        <v>175</v>
      </c>
      <c r="AT9" s="3" t="s">
        <v>442</v>
      </c>
      <c r="AU9" s="15" t="s">
        <v>443</v>
      </c>
      <c r="AW9" s="15" t="s">
        <v>175</v>
      </c>
      <c r="AX9" s="15" t="s">
        <v>497</v>
      </c>
      <c r="AY9" s="3">
        <v>9</v>
      </c>
      <c r="BC9" t="s">
        <v>252</v>
      </c>
      <c r="BH9" s="15" t="s">
        <v>171</v>
      </c>
      <c r="BI9" s="15" t="s">
        <v>161</v>
      </c>
      <c r="BJ9" s="15" t="s">
        <v>148</v>
      </c>
      <c r="BK9" s="15" t="s">
        <v>615</v>
      </c>
      <c r="BM9" s="15" t="s">
        <v>151</v>
      </c>
      <c r="BN9" s="77">
        <v>150</v>
      </c>
      <c r="BO9" s="77">
        <v>1000000</v>
      </c>
      <c r="BQ9" t="s">
        <v>1961</v>
      </c>
      <c r="BT9" t="s">
        <v>1213</v>
      </c>
      <c r="CA9" s="88"/>
      <c r="CD9" t="s">
        <v>702</v>
      </c>
      <c r="CE9" s="57" t="e">
        <f>IF(OR(VariableLimit1="Designated Locations General Aggregate:",VariableLimit2="Designated Locations General Aggregate:",VariableLimit3="Designated Locations General Aggregate:"),"Per Location Coverage, ","")</f>
        <v>#REF!</v>
      </c>
      <c r="CF9" s="92" t="s">
        <v>712</v>
      </c>
      <c r="CG9" t="e">
        <f>IF(RIGHT(CG7,2)=", ","Yes","No")</f>
        <v>#REF!</v>
      </c>
      <c r="CM9" s="102"/>
      <c r="CR9" s="103">
        <v>42385</v>
      </c>
      <c r="CS9" s="103">
        <v>42415</v>
      </c>
      <c r="CT9" t="str">
        <f>IF(AND(EffectiveDate&gt;=CR9,EffectiveDate&lt;=CS9),"2/16","")</f>
        <v/>
      </c>
      <c r="CU9" t="s">
        <v>1219</v>
      </c>
      <c r="CV9" t="e">
        <f>IF(AND(Rating3Type="Flat Charge",OR(Rating3Premium="",Rating3Premium=0)),"",IF(Rating3Type="Flat Charge","Flat Charge:  "&amp;DOLLAR(Rating3Premium,0)&amp;IF(Rating3Notes="",""," ("&amp;Rating3Notes&amp;")"),""))</f>
        <v>#REF!</v>
      </c>
      <c r="CX9" t="s">
        <v>1511</v>
      </c>
      <c r="CY9" t="str">
        <f>IF(Attachment="","",Retention&amp;"  "&amp;DOLLAR(Attachment,0))</f>
        <v>Min. Earned At Inception:  $0</v>
      </c>
      <c r="DB9" s="15" t="s">
        <v>175</v>
      </c>
      <c r="DC9" t="s">
        <v>497</v>
      </c>
      <c r="DG9" t="s">
        <v>1814</v>
      </c>
      <c r="DH9" t="s">
        <v>1815</v>
      </c>
      <c r="DJ9" s="199" t="s">
        <v>496</v>
      </c>
    </row>
    <row r="10" spans="1:124">
      <c r="A10" s="15" t="s">
        <v>158</v>
      </c>
      <c r="B10" s="68">
        <v>7</v>
      </c>
      <c r="C10" s="3" t="s">
        <v>294</v>
      </c>
      <c r="D10" s="4" t="s">
        <v>144</v>
      </c>
      <c r="E10" s="5" t="s">
        <v>5</v>
      </c>
      <c r="G10" s="2">
        <v>0.3</v>
      </c>
      <c r="K10" s="14" t="s">
        <v>20</v>
      </c>
      <c r="T10" s="5" t="s">
        <v>175</v>
      </c>
      <c r="X10" s="15" t="s">
        <v>158</v>
      </c>
      <c r="Y10" s="16">
        <v>0.79200000000000004</v>
      </c>
      <c r="AA10" s="18">
        <v>98677</v>
      </c>
      <c r="AB10" s="18" t="s">
        <v>237</v>
      </c>
      <c r="AC10" s="16">
        <v>0.505</v>
      </c>
      <c r="AF10" s="3" t="s">
        <v>644</v>
      </c>
      <c r="AG10" s="3">
        <v>1</v>
      </c>
      <c r="AH10" s="3" t="s">
        <v>645</v>
      </c>
      <c r="AI10" s="21" t="s">
        <v>597</v>
      </c>
      <c r="AJ10" s="55" t="e">
        <f>IF('NOTES &amp; RATING'!#REF!="","",(HLOOKUP('NOTES &amp; RATING'!#REF!,'NOTES &amp; RATING'!I17:AA22,4,FALSE)))</f>
        <v>#REF!</v>
      </c>
      <c r="AS10" s="63" t="s">
        <v>158</v>
      </c>
      <c r="AT10" s="3" t="s">
        <v>389</v>
      </c>
      <c r="AU10" s="3" t="s">
        <v>435</v>
      </c>
      <c r="AW10" s="15" t="s">
        <v>158</v>
      </c>
      <c r="AX10" s="15" t="s">
        <v>498</v>
      </c>
      <c r="AY10" s="3">
        <v>3</v>
      </c>
      <c r="BC10" t="s">
        <v>140</v>
      </c>
      <c r="BH10" s="15" t="s">
        <v>180</v>
      </c>
      <c r="BI10" s="15" t="s">
        <v>160</v>
      </c>
      <c r="BJ10" s="15" t="s">
        <v>147</v>
      </c>
      <c r="BM10" s="15" t="s">
        <v>175</v>
      </c>
      <c r="BN10" s="77">
        <v>150</v>
      </c>
      <c r="BO10" s="77">
        <v>1000000</v>
      </c>
      <c r="BQ10" t="s">
        <v>594</v>
      </c>
      <c r="BR10" s="57" t="str">
        <f>IF(ChosenState="Arkansas (AR)",Policy_Premium,"")</f>
        <v/>
      </c>
      <c r="BT10" t="s">
        <v>1225</v>
      </c>
      <c r="CA10" t="s">
        <v>692</v>
      </c>
      <c r="CD10" t="s">
        <v>703</v>
      </c>
      <c r="CE10" s="57" t="e">
        <f>IF(OR(VariableLimit1="Designated Event General Aggregate:",VariableLimit2="Designated Event General Aggregate:",VariableLimit3="Designated Event General Aggregate:"),"Per Event Coverage, ","")</f>
        <v>#REF!</v>
      </c>
      <c r="CF10" s="92" t="s">
        <v>711</v>
      </c>
      <c r="CG10" t="e">
        <f>IF(CG9="No",CG7,CG8)</f>
        <v>#REF!</v>
      </c>
      <c r="CM10" s="69" t="s">
        <v>730</v>
      </c>
      <c r="CR10" s="103">
        <v>42416</v>
      </c>
      <c r="CS10" s="103">
        <v>42444</v>
      </c>
      <c r="CT10" t="str">
        <f>IF(AND(EffectiveDate&gt;=CR10,EffectiveDate&lt;=CS10),"3/16","")</f>
        <v/>
      </c>
      <c r="CV10" t="e">
        <f>IF(CV9="","",IF(AND(Rating3Type="Flat Charge",Rating3ExposureBasis&lt;&gt;"",Rating3ExposureAmount&lt;&gt;"",Rating3ExposureAmount&gt;0)," ("&amp;Rating3ExposureBasis&amp;":  "&amp;IF(VLOOKUP(Rating3ExposureBasis,CFExp,2,FALSE)=1,DOLLAR(Rating3ExposureAmount,0),FIXED(Rating3ExposureAmount,0,FALSE))&amp;")",""))</f>
        <v>#REF!</v>
      </c>
      <c r="CX10" t="s">
        <v>1512</v>
      </c>
      <c r="CY10" t="str">
        <f>IF(OR(Policy_Premium="",Policy_Premium=0),"",CM14)</f>
        <v/>
      </c>
      <c r="DB10" s="15" t="s">
        <v>158</v>
      </c>
      <c r="DC10" t="s">
        <v>498</v>
      </c>
      <c r="DJ10" s="199" t="s">
        <v>498</v>
      </c>
    </row>
    <row r="11" spans="1:124">
      <c r="A11" s="15" t="s">
        <v>155</v>
      </c>
      <c r="B11" s="68">
        <v>7.75</v>
      </c>
      <c r="E11" s="5" t="s">
        <v>103</v>
      </c>
      <c r="F11" t="s">
        <v>226</v>
      </c>
      <c r="G11" s="2">
        <v>0.35</v>
      </c>
      <c r="K11" s="14" t="s">
        <v>21</v>
      </c>
      <c r="T11" s="5" t="s">
        <v>158</v>
      </c>
      <c r="X11" s="15" t="s">
        <v>155</v>
      </c>
      <c r="Y11" s="16">
        <v>0.60199999999999998</v>
      </c>
      <c r="AA11" s="18">
        <v>98678</v>
      </c>
      <c r="AB11" s="18" t="s">
        <v>237</v>
      </c>
      <c r="AC11" s="16">
        <v>0.505</v>
      </c>
      <c r="AF11" s="3" t="s">
        <v>661</v>
      </c>
      <c r="AG11" s="3">
        <v>1</v>
      </c>
      <c r="AH11" s="3" t="s">
        <v>662</v>
      </c>
      <c r="AI11" s="21" t="s">
        <v>598</v>
      </c>
      <c r="AJ11" s="55" t="e">
        <f>IF(OR(AJ10="",AJ10=0),"",AJ10)</f>
        <v>#REF!</v>
      </c>
      <c r="AS11" s="63" t="s">
        <v>155</v>
      </c>
      <c r="AT11" s="3" t="s">
        <v>390</v>
      </c>
      <c r="AU11" s="15" t="s">
        <v>444</v>
      </c>
      <c r="AW11" s="15" t="s">
        <v>155</v>
      </c>
      <c r="AX11" s="15" t="s">
        <v>499</v>
      </c>
      <c r="AY11" s="3">
        <v>4</v>
      </c>
      <c r="BC11" t="s">
        <v>244</v>
      </c>
      <c r="BH11" s="15" t="s">
        <v>173</v>
      </c>
      <c r="BI11" s="15" t="s">
        <v>183</v>
      </c>
      <c r="BJ11" s="15" t="s">
        <v>190</v>
      </c>
      <c r="BM11" s="15" t="s">
        <v>158</v>
      </c>
      <c r="BN11" s="77">
        <v>35</v>
      </c>
      <c r="BO11" s="77">
        <v>35</v>
      </c>
      <c r="BQ11" t="s">
        <v>649</v>
      </c>
      <c r="BR11" s="57" t="str">
        <f>IF(ChosenState="Arkansas (AR)",0.2*BR10,"")</f>
        <v/>
      </c>
      <c r="BT11" t="s">
        <v>1226</v>
      </c>
      <c r="CA11" s="69" t="str">
        <f>CONCATENATE(IF(CA1&lt;&gt;"",CA1 &amp; ";  ",""),IF(CA2&lt;&gt;"",CA2 &amp; ";  ",""),IF(CA3&lt;&gt;"",CA3 &amp; ";  ",""),IF(CA4&lt;&gt;"",CA4 &amp; ";  ",""),IF(CA5&lt;&gt;"",CA5 &amp; ";  ",""),IF(CA6&lt;&gt;"",CA6 &amp; ";  ",""),IF(CA7&lt;&gt;"",CA7 &amp; ";  ",""),IF(CA8&lt;&gt;"",CA8,""))</f>
        <v/>
      </c>
      <c r="CD11" t="s">
        <v>704</v>
      </c>
      <c r="CE11" s="57" t="e">
        <f>IF(OR(VariableLimit1="Total Policy Aggregate:",VariableLimit2="Total Policy Aggregate:",VariableLimit3="Total Policy Aggregate:"),VLOOKUP("Total Policy Aggregate:",VariableLimits,4,FALSE)&amp;" Policy Aggregate ","")</f>
        <v>#REF!</v>
      </c>
      <c r="CI11" t="s">
        <v>727</v>
      </c>
      <c r="CM11" s="69" t="e">
        <f>CONCATENATE(IF(CM1&lt;&gt;"",CM1 &amp; ";  ",""),IF(CM2&lt;&gt;"",CM2 &amp; ";  ",""),IF(CM3&lt;&gt;"",CM3 &amp; ";  ",""),IF(CM4&lt;&gt;"",CM4 &amp; ";  ",""),IF(CM5&lt;&gt;"",CM5 &amp; ";  ",""))</f>
        <v>#REF!</v>
      </c>
      <c r="CR11" s="103">
        <v>42445</v>
      </c>
      <c r="CS11" s="103">
        <v>42475</v>
      </c>
      <c r="CT11" t="str">
        <f>IF(AND(EffectiveDate&gt;=CR11,EffectiveDate&lt;=CS11),"4/16","")</f>
        <v/>
      </c>
      <c r="CU11" t="s">
        <v>1217</v>
      </c>
      <c r="CV11" t="e">
        <f>CV9&amp;CV10</f>
        <v>#REF!</v>
      </c>
      <c r="CX11" t="s">
        <v>1514</v>
      </c>
      <c r="CY11" t="str">
        <f>IF(AND(Policy_Premium="",Rackley_Premium=""),"Premium:  ",IF(AND(Policy_Premium="",Rackley_Premium&lt;&gt;""),"ISO Premium:  "&amp;DOLLAR(Rackley_Premium,0),IF(AND(Policy_Premium&lt;&gt;"",Rackley_Premium=""),"Proposed Premium:  "&amp;DOLLAR(Policy_Premium,0),"ISO Premium:  "&amp;DOLLAR(Rackley_Premium,0)&amp;".  Proposed Premium:  "&amp;DOLLAR(Policy_Premium,0)&amp;" ("&amp;TEXT('NOTES &amp; RATING'!#REF!,"0.00%")&amp;" Of ISO).")))</f>
        <v xml:space="preserve">Premium:  </v>
      </c>
      <c r="DB11" s="15" t="s">
        <v>155</v>
      </c>
      <c r="DC11" t="s">
        <v>499</v>
      </c>
      <c r="DJ11" s="199" t="s">
        <v>499</v>
      </c>
    </row>
    <row r="12" spans="1:124">
      <c r="A12" s="15" t="s">
        <v>176</v>
      </c>
      <c r="B12" s="68">
        <v>9.5</v>
      </c>
      <c r="E12" s="5" t="s">
        <v>108</v>
      </c>
      <c r="G12" s="2">
        <v>0.4</v>
      </c>
      <c r="K12" s="14" t="s">
        <v>22</v>
      </c>
      <c r="M12" t="s">
        <v>89</v>
      </c>
      <c r="N12">
        <v>0</v>
      </c>
      <c r="O12" t="s">
        <v>88</v>
      </c>
      <c r="T12" s="5" t="s">
        <v>155</v>
      </c>
      <c r="U12" t="s">
        <v>226</v>
      </c>
      <c r="X12" s="15" t="s">
        <v>176</v>
      </c>
      <c r="Y12" s="16">
        <v>0.45</v>
      </c>
      <c r="AA12" s="18">
        <v>11248</v>
      </c>
      <c r="AB12" s="18" t="s">
        <v>238</v>
      </c>
      <c r="AC12" s="16">
        <v>0.33300000000000002</v>
      </c>
      <c r="AF12" s="3" t="s">
        <v>333</v>
      </c>
      <c r="AG12" s="3">
        <v>1</v>
      </c>
      <c r="AH12" s="3" t="s">
        <v>340</v>
      </c>
      <c r="AI12" s="21" t="s">
        <v>600</v>
      </c>
      <c r="AJ12" s="55" t="e">
        <f>IF('NOTES &amp; RATING'!#REF!="","",(HLOOKUP('NOTES &amp; RATING'!#REF!,'NOTES &amp; RATING'!I17:AA22,5,FALSE)))</f>
        <v>#REF!</v>
      </c>
      <c r="AS12" s="63" t="s">
        <v>176</v>
      </c>
      <c r="AT12" s="3" t="s">
        <v>428</v>
      </c>
      <c r="AU12" s="3" t="s">
        <v>435</v>
      </c>
      <c r="AW12" s="15" t="s">
        <v>176</v>
      </c>
      <c r="AX12" s="15" t="s">
        <v>500</v>
      </c>
      <c r="AY12" s="3">
        <v>7</v>
      </c>
      <c r="BC12" t="s">
        <v>299</v>
      </c>
      <c r="BH12" s="15" t="s">
        <v>191</v>
      </c>
      <c r="BI12" s="15" t="s">
        <v>166</v>
      </c>
      <c r="BJ12" s="15" t="s">
        <v>447</v>
      </c>
      <c r="BM12" s="15" t="s">
        <v>155</v>
      </c>
      <c r="BN12" s="77">
        <v>150</v>
      </c>
      <c r="BO12" s="77">
        <v>1000000</v>
      </c>
      <c r="BQ12" t="s">
        <v>652</v>
      </c>
      <c r="BR12" s="57" t="str">
        <f>IF(ChosenState="Arkansas (AR)",Commission*Policy_Premium,"")</f>
        <v/>
      </c>
      <c r="BT12" t="s">
        <v>1209</v>
      </c>
      <c r="CA12" s="89"/>
      <c r="CD12" t="s">
        <v>709</v>
      </c>
      <c r="CE12" s="90" t="e">
        <f>IF(OR(CE11="$5,000,000 Policy Aggregate",CE11="5000000 Policy Aggregate",CE11="$5,000,000 Policy Aggregate ",CE11="5000000 Policy Aggregate "),"$5M Policy Aggregate",IF(OR(CE11="$10,000,000 Policy Aggregate",CE11="10000000 Policy Aggregate",CE11="$10,000,000 Policy Aggregate ",CE11="10000000 Policy Aggregate "),"$10M Policy Aggregate",IF(OR(CE11="$3,000,000 Policy Aggregate",CE11="3000000 Policy Aggregate",CE11="$3,000,000 Policy Aggregate ",CE11="3000000 Policy Aggregate "),"$3M Policy Aggregate",CE11)))</f>
        <v>#REF!</v>
      </c>
      <c r="CI12" t="s">
        <v>728</v>
      </c>
      <c r="CM12" s="89"/>
      <c r="CR12" s="103">
        <v>42476</v>
      </c>
      <c r="CS12" s="103">
        <v>42505</v>
      </c>
      <c r="CT12" t="str">
        <f>IF(AND(EffectiveDate&gt;=CR12,EffectiveDate&lt;=CS12),"5/16","")</f>
        <v/>
      </c>
      <c r="CU12" t="s">
        <v>1768</v>
      </c>
      <c r="CV12" t="e">
        <f>IF(Rating3Type="Flat Charge","",IF(OR(Rating3ExposureBasis="",Rating3ExposureAmount="",Rating3Rate="",Rating3Premium=""),"",IF(OR(Rating3Type="Rate",Rating3Type="Back Into Rate"),DOLLAR(Rating3Rate,4)&amp;" "&amp;VLOOKUP(Rating3ExposureBasis,ExposureMatrix,3,FALSE)&amp;" Based On Estimated "&amp;IF(Length="Annual","Annual ","")&amp;Rating3ExposureBasis&amp;" Of "&amp;IF(VLOOKUP(Rating3ExposureBasis,CFExp,2,FALSE)=1,DOLLAR(Rating3ExposureAmount,0),FIXED(Rating3ExposureAmount,0,FALSE))&amp;IF(Rating3Notes="",""," - "&amp;Rating3Notes)&amp;IF(Rating3Premium=0,""," (Premium:  "&amp;DOLLAR(Rating3Premium,0)&amp;")"))))</f>
        <v>#REF!</v>
      </c>
      <c r="CX12" t="s">
        <v>1513</v>
      </c>
      <c r="CY12" t="str">
        <f>IF(New?="","",IF(AND(New?="New",PricingNew=""),"",IF(New?="New",PricingNew,IF(Pricing="","",Pricing))))</f>
        <v/>
      </c>
      <c r="DB12" s="15" t="s">
        <v>176</v>
      </c>
      <c r="DC12" t="s">
        <v>500</v>
      </c>
      <c r="DJ12" s="199" t="s">
        <v>500</v>
      </c>
      <c r="DQ12" s="3" t="s">
        <v>1972</v>
      </c>
      <c r="DR12" t="e">
        <f t="array" ref="DR12">INDEX($DS$1:$DS$7, SMALL(IF($DQ$17=$DR$1:$DR$7, ROW($DR$1:$DR$7)-MIN(ROW($DR$1:$DR$7))+1, ""), ROW(A1)))</f>
        <v>#REF!</v>
      </c>
    </row>
    <row r="13" spans="1:124">
      <c r="A13" s="15" t="s">
        <v>167</v>
      </c>
      <c r="B13" s="68">
        <v>7.75</v>
      </c>
      <c r="C13" s="36" t="s">
        <v>228</v>
      </c>
      <c r="E13" s="5" t="s">
        <v>80</v>
      </c>
      <c r="G13" s="2">
        <v>0.45</v>
      </c>
      <c r="K13" s="14" t="s">
        <v>23</v>
      </c>
      <c r="M13" t="s">
        <v>90</v>
      </c>
      <c r="N13">
        <v>0.15</v>
      </c>
      <c r="O13">
        <v>1500</v>
      </c>
      <c r="T13" s="5" t="s">
        <v>176</v>
      </c>
      <c r="U13" t="s">
        <v>226</v>
      </c>
      <c r="V13" t="s">
        <v>226</v>
      </c>
      <c r="X13" s="15" t="s">
        <v>167</v>
      </c>
      <c r="Y13" s="16">
        <v>0.30199999999999999</v>
      </c>
      <c r="AA13" s="18">
        <v>50015</v>
      </c>
      <c r="AB13" s="18" t="s">
        <v>238</v>
      </c>
      <c r="AC13" s="16">
        <v>0.33300000000000002</v>
      </c>
      <c r="AF13" s="3" t="s">
        <v>334</v>
      </c>
      <c r="AG13" s="3">
        <v>1</v>
      </c>
      <c r="AH13" s="3" t="s">
        <v>341</v>
      </c>
      <c r="AI13" s="21" t="s">
        <v>599</v>
      </c>
      <c r="AJ13" s="55" t="e">
        <f>IF(OR(AJ12="",AJ12=0),"",AJ12)</f>
        <v>#REF!</v>
      </c>
      <c r="AS13" s="63" t="s">
        <v>167</v>
      </c>
      <c r="AT13" s="3" t="s">
        <v>391</v>
      </c>
      <c r="AU13" s="15" t="s">
        <v>444</v>
      </c>
      <c r="AW13" s="15" t="s">
        <v>167</v>
      </c>
      <c r="AX13" s="15" t="s">
        <v>501</v>
      </c>
      <c r="AY13" s="3">
        <v>4</v>
      </c>
      <c r="BC13" t="s">
        <v>58</v>
      </c>
      <c r="BH13" s="15" t="s">
        <v>174</v>
      </c>
      <c r="BI13" s="15" t="s">
        <v>165</v>
      </c>
      <c r="BJ13" s="15" t="s">
        <v>149</v>
      </c>
      <c r="BM13" s="15" t="s">
        <v>176</v>
      </c>
      <c r="BN13" s="77">
        <v>150</v>
      </c>
      <c r="BO13" s="77">
        <v>1000000</v>
      </c>
      <c r="BQ13" t="s">
        <v>454</v>
      </c>
      <c r="BR13" s="57">
        <f>IF(InspectionFee="N/A",0,InspectionFee)</f>
        <v>0</v>
      </c>
      <c r="BT13" t="e">
        <f>IF(OR(Rating2Type="",Rating2ExposureBasis=""),"Class Code ",IF(Rating2ExposureAmount="","Applies To "&amp;Rating2ExposureBasis&amp;" Exceeding ","Applies To "&amp;Rating2ExposureBasis&amp;" Exceeding "&amp;IF('NOTES &amp; RATING'!#REF!=1,DOLLAR(BT15,0),FIXED(BT15,0,FALSE))))</f>
        <v>#REF!</v>
      </c>
      <c r="CA13" t="s">
        <v>693</v>
      </c>
      <c r="CI13" t="s">
        <v>723</v>
      </c>
      <c r="CM13" s="69" t="s">
        <v>731</v>
      </c>
      <c r="CR13" s="103">
        <v>42506</v>
      </c>
      <c r="CS13" s="103">
        <v>42536</v>
      </c>
      <c r="CT13" t="str">
        <f>IF(AND(EffectiveDate&gt;=CR13,EffectiveDate&lt;=CS13),"6/16","")</f>
        <v/>
      </c>
      <c r="CU13" t="s">
        <v>1769</v>
      </c>
      <c r="CV13" t="e">
        <f>IF(Rating3Type="Flat Charge","",IF(OR(Rating3ExposureBasis="",Rating3Rate=""),"",IF(OR(Rating3Type="Rate",Rating3Type="Back Into Rate"),DOLLAR(Rating3Rate,4)&amp;" "&amp;VLOOKUP(Rating3ExposureBasis,ExposureMatrix,3,FALSE)&amp;IF(Rating3Notes="",""," - "&amp;Rating3Notes)&amp;IF(OR(Rating3Premium="",Rating3Premium=0),""," (Premium:  "&amp;DOLLAR(Rating3Premium,0)&amp;")"))))</f>
        <v>#REF!</v>
      </c>
      <c r="CX13" t="s">
        <v>1515</v>
      </c>
      <c r="CY13" t="e">
        <f>IF(AND(Premium_Bucket&lt;&gt;"",Premium_Bucket&lt;&gt;"Select Type",Operations=""),":  "&amp;Premium_Bucket,IF(AND(Premium_Bucket&lt;&gt;"",Premium_Bucket&lt;&gt;"Select Type")," ("&amp;Premium_Bucket&amp;"): ",": "))</f>
        <v>#REF!</v>
      </c>
      <c r="DB13" s="15" t="s">
        <v>167</v>
      </c>
      <c r="DC13" t="s">
        <v>501</v>
      </c>
      <c r="DJ13" s="199" t="s">
        <v>504</v>
      </c>
      <c r="DQ13" s="3" t="s">
        <v>1973</v>
      </c>
      <c r="DR13" t="e">
        <f t="array" ref="DR13">INDEX($DS$1:$DS$7, SMALL(IF($DQ$17=$DR$1:$DR$7, ROW($DR$1:$DR$7)-MIN(ROW($DR$1:$DR$7))+1, ""), ROW(A2)))</f>
        <v>#REF!</v>
      </c>
    </row>
    <row r="14" spans="1:124">
      <c r="A14" s="15" t="s">
        <v>164</v>
      </c>
      <c r="B14" s="68">
        <v>7</v>
      </c>
      <c r="C14" s="36" t="s">
        <v>229</v>
      </c>
      <c r="E14" s="5" t="s">
        <v>84</v>
      </c>
      <c r="G14" s="2">
        <v>0.5</v>
      </c>
      <c r="K14" s="14" t="s">
        <v>24</v>
      </c>
      <c r="M14" t="s">
        <v>91</v>
      </c>
      <c r="N14">
        <v>0.25</v>
      </c>
      <c r="O14">
        <v>5000</v>
      </c>
      <c r="T14" s="5" t="s">
        <v>167</v>
      </c>
      <c r="U14" t="s">
        <v>226</v>
      </c>
      <c r="X14" s="15" t="s">
        <v>164</v>
      </c>
      <c r="Y14" s="16">
        <v>0.54800000000000004</v>
      </c>
      <c r="AA14" s="18">
        <v>50045</v>
      </c>
      <c r="AB14" s="18" t="s">
        <v>238</v>
      </c>
      <c r="AC14" s="16">
        <v>0.33300000000000002</v>
      </c>
      <c r="AF14" s="3" t="s">
        <v>335</v>
      </c>
      <c r="AG14" s="3">
        <v>1</v>
      </c>
      <c r="AH14" s="3" t="s">
        <v>342</v>
      </c>
      <c r="AI14" s="21" t="s">
        <v>601</v>
      </c>
      <c r="AJ14" s="55" t="e">
        <f>IF('NOTES &amp; RATING'!#REF!="","",(HLOOKUP('NOTES &amp; RATING'!#REF!,'NOTES &amp; RATING'!I17:AA22,6,FALSE)))</f>
        <v>#REF!</v>
      </c>
      <c r="AS14" s="63" t="s">
        <v>164</v>
      </c>
      <c r="AT14" s="3" t="s">
        <v>392</v>
      </c>
      <c r="AU14" s="3" t="s">
        <v>435</v>
      </c>
      <c r="AW14" s="15" t="s">
        <v>164</v>
      </c>
      <c r="AX14" s="15" t="s">
        <v>502</v>
      </c>
      <c r="AY14" s="3">
        <v>3</v>
      </c>
      <c r="BC14" t="s">
        <v>455</v>
      </c>
      <c r="BI14" s="15" t="s">
        <v>184</v>
      </c>
      <c r="BM14" s="15" t="s">
        <v>167</v>
      </c>
      <c r="BN14" s="77">
        <v>150</v>
      </c>
      <c r="BO14" s="77">
        <v>1000000</v>
      </c>
      <c r="BQ14" t="s">
        <v>650</v>
      </c>
      <c r="BR14" s="57" t="str">
        <f>IF(OR(BR10="",BR11="",BR12="",BR13=""),"",IF(AND(ChosenState="Arkansas (AR)",BR11-BR12-BR13&lt;0),"Problem",""))</f>
        <v/>
      </c>
      <c r="BT14" t="e">
        <f>IF(BT13="Class Code ","","Class Code ")</f>
        <v>#REF!</v>
      </c>
      <c r="CA14" t="str">
        <f>IF(CA11="","",LEFT(CA11,LEN(CA11)-3))</f>
        <v/>
      </c>
      <c r="CD14" s="96" t="s">
        <v>707</v>
      </c>
      <c r="CI14" t="s">
        <v>724</v>
      </c>
      <c r="CM14" s="69" t="e">
        <f>IF(CM11="","",LEFT(CM11,LEN(CM11)-3))</f>
        <v>#REF!</v>
      </c>
      <c r="CR14" s="103">
        <v>42537</v>
      </c>
      <c r="CS14" s="103">
        <v>42566</v>
      </c>
      <c r="CT14" t="str">
        <f>IF(AND(EffectiveDate&gt;=CR14,EffectiveDate&lt;=CS14),"7/16","")</f>
        <v/>
      </c>
      <c r="CU14" t="s">
        <v>1220</v>
      </c>
      <c r="CV14" s="7" t="e">
        <f>CV11&amp;IF(OR(Rating3ExposureAmount=0,Rating3ExposureAmount=""),CV13,CV12)</f>
        <v>#REF!</v>
      </c>
      <c r="DB14" s="15" t="s">
        <v>164</v>
      </c>
      <c r="DC14" t="s">
        <v>502</v>
      </c>
      <c r="DJ14" s="199" t="s">
        <v>501</v>
      </c>
      <c r="DQ14" s="3" t="s">
        <v>1974</v>
      </c>
      <c r="DR14" t="e">
        <f t="array" ref="DR14">INDEX($DS$1:$DS$7, SMALL(IF($DQ$17=$DR$1:$DR$7, ROW($DR$1:$DR$7)-MIN(ROW($DR$1:$DR$7))+1, ""), ROW(A3)))</f>
        <v>#REF!</v>
      </c>
    </row>
    <row r="15" spans="1:124">
      <c r="A15" s="15" t="s">
        <v>162</v>
      </c>
      <c r="B15" s="68">
        <v>8.25</v>
      </c>
      <c r="C15" s="36" t="s">
        <v>230</v>
      </c>
      <c r="E15" s="5" t="s">
        <v>118</v>
      </c>
      <c r="G15" s="2">
        <v>0.55000000000000004</v>
      </c>
      <c r="K15" s="14" t="s">
        <v>25</v>
      </c>
      <c r="M15" t="s">
        <v>92</v>
      </c>
      <c r="N15">
        <v>0</v>
      </c>
      <c r="O15" t="s">
        <v>88</v>
      </c>
      <c r="T15" s="5" t="s">
        <v>164</v>
      </c>
      <c r="U15" t="s">
        <v>226</v>
      </c>
      <c r="X15" s="15" t="s">
        <v>162</v>
      </c>
      <c r="Y15" s="16">
        <v>1.1120000000000001</v>
      </c>
      <c r="AA15" s="18">
        <v>50911</v>
      </c>
      <c r="AB15" s="18" t="s">
        <v>238</v>
      </c>
      <c r="AC15" s="16">
        <v>0.33300000000000002</v>
      </c>
      <c r="AF15" s="3" t="s">
        <v>336</v>
      </c>
      <c r="AG15" s="3">
        <v>1</v>
      </c>
      <c r="AH15" s="3" t="s">
        <v>343</v>
      </c>
      <c r="AI15" s="21" t="s">
        <v>602</v>
      </c>
      <c r="AJ15" s="55" t="e">
        <f>IF(OR(AJ14="",AJ14=0),"",AJ14)</f>
        <v>#REF!</v>
      </c>
      <c r="AS15" s="63" t="s">
        <v>162</v>
      </c>
      <c r="AT15" s="3" t="s">
        <v>393</v>
      </c>
      <c r="AU15" s="3" t="s">
        <v>433</v>
      </c>
      <c r="AW15" s="15" t="s">
        <v>162</v>
      </c>
      <c r="AX15" s="15" t="s">
        <v>503</v>
      </c>
      <c r="AY15" s="3">
        <v>5</v>
      </c>
      <c r="BC15" t="s">
        <v>479</v>
      </c>
      <c r="BI15" s="15" t="s">
        <v>185</v>
      </c>
      <c r="BM15" s="15" t="s">
        <v>164</v>
      </c>
      <c r="BN15" s="77">
        <v>150</v>
      </c>
      <c r="BO15" s="77">
        <v>1000000</v>
      </c>
      <c r="BT15" s="69" t="e">
        <f>IF(Rating2ExposureBasis="","",VLOOKUP(Rating2ExposureBasis,ExposureRange,7,FALSE))</f>
        <v>#REF!</v>
      </c>
      <c r="CD15" s="96" t="str">
        <f>IF(AND(OR('NOTES &amp; RATING'!BB15="$1,000,000",'NOTES &amp; RATING'!BB15=1000000),OR('NOTES &amp; RATING'!BB13="$2,000,000",'NOTES &amp; RATING'!BB13=2000000),OR(PCO="$2,000,000",PCO=2000000),OR(PIAI="$1,000,000",PIAI=1000000)),"1/2/2/1","")</f>
        <v/>
      </c>
      <c r="CI15" t="s">
        <v>725</v>
      </c>
      <c r="CR15" s="103">
        <v>42567</v>
      </c>
      <c r="CS15" s="103">
        <v>42597</v>
      </c>
      <c r="CT15" t="str">
        <f>IF(AND(EffectiveDate&gt;=CR15,EffectiveDate&lt;=CS15),"8/16","")</f>
        <v/>
      </c>
      <c r="DB15" s="15" t="s">
        <v>162</v>
      </c>
      <c r="DC15" t="s">
        <v>503</v>
      </c>
      <c r="DI15" s="78"/>
      <c r="DJ15" s="199" t="s">
        <v>502</v>
      </c>
      <c r="DQ15" s="3" t="s">
        <v>1975</v>
      </c>
      <c r="DR15" t="e">
        <f t="array" ref="DR15">INDEX($DS$1:$DS$7, SMALL(IF($DQ$17=$DR$1:$DR$7, ROW($DR$1:$DR$7)-MIN(ROW($DR$1:$DR$7))+1, ""), ROW(A4)))</f>
        <v>#REF!</v>
      </c>
    </row>
    <row r="16" spans="1:124">
      <c r="A16" s="15" t="s">
        <v>163</v>
      </c>
      <c r="B16" s="68">
        <v>8.25</v>
      </c>
      <c r="C16" s="56" t="s">
        <v>227</v>
      </c>
      <c r="E16" s="5" t="s">
        <v>69</v>
      </c>
      <c r="G16" s="2">
        <v>0.6</v>
      </c>
      <c r="K16" s="14" t="s">
        <v>26</v>
      </c>
      <c r="T16" s="5" t="s">
        <v>162</v>
      </c>
      <c r="U16" t="s">
        <v>226</v>
      </c>
      <c r="X16" s="15" t="s">
        <v>163</v>
      </c>
      <c r="Y16" s="16">
        <v>0.55200000000000005</v>
      </c>
      <c r="AA16" s="18">
        <v>51116</v>
      </c>
      <c r="AB16" s="18" t="s">
        <v>238</v>
      </c>
      <c r="AC16" s="16">
        <v>0.33300000000000002</v>
      </c>
      <c r="AF16" s="3" t="s">
        <v>337</v>
      </c>
      <c r="AG16" s="3">
        <v>1</v>
      </c>
      <c r="AH16" s="3" t="s">
        <v>344</v>
      </c>
      <c r="AS16" s="63" t="s">
        <v>163</v>
      </c>
      <c r="AT16" s="3" t="s">
        <v>394</v>
      </c>
      <c r="AU16" s="15" t="s">
        <v>444</v>
      </c>
      <c r="AW16" s="15" t="s">
        <v>163</v>
      </c>
      <c r="AX16" s="15" t="s">
        <v>504</v>
      </c>
      <c r="AY16" s="15" t="s">
        <v>540</v>
      </c>
      <c r="BC16" t="s">
        <v>239</v>
      </c>
      <c r="BI16" s="15" t="s">
        <v>187</v>
      </c>
      <c r="BM16" s="15" t="s">
        <v>162</v>
      </c>
      <c r="BN16" s="77">
        <v>150</v>
      </c>
      <c r="BO16" s="77">
        <v>1000000</v>
      </c>
      <c r="CA16" t="s">
        <v>694</v>
      </c>
      <c r="CD16" s="94" t="str">
        <f>IF(AND(OR('NOTES &amp; RATING'!BB15="$1,000,000",'NOTES &amp; RATING'!BB15=1000000),OR('NOTES &amp; RATING'!BB13="$2,000,000",'NOTES &amp; RATING'!BB13=2000000),OR(PCO="$1,000,000",PCO=1000000),OR(PIAI="$1,000,000",PIAI=1000000)),"1/2/1/1","")</f>
        <v/>
      </c>
      <c r="CR16" s="103">
        <v>42598</v>
      </c>
      <c r="CS16" s="103">
        <v>42628</v>
      </c>
      <c r="CT16" t="str">
        <f>IF(AND(EffectiveDate&gt;=CR16,EffectiveDate&lt;=CS16),"9/16","")</f>
        <v/>
      </c>
      <c r="DB16" s="15" t="s">
        <v>163</v>
      </c>
      <c r="DC16" t="s">
        <v>504</v>
      </c>
      <c r="DJ16" s="199" t="s">
        <v>503</v>
      </c>
    </row>
    <row r="17" spans="1:121">
      <c r="A17" s="15" t="s">
        <v>161</v>
      </c>
      <c r="B17" s="68">
        <v>4.75</v>
      </c>
      <c r="C17" s="36" t="s">
        <v>231</v>
      </c>
      <c r="E17" s="5" t="s">
        <v>119</v>
      </c>
      <c r="G17" s="2">
        <v>0.65</v>
      </c>
      <c r="K17" s="14" t="s">
        <v>27</v>
      </c>
      <c r="T17" s="5" t="s">
        <v>163</v>
      </c>
      <c r="X17" s="15" t="s">
        <v>161</v>
      </c>
      <c r="Y17" s="16">
        <v>0.48599999999999999</v>
      </c>
      <c r="AA17" s="18">
        <v>51201</v>
      </c>
      <c r="AB17" s="18" t="s">
        <v>238</v>
      </c>
      <c r="AC17" s="16">
        <v>0.33300000000000002</v>
      </c>
      <c r="AF17" s="3" t="s">
        <v>338</v>
      </c>
      <c r="AG17" s="3">
        <v>1</v>
      </c>
      <c r="AH17" s="3" t="s">
        <v>345</v>
      </c>
      <c r="AI17" s="21" t="s">
        <v>604</v>
      </c>
      <c r="AJ17" s="55" t="e">
        <f>IF(OR(AJ4="",AJ4=0),"",AJ4)</f>
        <v>#REF!</v>
      </c>
      <c r="AS17" s="63" t="s">
        <v>161</v>
      </c>
      <c r="AT17" s="3" t="s">
        <v>415</v>
      </c>
      <c r="AU17" s="15" t="s">
        <v>444</v>
      </c>
      <c r="AW17" s="15" t="s">
        <v>161</v>
      </c>
      <c r="AX17" s="15" t="s">
        <v>505</v>
      </c>
      <c r="AY17" s="3">
        <v>0</v>
      </c>
      <c r="BI17" s="15" t="s">
        <v>156</v>
      </c>
      <c r="BM17" s="15" t="s">
        <v>163</v>
      </c>
      <c r="BN17" s="77">
        <v>150</v>
      </c>
      <c r="BO17" s="77">
        <v>1000000</v>
      </c>
      <c r="BT17" t="s">
        <v>1213</v>
      </c>
      <c r="CA17" s="69">
        <f>COUNTIF(CB1:CB8,"Blank")</f>
        <v>8</v>
      </c>
      <c r="CD17" s="94" t="str">
        <f>IF(AND(OR('NOTES &amp; RATING'!BB15="$1,000,000",'NOTES &amp; RATING'!BB15=1000000),OR('NOTES &amp; RATING'!BB13="$1,000,000",'NOTES &amp; RATING'!BB13=1000000),OR(PCO="$1,000,000",PCO=1000000),OR(PIAI="$1,000,000",PIAI=1000000)),"1/1/1/1","")</f>
        <v/>
      </c>
      <c r="CM17" s="69"/>
      <c r="CR17" s="103">
        <v>42629</v>
      </c>
      <c r="CS17" s="103">
        <v>42658</v>
      </c>
      <c r="CT17" t="str">
        <f>IF(AND(EffectiveDate&gt;=CR17,EffectiveDate&lt;=CS17),"10/16","")</f>
        <v/>
      </c>
      <c r="CU17" t="s">
        <v>1221</v>
      </c>
      <c r="CV17" t="e">
        <f>IF(AND(Rating4Type="Flat Charge",OR(Rating4Premium="",Rating4Premium=0)),"",IF(Rating4Type="Flat Charge","Flat Charge:  "&amp;DOLLAR(Rating4Premium,0)&amp;IF(Rating4Notes="",""," ("&amp;Rating4Notes&amp;")"),""))</f>
        <v>#REF!</v>
      </c>
      <c r="DB17" s="15" t="s">
        <v>161</v>
      </c>
      <c r="DC17" t="s">
        <v>505</v>
      </c>
      <c r="DJ17" s="199" t="s">
        <v>505</v>
      </c>
      <c r="DQ17" t="s">
        <v>446</v>
      </c>
    </row>
    <row r="18" spans="1:121">
      <c r="A18" s="15" t="s">
        <v>160</v>
      </c>
      <c r="B18" s="68">
        <v>7</v>
      </c>
      <c r="C18" s="56" t="s">
        <v>282</v>
      </c>
      <c r="E18" s="5" t="s">
        <v>121</v>
      </c>
      <c r="G18" s="2">
        <v>0.7</v>
      </c>
      <c r="K18" s="14" t="s">
        <v>28</v>
      </c>
      <c r="T18" s="5" t="s">
        <v>161</v>
      </c>
      <c r="U18" t="s">
        <v>226</v>
      </c>
      <c r="X18" s="15" t="s">
        <v>160</v>
      </c>
      <c r="Y18" s="16">
        <v>0.56100000000000005</v>
      </c>
      <c r="AA18" s="18">
        <v>51205</v>
      </c>
      <c r="AB18" s="18" t="s">
        <v>238</v>
      </c>
      <c r="AC18" s="16">
        <v>0.33300000000000002</v>
      </c>
      <c r="AS18" s="63" t="s">
        <v>160</v>
      </c>
      <c r="AT18" s="3" t="s">
        <v>395</v>
      </c>
      <c r="AU18" s="15" t="s">
        <v>444</v>
      </c>
      <c r="AW18" s="15" t="s">
        <v>160</v>
      </c>
      <c r="AX18" s="15" t="s">
        <v>506</v>
      </c>
      <c r="AY18" s="3">
        <v>3</v>
      </c>
      <c r="BI18" s="15" t="s">
        <v>168</v>
      </c>
      <c r="BM18" s="15" t="s">
        <v>161</v>
      </c>
      <c r="BN18" s="77">
        <v>150</v>
      </c>
      <c r="BO18" s="77">
        <v>1000000</v>
      </c>
      <c r="BT18" t="s">
        <v>1225</v>
      </c>
      <c r="CD18" s="94" t="str">
        <f>IF(AND(OR('NOTES &amp; RATING'!BB15="$2,000,000",'NOTES &amp; RATING'!BB15=2000000),OR('NOTES &amp; RATING'!BB13="$2,000,000",'NOTES &amp; RATING'!BB13=2000000),OR(PCO="$2,000,000",PCO=2000000),OR(PIAI="$2,000,000",PIAI=2000000)),"2/2/2/2","")</f>
        <v/>
      </c>
      <c r="CR18" s="103">
        <v>42659</v>
      </c>
      <c r="CS18" s="103">
        <v>42689</v>
      </c>
      <c r="CT18" t="str">
        <f>IF(AND(EffectiveDate&gt;=CR18,EffectiveDate&lt;=CS18),"11/16","")</f>
        <v/>
      </c>
      <c r="CV18" t="e">
        <f>IF(CV17="","",IF(AND(Rating4Type="Flat Charge",Rating4ExposureBasis&lt;&gt;"",Rating4ExposureAmount&lt;&gt;"",Rating4ExposureAmount&gt;0)," ("&amp;Rating4ExposureBasis&amp;":  "&amp;IF(VLOOKUP(Rating4ExposureBasis,CFExp,2,FALSE)=1,DOLLAR(Rating4ExposureAmount,0),FIXED(Rating4ExposureAmount,0,FALSE))&amp;")",""))</f>
        <v>#REF!</v>
      </c>
      <c r="DB18" s="15" t="s">
        <v>160</v>
      </c>
      <c r="DC18" t="s">
        <v>506</v>
      </c>
      <c r="DJ18" s="199" t="s">
        <v>506</v>
      </c>
    </row>
    <row r="19" spans="1:121">
      <c r="A19" s="15" t="s">
        <v>183</v>
      </c>
      <c r="B19" s="68">
        <v>7</v>
      </c>
      <c r="E19" s="5" t="s">
        <v>120</v>
      </c>
      <c r="G19" s="2">
        <v>0.75</v>
      </c>
      <c r="K19" s="14" t="s">
        <v>29</v>
      </c>
      <c r="M19" s="3" t="s">
        <v>377</v>
      </c>
      <c r="N19" s="58" t="e">
        <f>IF(fmUnits="","",HabNumHUD/fmUnits)</f>
        <v>#REF!</v>
      </c>
      <c r="T19" s="5" t="s">
        <v>160</v>
      </c>
      <c r="U19" t="s">
        <v>226</v>
      </c>
      <c r="X19" s="15" t="s">
        <v>183</v>
      </c>
      <c r="Y19" s="16">
        <v>0.65700000000000003</v>
      </c>
      <c r="AA19" s="18">
        <v>51221</v>
      </c>
      <c r="AB19" s="18" t="s">
        <v>238</v>
      </c>
      <c r="AC19" s="16">
        <v>0.33300000000000002</v>
      </c>
      <c r="AS19" s="63" t="s">
        <v>183</v>
      </c>
      <c r="AT19" s="3" t="s">
        <v>429</v>
      </c>
      <c r="AU19" s="3" t="s">
        <v>435</v>
      </c>
      <c r="AW19" s="15" t="s">
        <v>183</v>
      </c>
      <c r="AX19" s="15" t="s">
        <v>507</v>
      </c>
      <c r="AY19" s="3">
        <v>3</v>
      </c>
      <c r="BI19" s="15" t="s">
        <v>188</v>
      </c>
      <c r="BM19" s="15" t="s">
        <v>160</v>
      </c>
      <c r="BN19" s="77">
        <v>150</v>
      </c>
      <c r="BO19" s="77">
        <v>1000000</v>
      </c>
      <c r="BT19" t="s">
        <v>1226</v>
      </c>
      <c r="CA19" t="s">
        <v>695</v>
      </c>
      <c r="CD19" s="94" t="str">
        <f>IF(AND(OR('NOTES &amp; RATING'!BB15="$1,000,000",'NOTES &amp; RATING'!BB15=1000000),OR('NOTES &amp; RATING'!BB13="$2,000,000",'NOTES &amp; RATING'!BB13=2000000),OR(PCO="$2,000,000",PCO=2000000),OR(PIAI="",PIAI="Excluded")),"1/2/2 (PI/AI Excluded)","")</f>
        <v/>
      </c>
      <c r="CR19" s="103">
        <v>42690</v>
      </c>
      <c r="CS19" s="103">
        <v>42719</v>
      </c>
      <c r="CT19" t="str">
        <f>IF(AND(EffectiveDate&gt;=CR19,EffectiveDate&lt;=CS19),"12/16","")</f>
        <v/>
      </c>
      <c r="CU19" t="s">
        <v>1217</v>
      </c>
      <c r="CV19" t="e">
        <f>CV17&amp;CV18</f>
        <v>#REF!</v>
      </c>
      <c r="DB19" s="15" t="s">
        <v>183</v>
      </c>
      <c r="DC19" t="s">
        <v>507</v>
      </c>
      <c r="DJ19" s="199" t="s">
        <v>507</v>
      </c>
    </row>
    <row r="20" spans="1:121">
      <c r="A20" s="15" t="s">
        <v>150</v>
      </c>
      <c r="B20" s="68">
        <v>7.75</v>
      </c>
      <c r="E20" s="5" t="s">
        <v>122</v>
      </c>
      <c r="G20" s="2">
        <v>0.8</v>
      </c>
      <c r="K20" s="14" t="s">
        <v>30</v>
      </c>
      <c r="M20" s="3" t="s">
        <v>378</v>
      </c>
      <c r="N20" s="58" t="e">
        <f>IF(fmUnits="","",HabNum42/fmUnits)</f>
        <v>#REF!</v>
      </c>
      <c r="T20" s="5" t="s">
        <v>183</v>
      </c>
      <c r="X20" s="15" t="s">
        <v>150</v>
      </c>
      <c r="Y20" s="16">
        <v>0.47299999999999998</v>
      </c>
      <c r="AA20" s="18">
        <v>51222</v>
      </c>
      <c r="AB20" s="18" t="s">
        <v>238</v>
      </c>
      <c r="AC20" s="16">
        <v>0.33300000000000002</v>
      </c>
      <c r="AS20" s="63" t="s">
        <v>150</v>
      </c>
      <c r="AT20" s="3" t="s">
        <v>430</v>
      </c>
      <c r="AU20" s="3" t="s">
        <v>435</v>
      </c>
      <c r="AW20" s="15" t="s">
        <v>150</v>
      </c>
      <c r="AX20" s="15" t="s">
        <v>508</v>
      </c>
      <c r="AY20" s="3">
        <v>4</v>
      </c>
      <c r="BI20" s="15" t="s">
        <v>189</v>
      </c>
      <c r="BM20" s="15" t="s">
        <v>183</v>
      </c>
      <c r="BN20" s="77">
        <v>150</v>
      </c>
      <c r="BO20" s="77">
        <v>1000000</v>
      </c>
      <c r="BT20" t="s">
        <v>1209</v>
      </c>
      <c r="CA20" t="str">
        <f>IF(CA17=0,CA11,CA14)</f>
        <v/>
      </c>
      <c r="CD20" s="94" t="str">
        <f>IF(AND(OR('NOTES &amp; RATING'!BB15="$1,000,000",'NOTES &amp; RATING'!BB15=1000000),OR('NOTES &amp; RATING'!BB13="$2,000,000",'NOTES &amp; RATING'!BB13=2000000),OR(PCO="$1,000,000",PCO=1000000),OR(PIAI="",PIAI="Excluded")),"1/2/1 (PI/AI Excluded)","")</f>
        <v/>
      </c>
      <c r="CT20" t="str">
        <f>CONCATENATE(CT1,CT2,CT3,CT4,CT5,CT6,CT7,CT8,CT9,CT10,CT11,CT12,CT13,CT14,CT15,CT16,CT17,CT18,CT19)</f>
        <v/>
      </c>
      <c r="CU20" t="s">
        <v>1768</v>
      </c>
      <c r="CV20" t="e">
        <f>IF(Rating4Type="Flat Charge","",IF(OR(Rating4ExposureBasis="",Rating4ExposureAmount="",Rating4Rate="",Rating4Premium=""),"",IF(OR(Rating4Type="Rate",Rating4Type="Back Into Rate"),DOLLAR(Rating4Rate,4)&amp;" "&amp;VLOOKUP(Rating4ExposureBasis,ExposureMatrix,3,FALSE)&amp;" Based On Estimated "&amp;IF(Length="Annual","Annual ","")&amp;Rating4ExposureBasis&amp;" Of "&amp;IF(VLOOKUP(Rating4ExposureBasis,CFExp,2,FALSE)=1,DOLLAR(Rating4ExposureAmount,0),FIXED(Rating4ExposureAmount,0,FALSE))&amp;IF(Rating4Notes="",""," - "&amp;Rating4Notes)&amp;IF(Rating4Premium=0,""," (Premium:  "&amp;DOLLAR(Rating4Premium,0)&amp;")"))))</f>
        <v>#REF!</v>
      </c>
      <c r="DB20" s="15" t="s">
        <v>150</v>
      </c>
      <c r="DC20" t="s">
        <v>508</v>
      </c>
      <c r="DJ20" s="199" t="s">
        <v>510</v>
      </c>
    </row>
    <row r="21" spans="1:121">
      <c r="A21" s="15" t="s">
        <v>152</v>
      </c>
      <c r="B21" s="68">
        <v>4.75</v>
      </c>
      <c r="C21" t="s">
        <v>448</v>
      </c>
      <c r="E21" s="5" t="s">
        <v>96</v>
      </c>
      <c r="G21" s="2">
        <v>0.85</v>
      </c>
      <c r="K21" s="14" t="s">
        <v>31</v>
      </c>
      <c r="M21" s="3" t="s">
        <v>379</v>
      </c>
      <c r="N21" s="58" t="e">
        <f>IF(fmUnits="","",HabNumSenior/fmUnits)</f>
        <v>#REF!</v>
      </c>
      <c r="T21" s="5" t="s">
        <v>150</v>
      </c>
      <c r="X21" s="15" t="s">
        <v>152</v>
      </c>
      <c r="Y21" s="16">
        <v>0.68</v>
      </c>
      <c r="AA21" s="18">
        <v>51224</v>
      </c>
      <c r="AB21" s="18" t="s">
        <v>238</v>
      </c>
      <c r="AC21" s="16">
        <v>0.33300000000000002</v>
      </c>
      <c r="AS21" s="63" t="s">
        <v>152</v>
      </c>
      <c r="AT21" s="3" t="s">
        <v>396</v>
      </c>
      <c r="AU21" s="15" t="s">
        <v>444</v>
      </c>
      <c r="AW21" s="15" t="s">
        <v>152</v>
      </c>
      <c r="AX21" s="15" t="s">
        <v>509</v>
      </c>
      <c r="AY21" s="3">
        <v>0</v>
      </c>
      <c r="BI21" s="15" t="s">
        <v>157</v>
      </c>
      <c r="BM21" s="15" t="s">
        <v>150</v>
      </c>
      <c r="BN21" s="77">
        <v>150</v>
      </c>
      <c r="BO21" s="77">
        <v>1000000</v>
      </c>
      <c r="BT21" t="e">
        <f>IF(OR(Rating3Type="",Rating3ExposureBasis=""),"Class Code ",IF(Rating3ExposureAmount="","Applies To "&amp;Rating3ExposureBasis&amp;" Exceeding ","Applies To "&amp;Rating3ExposureBasis&amp;" Exceeding "&amp;IF('NOTES &amp; RATING'!#REF!=1,DOLLAR(BT23,0),FIXED(BT23,0,FALSE))))</f>
        <v>#REF!</v>
      </c>
      <c r="CD21" s="94" t="str">
        <f>IF(AND(OR('NOTES &amp; RATING'!BB15="$1,000,000",'NOTES &amp; RATING'!BB15=1000000),OR('NOTES &amp; RATING'!BB13="$1,000,000",'NOTES &amp; RATING'!BB13=1000000),OR(PCO="$1,000,000",PCO=1000000),OR(PIAI="",PIAI="Excluded")),"1/1/1 (PI/AI Excluded)","")</f>
        <v/>
      </c>
      <c r="CU21" t="s">
        <v>1769</v>
      </c>
      <c r="CV21" t="e">
        <f>IF(Rating4Type="Flat Charge","",IF(OR(Rating4ExposureBasis="",Rating4Rate=""),"",IF(OR(Rating4Type="Rate",Rating4Type="Back Into Rate"),DOLLAR(Rating4Rate,4)&amp;" "&amp;VLOOKUP(Rating4ExposureBasis,ExposureMatrix,3,FALSE)&amp;IF(Rating4Notes="",""," - "&amp;Rating4Notes)&amp;IF(OR(Rating4Premium="",Rating4Premium=0),""," (Premium:  "&amp;DOLLAR(Rating4Premium,0)&amp;")"))))</f>
        <v>#REF!</v>
      </c>
      <c r="DB21" s="15" t="s">
        <v>152</v>
      </c>
      <c r="DC21" t="s">
        <v>509</v>
      </c>
      <c r="DJ21" s="199" t="s">
        <v>509</v>
      </c>
    </row>
    <row r="22" spans="1:121">
      <c r="A22" s="8" t="s">
        <v>57</v>
      </c>
      <c r="B22" s="68">
        <v>7.75</v>
      </c>
      <c r="E22" s="5" t="s">
        <v>75</v>
      </c>
      <c r="G22" s="2">
        <v>0.9</v>
      </c>
      <c r="K22" s="14" t="s">
        <v>32</v>
      </c>
      <c r="M22" s="3" t="s">
        <v>380</v>
      </c>
      <c r="N22" s="58" t="e">
        <f>IF(fmUnits="","",HabNumStudent/fmUnits)</f>
        <v>#REF!</v>
      </c>
      <c r="T22" s="5" t="s">
        <v>152</v>
      </c>
      <c r="U22" t="s">
        <v>226</v>
      </c>
      <c r="X22" s="8" t="s">
        <v>57</v>
      </c>
      <c r="Y22" s="16">
        <v>0.79800000000000004</v>
      </c>
      <c r="AA22" s="18">
        <v>51240</v>
      </c>
      <c r="AB22" s="18" t="s">
        <v>238</v>
      </c>
      <c r="AC22" s="16">
        <v>0.33300000000000002</v>
      </c>
      <c r="AF22" s="65"/>
      <c r="AI22" s="21" t="s">
        <v>486</v>
      </c>
      <c r="AJ22" s="67">
        <f>IF('NOTES &amp; RATING'!I17="Gross Sales",fmSales,IF('NOTES &amp; RATING'!R17="Gross Sales",fmPayroll,IF('NOTES &amp; RATING'!AA17="Gross Sales",fmContractCosts,"")))</f>
        <v>0</v>
      </c>
      <c r="AS22" s="64" t="s">
        <v>57</v>
      </c>
      <c r="AT22" s="3" t="s">
        <v>416</v>
      </c>
      <c r="AU22" s="3" t="s">
        <v>433</v>
      </c>
      <c r="AW22" s="8" t="s">
        <v>57</v>
      </c>
      <c r="AX22" s="8" t="s">
        <v>510</v>
      </c>
      <c r="AY22" s="3">
        <v>6</v>
      </c>
      <c r="BI22" s="15" t="s">
        <v>169</v>
      </c>
      <c r="BM22" s="15" t="s">
        <v>152</v>
      </c>
      <c r="BN22" s="77">
        <v>150</v>
      </c>
      <c r="BO22" s="77">
        <v>250</v>
      </c>
      <c r="BT22" t="e">
        <f>IF(BT21="Class Code ","","Class Code ")</f>
        <v>#REF!</v>
      </c>
      <c r="CD22" s="95" t="str">
        <f>IF(AND(OR('NOTES &amp; RATING'!BB15="$2,000,000",'NOTES &amp; RATING'!BB15=2000000),OR('NOTES &amp; RATING'!BB13="$2,000,000",'NOTES &amp; RATING'!BB13=2000000),OR(PCO="$2,000,000",PCO=2000000),OR(PIAI="",PIAI="Excluded")),"2/2/2 (PI/AI Excluded)","")</f>
        <v/>
      </c>
      <c r="CU22" t="s">
        <v>1222</v>
      </c>
      <c r="CV22" s="7" t="e">
        <f>CV19&amp;IF(OR(Rating4ExposureAmount=0,Rating4ExposureAmount=""),CV21,CV20)</f>
        <v>#REF!</v>
      </c>
      <c r="DB22" s="8" t="s">
        <v>57</v>
      </c>
      <c r="DC22" t="s">
        <v>510</v>
      </c>
      <c r="DJ22" s="199" t="s">
        <v>508</v>
      </c>
    </row>
    <row r="23" spans="1:121">
      <c r="A23" s="15" t="s">
        <v>166</v>
      </c>
      <c r="B23" s="68">
        <v>8.25</v>
      </c>
      <c r="E23" s="5" t="s">
        <v>86</v>
      </c>
      <c r="G23" s="2">
        <v>0.95</v>
      </c>
      <c r="K23" s="14" t="s">
        <v>33</v>
      </c>
      <c r="N23" s="58"/>
      <c r="T23" s="6" t="s">
        <v>57</v>
      </c>
      <c r="U23" t="s">
        <v>226</v>
      </c>
      <c r="X23" s="15" t="s">
        <v>166</v>
      </c>
      <c r="Y23" s="16">
        <v>0.76700000000000002</v>
      </c>
      <c r="AA23" s="18">
        <v>51241</v>
      </c>
      <c r="AB23" s="18" t="s">
        <v>238</v>
      </c>
      <c r="AC23" s="16">
        <v>0.33300000000000002</v>
      </c>
      <c r="AI23" s="21" t="s">
        <v>487</v>
      </c>
      <c r="AJ23" s="67">
        <f>IF('NOTES &amp; RATING'!I17="Payroll",fmSales,IF('NOTES &amp; RATING'!R17="Payroll",fmPayroll,IF('NOTES &amp; RATING'!AA17="Payroll",fmContractCosts,"")))</f>
        <v>0</v>
      </c>
      <c r="AS23" s="63" t="s">
        <v>166</v>
      </c>
      <c r="AT23" s="3" t="s">
        <v>397</v>
      </c>
      <c r="AU23" s="3" t="s">
        <v>435</v>
      </c>
      <c r="AW23" s="15" t="s">
        <v>166</v>
      </c>
      <c r="AX23" s="8" t="s">
        <v>511</v>
      </c>
      <c r="AY23" s="3">
        <v>5</v>
      </c>
      <c r="BI23" s="15" t="s">
        <v>159</v>
      </c>
      <c r="BM23" s="8" t="s">
        <v>57</v>
      </c>
      <c r="BN23" s="77">
        <v>150</v>
      </c>
      <c r="BO23" s="77">
        <v>1000000</v>
      </c>
      <c r="BT23" s="69" t="e">
        <f>IF(Rating3ExposureBasis="","",VLOOKUP(Rating3ExposureBasis,ExposureRange,7,FALSE))</f>
        <v>#REF!</v>
      </c>
      <c r="DB23" s="15" t="s">
        <v>166</v>
      </c>
      <c r="DC23" t="s">
        <v>511</v>
      </c>
      <c r="DJ23" s="199" t="s">
        <v>511</v>
      </c>
    </row>
    <row r="24" spans="1:121">
      <c r="A24" s="15" t="s">
        <v>165</v>
      </c>
      <c r="B24" s="68">
        <v>7.75</v>
      </c>
      <c r="E24" s="5" t="s">
        <v>123</v>
      </c>
      <c r="G24" s="2">
        <v>1</v>
      </c>
      <c r="K24" s="14" t="s">
        <v>34</v>
      </c>
      <c r="M24" s="3" t="s">
        <v>381</v>
      </c>
      <c r="N24" s="58" t="e">
        <f>IF(fmUnits="","",HabNumSprink/fmUnits)</f>
        <v>#REF!</v>
      </c>
      <c r="T24" s="5" t="s">
        <v>166</v>
      </c>
      <c r="U24" t="s">
        <v>226</v>
      </c>
      <c r="X24" s="15" t="s">
        <v>165</v>
      </c>
      <c r="Y24" s="16">
        <v>0.45700000000000002</v>
      </c>
      <c r="AA24" s="18">
        <v>51250</v>
      </c>
      <c r="AB24" s="18" t="s">
        <v>238</v>
      </c>
      <c r="AC24" s="16">
        <v>0.33300000000000002</v>
      </c>
      <c r="AF24" t="s">
        <v>285</v>
      </c>
      <c r="AG24" s="65">
        <f>DATE(YEAR(EffectiveDate),MONTH(EffectiveDate),DAY(EffectiveDate)+1)</f>
        <v>1</v>
      </c>
      <c r="AI24" s="21" t="s">
        <v>583</v>
      </c>
      <c r="AJ24" s="69" t="str">
        <f>IF('NOTES &amp; RATING'!I17="Acres",fmSales,IF('NOTES &amp; RATING'!R17="Acres",fmPayroll,IF('NOTES &amp; RATING'!AA17="Acres",fmContractCosts,"")))</f>
        <v/>
      </c>
      <c r="AS24" s="63" t="s">
        <v>165</v>
      </c>
      <c r="AT24" s="3" t="s">
        <v>398</v>
      </c>
      <c r="AU24" s="15" t="s">
        <v>444</v>
      </c>
      <c r="AW24" s="15" t="s">
        <v>165</v>
      </c>
      <c r="AX24" s="8" t="s">
        <v>512</v>
      </c>
      <c r="AY24" s="3">
        <v>4</v>
      </c>
      <c r="BI24" s="15" t="s">
        <v>179</v>
      </c>
      <c r="BM24" s="15" t="s">
        <v>166</v>
      </c>
      <c r="BN24" s="77">
        <v>150</v>
      </c>
      <c r="BO24" s="77">
        <v>1000000</v>
      </c>
      <c r="DB24" s="15" t="s">
        <v>165</v>
      </c>
      <c r="DC24" t="s">
        <v>512</v>
      </c>
      <c r="DJ24" s="199" t="s">
        <v>512</v>
      </c>
    </row>
    <row r="25" spans="1:121">
      <c r="A25" s="15" t="s">
        <v>184</v>
      </c>
      <c r="B25" s="68">
        <v>7.75</v>
      </c>
      <c r="E25" s="5" t="s">
        <v>124</v>
      </c>
      <c r="K25" s="14" t="s">
        <v>35</v>
      </c>
      <c r="M25" s="3" t="s">
        <v>382</v>
      </c>
      <c r="N25" s="58" t="e">
        <f>IF(fmUnits="","",HabNumAluminum/fmUnits)</f>
        <v>#REF!</v>
      </c>
      <c r="T25" s="5" t="s">
        <v>165</v>
      </c>
      <c r="U25" t="s">
        <v>226</v>
      </c>
      <c r="X25" s="15" t="s">
        <v>184</v>
      </c>
      <c r="Y25" s="16">
        <v>0.83599999999999997</v>
      </c>
      <c r="AA25" s="18">
        <v>51251</v>
      </c>
      <c r="AB25" s="18" t="s">
        <v>238</v>
      </c>
      <c r="AC25" s="16">
        <v>0.33300000000000002</v>
      </c>
      <c r="AF25" t="s">
        <v>286</v>
      </c>
      <c r="AG25" s="65">
        <f>DATE(YEAR(EffectiveDate),MONTH(EffectiveDate)+1,DAY(EffectiveDate))</f>
        <v>31</v>
      </c>
      <c r="AI25" s="21" t="s">
        <v>584</v>
      </c>
      <c r="AJ25" s="69" t="str">
        <f>IF('NOTES &amp; RATING'!I17="Dwellings",fmSales,IF('NOTES &amp; RATING'!R17="Dwellings",fmPayroll,IF('NOTES &amp; RATING'!AA17="Dwellings",fmContractCosts,"")))</f>
        <v/>
      </c>
      <c r="AS25" s="63" t="s">
        <v>184</v>
      </c>
      <c r="AT25" s="3" t="s">
        <v>417</v>
      </c>
      <c r="AU25" s="3" t="s">
        <v>436</v>
      </c>
      <c r="AW25" s="15" t="s">
        <v>184</v>
      </c>
      <c r="AX25" s="8" t="s">
        <v>513</v>
      </c>
      <c r="AY25" s="3">
        <v>4</v>
      </c>
      <c r="BI25" s="15" t="s">
        <v>154</v>
      </c>
      <c r="BM25" s="15" t="s">
        <v>165</v>
      </c>
      <c r="BN25" s="77">
        <v>150</v>
      </c>
      <c r="BO25" s="77">
        <v>150</v>
      </c>
      <c r="BT25" t="s">
        <v>1213</v>
      </c>
      <c r="CU25" t="s">
        <v>1223</v>
      </c>
      <c r="CV25" t="e">
        <f>IF(AND(Rating5Type="Flat Charge",OR(Rating5Premium="",Rating5Premium=0)),"",IF(Rating5Type="Flat Charge","Flat Charge:  "&amp;DOLLAR(Rating5Premium,0)&amp;IF(Rating5Notes="",""," ("&amp;Rating5Notes&amp;")"),""))</f>
        <v>#REF!</v>
      </c>
      <c r="DB25" s="15" t="s">
        <v>184</v>
      </c>
      <c r="DC25" t="s">
        <v>513</v>
      </c>
      <c r="DJ25" s="199" t="s">
        <v>514</v>
      </c>
    </row>
    <row r="26" spans="1:121">
      <c r="A26" s="15" t="s">
        <v>185</v>
      </c>
      <c r="B26" s="68">
        <v>7</v>
      </c>
      <c r="E26" s="5" t="s">
        <v>98</v>
      </c>
      <c r="K26" s="14" t="s">
        <v>36</v>
      </c>
      <c r="M26" s="3" t="s">
        <v>383</v>
      </c>
      <c r="N26" s="58" t="e">
        <f>IF(fmUnits="","",HabNumWired/fmUnits)</f>
        <v>#REF!</v>
      </c>
      <c r="T26" s="5" t="s">
        <v>184</v>
      </c>
      <c r="U26" t="s">
        <v>226</v>
      </c>
      <c r="X26" s="15" t="s">
        <v>185</v>
      </c>
      <c r="Y26" s="16">
        <v>0.58499999999999996</v>
      </c>
      <c r="AA26" s="18">
        <v>51252</v>
      </c>
      <c r="AB26" s="18" t="s">
        <v>238</v>
      </c>
      <c r="AC26" s="16">
        <v>0.33300000000000002</v>
      </c>
      <c r="AF26" t="s">
        <v>287</v>
      </c>
      <c r="AG26" s="65">
        <f>DATE(YEAR(EffectiveDate),MONTH(EffectiveDate)+3,DAY(EffectiveDate))</f>
        <v>91</v>
      </c>
      <c r="AI26" s="21" t="s">
        <v>585</v>
      </c>
      <c r="AJ26" s="69" t="str">
        <f>IF('NOTES &amp; RATING'!I17="Pupils",fmSales,IF('NOTES &amp; RATING'!R17="Pupils",fmPayroll,IF('NOTES &amp; RATING'!AA17="Pupils",fmContractCosts,"")))</f>
        <v/>
      </c>
      <c r="AS26" s="63" t="s">
        <v>185</v>
      </c>
      <c r="AT26" s="3" t="s">
        <v>418</v>
      </c>
      <c r="AU26" s="15" t="s">
        <v>444</v>
      </c>
      <c r="AW26" s="15" t="s">
        <v>185</v>
      </c>
      <c r="AX26" s="8" t="s">
        <v>514</v>
      </c>
      <c r="AY26" s="8" t="s">
        <v>541</v>
      </c>
      <c r="BI26" s="15" t="s">
        <v>153</v>
      </c>
      <c r="BM26" s="15" t="s">
        <v>184</v>
      </c>
      <c r="BN26" s="77">
        <v>150</v>
      </c>
      <c r="BO26" s="77">
        <v>1000000</v>
      </c>
      <c r="BT26" t="s">
        <v>1225</v>
      </c>
      <c r="CV26" t="e">
        <f>IF(CV25="","",IF(AND(Rating5Type="Flat Charge",Rating5ExposureBasis&lt;&gt;"",Rating5ExposureAmount&lt;&gt;"",Rating5ExposureAmount&gt;0)," ("&amp;Rating5ExposureBasis&amp;":  "&amp;IF(VLOOKUP(Rating5ExposureBasis,CFExp,2,FALSE)=1,DOLLAR(Rating5ExposureAmount,0),FIXED(Rating5ExposureAmount,0,FALSE))&amp;")",""))</f>
        <v>#REF!</v>
      </c>
      <c r="DB26" s="15" t="s">
        <v>185</v>
      </c>
      <c r="DC26" t="s">
        <v>514</v>
      </c>
      <c r="DJ26" s="199" t="s">
        <v>513</v>
      </c>
    </row>
    <row r="27" spans="1:121">
      <c r="A27" s="15" t="s">
        <v>186</v>
      </c>
      <c r="B27" s="68">
        <v>8.25</v>
      </c>
      <c r="E27" s="5" t="s">
        <v>127</v>
      </c>
      <c r="K27" s="14" t="s">
        <v>37</v>
      </c>
      <c r="M27" s="3" t="s">
        <v>384</v>
      </c>
      <c r="N27" s="58" t="e">
        <f>IF(fmUnits="","",HabNumArmedSecurity/fmUnits)</f>
        <v>#REF!</v>
      </c>
      <c r="T27" s="5" t="s">
        <v>185</v>
      </c>
      <c r="U27" t="s">
        <v>226</v>
      </c>
      <c r="X27" s="15" t="s">
        <v>186</v>
      </c>
      <c r="Y27" s="16">
        <v>0.56000000000000005</v>
      </c>
      <c r="AA27" s="18">
        <v>51253</v>
      </c>
      <c r="AB27" s="18" t="s">
        <v>238</v>
      </c>
      <c r="AC27" s="16">
        <v>0.33300000000000002</v>
      </c>
      <c r="AF27" t="s">
        <v>288</v>
      </c>
      <c r="AG27" s="65">
        <f>DATE(YEAR(EffectiveDate),MONTH(EffectiveDate)+6,DAY(EffectiveDate))</f>
        <v>182</v>
      </c>
      <c r="AI27" s="21" t="s">
        <v>586</v>
      </c>
      <c r="AJ27" s="67" t="str">
        <f>IF('NOTES &amp; RATING'!I17="Total Cost",fmSales,IF('NOTES &amp; RATING'!R17="Total Cost",fmPayroll,IF('NOTES &amp; RATING'!AA17="Total Cost",fmContractCosts,"")))</f>
        <v/>
      </c>
      <c r="AS27" s="63" t="s">
        <v>186</v>
      </c>
      <c r="AT27" s="3" t="s">
        <v>431</v>
      </c>
      <c r="AU27" s="3" t="s">
        <v>435</v>
      </c>
      <c r="AW27" s="15" t="s">
        <v>186</v>
      </c>
      <c r="AX27" s="8" t="s">
        <v>515</v>
      </c>
      <c r="AY27" s="3">
        <v>5</v>
      </c>
      <c r="BI27" s="15" t="s">
        <v>192</v>
      </c>
      <c r="BM27" s="15" t="s">
        <v>185</v>
      </c>
      <c r="BN27" s="77">
        <v>150</v>
      </c>
      <c r="BO27" s="77">
        <v>1000000</v>
      </c>
      <c r="BT27" t="s">
        <v>1226</v>
      </c>
      <c r="CU27" t="s">
        <v>1217</v>
      </c>
      <c r="CV27" t="e">
        <f>CV25&amp;CV26</f>
        <v>#REF!</v>
      </c>
      <c r="DB27" s="15" t="s">
        <v>186</v>
      </c>
      <c r="DC27" t="s">
        <v>515</v>
      </c>
      <c r="DJ27" s="199" t="s">
        <v>515</v>
      </c>
    </row>
    <row r="28" spans="1:121">
      <c r="A28" s="15" t="s">
        <v>187</v>
      </c>
      <c r="B28" s="68">
        <v>4.75</v>
      </c>
      <c r="E28" s="5" t="s">
        <v>64</v>
      </c>
      <c r="K28" s="14" t="s">
        <v>38</v>
      </c>
      <c r="T28" s="5" t="s">
        <v>186</v>
      </c>
      <c r="U28" t="s">
        <v>226</v>
      </c>
      <c r="X28" s="15" t="s">
        <v>187</v>
      </c>
      <c r="Y28" s="16">
        <v>0.315</v>
      </c>
      <c r="AA28" s="18">
        <v>51254</v>
      </c>
      <c r="AB28" s="18" t="s">
        <v>238</v>
      </c>
      <c r="AC28" s="16">
        <v>0.33300000000000002</v>
      </c>
      <c r="AF28" t="s">
        <v>289</v>
      </c>
      <c r="AG28" s="65">
        <f>DATE(YEAR(EffectiveDate),MONTH(EffectiveDate)+9,DAY(EffectiveDate))</f>
        <v>274</v>
      </c>
      <c r="AI28" s="21" t="s">
        <v>587</v>
      </c>
      <c r="AJ28" s="69" t="str">
        <f>IF('NOTES &amp; RATING'!I17="Units",fmSales,IF('NOTES &amp; RATING'!R17="Units",fmPayroll,IF('NOTES &amp; RATING'!AA17="Units",fmContractCosts,"")))</f>
        <v/>
      </c>
      <c r="AS28" s="63" t="s">
        <v>187</v>
      </c>
      <c r="AT28" s="3" t="s">
        <v>419</v>
      </c>
      <c r="AU28" s="15" t="s">
        <v>444</v>
      </c>
      <c r="AW28" s="15" t="s">
        <v>187</v>
      </c>
      <c r="AX28" s="8" t="s">
        <v>516</v>
      </c>
      <c r="AY28" s="3">
        <v>3</v>
      </c>
      <c r="BI28" s="15" t="s">
        <v>438</v>
      </c>
      <c r="BM28" s="15" t="s">
        <v>186</v>
      </c>
      <c r="BN28" s="77">
        <v>150</v>
      </c>
      <c r="BO28" s="77">
        <v>1000000</v>
      </c>
      <c r="BT28" t="s">
        <v>1209</v>
      </c>
      <c r="CU28" t="s">
        <v>1768</v>
      </c>
      <c r="CV28" t="e">
        <f>IF(Rating5Type="Flat Charge","",IF(OR(Rating5ExposureBasis="",Rating5ExposureAmount="",Rating5Rate="",Rating5Premium=""),"",IF(OR(Rating5Type="Rate",Rating5Type="Back Into Rate"),DOLLAR(Rating5Rate,4)&amp;" "&amp;VLOOKUP(Rating5ExposureBasis,ExposureMatrix,3,FALSE)&amp;" Based On Estimated "&amp;IF(Length="Annual","Annual ","")&amp;Rating5ExposureBasis&amp;" Of "&amp;IF(VLOOKUP(Rating5ExposureBasis,CFExp,2,FALSE)=1,DOLLAR(Rating5ExposureAmount,0),FIXED(Rating5ExposureAmount,0,FALSE))&amp;IF(Rating5Notes="",""," - "&amp;Rating5Notes)&amp;IF(Rating5Premium=0,""," (Premium:  "&amp;DOLLAR(Rating5Premium,0)&amp;")"))))</f>
        <v>#REF!</v>
      </c>
      <c r="DB28" s="15" t="s">
        <v>187</v>
      </c>
      <c r="DC28" t="s">
        <v>516</v>
      </c>
      <c r="DJ28" s="199" t="s">
        <v>522</v>
      </c>
    </row>
    <row r="29" spans="1:121">
      <c r="A29" s="15" t="s">
        <v>171</v>
      </c>
      <c r="B29" s="68">
        <v>4.75</v>
      </c>
      <c r="E29" s="5" t="s">
        <v>128</v>
      </c>
      <c r="K29" s="14" t="s">
        <v>39</v>
      </c>
      <c r="T29" s="5" t="s">
        <v>187</v>
      </c>
      <c r="U29" t="s">
        <v>226</v>
      </c>
      <c r="X29" s="15" t="s">
        <v>171</v>
      </c>
      <c r="Y29" s="16">
        <v>1.0289999999999999</v>
      </c>
      <c r="AA29" s="18">
        <v>51255</v>
      </c>
      <c r="AB29" s="18" t="s">
        <v>238</v>
      </c>
      <c r="AC29" s="16">
        <v>0.33300000000000002</v>
      </c>
      <c r="AF29" t="s">
        <v>290</v>
      </c>
      <c r="AG29" s="65">
        <f>DATE(YEAR(EffectiveDate)+1,MONTH(EffectiveDate),DAY(EffectiveDate))</f>
        <v>366</v>
      </c>
      <c r="AS29" s="63" t="s">
        <v>171</v>
      </c>
      <c r="AT29" s="3" t="s">
        <v>399</v>
      </c>
      <c r="AU29" s="15" t="s">
        <v>444</v>
      </c>
      <c r="AW29" s="15" t="s">
        <v>171</v>
      </c>
      <c r="AX29" s="8" t="s">
        <v>517</v>
      </c>
      <c r="AY29" s="3">
        <v>0</v>
      </c>
      <c r="BM29" s="15" t="s">
        <v>187</v>
      </c>
      <c r="BN29" s="77">
        <v>150</v>
      </c>
      <c r="BO29" s="77">
        <v>1000000</v>
      </c>
      <c r="BT29" t="e">
        <f>IF(OR(Rating4Type="",Rating4ExposureBasis=""),"Class Code ",IF(Rating4ExposureAmount="","Applies To "&amp;Rating4ExposureBasis&amp;" Exceeding ","Applies To "&amp;Rating4ExposureBasis&amp;" Exceeding "&amp;IF('NOTES &amp; RATING'!#REF!=1,DOLLAR(BT31,0),FIXED(BT31,0,FALSE))))</f>
        <v>#REF!</v>
      </c>
      <c r="CU29" t="s">
        <v>1769</v>
      </c>
      <c r="CV29" t="e">
        <f>IF(Rating5Type="Flat Charge","",IF(OR(Rating5ExposureBasis="",Rating5Rate=""),"",IF(OR(Rating5Type="Rate",Rating5Type="Back Into Rate"),DOLLAR(Rating5Rate,4)&amp;" "&amp;VLOOKUP(Rating5ExposureBasis,ExposureMatrix,3,FALSE)&amp;IF(Rating5Notes="",""," - "&amp;Rating5Notes)&amp;IF(OR(Rating5Premium="",Rating5Premium=0),""," (Premium:  "&amp;DOLLAR(Rating5Premium,0)&amp;")"))))</f>
        <v>#REF!</v>
      </c>
      <c r="DB29" s="15" t="s">
        <v>171</v>
      </c>
      <c r="DC29" t="s">
        <v>517</v>
      </c>
      <c r="DJ29" s="199" t="s">
        <v>523</v>
      </c>
    </row>
    <row r="30" spans="1:121">
      <c r="A30" s="15" t="s">
        <v>181</v>
      </c>
      <c r="B30" s="68">
        <v>9.5</v>
      </c>
      <c r="E30" s="5" t="s">
        <v>196</v>
      </c>
      <c r="K30" s="14" t="s">
        <v>40</v>
      </c>
      <c r="M30" s="3" t="s">
        <v>374</v>
      </c>
      <c r="T30" s="5" t="s">
        <v>171</v>
      </c>
      <c r="V30" t="s">
        <v>226</v>
      </c>
      <c r="X30" s="15" t="s">
        <v>181</v>
      </c>
      <c r="Y30" s="16">
        <v>0.78600000000000003</v>
      </c>
      <c r="AA30" s="18">
        <v>51330</v>
      </c>
      <c r="AB30" s="18" t="s">
        <v>238</v>
      </c>
      <c r="AC30" s="16">
        <v>0.33300000000000002</v>
      </c>
      <c r="AF30" t="s">
        <v>291</v>
      </c>
      <c r="AG30" s="65">
        <f>DATE(YEAR(EffectiveDate),MONTH(EffectiveDate)+15,DAY(EffectiveDate))</f>
        <v>456</v>
      </c>
      <c r="AS30" s="63" t="s">
        <v>181</v>
      </c>
      <c r="AT30" s="3" t="s">
        <v>420</v>
      </c>
      <c r="AU30" s="15" t="s">
        <v>444</v>
      </c>
      <c r="AW30" s="15" t="s">
        <v>181</v>
      </c>
      <c r="AX30" s="8" t="s">
        <v>518</v>
      </c>
      <c r="AY30" s="3">
        <v>7</v>
      </c>
      <c r="BM30" s="15" t="s">
        <v>171</v>
      </c>
      <c r="BN30" s="77">
        <f>IF(BO30&lt;150,BO30,150)</f>
        <v>0</v>
      </c>
      <c r="BO30" s="77">
        <f>IF(Policy_Premium="",0,IF(((0.2*#REF!)-(#REF!*Commission)-BR5)&lt;0,0,(0.2*#REF!)-(#REF!*Commission)-BR5))</f>
        <v>0</v>
      </c>
      <c r="BT30" t="e">
        <f>IF(BT29="Class Code ","","Class Code ")</f>
        <v>#REF!</v>
      </c>
      <c r="CU30" t="s">
        <v>1224</v>
      </c>
      <c r="CV30" s="7" t="e">
        <f>CV27&amp;IF(OR(Rating5ExposureAmount=0,Rating5ExposureAmount=""),CV29,CV28)</f>
        <v>#REF!</v>
      </c>
      <c r="DB30" s="15" t="s">
        <v>181</v>
      </c>
      <c r="DC30" t="s">
        <v>518</v>
      </c>
      <c r="DJ30" s="199" t="s">
        <v>516</v>
      </c>
    </row>
    <row r="31" spans="1:121">
      <c r="A31" s="15" t="s">
        <v>148</v>
      </c>
      <c r="B31" s="68">
        <v>7.75</v>
      </c>
      <c r="E31" s="5" t="s">
        <v>102</v>
      </c>
      <c r="K31" s="14" t="s">
        <v>41</v>
      </c>
      <c r="M31" s="3" t="s">
        <v>372</v>
      </c>
      <c r="T31" s="5" t="s">
        <v>181</v>
      </c>
      <c r="U31" t="s">
        <v>226</v>
      </c>
      <c r="X31" s="15" t="s">
        <v>148</v>
      </c>
      <c r="Y31" s="16">
        <v>0.78400000000000003</v>
      </c>
      <c r="AA31" s="18">
        <v>51340</v>
      </c>
      <c r="AB31" s="18" t="s">
        <v>238</v>
      </c>
      <c r="AC31" s="16">
        <v>0.33300000000000002</v>
      </c>
      <c r="AF31" t="s">
        <v>292</v>
      </c>
      <c r="AG31" s="65">
        <f>DATE(YEAR(EffectiveDate),MONTH(EffectiveDate)+18,DAY(EffectiveDate))</f>
        <v>547</v>
      </c>
      <c r="AS31" s="63" t="s">
        <v>148</v>
      </c>
      <c r="AT31" s="3" t="s">
        <v>400</v>
      </c>
      <c r="AU31" s="3" t="s">
        <v>435</v>
      </c>
      <c r="AW31" s="15" t="s">
        <v>148</v>
      </c>
      <c r="AX31" s="8" t="s">
        <v>519</v>
      </c>
      <c r="AY31" s="3">
        <v>4</v>
      </c>
      <c r="BM31" s="15" t="s">
        <v>181</v>
      </c>
      <c r="BN31" s="77">
        <v>150</v>
      </c>
      <c r="BO31" s="77">
        <v>1000000</v>
      </c>
      <c r="BT31" s="69" t="e">
        <f>IF(Rating4ExposureBasis="","",VLOOKUP(Rating4ExposureBasis,ExposureRange,7,FALSE))</f>
        <v>#REF!</v>
      </c>
      <c r="DB31" s="15" t="s">
        <v>148</v>
      </c>
      <c r="DC31" t="s">
        <v>519</v>
      </c>
      <c r="DJ31" s="199" t="s">
        <v>518</v>
      </c>
    </row>
    <row r="32" spans="1:121">
      <c r="A32" s="15" t="s">
        <v>180</v>
      </c>
      <c r="B32" s="68">
        <v>8.25</v>
      </c>
      <c r="E32" s="5" t="s">
        <v>100</v>
      </c>
      <c r="K32" s="14" t="s">
        <v>42</v>
      </c>
      <c r="M32" s="3" t="s">
        <v>593</v>
      </c>
      <c r="T32" s="5" t="s">
        <v>148</v>
      </c>
      <c r="U32" t="s">
        <v>226</v>
      </c>
      <c r="X32" s="15" t="s">
        <v>180</v>
      </c>
      <c r="Y32" s="16">
        <v>0.433</v>
      </c>
      <c r="AA32" s="18">
        <v>51355</v>
      </c>
      <c r="AB32" s="18" t="s">
        <v>238</v>
      </c>
      <c r="AC32" s="16">
        <v>0.33300000000000002</v>
      </c>
      <c r="AF32" t="s">
        <v>293</v>
      </c>
      <c r="AG32" s="65">
        <f>DATE(YEAR(EffectiveDate)+2,MONTH(EffectiveDate),DAY(EffectiveDate))</f>
        <v>731</v>
      </c>
      <c r="AS32" s="63" t="s">
        <v>180</v>
      </c>
      <c r="AT32" s="3" t="s">
        <v>401</v>
      </c>
      <c r="AU32" s="15" t="s">
        <v>444</v>
      </c>
      <c r="AW32" s="15" t="s">
        <v>180</v>
      </c>
      <c r="AX32" s="8" t="s">
        <v>520</v>
      </c>
      <c r="AY32" s="3">
        <v>5</v>
      </c>
      <c r="BM32" s="15" t="s">
        <v>148</v>
      </c>
      <c r="BN32" s="77">
        <f>IF(BO32&lt;150,BO32,150)</f>
        <v>100</v>
      </c>
      <c r="BO32" s="77">
        <f>IF(Policy_Premium="",100,IF(AND(0.02*#REF!&gt;100,0.02*#REF!&lt;251),0.02*#REF!,IF(0.02*#REF!&gt;250,250,100)))</f>
        <v>100</v>
      </c>
      <c r="DB32" s="15" t="s">
        <v>180</v>
      </c>
      <c r="DC32" t="s">
        <v>520</v>
      </c>
      <c r="DJ32" s="199" t="s">
        <v>519</v>
      </c>
    </row>
    <row r="33" spans="1:114">
      <c r="A33" s="15" t="s">
        <v>147</v>
      </c>
      <c r="B33" s="68">
        <v>8.75</v>
      </c>
      <c r="E33" s="5" t="s">
        <v>130</v>
      </c>
      <c r="K33" s="14" t="s">
        <v>43</v>
      </c>
      <c r="M33" s="3" t="s">
        <v>373</v>
      </c>
      <c r="T33" s="5" t="s">
        <v>180</v>
      </c>
      <c r="U33" t="s">
        <v>226</v>
      </c>
      <c r="X33" s="15" t="s">
        <v>147</v>
      </c>
      <c r="Y33" s="16">
        <v>0.79800000000000004</v>
      </c>
      <c r="AA33" s="18">
        <v>51359</v>
      </c>
      <c r="AB33" s="18" t="s">
        <v>238</v>
      </c>
      <c r="AC33" s="16">
        <v>0.33300000000000002</v>
      </c>
      <c r="AF33" t="s">
        <v>294</v>
      </c>
      <c r="AG33" s="65">
        <f>DATE(YEAR(EffectiveDate),MONTH(EffectiveDate)+30,DAY(EffectiveDate))</f>
        <v>912</v>
      </c>
      <c r="AS33" s="63" t="s">
        <v>147</v>
      </c>
      <c r="AT33" s="3" t="s">
        <v>402</v>
      </c>
      <c r="AU33" s="3" t="s">
        <v>435</v>
      </c>
      <c r="AW33" s="15" t="s">
        <v>147</v>
      </c>
      <c r="AX33" s="8" t="s">
        <v>521</v>
      </c>
      <c r="AY33" s="3">
        <v>6</v>
      </c>
      <c r="BM33" s="15" t="s">
        <v>180</v>
      </c>
      <c r="BN33" s="77">
        <v>150</v>
      </c>
      <c r="BO33" s="77">
        <v>1000000</v>
      </c>
      <c r="BT33" t="s">
        <v>1213</v>
      </c>
      <c r="DB33" s="15" t="s">
        <v>147</v>
      </c>
      <c r="DC33" t="s">
        <v>521</v>
      </c>
      <c r="DJ33" s="199" t="s">
        <v>520</v>
      </c>
    </row>
    <row r="34" spans="1:114">
      <c r="A34" s="15" t="s">
        <v>156</v>
      </c>
      <c r="B34" s="68">
        <v>8.75</v>
      </c>
      <c r="E34" s="5" t="s">
        <v>81</v>
      </c>
      <c r="K34" s="14" t="s">
        <v>221</v>
      </c>
      <c r="T34" s="5" t="s">
        <v>147</v>
      </c>
      <c r="U34" t="s">
        <v>226</v>
      </c>
      <c r="X34" s="15" t="s">
        <v>156</v>
      </c>
      <c r="Y34" s="16">
        <v>0.68899999999999995</v>
      </c>
      <c r="AA34" s="18">
        <v>51370</v>
      </c>
      <c r="AB34" s="18" t="s">
        <v>238</v>
      </c>
      <c r="AC34" s="16">
        <v>0.33300000000000002</v>
      </c>
      <c r="AS34" s="63" t="s">
        <v>156</v>
      </c>
      <c r="AT34" s="3" t="s">
        <v>403</v>
      </c>
      <c r="AU34" s="15" t="s">
        <v>444</v>
      </c>
      <c r="AW34" s="15" t="s">
        <v>156</v>
      </c>
      <c r="AX34" s="8" t="s">
        <v>522</v>
      </c>
      <c r="AY34" s="3">
        <v>6</v>
      </c>
      <c r="BM34" s="15" t="s">
        <v>147</v>
      </c>
      <c r="BN34" s="77">
        <v>150</v>
      </c>
      <c r="BO34" s="77">
        <v>150</v>
      </c>
      <c r="BT34" t="s">
        <v>1225</v>
      </c>
      <c r="DB34" s="15" t="s">
        <v>156</v>
      </c>
      <c r="DC34" t="s">
        <v>522</v>
      </c>
      <c r="DJ34" s="199" t="s">
        <v>517</v>
      </c>
    </row>
    <row r="35" spans="1:114">
      <c r="A35" s="15" t="s">
        <v>168</v>
      </c>
      <c r="B35" s="68">
        <v>8.25</v>
      </c>
      <c r="E35" s="5" t="s">
        <v>129</v>
      </c>
      <c r="K35" s="14" t="s">
        <v>222</v>
      </c>
      <c r="T35" s="5" t="s">
        <v>156</v>
      </c>
      <c r="U35" t="s">
        <v>226</v>
      </c>
      <c r="X35" s="15" t="s">
        <v>168</v>
      </c>
      <c r="Y35" s="16">
        <v>0.752</v>
      </c>
      <c r="AA35" s="18">
        <v>51400</v>
      </c>
      <c r="AB35" s="18" t="s">
        <v>238</v>
      </c>
      <c r="AC35" s="16">
        <v>0.33300000000000002</v>
      </c>
      <c r="AS35" s="63" t="s">
        <v>168</v>
      </c>
      <c r="AT35" s="3" t="s">
        <v>404</v>
      </c>
      <c r="AU35" s="3" t="s">
        <v>433</v>
      </c>
      <c r="AW35" s="15" t="s">
        <v>168</v>
      </c>
      <c r="AX35" s="8" t="s">
        <v>523</v>
      </c>
      <c r="AY35" s="3">
        <v>5</v>
      </c>
      <c r="BM35" s="15" t="s">
        <v>156</v>
      </c>
      <c r="BN35" s="77">
        <v>150</v>
      </c>
      <c r="BO35" s="77">
        <v>1000000</v>
      </c>
      <c r="BT35" t="s">
        <v>1226</v>
      </c>
      <c r="DB35" s="15" t="s">
        <v>168</v>
      </c>
      <c r="DC35" t="s">
        <v>523</v>
      </c>
      <c r="DJ35" s="199" t="s">
        <v>521</v>
      </c>
    </row>
    <row r="36" spans="1:114">
      <c r="A36" s="15" t="s">
        <v>188</v>
      </c>
      <c r="B36" s="68">
        <v>7.75</v>
      </c>
      <c r="E36" s="5" t="s">
        <v>85</v>
      </c>
      <c r="K36" s="14" t="s">
        <v>44</v>
      </c>
      <c r="T36" s="5" t="s">
        <v>168</v>
      </c>
      <c r="X36" s="15" t="s">
        <v>188</v>
      </c>
      <c r="Y36" s="16">
        <v>0.373</v>
      </c>
      <c r="AA36" s="18">
        <v>51401</v>
      </c>
      <c r="AB36" s="18" t="s">
        <v>238</v>
      </c>
      <c r="AC36" s="16">
        <v>0.33300000000000002</v>
      </c>
      <c r="AS36" s="63" t="s">
        <v>188</v>
      </c>
      <c r="AT36" s="3" t="s">
        <v>421</v>
      </c>
      <c r="AU36" s="3" t="s">
        <v>433</v>
      </c>
      <c r="AW36" s="15" t="s">
        <v>188</v>
      </c>
      <c r="AX36" s="8" t="s">
        <v>524</v>
      </c>
      <c r="AY36" s="3">
        <v>4</v>
      </c>
      <c r="BM36" s="15" t="s">
        <v>168</v>
      </c>
      <c r="BN36" s="77">
        <v>150</v>
      </c>
      <c r="BO36" s="77">
        <v>1000000</v>
      </c>
      <c r="BT36" t="s">
        <v>1209</v>
      </c>
      <c r="DB36" s="15" t="s">
        <v>188</v>
      </c>
      <c r="DC36" t="s">
        <v>524</v>
      </c>
      <c r="DJ36" s="199" t="s">
        <v>524</v>
      </c>
    </row>
    <row r="37" spans="1:114">
      <c r="A37" s="15" t="s">
        <v>189</v>
      </c>
      <c r="B37" s="68">
        <v>8.25</v>
      </c>
      <c r="E37" s="5" t="s">
        <v>77</v>
      </c>
      <c r="K37" s="14" t="s">
        <v>45</v>
      </c>
      <c r="T37" s="5" t="s">
        <v>188</v>
      </c>
      <c r="U37" t="s">
        <v>226</v>
      </c>
      <c r="X37" s="15" t="s">
        <v>189</v>
      </c>
      <c r="Y37" s="16">
        <v>0.496</v>
      </c>
      <c r="AA37" s="18">
        <v>51553</v>
      </c>
      <c r="AB37" s="18" t="s">
        <v>238</v>
      </c>
      <c r="AC37" s="16">
        <v>0.33300000000000002</v>
      </c>
      <c r="AS37" s="63" t="s">
        <v>189</v>
      </c>
      <c r="AT37" s="3" t="s">
        <v>405</v>
      </c>
      <c r="AU37" s="15" t="s">
        <v>444</v>
      </c>
      <c r="AW37" s="15" t="s">
        <v>189</v>
      </c>
      <c r="AX37" s="8" t="s">
        <v>525</v>
      </c>
      <c r="AY37" s="8" t="s">
        <v>488</v>
      </c>
      <c r="BM37" s="15" t="s">
        <v>188</v>
      </c>
      <c r="BN37" s="77">
        <v>150</v>
      </c>
      <c r="BO37" s="77">
        <v>1000000</v>
      </c>
      <c r="BT37" t="e">
        <f>IF(OR(Rating5Type="",Rating5ExposureBasis=""),"Class Code ",IF(Rating5ExposureAmount="","Applies To "&amp;Rating5ExposureBasis&amp;" Exceeding ","Applies To "&amp;Rating5ExposureBasis&amp;" Exceeding "&amp;IF('NOTES &amp; RATING'!#REF!=1,DOLLAR(BT39,0),FIXED(BT39,0,FALSE))))</f>
        <v>#REF!</v>
      </c>
      <c r="DB37" s="15" t="s">
        <v>189</v>
      </c>
      <c r="DC37" t="s">
        <v>525</v>
      </c>
      <c r="DJ37" s="199" t="s">
        <v>525</v>
      </c>
    </row>
    <row r="38" spans="1:114">
      <c r="A38" s="15" t="s">
        <v>173</v>
      </c>
      <c r="B38" s="68">
        <v>7.7</v>
      </c>
      <c r="E38" s="5" t="s">
        <v>79</v>
      </c>
      <c r="K38" s="14" t="s">
        <v>46</v>
      </c>
      <c r="T38" s="5" t="s">
        <v>189</v>
      </c>
      <c r="U38" t="s">
        <v>226</v>
      </c>
      <c r="X38" s="15" t="s">
        <v>173</v>
      </c>
      <c r="Y38" s="16">
        <v>0.84899999999999998</v>
      </c>
      <c r="AA38" s="18">
        <v>51576</v>
      </c>
      <c r="AB38" s="18" t="s">
        <v>238</v>
      </c>
      <c r="AC38" s="16">
        <v>0.33300000000000002</v>
      </c>
      <c r="AS38" s="63" t="s">
        <v>173</v>
      </c>
      <c r="AT38" s="3" t="s">
        <v>422</v>
      </c>
      <c r="AU38" s="3" t="s">
        <v>435</v>
      </c>
      <c r="AW38" s="15" t="s">
        <v>173</v>
      </c>
      <c r="AX38" s="8" t="s">
        <v>526</v>
      </c>
      <c r="AY38" s="3">
        <v>4</v>
      </c>
      <c r="BM38" s="15" t="s">
        <v>189</v>
      </c>
      <c r="BN38" s="77">
        <v>150</v>
      </c>
      <c r="BO38" s="77">
        <v>1000000</v>
      </c>
      <c r="BT38" t="e">
        <f>IF(BT37="Class Code ","","Class Code ")</f>
        <v>#REF!</v>
      </c>
      <c r="DB38" s="15" t="s">
        <v>173</v>
      </c>
      <c r="DC38" t="s">
        <v>526</v>
      </c>
      <c r="DJ38" s="199" t="s">
        <v>526</v>
      </c>
    </row>
    <row r="39" spans="1:114">
      <c r="A39" s="15" t="s">
        <v>190</v>
      </c>
      <c r="B39" s="68">
        <v>8.5</v>
      </c>
      <c r="E39" s="5" t="s">
        <v>76</v>
      </c>
      <c r="K39" s="14" t="s">
        <v>47</v>
      </c>
      <c r="T39" s="5" t="s">
        <v>173</v>
      </c>
      <c r="U39" t="s">
        <v>226</v>
      </c>
      <c r="V39" t="s">
        <v>226</v>
      </c>
      <c r="X39" s="15" t="s">
        <v>190</v>
      </c>
      <c r="Y39" s="16">
        <v>1.087</v>
      </c>
      <c r="AA39" s="18">
        <v>51600</v>
      </c>
      <c r="AB39" s="18" t="s">
        <v>238</v>
      </c>
      <c r="AC39" s="16">
        <v>0.33300000000000002</v>
      </c>
      <c r="AS39" s="63" t="s">
        <v>190</v>
      </c>
      <c r="AT39" s="3" t="s">
        <v>423</v>
      </c>
      <c r="AU39" s="3" t="s">
        <v>435</v>
      </c>
      <c r="AW39" s="15" t="s">
        <v>190</v>
      </c>
      <c r="AX39" s="8" t="s">
        <v>527</v>
      </c>
      <c r="AY39" s="3">
        <v>7</v>
      </c>
      <c r="BM39" s="15" t="s">
        <v>173</v>
      </c>
      <c r="BN39" s="77">
        <v>150</v>
      </c>
      <c r="BO39" s="77">
        <v>1000000</v>
      </c>
      <c r="BT39" s="69" t="e">
        <f>IF(Rating5ExposureBasis="","",VLOOKUP(Rating5ExposureBasis,ExposureRange,7,FALSE))</f>
        <v>#REF!</v>
      </c>
      <c r="DB39" s="15" t="s">
        <v>190</v>
      </c>
      <c r="DC39" t="s">
        <v>527</v>
      </c>
      <c r="DJ39" s="199" t="s">
        <v>527</v>
      </c>
    </row>
    <row r="40" spans="1:114">
      <c r="A40" s="15" t="s">
        <v>447</v>
      </c>
      <c r="B40" s="68">
        <v>4.75</v>
      </c>
      <c r="E40" s="5" t="s">
        <v>78</v>
      </c>
      <c r="K40" s="14" t="s">
        <v>48</v>
      </c>
      <c r="T40" s="5" t="s">
        <v>190</v>
      </c>
      <c r="X40" s="15" t="s">
        <v>157</v>
      </c>
      <c r="Y40" s="16">
        <v>0.44500000000000001</v>
      </c>
      <c r="AA40" s="18">
        <v>51625</v>
      </c>
      <c r="AB40" s="18" t="s">
        <v>238</v>
      </c>
      <c r="AC40" s="16">
        <v>0.33300000000000002</v>
      </c>
      <c r="AS40" s="63" t="s">
        <v>447</v>
      </c>
      <c r="AT40" s="3" t="s">
        <v>480</v>
      </c>
      <c r="AU40" s="3" t="s">
        <v>481</v>
      </c>
      <c r="AW40" s="15" t="s">
        <v>447</v>
      </c>
      <c r="AX40" s="8" t="s">
        <v>528</v>
      </c>
      <c r="AY40" s="3">
        <v>6</v>
      </c>
      <c r="BM40" s="15" t="s">
        <v>190</v>
      </c>
      <c r="BN40" s="77">
        <v>150</v>
      </c>
      <c r="BO40" s="77">
        <v>1000000</v>
      </c>
      <c r="DB40" s="15" t="s">
        <v>447</v>
      </c>
      <c r="DC40" t="s">
        <v>528</v>
      </c>
      <c r="DJ40" s="199" t="s">
        <v>528</v>
      </c>
    </row>
    <row r="41" spans="1:114">
      <c r="A41" s="15" t="s">
        <v>157</v>
      </c>
      <c r="B41" s="68">
        <v>8.75</v>
      </c>
      <c r="E41" s="5" t="s">
        <v>66</v>
      </c>
      <c r="K41" s="14" t="s">
        <v>49</v>
      </c>
      <c r="T41" s="5" t="s">
        <v>157</v>
      </c>
      <c r="U41" t="s">
        <v>226</v>
      </c>
      <c r="X41" s="15" t="s">
        <v>169</v>
      </c>
      <c r="Y41" s="16">
        <v>0.23799999999999999</v>
      </c>
      <c r="AA41" s="18">
        <v>51702</v>
      </c>
      <c r="AB41" s="18" t="s">
        <v>238</v>
      </c>
      <c r="AC41" s="16">
        <v>0.33300000000000002</v>
      </c>
      <c r="AS41" s="63" t="s">
        <v>157</v>
      </c>
      <c r="AT41" s="3" t="s">
        <v>424</v>
      </c>
      <c r="AU41" s="15" t="s">
        <v>444</v>
      </c>
      <c r="AW41" s="15" t="s">
        <v>157</v>
      </c>
      <c r="AX41" s="8" t="s">
        <v>529</v>
      </c>
      <c r="AY41" s="3">
        <v>3</v>
      </c>
      <c r="BM41" s="15" t="s">
        <v>447</v>
      </c>
      <c r="BN41" s="77">
        <v>150</v>
      </c>
      <c r="BO41" s="77">
        <v>1000000</v>
      </c>
      <c r="BT41" s="3" t="s">
        <v>1214</v>
      </c>
      <c r="DB41" s="15" t="s">
        <v>157</v>
      </c>
      <c r="DC41" t="s">
        <v>529</v>
      </c>
      <c r="DJ41" s="199" t="s">
        <v>529</v>
      </c>
    </row>
    <row r="42" spans="1:114">
      <c r="A42" s="15" t="s">
        <v>169</v>
      </c>
      <c r="B42" s="68">
        <v>7</v>
      </c>
      <c r="E42" s="5" t="s">
        <v>101</v>
      </c>
      <c r="K42" s="14" t="s">
        <v>50</v>
      </c>
      <c r="T42" s="5" t="s">
        <v>169</v>
      </c>
      <c r="U42" t="s">
        <v>226</v>
      </c>
      <c r="X42" s="15" t="s">
        <v>159</v>
      </c>
      <c r="Y42" s="16">
        <v>0.505</v>
      </c>
      <c r="AA42" s="18">
        <v>51741</v>
      </c>
      <c r="AB42" s="18" t="s">
        <v>238</v>
      </c>
      <c r="AC42" s="16">
        <v>0.33300000000000002</v>
      </c>
      <c r="AS42" s="63" t="s">
        <v>169</v>
      </c>
      <c r="AT42" s="3" t="s">
        <v>406</v>
      </c>
      <c r="AU42" s="15" t="s">
        <v>444</v>
      </c>
      <c r="AW42" s="15" t="s">
        <v>169</v>
      </c>
      <c r="AX42" s="8" t="s">
        <v>530</v>
      </c>
      <c r="AY42" s="3">
        <v>0</v>
      </c>
      <c r="BM42" s="15" t="s">
        <v>157</v>
      </c>
      <c r="BN42" s="77">
        <v>150</v>
      </c>
      <c r="BO42" s="77">
        <v>150</v>
      </c>
      <c r="BT42" t="s">
        <v>1210</v>
      </c>
      <c r="DB42" s="15" t="s">
        <v>169</v>
      </c>
      <c r="DC42" t="s">
        <v>530</v>
      </c>
      <c r="DJ42" s="199" t="s">
        <v>530</v>
      </c>
    </row>
    <row r="43" spans="1:114">
      <c r="A43" s="15" t="s">
        <v>159</v>
      </c>
      <c r="B43" s="68">
        <v>8.75</v>
      </c>
      <c r="E43" s="5" t="s">
        <v>72</v>
      </c>
      <c r="K43" s="14" t="s">
        <v>51</v>
      </c>
      <c r="T43" s="5" t="s">
        <v>159</v>
      </c>
      <c r="U43" t="s">
        <v>226</v>
      </c>
      <c r="X43" s="15" t="s">
        <v>179</v>
      </c>
      <c r="Y43" s="16">
        <v>0.55400000000000005</v>
      </c>
      <c r="AA43" s="18">
        <v>51752</v>
      </c>
      <c r="AB43" s="18" t="s">
        <v>238</v>
      </c>
      <c r="AC43" s="16">
        <v>0.33300000000000002</v>
      </c>
      <c r="AS43" s="63" t="s">
        <v>159</v>
      </c>
      <c r="AT43" s="3" t="s">
        <v>407</v>
      </c>
      <c r="AU43" s="3" t="s">
        <v>435</v>
      </c>
      <c r="AW43" s="15" t="s">
        <v>159</v>
      </c>
      <c r="AX43" s="8" t="s">
        <v>531</v>
      </c>
      <c r="AY43" s="3">
        <v>3</v>
      </c>
      <c r="BM43" s="15" t="s">
        <v>169</v>
      </c>
      <c r="BN43" s="77">
        <v>150</v>
      </c>
      <c r="BO43" s="77">
        <v>1000000</v>
      </c>
      <c r="BT43" t="s">
        <v>1212</v>
      </c>
      <c r="DB43" s="15" t="s">
        <v>159</v>
      </c>
      <c r="DC43" t="s">
        <v>531</v>
      </c>
      <c r="DJ43" s="199" t="s">
        <v>531</v>
      </c>
    </row>
    <row r="44" spans="1:114">
      <c r="A44" s="15" t="s">
        <v>179</v>
      </c>
      <c r="B44" s="68">
        <v>7.75</v>
      </c>
      <c r="E44" s="5" t="s">
        <v>110</v>
      </c>
      <c r="K44" s="14" t="s">
        <v>52</v>
      </c>
      <c r="T44" s="5" t="s">
        <v>179</v>
      </c>
      <c r="X44" s="15" t="s">
        <v>191</v>
      </c>
      <c r="Y44" s="16">
        <v>0.67300000000000004</v>
      </c>
      <c r="AA44" s="18">
        <v>51808</v>
      </c>
      <c r="AB44" s="18" t="s">
        <v>238</v>
      </c>
      <c r="AC44" s="16">
        <v>0.33300000000000002</v>
      </c>
      <c r="AS44" s="63" t="s">
        <v>179</v>
      </c>
      <c r="AT44" s="3" t="s">
        <v>408</v>
      </c>
      <c r="AU44" s="3" t="s">
        <v>435</v>
      </c>
      <c r="AW44" s="15" t="s">
        <v>179</v>
      </c>
      <c r="AX44" s="8" t="s">
        <v>532</v>
      </c>
      <c r="AY44" s="3">
        <v>6</v>
      </c>
      <c r="BM44" s="15" t="s">
        <v>159</v>
      </c>
      <c r="BN44" s="77">
        <v>150</v>
      </c>
      <c r="BO44" s="77">
        <v>1000000</v>
      </c>
      <c r="BT44" t="s">
        <v>1211</v>
      </c>
      <c r="DB44" s="15" t="s">
        <v>179</v>
      </c>
      <c r="DC44" t="s">
        <v>532</v>
      </c>
      <c r="DJ44" s="199" t="s">
        <v>532</v>
      </c>
    </row>
    <row r="45" spans="1:114">
      <c r="A45" s="15" t="s">
        <v>191</v>
      </c>
      <c r="B45" s="68">
        <v>12</v>
      </c>
      <c r="E45" s="5" t="s">
        <v>131</v>
      </c>
      <c r="K45" s="14" t="s">
        <v>53</v>
      </c>
      <c r="T45" s="5" t="s">
        <v>191</v>
      </c>
      <c r="U45" t="s">
        <v>226</v>
      </c>
      <c r="X45" s="15" t="s">
        <v>149</v>
      </c>
      <c r="Y45" s="16">
        <v>0.32200000000000001</v>
      </c>
      <c r="AA45" s="18">
        <v>51833</v>
      </c>
      <c r="AB45" s="18" t="s">
        <v>238</v>
      </c>
      <c r="AC45" s="16">
        <v>0.33300000000000002</v>
      </c>
      <c r="AS45" s="63" t="s">
        <v>191</v>
      </c>
      <c r="AT45" s="3" t="s">
        <v>409</v>
      </c>
      <c r="AU45" s="3" t="s">
        <v>435</v>
      </c>
      <c r="AW45" s="15" t="s">
        <v>191</v>
      </c>
      <c r="AX45" s="8" t="s">
        <v>533</v>
      </c>
      <c r="AY45" s="3">
        <v>6</v>
      </c>
      <c r="BM45" s="15" t="s">
        <v>179</v>
      </c>
      <c r="BN45" s="77">
        <v>150</v>
      </c>
      <c r="BO45" s="77">
        <v>1000000</v>
      </c>
      <c r="BT45" t="s">
        <v>767</v>
      </c>
      <c r="DB45" s="15" t="s">
        <v>191</v>
      </c>
      <c r="DC45" t="s">
        <v>533</v>
      </c>
      <c r="DJ45" s="199" t="s">
        <v>533</v>
      </c>
    </row>
    <row r="46" spans="1:114">
      <c r="A46" s="15" t="s">
        <v>149</v>
      </c>
      <c r="B46" s="68">
        <v>6</v>
      </c>
      <c r="E46" s="5" t="s">
        <v>7</v>
      </c>
      <c r="K46" s="14" t="s">
        <v>11</v>
      </c>
      <c r="T46" s="5" t="s">
        <v>149</v>
      </c>
      <c r="X46" s="15" t="s">
        <v>154</v>
      </c>
      <c r="Y46" s="16">
        <v>0.48599999999999999</v>
      </c>
      <c r="AA46" s="18">
        <v>51850</v>
      </c>
      <c r="AB46" s="18" t="s">
        <v>238</v>
      </c>
      <c r="AC46" s="16">
        <v>0.33300000000000002</v>
      </c>
      <c r="AS46" s="63" t="s">
        <v>149</v>
      </c>
      <c r="AT46" s="3" t="s">
        <v>425</v>
      </c>
      <c r="AU46" s="15" t="s">
        <v>444</v>
      </c>
      <c r="AW46" s="15" t="s">
        <v>149</v>
      </c>
      <c r="AX46" s="8" t="s">
        <v>534</v>
      </c>
      <c r="AY46" s="3">
        <v>10</v>
      </c>
      <c r="BM46" s="15" t="s">
        <v>191</v>
      </c>
      <c r="BN46" s="77">
        <v>150</v>
      </c>
      <c r="BO46" s="77">
        <v>1000000</v>
      </c>
      <c r="DB46" s="15" t="s">
        <v>149</v>
      </c>
      <c r="DC46" t="s">
        <v>534</v>
      </c>
      <c r="DJ46" s="199" t="s">
        <v>535</v>
      </c>
    </row>
    <row r="47" spans="1:114">
      <c r="A47" s="15" t="s">
        <v>154</v>
      </c>
      <c r="B47" s="68">
        <v>8.25</v>
      </c>
      <c r="E47" s="5" t="s">
        <v>132</v>
      </c>
      <c r="K47" s="14" t="s">
        <v>219</v>
      </c>
      <c r="T47" s="5" t="s">
        <v>154</v>
      </c>
      <c r="U47" t="s">
        <v>226</v>
      </c>
      <c r="X47" s="15" t="s">
        <v>174</v>
      </c>
      <c r="Y47" s="16">
        <v>0.40699999999999997</v>
      </c>
      <c r="AA47" s="18">
        <v>51851</v>
      </c>
      <c r="AB47" s="18" t="s">
        <v>238</v>
      </c>
      <c r="AC47" s="16">
        <v>0.33300000000000002</v>
      </c>
      <c r="AS47" s="63" t="s">
        <v>154</v>
      </c>
      <c r="AT47" s="3" t="s">
        <v>432</v>
      </c>
      <c r="AU47" s="15" t="s">
        <v>435</v>
      </c>
      <c r="AW47" s="15" t="s">
        <v>154</v>
      </c>
      <c r="AX47" s="8" t="s">
        <v>535</v>
      </c>
      <c r="AY47" s="3">
        <v>0</v>
      </c>
      <c r="BM47" s="15" t="s">
        <v>149</v>
      </c>
      <c r="BN47" s="77">
        <v>150</v>
      </c>
      <c r="BO47" s="77">
        <v>1000000</v>
      </c>
      <c r="DB47" s="15" t="s">
        <v>154</v>
      </c>
      <c r="DC47" t="s">
        <v>535</v>
      </c>
      <c r="DJ47" s="199" t="s">
        <v>534</v>
      </c>
    </row>
    <row r="48" spans="1:114">
      <c r="A48" s="15" t="s">
        <v>174</v>
      </c>
      <c r="B48" s="68">
        <v>9.5</v>
      </c>
      <c r="E48" s="5" t="s">
        <v>125</v>
      </c>
      <c r="K48" s="14"/>
      <c r="T48" s="5" t="s">
        <v>174</v>
      </c>
      <c r="U48" t="s">
        <v>226</v>
      </c>
      <c r="V48" t="s">
        <v>226</v>
      </c>
      <c r="X48" s="15" t="s">
        <v>153</v>
      </c>
      <c r="Y48" s="16">
        <v>0.53400000000000003</v>
      </c>
      <c r="AA48" s="18">
        <v>51852</v>
      </c>
      <c r="AB48" s="18" t="s">
        <v>238</v>
      </c>
      <c r="AC48" s="16">
        <v>0.33300000000000002</v>
      </c>
      <c r="AS48" s="63" t="s">
        <v>174</v>
      </c>
      <c r="AT48" s="3" t="s">
        <v>410</v>
      </c>
      <c r="AU48" s="3" t="s">
        <v>435</v>
      </c>
      <c r="AW48" s="15" t="s">
        <v>174</v>
      </c>
      <c r="AX48" s="8" t="s">
        <v>536</v>
      </c>
      <c r="AY48" s="3">
        <v>5</v>
      </c>
      <c r="BM48" s="15" t="s">
        <v>154</v>
      </c>
      <c r="BN48" s="77">
        <v>150</v>
      </c>
      <c r="BO48" s="77">
        <v>1000000</v>
      </c>
      <c r="BT48" s="3" t="s">
        <v>1215</v>
      </c>
      <c r="DB48" s="15" t="s">
        <v>174</v>
      </c>
      <c r="DC48" t="s">
        <v>536</v>
      </c>
      <c r="DJ48" s="199" t="s">
        <v>536</v>
      </c>
    </row>
    <row r="49" spans="1:114">
      <c r="A49" s="15" t="s">
        <v>153</v>
      </c>
      <c r="B49" s="68">
        <v>6</v>
      </c>
      <c r="E49" s="5" t="s">
        <v>83</v>
      </c>
      <c r="K49" s="14"/>
      <c r="T49" s="5" t="s">
        <v>153</v>
      </c>
      <c r="U49" t="s">
        <v>226</v>
      </c>
      <c r="X49" s="15" t="s">
        <v>192</v>
      </c>
      <c r="Y49" s="16">
        <v>0.36799999999999999</v>
      </c>
      <c r="AA49" s="18">
        <v>51855</v>
      </c>
      <c r="AB49" s="18" t="s">
        <v>238</v>
      </c>
      <c r="AC49" s="16">
        <v>0.33300000000000002</v>
      </c>
      <c r="AS49" s="63" t="s">
        <v>153</v>
      </c>
      <c r="AT49" s="3" t="s">
        <v>411</v>
      </c>
      <c r="AU49" s="3" t="s">
        <v>435</v>
      </c>
      <c r="AW49" s="15" t="s">
        <v>153</v>
      </c>
      <c r="AX49" s="8" t="s">
        <v>537</v>
      </c>
      <c r="AY49" s="3">
        <v>7</v>
      </c>
      <c r="BM49" s="15" t="s">
        <v>174</v>
      </c>
      <c r="BN49" s="77">
        <v>150</v>
      </c>
      <c r="BO49" s="77">
        <v>1000000</v>
      </c>
      <c r="DB49" s="15" t="s">
        <v>153</v>
      </c>
      <c r="DC49" t="s">
        <v>537</v>
      </c>
      <c r="DJ49" s="199" t="s">
        <v>538</v>
      </c>
    </row>
    <row r="50" spans="1:114">
      <c r="A50" s="15" t="s">
        <v>192</v>
      </c>
      <c r="B50" s="3"/>
      <c r="E50" s="5" t="s">
        <v>65</v>
      </c>
      <c r="T50" s="5" t="s">
        <v>192</v>
      </c>
      <c r="AA50" s="19">
        <v>51877</v>
      </c>
      <c r="AB50" s="18" t="s">
        <v>238</v>
      </c>
      <c r="AC50" s="16">
        <v>0.33300000000000002</v>
      </c>
      <c r="AS50" s="63" t="s">
        <v>192</v>
      </c>
      <c r="AT50" s="3" t="s">
        <v>412</v>
      </c>
      <c r="AU50" s="3" t="s">
        <v>433</v>
      </c>
      <c r="AW50" s="15" t="s">
        <v>192</v>
      </c>
      <c r="AX50" s="8" t="s">
        <v>538</v>
      </c>
      <c r="AY50" s="3">
        <v>2</v>
      </c>
      <c r="BM50" s="15" t="s">
        <v>153</v>
      </c>
      <c r="BN50" s="57">
        <v>150</v>
      </c>
      <c r="BO50" s="57">
        <v>1000000</v>
      </c>
      <c r="DB50" s="15" t="s">
        <v>192</v>
      </c>
      <c r="DC50" t="s">
        <v>538</v>
      </c>
      <c r="DJ50" s="199" t="s">
        <v>537</v>
      </c>
    </row>
    <row r="51" spans="1:114">
      <c r="A51" s="15" t="s">
        <v>438</v>
      </c>
      <c r="B51" s="3"/>
      <c r="E51" s="5" t="s">
        <v>97</v>
      </c>
      <c r="X51" s="15"/>
      <c r="Y51" s="16"/>
      <c r="AA51" s="19">
        <v>51896</v>
      </c>
      <c r="AB51" s="18" t="s">
        <v>238</v>
      </c>
      <c r="AC51" s="16">
        <v>0.33300000000000002</v>
      </c>
      <c r="AS51" s="63" t="s">
        <v>438</v>
      </c>
      <c r="AT51" s="3" t="s">
        <v>439</v>
      </c>
      <c r="AU51" s="15" t="s">
        <v>444</v>
      </c>
      <c r="AW51" s="15" t="s">
        <v>438</v>
      </c>
      <c r="AX51" s="8" t="s">
        <v>539</v>
      </c>
      <c r="AY51" s="3">
        <v>5</v>
      </c>
      <c r="BM51" s="15" t="s">
        <v>192</v>
      </c>
      <c r="BN51" s="57">
        <v>150</v>
      </c>
      <c r="BO51" s="57">
        <v>1000000</v>
      </c>
      <c r="DB51" s="15" t="s">
        <v>438</v>
      </c>
      <c r="DC51" t="s">
        <v>539</v>
      </c>
      <c r="DJ51" s="199" t="s">
        <v>539</v>
      </c>
    </row>
    <row r="52" spans="1:114">
      <c r="A52" s="3"/>
      <c r="B52" s="3"/>
      <c r="E52" s="5" t="s">
        <v>6</v>
      </c>
      <c r="X52" s="17"/>
      <c r="Y52" s="16"/>
      <c r="AA52" s="19">
        <v>51926</v>
      </c>
      <c r="AB52" s="18" t="s">
        <v>238</v>
      </c>
      <c r="AC52" s="16">
        <v>0.33300000000000002</v>
      </c>
      <c r="BM52" s="15" t="s">
        <v>438</v>
      </c>
      <c r="BN52" s="57">
        <v>150</v>
      </c>
      <c r="BO52" s="57">
        <v>1000000</v>
      </c>
    </row>
    <row r="53" spans="1:114">
      <c r="A53" s="3"/>
      <c r="B53" s="3"/>
      <c r="E53" s="5" t="s">
        <v>70</v>
      </c>
      <c r="AA53" s="19">
        <v>51941</v>
      </c>
      <c r="AB53" s="18" t="s">
        <v>238</v>
      </c>
      <c r="AC53" s="16">
        <v>0.33300000000000002</v>
      </c>
    </row>
    <row r="54" spans="1:114">
      <c r="A54" s="3" t="str">
        <f>IF(Retention="Deductible (Per Occur):","(Per Occurrence)",IF(Retention="Deductible (Per Claim):","(Per Claim)","SIR"))</f>
        <v>SIR</v>
      </c>
      <c r="B54" s="3"/>
      <c r="E54" s="5" t="s">
        <v>107</v>
      </c>
      <c r="AA54" s="19">
        <v>51942</v>
      </c>
      <c r="AB54" s="18" t="s">
        <v>238</v>
      </c>
      <c r="AC54" s="16">
        <v>0.33300000000000002</v>
      </c>
      <c r="BM54" t="s">
        <v>648</v>
      </c>
      <c r="BN54" s="57">
        <f>IF(OR(ChosenState=" ",ChosenState=""),0,VLOOKUP(ChosenState,ProFees,2,FALSE))</f>
        <v>0</v>
      </c>
      <c r="BO54" s="57">
        <f>IF(OR(ChosenState="",ChosenState=" "),0,VLOOKUP(ChosenState,ProFees,3,FALSE))</f>
        <v>0</v>
      </c>
    </row>
    <row r="55" spans="1:114">
      <c r="E55" s="5" t="s">
        <v>104</v>
      </c>
      <c r="AA55" s="19">
        <v>51957</v>
      </c>
      <c r="AB55" s="18" t="s">
        <v>238</v>
      </c>
      <c r="AC55" s="16">
        <v>0.33300000000000002</v>
      </c>
    </row>
    <row r="56" spans="1:114">
      <c r="E56" s="5" t="s">
        <v>126</v>
      </c>
      <c r="AA56" s="19">
        <v>51958</v>
      </c>
      <c r="AB56" s="18" t="s">
        <v>238</v>
      </c>
      <c r="AC56" s="16">
        <v>0.33300000000000002</v>
      </c>
    </row>
    <row r="57" spans="1:114">
      <c r="E57" s="5" t="s">
        <v>68</v>
      </c>
      <c r="AA57" s="19">
        <v>51959</v>
      </c>
      <c r="AB57" s="18" t="s">
        <v>238</v>
      </c>
      <c r="AC57" s="16">
        <v>0.33300000000000002</v>
      </c>
    </row>
    <row r="58" spans="1:114">
      <c r="E58" s="5" t="s">
        <v>133</v>
      </c>
      <c r="AA58" s="19">
        <v>51970</v>
      </c>
      <c r="AB58" s="18" t="s">
        <v>238</v>
      </c>
      <c r="AC58" s="16">
        <v>0.33300000000000002</v>
      </c>
    </row>
    <row r="59" spans="1:114">
      <c r="E59" s="5" t="s">
        <v>106</v>
      </c>
      <c r="AA59" s="19">
        <v>52075</v>
      </c>
      <c r="AB59" s="18" t="s">
        <v>238</v>
      </c>
      <c r="AC59" s="16">
        <v>0.33300000000000002</v>
      </c>
    </row>
    <row r="60" spans="1:114">
      <c r="A60" s="25" t="s">
        <v>278</v>
      </c>
      <c r="E60" s="5" t="s">
        <v>111</v>
      </c>
      <c r="AA60" s="19">
        <v>52076</v>
      </c>
      <c r="AB60" s="18" t="s">
        <v>238</v>
      </c>
      <c r="AC60" s="16">
        <v>0.33300000000000002</v>
      </c>
    </row>
    <row r="61" spans="1:114">
      <c r="A61" s="25" t="s">
        <v>559</v>
      </c>
      <c r="E61" s="5" t="s">
        <v>137</v>
      </c>
      <c r="AA61" s="19">
        <v>52134</v>
      </c>
      <c r="AB61" s="18" t="s">
        <v>238</v>
      </c>
      <c r="AC61" s="16">
        <v>0.33300000000000002</v>
      </c>
    </row>
    <row r="62" spans="1:114">
      <c r="A62" s="25" t="s">
        <v>570</v>
      </c>
      <c r="E62" s="5" t="s">
        <v>136</v>
      </c>
      <c r="AA62" s="19">
        <v>52137</v>
      </c>
      <c r="AB62" s="18" t="s">
        <v>238</v>
      </c>
      <c r="AC62" s="16">
        <v>0.33300000000000002</v>
      </c>
    </row>
    <row r="63" spans="1:114">
      <c r="A63" s="25" t="s">
        <v>571</v>
      </c>
      <c r="E63" s="5" t="s">
        <v>113</v>
      </c>
      <c r="AA63" s="19">
        <v>52150</v>
      </c>
      <c r="AB63" s="18" t="s">
        <v>238</v>
      </c>
      <c r="AC63" s="16">
        <v>0.33300000000000002</v>
      </c>
    </row>
    <row r="64" spans="1:114">
      <c r="A64" s="26"/>
      <c r="E64" s="5" t="s">
        <v>112</v>
      </c>
      <c r="AA64" s="19">
        <v>52315</v>
      </c>
      <c r="AB64" s="18" t="s">
        <v>238</v>
      </c>
      <c r="AC64" s="16">
        <v>0.33300000000000002</v>
      </c>
    </row>
    <row r="65" spans="1:29">
      <c r="A65" s="25" t="s">
        <v>56</v>
      </c>
      <c r="E65" s="5" t="s">
        <v>71</v>
      </c>
      <c r="AA65" s="19">
        <v>52343</v>
      </c>
      <c r="AB65" s="18" t="s">
        <v>238</v>
      </c>
      <c r="AC65" s="16">
        <v>0.33300000000000002</v>
      </c>
    </row>
    <row r="66" spans="1:29">
      <c r="A66" s="25" t="s">
        <v>560</v>
      </c>
      <c r="E66" s="5" t="s">
        <v>67</v>
      </c>
      <c r="AA66" s="19">
        <v>52401</v>
      </c>
      <c r="AB66" s="18" t="s">
        <v>238</v>
      </c>
      <c r="AC66" s="16">
        <v>0.33300000000000002</v>
      </c>
    </row>
    <row r="67" spans="1:29">
      <c r="A67" s="25" t="s">
        <v>572</v>
      </c>
      <c r="E67" s="5" t="s">
        <v>195</v>
      </c>
      <c r="AA67" s="19">
        <v>52432</v>
      </c>
      <c r="AB67" s="18" t="s">
        <v>238</v>
      </c>
      <c r="AC67" s="16">
        <v>0.33300000000000002</v>
      </c>
    </row>
    <row r="68" spans="1:29">
      <c r="A68" s="25" t="s">
        <v>573</v>
      </c>
      <c r="E68" s="5" t="s">
        <v>134</v>
      </c>
      <c r="AA68" s="19">
        <v>52435</v>
      </c>
      <c r="AB68" s="18" t="s">
        <v>238</v>
      </c>
      <c r="AC68" s="16">
        <v>0.33300000000000002</v>
      </c>
    </row>
    <row r="69" spans="1:29">
      <c r="A69" s="26"/>
      <c r="E69" s="5" t="s">
        <v>74</v>
      </c>
      <c r="AA69" s="19">
        <v>52438</v>
      </c>
      <c r="AB69" s="18" t="s">
        <v>238</v>
      </c>
      <c r="AC69" s="16">
        <v>0.33300000000000002</v>
      </c>
    </row>
    <row r="70" spans="1:29">
      <c r="A70" s="25" t="s">
        <v>55</v>
      </c>
      <c r="E70" s="5" t="s">
        <v>82</v>
      </c>
      <c r="AA70" s="19">
        <v>52440</v>
      </c>
      <c r="AB70" s="18" t="s">
        <v>238</v>
      </c>
      <c r="AC70" s="16">
        <v>0.33300000000000002</v>
      </c>
    </row>
    <row r="71" spans="1:29">
      <c r="A71" s="25" t="s">
        <v>561</v>
      </c>
      <c r="E71" s="5" t="s">
        <v>135</v>
      </c>
      <c r="AA71" s="19">
        <v>52467</v>
      </c>
      <c r="AB71" s="18" t="s">
        <v>238</v>
      </c>
      <c r="AC71" s="16">
        <v>0.33300000000000002</v>
      </c>
    </row>
    <row r="72" spans="1:29">
      <c r="A72" s="25" t="s">
        <v>574</v>
      </c>
      <c r="AA72" s="19">
        <v>52469</v>
      </c>
      <c r="AB72" s="18" t="s">
        <v>238</v>
      </c>
      <c r="AC72" s="16">
        <v>0.33300000000000002</v>
      </c>
    </row>
    <row r="73" spans="1:29">
      <c r="A73" s="25" t="s">
        <v>575</v>
      </c>
      <c r="AA73" s="19">
        <v>52505</v>
      </c>
      <c r="AB73" s="18" t="s">
        <v>238</v>
      </c>
      <c r="AC73" s="16">
        <v>0.33300000000000002</v>
      </c>
    </row>
    <row r="74" spans="1:29">
      <c r="A74" s="26"/>
      <c r="AA74" s="19">
        <v>52547</v>
      </c>
      <c r="AB74" s="18" t="s">
        <v>238</v>
      </c>
      <c r="AC74" s="16">
        <v>0.33300000000000002</v>
      </c>
    </row>
    <row r="75" spans="1:29">
      <c r="A75" s="25" t="s">
        <v>54</v>
      </c>
      <c r="AA75" s="19">
        <v>52581</v>
      </c>
      <c r="AB75" s="18" t="s">
        <v>238</v>
      </c>
      <c r="AC75" s="16">
        <v>0.33300000000000002</v>
      </c>
    </row>
    <row r="76" spans="1:29">
      <c r="A76" s="25" t="s">
        <v>562</v>
      </c>
      <c r="AA76" s="19">
        <v>52619</v>
      </c>
      <c r="AB76" s="18" t="s">
        <v>238</v>
      </c>
      <c r="AC76" s="16">
        <v>0.33300000000000002</v>
      </c>
    </row>
    <row r="77" spans="1:29">
      <c r="A77" s="25" t="s">
        <v>576</v>
      </c>
      <c r="F77" t="s">
        <v>198</v>
      </c>
      <c r="AA77" s="19">
        <v>52767</v>
      </c>
      <c r="AB77" s="18" t="s">
        <v>238</v>
      </c>
      <c r="AC77" s="16">
        <v>0.33300000000000002</v>
      </c>
    </row>
    <row r="78" spans="1:29">
      <c r="A78" s="25" t="s">
        <v>577</v>
      </c>
      <c r="F78" s="11" t="s">
        <v>211</v>
      </c>
      <c r="G78">
        <v>1</v>
      </c>
      <c r="AA78" s="19">
        <v>53001</v>
      </c>
      <c r="AB78" s="18" t="s">
        <v>238</v>
      </c>
      <c r="AC78" s="16">
        <v>0.33300000000000002</v>
      </c>
    </row>
    <row r="79" spans="1:29">
      <c r="A79" s="26"/>
      <c r="F79" s="11" t="s">
        <v>202</v>
      </c>
      <c r="G79" s="11">
        <v>1.1000000000000001</v>
      </c>
      <c r="AA79" s="19">
        <v>53077</v>
      </c>
      <c r="AB79" s="18" t="s">
        <v>238</v>
      </c>
      <c r="AC79" s="16">
        <v>0.33300000000000002</v>
      </c>
    </row>
    <row r="80" spans="1:29">
      <c r="A80" s="25" t="s">
        <v>87</v>
      </c>
      <c r="F80" s="11" t="s">
        <v>203</v>
      </c>
      <c r="G80" s="11">
        <v>1.1000000000000001</v>
      </c>
      <c r="AA80" s="19">
        <v>53096</v>
      </c>
      <c r="AB80" s="18" t="s">
        <v>238</v>
      </c>
      <c r="AC80" s="16">
        <v>0.33300000000000002</v>
      </c>
    </row>
    <row r="81" spans="1:29">
      <c r="A81" s="25" t="s">
        <v>563</v>
      </c>
      <c r="F81" s="11" t="s">
        <v>212</v>
      </c>
      <c r="G81" s="11">
        <v>1.2</v>
      </c>
      <c r="AA81" s="19">
        <v>53121</v>
      </c>
      <c r="AB81" s="18" t="s">
        <v>238</v>
      </c>
      <c r="AC81" s="16">
        <v>0.33300000000000002</v>
      </c>
    </row>
    <row r="82" spans="1:29">
      <c r="A82" s="25" t="s">
        <v>578</v>
      </c>
      <c r="F82" s="11" t="s">
        <v>204</v>
      </c>
      <c r="G82" s="11">
        <v>1.05</v>
      </c>
      <c r="AA82" s="19">
        <v>53147</v>
      </c>
      <c r="AB82" s="18" t="s">
        <v>238</v>
      </c>
      <c r="AC82" s="16">
        <v>0.33300000000000002</v>
      </c>
    </row>
    <row r="83" spans="1:29">
      <c r="A83" s="25" t="s">
        <v>579</v>
      </c>
      <c r="F83" s="11" t="s">
        <v>206</v>
      </c>
      <c r="G83" s="11">
        <v>1.1499999999999999</v>
      </c>
      <c r="AA83" s="19">
        <v>53271</v>
      </c>
      <c r="AB83" s="18" t="s">
        <v>238</v>
      </c>
      <c r="AC83" s="16">
        <v>0.33300000000000002</v>
      </c>
    </row>
    <row r="84" spans="1:29">
      <c r="A84" s="26"/>
      <c r="F84" s="11" t="s">
        <v>207</v>
      </c>
      <c r="G84" s="11">
        <v>1.2</v>
      </c>
      <c r="AA84" s="19">
        <v>53333</v>
      </c>
      <c r="AB84" s="18" t="s">
        <v>238</v>
      </c>
      <c r="AC84" s="16">
        <v>0.33300000000000002</v>
      </c>
    </row>
    <row r="85" spans="1:29">
      <c r="A85" s="26" t="s">
        <v>305</v>
      </c>
      <c r="F85" s="11" t="s">
        <v>208</v>
      </c>
      <c r="G85" s="11">
        <v>1.1499999999999999</v>
      </c>
      <c r="AA85" s="19">
        <v>53374</v>
      </c>
      <c r="AB85" s="18" t="s">
        <v>238</v>
      </c>
      <c r="AC85" s="16">
        <v>0.33300000000000002</v>
      </c>
    </row>
    <row r="86" spans="1:29">
      <c r="A86" s="26" t="s">
        <v>456</v>
      </c>
      <c r="F86" s="11" t="s">
        <v>209</v>
      </c>
      <c r="G86" s="11">
        <v>1.4</v>
      </c>
      <c r="AA86" s="19">
        <v>53376</v>
      </c>
      <c r="AB86" s="18" t="s">
        <v>238</v>
      </c>
      <c r="AC86" s="16">
        <v>0.33300000000000002</v>
      </c>
    </row>
    <row r="87" spans="1:29">
      <c r="A87" s="26" t="s">
        <v>546</v>
      </c>
      <c r="F87" s="11" t="s">
        <v>199</v>
      </c>
      <c r="G87" s="11">
        <v>1.2</v>
      </c>
      <c r="AA87" s="19">
        <v>53377</v>
      </c>
      <c r="AB87" s="18" t="s">
        <v>238</v>
      </c>
      <c r="AC87" s="16">
        <v>0.33300000000000002</v>
      </c>
    </row>
    <row r="88" spans="1:29">
      <c r="A88" s="26"/>
      <c r="F88" s="12" t="s">
        <v>210</v>
      </c>
      <c r="G88" s="11">
        <v>1</v>
      </c>
      <c r="AA88" s="19">
        <v>53425</v>
      </c>
      <c r="AB88" s="18" t="s">
        <v>238</v>
      </c>
      <c r="AC88" s="16">
        <v>0.33300000000000002</v>
      </c>
    </row>
    <row r="89" spans="1:29">
      <c r="A89" s="37" t="s">
        <v>306</v>
      </c>
      <c r="F89" s="12" t="s">
        <v>205</v>
      </c>
      <c r="G89">
        <v>0.9</v>
      </c>
      <c r="AA89" s="19">
        <v>53731</v>
      </c>
      <c r="AB89" s="18" t="s">
        <v>238</v>
      </c>
      <c r="AC89" s="16">
        <v>0.33300000000000002</v>
      </c>
    </row>
    <row r="90" spans="1:29">
      <c r="A90" s="38" t="s">
        <v>457</v>
      </c>
      <c r="F90" s="12" t="s">
        <v>201</v>
      </c>
      <c r="G90">
        <v>0.5</v>
      </c>
      <c r="AA90" s="19">
        <v>53732</v>
      </c>
      <c r="AB90" s="18" t="s">
        <v>238</v>
      </c>
      <c r="AC90" s="16">
        <v>0.33300000000000002</v>
      </c>
    </row>
    <row r="91" spans="1:29">
      <c r="A91" s="38" t="s">
        <v>547</v>
      </c>
      <c r="F91" s="12" t="s">
        <v>200</v>
      </c>
      <c r="G91">
        <v>0.85</v>
      </c>
      <c r="AA91" s="19">
        <v>53733</v>
      </c>
      <c r="AB91" s="18" t="s">
        <v>238</v>
      </c>
      <c r="AC91" s="16">
        <v>0.33300000000000002</v>
      </c>
    </row>
    <row r="92" spans="1:29">
      <c r="A92" s="26"/>
      <c r="F92" s="12" t="s">
        <v>213</v>
      </c>
      <c r="G92">
        <v>0.9</v>
      </c>
      <c r="AA92" s="19">
        <v>53735</v>
      </c>
      <c r="AB92" s="18" t="s">
        <v>238</v>
      </c>
      <c r="AC92" s="16">
        <v>0.33300000000000002</v>
      </c>
    </row>
    <row r="93" spans="1:29">
      <c r="A93" s="39" t="s">
        <v>307</v>
      </c>
      <c r="F93" s="12" t="s">
        <v>214</v>
      </c>
      <c r="G93">
        <v>0.9</v>
      </c>
      <c r="AA93" s="19">
        <v>54077</v>
      </c>
      <c r="AB93" s="18" t="s">
        <v>238</v>
      </c>
      <c r="AC93" s="16">
        <v>0.33300000000000002</v>
      </c>
    </row>
    <row r="94" spans="1:29">
      <c r="A94" s="40" t="s">
        <v>458</v>
      </c>
      <c r="G94">
        <v>0.9</v>
      </c>
      <c r="AA94" s="19">
        <v>54444</v>
      </c>
      <c r="AB94" s="18" t="s">
        <v>238</v>
      </c>
      <c r="AC94" s="16">
        <v>0.33300000000000002</v>
      </c>
    </row>
    <row r="95" spans="1:29">
      <c r="A95" s="27" t="s">
        <v>548</v>
      </c>
      <c r="AA95" s="19">
        <v>55010</v>
      </c>
      <c r="AB95" s="18" t="s">
        <v>238</v>
      </c>
      <c r="AC95" s="16">
        <v>0.33300000000000002</v>
      </c>
    </row>
    <row r="96" spans="1:29">
      <c r="A96" s="26"/>
      <c r="AA96" s="19">
        <v>55011</v>
      </c>
      <c r="AB96" s="18" t="s">
        <v>238</v>
      </c>
      <c r="AC96" s="16">
        <v>0.33300000000000002</v>
      </c>
    </row>
    <row r="97" spans="1:29">
      <c r="A97" s="41" t="s">
        <v>308</v>
      </c>
      <c r="AA97" s="19">
        <v>55013</v>
      </c>
      <c r="AB97" s="18" t="s">
        <v>238</v>
      </c>
      <c r="AC97" s="16">
        <v>0.33300000000000002</v>
      </c>
    </row>
    <row r="98" spans="1:29">
      <c r="A98" s="42" t="s">
        <v>459</v>
      </c>
      <c r="AA98" s="19">
        <v>55426</v>
      </c>
      <c r="AB98" s="18" t="s">
        <v>238</v>
      </c>
      <c r="AC98" s="16">
        <v>0.33300000000000002</v>
      </c>
    </row>
    <row r="99" spans="1:29">
      <c r="A99" s="42" t="s">
        <v>549</v>
      </c>
      <c r="AA99" s="19">
        <v>55647</v>
      </c>
      <c r="AB99" s="18" t="s">
        <v>238</v>
      </c>
      <c r="AC99" s="16">
        <v>0.33300000000000002</v>
      </c>
    </row>
    <row r="100" spans="1:29">
      <c r="A100" s="26"/>
      <c r="AA100" s="19">
        <v>55648</v>
      </c>
      <c r="AB100" s="18" t="s">
        <v>238</v>
      </c>
      <c r="AC100" s="16">
        <v>0.33300000000000002</v>
      </c>
    </row>
    <row r="101" spans="1:29">
      <c r="A101" s="26" t="s">
        <v>309</v>
      </c>
      <c r="AA101" s="19">
        <v>55649</v>
      </c>
      <c r="AB101" s="18" t="s">
        <v>238</v>
      </c>
      <c r="AC101" s="16">
        <v>0.33300000000000002</v>
      </c>
    </row>
    <row r="102" spans="1:29">
      <c r="A102" s="26" t="s">
        <v>460</v>
      </c>
      <c r="AA102" s="19">
        <v>55715</v>
      </c>
      <c r="AB102" s="18" t="s">
        <v>238</v>
      </c>
      <c r="AC102" s="16">
        <v>0.33300000000000002</v>
      </c>
    </row>
    <row r="103" spans="1:29">
      <c r="A103" s="26" t="s">
        <v>550</v>
      </c>
      <c r="AA103" s="19">
        <v>55717</v>
      </c>
      <c r="AB103" s="18" t="s">
        <v>238</v>
      </c>
      <c r="AC103" s="16">
        <v>0.33300000000000002</v>
      </c>
    </row>
    <row r="104" spans="1:29">
      <c r="A104" s="26"/>
      <c r="AA104" s="19">
        <v>55718</v>
      </c>
      <c r="AB104" s="18" t="s">
        <v>238</v>
      </c>
      <c r="AC104" s="16">
        <v>0.33300000000000002</v>
      </c>
    </row>
    <row r="105" spans="1:29">
      <c r="A105" s="43" t="s">
        <v>310</v>
      </c>
      <c r="AA105" s="19">
        <v>55802</v>
      </c>
      <c r="AB105" s="18" t="s">
        <v>238</v>
      </c>
      <c r="AC105" s="16">
        <v>0.33300000000000002</v>
      </c>
    </row>
    <row r="106" spans="1:29">
      <c r="A106" s="44" t="s">
        <v>461</v>
      </c>
      <c r="AA106" s="19">
        <v>56390</v>
      </c>
      <c r="AB106" s="18" t="s">
        <v>238</v>
      </c>
      <c r="AC106" s="16">
        <v>0.33300000000000002</v>
      </c>
    </row>
    <row r="107" spans="1:29">
      <c r="A107" s="28" t="s">
        <v>551</v>
      </c>
      <c r="AA107" s="19">
        <v>56427</v>
      </c>
      <c r="AB107" s="18" t="s">
        <v>238</v>
      </c>
      <c r="AC107" s="16">
        <v>0.33300000000000002</v>
      </c>
    </row>
    <row r="108" spans="1:29">
      <c r="A108" s="26"/>
      <c r="AA108" s="19">
        <v>56567</v>
      </c>
      <c r="AB108" s="18" t="s">
        <v>238</v>
      </c>
      <c r="AC108" s="16">
        <v>0.33300000000000002</v>
      </c>
    </row>
    <row r="109" spans="1:29">
      <c r="A109" s="45" t="s">
        <v>311</v>
      </c>
      <c r="AA109" s="19">
        <v>56650</v>
      </c>
      <c r="AB109" s="18" t="s">
        <v>238</v>
      </c>
      <c r="AC109" s="16">
        <v>0.33300000000000002</v>
      </c>
    </row>
    <row r="110" spans="1:29">
      <c r="A110" s="46" t="s">
        <v>462</v>
      </c>
      <c r="AA110" s="19">
        <v>56651</v>
      </c>
      <c r="AB110" s="18" t="s">
        <v>238</v>
      </c>
      <c r="AC110" s="16">
        <v>0.33300000000000002</v>
      </c>
    </row>
    <row r="111" spans="1:29">
      <c r="A111" s="28" t="s">
        <v>552</v>
      </c>
      <c r="AA111" s="19">
        <v>56652</v>
      </c>
      <c r="AB111" s="18" t="s">
        <v>238</v>
      </c>
      <c r="AC111" s="16">
        <v>0.33300000000000002</v>
      </c>
    </row>
    <row r="112" spans="1:29">
      <c r="A112" s="26"/>
      <c r="AA112" s="19">
        <v>56653</v>
      </c>
      <c r="AB112" s="18" t="s">
        <v>238</v>
      </c>
      <c r="AC112" s="16">
        <v>0.33300000000000002</v>
      </c>
    </row>
    <row r="113" spans="1:29">
      <c r="A113" s="47" t="s">
        <v>312</v>
      </c>
      <c r="AA113" s="19">
        <v>56654</v>
      </c>
      <c r="AB113" s="18" t="s">
        <v>238</v>
      </c>
      <c r="AC113" s="16">
        <v>0.33300000000000002</v>
      </c>
    </row>
    <row r="114" spans="1:29">
      <c r="A114" s="48" t="s">
        <v>463</v>
      </c>
      <c r="AA114" s="19">
        <v>56699</v>
      </c>
      <c r="AB114" s="18" t="s">
        <v>238</v>
      </c>
      <c r="AC114" s="16">
        <v>0.33300000000000002</v>
      </c>
    </row>
    <row r="115" spans="1:29">
      <c r="A115" s="48" t="s">
        <v>553</v>
      </c>
      <c r="AA115" s="19">
        <v>56759</v>
      </c>
      <c r="AB115" s="18" t="s">
        <v>238</v>
      </c>
      <c r="AC115" s="16">
        <v>0.33300000000000002</v>
      </c>
    </row>
    <row r="116" spans="1:29">
      <c r="A116" s="48"/>
      <c r="AA116" s="19">
        <v>56760</v>
      </c>
      <c r="AB116" s="18" t="s">
        <v>238</v>
      </c>
      <c r="AC116" s="16">
        <v>0.33300000000000002</v>
      </c>
    </row>
    <row r="117" spans="1:29">
      <c r="A117" s="48" t="s">
        <v>313</v>
      </c>
      <c r="AA117" s="19">
        <v>56805</v>
      </c>
      <c r="AB117" s="18" t="s">
        <v>238</v>
      </c>
      <c r="AC117" s="16">
        <v>0.33300000000000002</v>
      </c>
    </row>
    <row r="118" spans="1:29">
      <c r="A118" s="48" t="s">
        <v>620</v>
      </c>
      <c r="AA118" s="19">
        <v>56806</v>
      </c>
      <c r="AB118" s="18" t="s">
        <v>238</v>
      </c>
      <c r="AC118" s="16">
        <v>0.33300000000000002</v>
      </c>
    </row>
    <row r="119" spans="1:29">
      <c r="A119" s="48" t="s">
        <v>621</v>
      </c>
      <c r="AA119" s="19">
        <v>56807</v>
      </c>
      <c r="AB119" s="18" t="s">
        <v>238</v>
      </c>
      <c r="AC119" s="16">
        <v>0.33300000000000002</v>
      </c>
    </row>
    <row r="120" spans="1:29">
      <c r="A120" s="26"/>
      <c r="AA120" s="19">
        <v>56808</v>
      </c>
      <c r="AB120" s="18" t="s">
        <v>238</v>
      </c>
      <c r="AC120" s="16">
        <v>0.33300000000000002</v>
      </c>
    </row>
    <row r="121" spans="1:29">
      <c r="A121" s="49" t="s">
        <v>314</v>
      </c>
      <c r="AA121" s="19">
        <v>56911</v>
      </c>
      <c r="AB121" s="18" t="s">
        <v>238</v>
      </c>
      <c r="AC121" s="16">
        <v>0.33300000000000002</v>
      </c>
    </row>
    <row r="122" spans="1:29">
      <c r="A122" s="50" t="s">
        <v>464</v>
      </c>
      <c r="AA122" s="19">
        <v>56912</v>
      </c>
      <c r="AB122" s="18" t="s">
        <v>238</v>
      </c>
      <c r="AC122" s="16">
        <v>0.33300000000000002</v>
      </c>
    </row>
    <row r="123" spans="1:29">
      <c r="A123" s="27" t="s">
        <v>554</v>
      </c>
      <c r="AA123" s="19">
        <v>56913</v>
      </c>
      <c r="AB123" s="18" t="s">
        <v>238</v>
      </c>
      <c r="AC123" s="16">
        <v>0.33300000000000002</v>
      </c>
    </row>
    <row r="124" spans="1:29">
      <c r="A124" s="26"/>
      <c r="AA124" s="19">
        <v>56915</v>
      </c>
      <c r="AB124" s="18" t="s">
        <v>238</v>
      </c>
      <c r="AC124" s="16">
        <v>0.33300000000000002</v>
      </c>
    </row>
    <row r="125" spans="1:29">
      <c r="A125" s="51" t="s">
        <v>315</v>
      </c>
      <c r="AA125" s="19">
        <v>56916</v>
      </c>
      <c r="AB125" s="18" t="s">
        <v>238</v>
      </c>
      <c r="AC125" s="16">
        <v>0.33300000000000002</v>
      </c>
    </row>
    <row r="126" spans="1:29">
      <c r="A126" s="52" t="s">
        <v>465</v>
      </c>
      <c r="AA126" s="19">
        <v>56917</v>
      </c>
      <c r="AB126" s="18" t="s">
        <v>238</v>
      </c>
      <c r="AC126" s="16">
        <v>0.33300000000000002</v>
      </c>
    </row>
    <row r="127" spans="1:29">
      <c r="A127" s="28" t="s">
        <v>555</v>
      </c>
      <c r="AA127" s="19">
        <v>57090</v>
      </c>
      <c r="AB127" s="18" t="s">
        <v>238</v>
      </c>
      <c r="AC127" s="16">
        <v>0.33300000000000002</v>
      </c>
    </row>
    <row r="128" spans="1:29">
      <c r="A128" s="26"/>
      <c r="AA128" s="19">
        <v>57146</v>
      </c>
      <c r="AB128" s="18" t="s">
        <v>238</v>
      </c>
      <c r="AC128" s="16">
        <v>0.33300000000000002</v>
      </c>
    </row>
    <row r="129" spans="1:29">
      <c r="A129" s="53" t="s">
        <v>316</v>
      </c>
      <c r="AA129" s="19">
        <v>57202</v>
      </c>
      <c r="AB129" s="18" t="s">
        <v>238</v>
      </c>
      <c r="AC129" s="16">
        <v>0.33300000000000002</v>
      </c>
    </row>
    <row r="130" spans="1:29">
      <c r="A130" s="54" t="s">
        <v>466</v>
      </c>
      <c r="AA130" s="19">
        <v>57257</v>
      </c>
      <c r="AB130" s="18" t="s">
        <v>238</v>
      </c>
      <c r="AC130" s="16">
        <v>0.33300000000000002</v>
      </c>
    </row>
    <row r="131" spans="1:29">
      <c r="A131" s="54" t="s">
        <v>556</v>
      </c>
      <c r="AA131" s="19">
        <v>57410</v>
      </c>
      <c r="AB131" s="18" t="s">
        <v>238</v>
      </c>
      <c r="AC131" s="16">
        <v>0.33300000000000002</v>
      </c>
    </row>
    <row r="132" spans="1:29">
      <c r="A132" s="54"/>
      <c r="AA132" s="19">
        <v>57411</v>
      </c>
      <c r="AB132" s="18" t="s">
        <v>238</v>
      </c>
      <c r="AC132" s="16">
        <v>0.33300000000000002</v>
      </c>
    </row>
    <row r="133" spans="1:29">
      <c r="A133" s="200" t="s">
        <v>1822</v>
      </c>
      <c r="AA133" s="19">
        <v>57611</v>
      </c>
      <c r="AB133" s="18" t="s">
        <v>238</v>
      </c>
      <c r="AC133" s="16">
        <v>0.33300000000000002</v>
      </c>
    </row>
    <row r="134" spans="1:29">
      <c r="A134" s="200" t="s">
        <v>1955</v>
      </c>
      <c r="AA134" s="19">
        <v>57625</v>
      </c>
      <c r="AB134" s="18" t="s">
        <v>238</v>
      </c>
      <c r="AC134" s="16">
        <v>0.33300000000000002</v>
      </c>
    </row>
    <row r="135" spans="1:29">
      <c r="A135" s="200" t="s">
        <v>1956</v>
      </c>
      <c r="AA135" s="19">
        <v>57690</v>
      </c>
      <c r="AB135" s="18" t="s">
        <v>238</v>
      </c>
      <c r="AC135" s="16">
        <v>0.33300000000000002</v>
      </c>
    </row>
    <row r="136" spans="1:29">
      <c r="A136" s="200" t="s">
        <v>1957</v>
      </c>
      <c r="AA136" s="19">
        <v>57716</v>
      </c>
      <c r="AB136" s="18" t="s">
        <v>238</v>
      </c>
      <c r="AC136" s="16">
        <v>0.33300000000000002</v>
      </c>
    </row>
    <row r="137" spans="1:29">
      <c r="A137" s="200" t="s">
        <v>1958</v>
      </c>
      <c r="AA137" s="19">
        <v>57725</v>
      </c>
      <c r="AB137" s="18" t="s">
        <v>238</v>
      </c>
      <c r="AC137" s="16">
        <v>0.33300000000000002</v>
      </c>
    </row>
    <row r="138" spans="1:29">
      <c r="A138" s="200" t="s">
        <v>1959</v>
      </c>
      <c r="AA138" s="19">
        <v>57798</v>
      </c>
      <c r="AB138" s="18" t="s">
        <v>238</v>
      </c>
      <c r="AC138" s="16">
        <v>0.33300000000000002</v>
      </c>
    </row>
    <row r="139" spans="1:29">
      <c r="A139" s="200" t="s">
        <v>1960</v>
      </c>
      <c r="AA139" s="19">
        <v>58009</v>
      </c>
      <c r="AB139" s="18" t="s">
        <v>238</v>
      </c>
      <c r="AC139" s="16">
        <v>0.33300000000000002</v>
      </c>
    </row>
    <row r="140" spans="1:29">
      <c r="A140" s="54"/>
      <c r="AA140" s="19">
        <v>58010</v>
      </c>
      <c r="AB140" s="18" t="s">
        <v>238</v>
      </c>
      <c r="AC140" s="16">
        <v>0.33300000000000002</v>
      </c>
    </row>
    <row r="141" spans="1:29">
      <c r="A141" s="54" t="s">
        <v>268</v>
      </c>
      <c r="AA141" s="19">
        <v>58056</v>
      </c>
      <c r="AB141" s="18" t="s">
        <v>238</v>
      </c>
      <c r="AC141" s="16">
        <v>0.33300000000000002</v>
      </c>
    </row>
    <row r="142" spans="1:29">
      <c r="A142" s="54" t="s">
        <v>654</v>
      </c>
      <c r="AA142" s="19">
        <v>58057</v>
      </c>
      <c r="AB142" s="18" t="s">
        <v>238</v>
      </c>
      <c r="AC142" s="16">
        <v>0.33300000000000002</v>
      </c>
    </row>
    <row r="143" spans="1:29">
      <c r="A143" s="54" t="s">
        <v>655</v>
      </c>
      <c r="AA143" s="19">
        <v>58058</v>
      </c>
      <c r="AB143" s="18" t="s">
        <v>238</v>
      </c>
      <c r="AC143" s="16">
        <v>0.33300000000000002</v>
      </c>
    </row>
    <row r="144" spans="1:29">
      <c r="A144" s="54" t="s">
        <v>653</v>
      </c>
      <c r="AA144" s="19">
        <v>58095</v>
      </c>
      <c r="AB144" s="18" t="s">
        <v>238</v>
      </c>
      <c r="AC144" s="16">
        <v>0.33300000000000002</v>
      </c>
    </row>
    <row r="145" spans="1:29">
      <c r="A145" s="54"/>
      <c r="AA145" s="19">
        <v>58096</v>
      </c>
      <c r="AB145" s="18" t="s">
        <v>238</v>
      </c>
      <c r="AC145" s="16">
        <v>0.33300000000000002</v>
      </c>
    </row>
    <row r="146" spans="1:29">
      <c r="A146" s="29" t="s">
        <v>318</v>
      </c>
      <c r="AA146" s="19">
        <v>58397</v>
      </c>
      <c r="AB146" s="18" t="s">
        <v>238</v>
      </c>
      <c r="AC146" s="16">
        <v>0.33300000000000002</v>
      </c>
    </row>
    <row r="147" spans="1:29">
      <c r="A147" s="29" t="s">
        <v>459</v>
      </c>
      <c r="AA147" s="19">
        <v>58408</v>
      </c>
      <c r="AB147" s="18" t="s">
        <v>238</v>
      </c>
      <c r="AC147" s="16">
        <v>0.33300000000000002</v>
      </c>
    </row>
    <row r="148" spans="1:29">
      <c r="A148" s="27" t="s">
        <v>549</v>
      </c>
      <c r="AA148" s="19">
        <v>58532</v>
      </c>
      <c r="AB148" s="18" t="s">
        <v>238</v>
      </c>
      <c r="AC148" s="16">
        <v>0.33300000000000002</v>
      </c>
    </row>
    <row r="149" spans="1:29">
      <c r="A149" s="27"/>
      <c r="AA149" s="19">
        <v>58560</v>
      </c>
      <c r="AB149" s="18" t="s">
        <v>238</v>
      </c>
      <c r="AC149" s="16">
        <v>0.33300000000000002</v>
      </c>
    </row>
    <row r="150" spans="1:29">
      <c r="A150" s="27" t="s">
        <v>370</v>
      </c>
      <c r="AA150" s="19">
        <v>58663</v>
      </c>
      <c r="AB150" s="18" t="s">
        <v>238</v>
      </c>
      <c r="AC150" s="16">
        <v>0.33300000000000002</v>
      </c>
    </row>
    <row r="151" spans="1:29" ht="38.25">
      <c r="A151" s="29" t="s">
        <v>478</v>
      </c>
      <c r="AA151" s="19">
        <v>58682</v>
      </c>
      <c r="AB151" s="18" t="s">
        <v>238</v>
      </c>
      <c r="AC151" s="16">
        <v>0.33300000000000002</v>
      </c>
    </row>
    <row r="152" spans="1:29" ht="25.5">
      <c r="A152" s="29" t="s">
        <v>471</v>
      </c>
      <c r="AA152" s="19">
        <v>58737</v>
      </c>
      <c r="AB152" s="18" t="s">
        <v>238</v>
      </c>
      <c r="AC152" s="16">
        <v>0.33300000000000002</v>
      </c>
    </row>
    <row r="153" spans="1:29" ht="25.5">
      <c r="A153" s="29" t="s">
        <v>472</v>
      </c>
      <c r="AA153" s="19">
        <v>58756</v>
      </c>
      <c r="AB153" s="18" t="s">
        <v>238</v>
      </c>
      <c r="AC153" s="16">
        <v>0.33300000000000002</v>
      </c>
    </row>
    <row r="154" spans="1:29" ht="25.5">
      <c r="A154" s="29" t="s">
        <v>476</v>
      </c>
      <c r="AA154" s="19">
        <v>58813</v>
      </c>
      <c r="AB154" s="18" t="s">
        <v>238</v>
      </c>
      <c r="AC154" s="16">
        <v>0.33300000000000002</v>
      </c>
    </row>
    <row r="155" spans="1:29" ht="25.5">
      <c r="A155" s="29" t="s">
        <v>475</v>
      </c>
      <c r="AA155" s="19">
        <v>58873</v>
      </c>
      <c r="AB155" s="18" t="s">
        <v>238</v>
      </c>
      <c r="AC155" s="16">
        <v>0.33300000000000002</v>
      </c>
    </row>
    <row r="156" spans="1:29" ht="25.5">
      <c r="A156" s="29" t="s">
        <v>474</v>
      </c>
      <c r="AA156" s="19">
        <v>58922</v>
      </c>
      <c r="AB156" s="18" t="s">
        <v>238</v>
      </c>
      <c r="AC156" s="16">
        <v>0.33300000000000002</v>
      </c>
    </row>
    <row r="157" spans="1:29" ht="25.5">
      <c r="A157" s="29" t="s">
        <v>473</v>
      </c>
      <c r="AA157" s="19">
        <v>59057</v>
      </c>
      <c r="AB157" s="18" t="s">
        <v>238</v>
      </c>
      <c r="AC157" s="16">
        <v>0.33300000000000002</v>
      </c>
    </row>
    <row r="158" spans="1:29">
      <c r="A158" s="26"/>
      <c r="AA158" s="19">
        <v>59188</v>
      </c>
      <c r="AB158" s="18" t="s">
        <v>238</v>
      </c>
      <c r="AC158" s="16">
        <v>0.33300000000000002</v>
      </c>
    </row>
    <row r="159" spans="1:29">
      <c r="A159" s="26" t="s">
        <v>223</v>
      </c>
      <c r="AA159" s="19">
        <v>59223</v>
      </c>
      <c r="AB159" s="18" t="s">
        <v>238</v>
      </c>
      <c r="AC159" s="16">
        <v>0.33300000000000002</v>
      </c>
    </row>
    <row r="160" spans="1:29">
      <c r="A160" s="26" t="s">
        <v>467</v>
      </c>
      <c r="AA160" s="19">
        <v>59306</v>
      </c>
      <c r="AB160" s="18" t="s">
        <v>238</v>
      </c>
      <c r="AC160" s="16">
        <v>0.33300000000000002</v>
      </c>
    </row>
    <row r="161" spans="1:29">
      <c r="A161" s="26" t="s">
        <v>564</v>
      </c>
      <c r="AA161" s="19">
        <v>59378</v>
      </c>
      <c r="AB161" s="18" t="s">
        <v>238</v>
      </c>
      <c r="AC161" s="16">
        <v>0.33300000000000002</v>
      </c>
    </row>
    <row r="162" spans="1:29">
      <c r="A162" s="26" t="s">
        <v>565</v>
      </c>
      <c r="AA162" s="19">
        <v>59481</v>
      </c>
      <c r="AB162" s="18" t="s">
        <v>238</v>
      </c>
      <c r="AC162" s="16">
        <v>0.33300000000000002</v>
      </c>
    </row>
    <row r="163" spans="1:29">
      <c r="A163" s="26"/>
      <c r="AA163" s="19">
        <v>59482</v>
      </c>
      <c r="AB163" s="18" t="s">
        <v>238</v>
      </c>
      <c r="AC163" s="16">
        <v>0.33300000000000002</v>
      </c>
    </row>
    <row r="164" spans="1:29">
      <c r="A164" s="30" t="s">
        <v>283</v>
      </c>
      <c r="AA164" s="19">
        <v>59601</v>
      </c>
      <c r="AB164" s="18" t="s">
        <v>238</v>
      </c>
      <c r="AC164" s="16">
        <v>0.33300000000000002</v>
      </c>
    </row>
    <row r="165" spans="1:29">
      <c r="A165" s="27" t="s">
        <v>468</v>
      </c>
      <c r="AA165" s="19">
        <v>59695</v>
      </c>
      <c r="AB165" s="18" t="s">
        <v>238</v>
      </c>
      <c r="AC165" s="16">
        <v>0.33300000000000002</v>
      </c>
    </row>
    <row r="166" spans="1:29">
      <c r="A166" s="27" t="s">
        <v>557</v>
      </c>
      <c r="AA166" s="19">
        <v>59713</v>
      </c>
      <c r="AB166" s="18" t="s">
        <v>238</v>
      </c>
      <c r="AC166" s="16">
        <v>0.33300000000000002</v>
      </c>
    </row>
    <row r="167" spans="1:29">
      <c r="A167" s="27"/>
      <c r="AA167" s="19">
        <v>59722</v>
      </c>
      <c r="AB167" s="18" t="s">
        <v>238</v>
      </c>
      <c r="AC167" s="16">
        <v>0.33300000000000002</v>
      </c>
    </row>
    <row r="168" spans="1:29">
      <c r="A168" s="24" t="s">
        <v>606</v>
      </c>
      <c r="AA168" s="19">
        <v>59723</v>
      </c>
      <c r="AB168" s="18" t="s">
        <v>238</v>
      </c>
      <c r="AC168" s="16">
        <v>0.33300000000000002</v>
      </c>
    </row>
    <row r="169" spans="1:29">
      <c r="A169" s="27" t="s">
        <v>664</v>
      </c>
      <c r="AA169" s="19">
        <v>59725</v>
      </c>
      <c r="AB169" s="18" t="s">
        <v>238</v>
      </c>
      <c r="AC169" s="16">
        <v>0.33300000000000002</v>
      </c>
    </row>
    <row r="170" spans="1:29">
      <c r="A170" s="27" t="s">
        <v>665</v>
      </c>
      <c r="AA170" s="19">
        <v>59773</v>
      </c>
      <c r="AB170" s="18" t="s">
        <v>238</v>
      </c>
      <c r="AC170" s="16">
        <v>0.33300000000000002</v>
      </c>
    </row>
    <row r="171" spans="1:29">
      <c r="A171" s="27"/>
      <c r="AA171" s="19">
        <v>59781</v>
      </c>
      <c r="AB171" s="18" t="s">
        <v>238</v>
      </c>
      <c r="AC171" s="16">
        <v>0.33300000000000002</v>
      </c>
    </row>
    <row r="172" spans="1:29">
      <c r="A172" s="27"/>
      <c r="AA172" s="19">
        <v>59782</v>
      </c>
      <c r="AB172" s="18" t="s">
        <v>238</v>
      </c>
      <c r="AC172" s="16">
        <v>0.33300000000000002</v>
      </c>
    </row>
    <row r="173" spans="1:29">
      <c r="A173" s="27"/>
      <c r="AA173" s="19">
        <v>59783</v>
      </c>
      <c r="AB173" s="18" t="s">
        <v>238</v>
      </c>
      <c r="AC173" s="16">
        <v>0.33300000000000002</v>
      </c>
    </row>
    <row r="174" spans="1:29">
      <c r="A174" s="26"/>
      <c r="AA174" s="19">
        <v>59790</v>
      </c>
      <c r="AB174" s="18" t="s">
        <v>238</v>
      </c>
      <c r="AC174" s="16">
        <v>0.33300000000000002</v>
      </c>
    </row>
    <row r="175" spans="1:29">
      <c r="A175" s="30" t="s">
        <v>224</v>
      </c>
      <c r="AA175" s="19">
        <v>59798</v>
      </c>
      <c r="AB175" s="18" t="s">
        <v>238</v>
      </c>
      <c r="AC175" s="16">
        <v>0.33300000000000002</v>
      </c>
    </row>
    <row r="176" spans="1:29">
      <c r="A176" s="27" t="s">
        <v>643</v>
      </c>
      <c r="AA176" s="19">
        <v>59806</v>
      </c>
      <c r="AB176" s="18" t="s">
        <v>238</v>
      </c>
      <c r="AC176" s="16">
        <v>0.33300000000000002</v>
      </c>
    </row>
    <row r="177" spans="1:29">
      <c r="A177" s="27" t="s">
        <v>1979</v>
      </c>
      <c r="AA177" s="19">
        <v>59914</v>
      </c>
      <c r="AB177" s="18" t="s">
        <v>238</v>
      </c>
      <c r="AC177" s="16">
        <v>0.33300000000000002</v>
      </c>
    </row>
    <row r="178" spans="1:29">
      <c r="A178" s="27" t="s">
        <v>1980</v>
      </c>
      <c r="AA178" s="19">
        <v>59932</v>
      </c>
      <c r="AB178" s="18" t="s">
        <v>238</v>
      </c>
      <c r="AC178" s="16">
        <v>0.33300000000000002</v>
      </c>
    </row>
    <row r="179" spans="1:29">
      <c r="A179" s="27" t="s">
        <v>1981</v>
      </c>
      <c r="AA179" s="19">
        <v>59975</v>
      </c>
      <c r="AB179" s="18" t="s">
        <v>238</v>
      </c>
      <c r="AC179" s="16">
        <v>0.33300000000000002</v>
      </c>
    </row>
    <row r="180" spans="1:29">
      <c r="A180" s="27" t="s">
        <v>1982</v>
      </c>
      <c r="AA180" s="19">
        <v>59977</v>
      </c>
      <c r="AB180" s="18" t="s">
        <v>238</v>
      </c>
      <c r="AC180" s="16">
        <v>0.33300000000000002</v>
      </c>
    </row>
    <row r="181" spans="1:29">
      <c r="A181" s="27" t="s">
        <v>558</v>
      </c>
      <c r="AA181" s="19">
        <v>59984</v>
      </c>
      <c r="AB181" s="18" t="s">
        <v>238</v>
      </c>
      <c r="AC181" s="16">
        <v>0.33300000000000002</v>
      </c>
    </row>
    <row r="182" spans="1:29">
      <c r="A182" s="26"/>
      <c r="AA182" s="19">
        <v>59985</v>
      </c>
      <c r="AB182" s="18" t="s">
        <v>238</v>
      </c>
      <c r="AC182" s="16">
        <v>0.33300000000000002</v>
      </c>
    </row>
    <row r="183" spans="1:29">
      <c r="A183" s="30" t="s">
        <v>233</v>
      </c>
      <c r="AA183" s="19">
        <v>97220</v>
      </c>
      <c r="AB183" s="18" t="s">
        <v>238</v>
      </c>
      <c r="AC183" s="16">
        <v>0.33300000000000002</v>
      </c>
    </row>
    <row r="184" spans="1:29">
      <c r="A184" s="27" t="s">
        <v>469</v>
      </c>
      <c r="AA184" s="19">
        <v>15188</v>
      </c>
      <c r="AB184" s="20" t="s">
        <v>239</v>
      </c>
      <c r="AC184" s="16">
        <v>0.65300000000000002</v>
      </c>
    </row>
    <row r="185" spans="1:29">
      <c r="A185" s="27" t="s">
        <v>580</v>
      </c>
      <c r="AA185" s="19">
        <v>15733</v>
      </c>
      <c r="AB185" s="20" t="s">
        <v>239</v>
      </c>
      <c r="AC185" s="16">
        <v>0.65300000000000002</v>
      </c>
    </row>
    <row r="186" spans="1:29">
      <c r="A186" s="27" t="s">
        <v>581</v>
      </c>
      <c r="AA186" s="19">
        <v>41677</v>
      </c>
      <c r="AB186" s="20" t="s">
        <v>239</v>
      </c>
      <c r="AC186" s="16">
        <v>0.65300000000000002</v>
      </c>
    </row>
    <row r="187" spans="1:29">
      <c r="A187" s="26"/>
      <c r="AA187" s="19">
        <v>46510</v>
      </c>
      <c r="AB187" s="20" t="s">
        <v>239</v>
      </c>
      <c r="AC187" s="16">
        <v>0.65300000000000002</v>
      </c>
    </row>
    <row r="188" spans="1:29">
      <c r="A188" s="31" t="s">
        <v>284</v>
      </c>
      <c r="AA188" s="19">
        <v>53907</v>
      </c>
      <c r="AB188" s="20" t="s">
        <v>239</v>
      </c>
      <c r="AC188" s="16">
        <v>0.65300000000000002</v>
      </c>
    </row>
    <row r="189" spans="1:29">
      <c r="A189" s="31" t="s">
        <v>470</v>
      </c>
      <c r="AA189" s="19">
        <v>59660</v>
      </c>
      <c r="AB189" s="20" t="s">
        <v>239</v>
      </c>
      <c r="AC189" s="16">
        <v>0.65300000000000002</v>
      </c>
    </row>
    <row r="190" spans="1:29">
      <c r="A190" s="31" t="s">
        <v>569</v>
      </c>
      <c r="AA190" s="19">
        <v>59661</v>
      </c>
      <c r="AB190" s="20" t="s">
        <v>239</v>
      </c>
      <c r="AC190" s="16">
        <v>0.65300000000000002</v>
      </c>
    </row>
    <row r="191" spans="1:29">
      <c r="AA191" s="19">
        <v>91666</v>
      </c>
      <c r="AB191" s="20" t="s">
        <v>239</v>
      </c>
      <c r="AC191" s="16">
        <v>0.65300000000000002</v>
      </c>
    </row>
    <row r="192" spans="1:29">
      <c r="A192" s="66" t="s">
        <v>371</v>
      </c>
      <c r="AA192" s="19">
        <v>92101</v>
      </c>
      <c r="AB192" s="20" t="s">
        <v>239</v>
      </c>
      <c r="AC192" s="16">
        <v>0.65300000000000002</v>
      </c>
    </row>
    <row r="193" spans="1:29" ht="25.5">
      <c r="A193" s="29" t="s">
        <v>477</v>
      </c>
      <c r="AA193" s="19">
        <v>92663</v>
      </c>
      <c r="AB193" s="20" t="s">
        <v>239</v>
      </c>
      <c r="AC193" s="16">
        <v>0.65300000000000002</v>
      </c>
    </row>
    <row r="194" spans="1:29" ht="25.5">
      <c r="A194" s="29" t="s">
        <v>471</v>
      </c>
      <c r="AA194" s="19">
        <v>95305</v>
      </c>
      <c r="AB194" s="20" t="s">
        <v>239</v>
      </c>
      <c r="AC194" s="16">
        <v>0.65300000000000002</v>
      </c>
    </row>
    <row r="195" spans="1:29" ht="25.5">
      <c r="A195" s="29" t="s">
        <v>472</v>
      </c>
      <c r="AA195" s="19">
        <v>95306</v>
      </c>
      <c r="AB195" s="20" t="s">
        <v>239</v>
      </c>
      <c r="AC195" s="16">
        <v>0.65300000000000002</v>
      </c>
    </row>
    <row r="196" spans="1:29" ht="25.5">
      <c r="A196" s="29" t="s">
        <v>476</v>
      </c>
      <c r="AA196" s="19">
        <v>95310</v>
      </c>
      <c r="AB196" s="20" t="s">
        <v>239</v>
      </c>
      <c r="AC196" s="16">
        <v>0.65300000000000002</v>
      </c>
    </row>
    <row r="197" spans="1:29" ht="25.5">
      <c r="A197" s="29" t="s">
        <v>475</v>
      </c>
      <c r="AA197" s="19">
        <v>95357</v>
      </c>
      <c r="AB197" s="20" t="s">
        <v>239</v>
      </c>
      <c r="AC197" s="16">
        <v>0.65300000000000002</v>
      </c>
    </row>
    <row r="198" spans="1:29" ht="25.5">
      <c r="A198" s="29" t="s">
        <v>474</v>
      </c>
      <c r="AA198" s="19"/>
      <c r="AB198" s="20"/>
      <c r="AC198" s="16"/>
    </row>
    <row r="199" spans="1:29">
      <c r="AA199" s="19">
        <v>95358</v>
      </c>
      <c r="AB199" s="20" t="s">
        <v>239</v>
      </c>
      <c r="AC199" s="16">
        <v>0.65300000000000002</v>
      </c>
    </row>
    <row r="200" spans="1:29">
      <c r="A200" s="3" t="s">
        <v>225</v>
      </c>
      <c r="AA200" s="19">
        <v>98150</v>
      </c>
      <c r="AB200" s="20" t="s">
        <v>239</v>
      </c>
      <c r="AC200" s="16">
        <v>0.65300000000000002</v>
      </c>
    </row>
    <row r="201" spans="1:29">
      <c r="A201" s="3" t="s">
        <v>568</v>
      </c>
      <c r="AA201" s="19">
        <v>98151</v>
      </c>
      <c r="AB201" s="20" t="s">
        <v>239</v>
      </c>
      <c r="AC201" s="16">
        <v>0.65300000000000002</v>
      </c>
    </row>
    <row r="202" spans="1:29">
      <c r="A202" s="3" t="s">
        <v>566</v>
      </c>
      <c r="AA202" s="19">
        <v>98152</v>
      </c>
      <c r="AB202" s="20" t="s">
        <v>239</v>
      </c>
      <c r="AC202" s="16">
        <v>0.65300000000000002</v>
      </c>
    </row>
    <row r="203" spans="1:29">
      <c r="A203" s="3" t="s">
        <v>567</v>
      </c>
      <c r="AA203" s="19">
        <v>98153</v>
      </c>
      <c r="AB203" s="20" t="s">
        <v>239</v>
      </c>
      <c r="AC203" s="16">
        <v>0.65300000000000002</v>
      </c>
    </row>
    <row r="204" spans="1:29">
      <c r="AA204" s="19">
        <v>98154</v>
      </c>
      <c r="AB204" s="20" t="s">
        <v>239</v>
      </c>
      <c r="AC204" s="16">
        <v>0.65300000000000002</v>
      </c>
    </row>
    <row r="205" spans="1:29">
      <c r="A205" s="25" t="s">
        <v>608</v>
      </c>
      <c r="AA205" s="19">
        <v>98155</v>
      </c>
      <c r="AB205" s="20" t="s">
        <v>239</v>
      </c>
      <c r="AC205" s="16">
        <v>0.65300000000000002</v>
      </c>
    </row>
    <row r="206" spans="1:29">
      <c r="A206" s="25" t="s">
        <v>607</v>
      </c>
      <c r="AA206" s="19">
        <v>98157</v>
      </c>
      <c r="AB206" s="20" t="s">
        <v>239</v>
      </c>
      <c r="AC206" s="16">
        <v>0.65300000000000002</v>
      </c>
    </row>
    <row r="207" spans="1:29">
      <c r="A207" s="25" t="s">
        <v>609</v>
      </c>
      <c r="AA207" s="19">
        <v>98159</v>
      </c>
      <c r="AB207" s="20" t="s">
        <v>239</v>
      </c>
      <c r="AC207" s="16">
        <v>0.65300000000000002</v>
      </c>
    </row>
    <row r="208" spans="1:29">
      <c r="A208" s="25" t="s">
        <v>610</v>
      </c>
      <c r="AA208" s="19">
        <v>98161</v>
      </c>
      <c r="AB208" s="20" t="s">
        <v>239</v>
      </c>
      <c r="AC208" s="16">
        <v>0.65300000000000002</v>
      </c>
    </row>
    <row r="209" spans="1:29">
      <c r="AA209" s="19">
        <v>98163</v>
      </c>
      <c r="AB209" s="20" t="s">
        <v>239</v>
      </c>
      <c r="AC209" s="16">
        <v>0.65300000000000002</v>
      </c>
    </row>
    <row r="210" spans="1:29">
      <c r="A210" s="25" t="s">
        <v>622</v>
      </c>
      <c r="AA210" s="19">
        <v>98164</v>
      </c>
      <c r="AB210" s="20" t="s">
        <v>239</v>
      </c>
      <c r="AC210" s="16">
        <v>0.65300000000000002</v>
      </c>
    </row>
    <row r="211" spans="1:29">
      <c r="A211" s="25" t="s">
        <v>623</v>
      </c>
      <c r="AA211" s="19">
        <v>98423</v>
      </c>
      <c r="AB211" s="20" t="s">
        <v>239</v>
      </c>
      <c r="AC211" s="16">
        <v>0.65300000000000002</v>
      </c>
    </row>
    <row r="212" spans="1:29">
      <c r="A212" s="25" t="s">
        <v>626</v>
      </c>
      <c r="AA212" s="19">
        <v>98424</v>
      </c>
      <c r="AB212" s="20" t="s">
        <v>239</v>
      </c>
      <c r="AC212" s="16">
        <v>0.65300000000000002</v>
      </c>
    </row>
    <row r="213" spans="1:29">
      <c r="AA213" s="19">
        <v>98425</v>
      </c>
      <c r="AB213" s="20" t="s">
        <v>239</v>
      </c>
      <c r="AC213" s="16">
        <v>0.65300000000000002</v>
      </c>
    </row>
    <row r="214" spans="1:29">
      <c r="A214" s="25" t="s">
        <v>624</v>
      </c>
      <c r="AA214" s="19">
        <v>98427</v>
      </c>
      <c r="AB214" s="20" t="s">
        <v>239</v>
      </c>
      <c r="AC214" s="16">
        <v>0.65300000000000002</v>
      </c>
    </row>
    <row r="215" spans="1:29">
      <c r="A215" s="25" t="s">
        <v>682</v>
      </c>
      <c r="AA215" s="19">
        <v>13590</v>
      </c>
      <c r="AB215" s="20" t="s">
        <v>240</v>
      </c>
      <c r="AC215" s="16">
        <v>0.68700000000000006</v>
      </c>
    </row>
    <row r="216" spans="1:29">
      <c r="A216" s="25" t="s">
        <v>625</v>
      </c>
      <c r="AA216" s="19"/>
      <c r="AB216" s="20"/>
      <c r="AC216" s="16"/>
    </row>
    <row r="217" spans="1:29">
      <c r="A217" s="25" t="s">
        <v>628</v>
      </c>
      <c r="AA217" s="19"/>
      <c r="AB217" s="20"/>
      <c r="AC217" s="16"/>
    </row>
    <row r="218" spans="1:29">
      <c r="A218" s="25" t="s">
        <v>627</v>
      </c>
      <c r="AA218" s="19"/>
      <c r="AB218" s="20"/>
      <c r="AC218" s="16"/>
    </row>
    <row r="219" spans="1:29">
      <c r="A219" s="25" t="s">
        <v>629</v>
      </c>
      <c r="AA219" s="19"/>
      <c r="AB219" s="20"/>
      <c r="AC219" s="16"/>
    </row>
    <row r="220" spans="1:29">
      <c r="AA220" s="19"/>
      <c r="AB220" s="20"/>
      <c r="AC220" s="16"/>
    </row>
    <row r="221" spans="1:29">
      <c r="A221" s="25" t="s">
        <v>668</v>
      </c>
      <c r="AA221" s="19"/>
      <c r="AB221" s="20"/>
      <c r="AC221" s="16"/>
    </row>
    <row r="222" spans="1:29">
      <c r="A222" t="s">
        <v>669</v>
      </c>
      <c r="AA222" s="19"/>
      <c r="AB222" s="20"/>
      <c r="AC222" s="16"/>
    </row>
    <row r="223" spans="1:29">
      <c r="A223" t="s">
        <v>670</v>
      </c>
      <c r="AA223" s="19"/>
      <c r="AB223" s="20"/>
      <c r="AC223" s="16"/>
    </row>
    <row r="224" spans="1:29">
      <c r="A224" t="s">
        <v>671</v>
      </c>
      <c r="AA224" s="19">
        <v>15192</v>
      </c>
      <c r="AB224" s="20" t="s">
        <v>240</v>
      </c>
      <c r="AC224" s="16">
        <v>0.68700000000000006</v>
      </c>
    </row>
    <row r="225" spans="1:29">
      <c r="A225" t="s">
        <v>672</v>
      </c>
      <c r="AA225" s="19">
        <v>16291</v>
      </c>
      <c r="AB225" s="20" t="s">
        <v>240</v>
      </c>
      <c r="AC225" s="16">
        <v>0.68700000000000006</v>
      </c>
    </row>
    <row r="226" spans="1:29">
      <c r="A226" t="s">
        <v>673</v>
      </c>
      <c r="AA226" s="19">
        <v>16292</v>
      </c>
      <c r="AB226" s="20" t="s">
        <v>240</v>
      </c>
      <c r="AC226" s="16">
        <v>0.68700000000000006</v>
      </c>
    </row>
    <row r="227" spans="1:29">
      <c r="AA227" s="19">
        <v>41620</v>
      </c>
      <c r="AB227" s="20" t="s">
        <v>240</v>
      </c>
      <c r="AC227" s="16">
        <v>0.68700000000000006</v>
      </c>
    </row>
    <row r="228" spans="1:29">
      <c r="A228" s="25" t="s">
        <v>684</v>
      </c>
      <c r="AA228" s="19">
        <v>90089</v>
      </c>
      <c r="AB228" s="20" t="s">
        <v>240</v>
      </c>
      <c r="AC228" s="16">
        <v>0.68700000000000006</v>
      </c>
    </row>
    <row r="229" spans="1:29">
      <c r="A229" t="s">
        <v>1962</v>
      </c>
      <c r="AA229" s="19">
        <v>91111</v>
      </c>
      <c r="AB229" s="20" t="s">
        <v>240</v>
      </c>
      <c r="AC229" s="16">
        <v>0.68700000000000006</v>
      </c>
    </row>
    <row r="230" spans="1:29">
      <c r="A230" t="s">
        <v>1963</v>
      </c>
      <c r="AA230" s="19">
        <v>91127</v>
      </c>
      <c r="AB230" s="20" t="s">
        <v>240</v>
      </c>
      <c r="AC230" s="16">
        <v>0.68700000000000006</v>
      </c>
    </row>
    <row r="231" spans="1:29">
      <c r="A231" t="s">
        <v>1964</v>
      </c>
      <c r="AA231" s="19">
        <v>91135</v>
      </c>
      <c r="AB231" s="20" t="s">
        <v>240</v>
      </c>
      <c r="AC231" s="16">
        <v>0.68700000000000006</v>
      </c>
    </row>
    <row r="232" spans="1:29">
      <c r="AA232" s="19">
        <v>91150</v>
      </c>
      <c r="AB232" s="20" t="s">
        <v>240</v>
      </c>
      <c r="AC232" s="16">
        <v>0.68700000000000006</v>
      </c>
    </row>
    <row r="233" spans="1:29">
      <c r="A233" s="3" t="s">
        <v>686</v>
      </c>
      <c r="AA233" s="19">
        <v>91155</v>
      </c>
      <c r="AB233" s="20" t="s">
        <v>240</v>
      </c>
      <c r="AC233" s="16">
        <v>0.68700000000000006</v>
      </c>
    </row>
    <row r="234" spans="1:29">
      <c r="A234" s="3" t="s">
        <v>687</v>
      </c>
      <c r="AA234" s="19">
        <v>91160</v>
      </c>
      <c r="AB234" s="20" t="s">
        <v>240</v>
      </c>
      <c r="AC234" s="16">
        <v>0.68700000000000006</v>
      </c>
    </row>
    <row r="235" spans="1:29">
      <c r="A235" s="3" t="s">
        <v>688</v>
      </c>
      <c r="AA235" s="19">
        <v>91210</v>
      </c>
      <c r="AB235" s="20" t="s">
        <v>240</v>
      </c>
      <c r="AC235" s="16">
        <v>0.68700000000000006</v>
      </c>
    </row>
    <row r="236" spans="1:29">
      <c r="A236" s="3" t="s">
        <v>689</v>
      </c>
      <c r="AA236" s="19">
        <v>91235</v>
      </c>
      <c r="AB236" s="20" t="s">
        <v>240</v>
      </c>
      <c r="AC236" s="16">
        <v>0.68700000000000006</v>
      </c>
    </row>
    <row r="237" spans="1:29">
      <c r="AA237" s="19">
        <v>91250</v>
      </c>
      <c r="AB237" s="20" t="s">
        <v>240</v>
      </c>
      <c r="AC237" s="16">
        <v>0.68700000000000006</v>
      </c>
    </row>
    <row r="238" spans="1:29">
      <c r="A238" s="3" t="s">
        <v>1758</v>
      </c>
      <c r="AA238" s="19">
        <v>91265</v>
      </c>
      <c r="AB238" s="20" t="s">
        <v>240</v>
      </c>
      <c r="AC238" s="16">
        <v>0.68700000000000006</v>
      </c>
    </row>
    <row r="239" spans="1:29">
      <c r="A239" t="s">
        <v>1760</v>
      </c>
      <c r="AA239" s="19">
        <v>91280</v>
      </c>
      <c r="AB239" s="20" t="s">
        <v>240</v>
      </c>
      <c r="AC239" s="16">
        <v>0.68700000000000006</v>
      </c>
    </row>
    <row r="240" spans="1:29">
      <c r="A240" s="3" t="s">
        <v>1773</v>
      </c>
      <c r="AA240" s="19">
        <v>91302</v>
      </c>
      <c r="AB240" s="20" t="s">
        <v>240</v>
      </c>
      <c r="AC240" s="16">
        <v>0.68700000000000006</v>
      </c>
    </row>
    <row r="241" spans="1:29">
      <c r="A241" s="3" t="s">
        <v>1789</v>
      </c>
      <c r="AA241" s="19">
        <v>91405</v>
      </c>
      <c r="AB241" s="20" t="s">
        <v>240</v>
      </c>
      <c r="AC241" s="16">
        <v>0.68700000000000006</v>
      </c>
    </row>
    <row r="242" spans="1:29">
      <c r="A242" s="3" t="s">
        <v>1790</v>
      </c>
      <c r="AA242" s="19">
        <v>91436</v>
      </c>
      <c r="AB242" s="20" t="s">
        <v>240</v>
      </c>
      <c r="AC242" s="16">
        <v>0.68700000000000006</v>
      </c>
    </row>
    <row r="243" spans="1:29">
      <c r="A243" s="3" t="s">
        <v>1791</v>
      </c>
      <c r="AA243" s="19">
        <v>91481</v>
      </c>
      <c r="AB243" s="20" t="s">
        <v>240</v>
      </c>
      <c r="AC243" s="16">
        <v>0.68700000000000006</v>
      </c>
    </row>
    <row r="244" spans="1:29">
      <c r="A244" s="3" t="s">
        <v>1774</v>
      </c>
      <c r="AA244" s="19">
        <v>91523</v>
      </c>
      <c r="AB244" s="20" t="s">
        <v>240</v>
      </c>
      <c r="AC244" s="16">
        <v>0.68700000000000006</v>
      </c>
    </row>
    <row r="245" spans="1:29">
      <c r="A245" s="3" t="s">
        <v>1775</v>
      </c>
      <c r="AA245" s="19">
        <v>91551</v>
      </c>
      <c r="AB245" s="20" t="s">
        <v>240</v>
      </c>
      <c r="AC245" s="16">
        <v>0.68700000000000006</v>
      </c>
    </row>
    <row r="246" spans="1:29">
      <c r="A246" s="3" t="s">
        <v>1776</v>
      </c>
      <c r="AA246" s="19">
        <v>91577</v>
      </c>
      <c r="AB246" s="20" t="s">
        <v>240</v>
      </c>
      <c r="AC246" s="16">
        <v>0.68700000000000006</v>
      </c>
    </row>
    <row r="247" spans="1:29">
      <c r="A247" s="3" t="s">
        <v>1777</v>
      </c>
      <c r="AA247" s="19">
        <v>91590</v>
      </c>
      <c r="AB247" s="20" t="s">
        <v>240</v>
      </c>
      <c r="AC247" s="16">
        <v>0.68700000000000006</v>
      </c>
    </row>
    <row r="248" spans="1:29">
      <c r="A248" s="3" t="s">
        <v>1778</v>
      </c>
      <c r="AA248" s="19">
        <v>91618</v>
      </c>
      <c r="AB248" s="20" t="s">
        <v>240</v>
      </c>
      <c r="AC248" s="16">
        <v>0.68700000000000006</v>
      </c>
    </row>
    <row r="249" spans="1:29">
      <c r="A249" s="3" t="s">
        <v>1779</v>
      </c>
      <c r="AA249" s="19">
        <v>91629</v>
      </c>
      <c r="AB249" s="20" t="s">
        <v>240</v>
      </c>
      <c r="AC249" s="16">
        <v>0.68700000000000006</v>
      </c>
    </row>
    <row r="250" spans="1:29">
      <c r="A250" s="3" t="s">
        <v>1792</v>
      </c>
      <c r="AA250" s="19">
        <v>91641</v>
      </c>
      <c r="AB250" s="20" t="s">
        <v>240</v>
      </c>
      <c r="AC250" s="16">
        <v>0.68700000000000006</v>
      </c>
    </row>
    <row r="251" spans="1:29">
      <c r="A251" s="3" t="s">
        <v>1780</v>
      </c>
      <c r="AA251" s="19">
        <v>91722</v>
      </c>
      <c r="AB251" s="20" t="s">
        <v>240</v>
      </c>
      <c r="AC251" s="16">
        <v>0.68700000000000006</v>
      </c>
    </row>
    <row r="252" spans="1:29">
      <c r="A252" t="s">
        <v>1818</v>
      </c>
      <c r="AA252" s="19">
        <v>91746</v>
      </c>
      <c r="AB252" s="20" t="s">
        <v>240</v>
      </c>
      <c r="AC252" s="16">
        <v>0.68700000000000006</v>
      </c>
    </row>
    <row r="253" spans="1:29">
      <c r="A253" t="s">
        <v>1761</v>
      </c>
      <c r="AA253" s="19">
        <v>91805</v>
      </c>
      <c r="AB253" s="20" t="s">
        <v>240</v>
      </c>
      <c r="AC253" s="16">
        <v>0.68700000000000006</v>
      </c>
    </row>
    <row r="254" spans="1:29">
      <c r="AA254" s="19">
        <v>92102</v>
      </c>
      <c r="AB254" s="20" t="s">
        <v>240</v>
      </c>
      <c r="AC254" s="16">
        <v>0.68700000000000006</v>
      </c>
    </row>
    <row r="255" spans="1:29">
      <c r="AA255" s="19">
        <v>92445</v>
      </c>
      <c r="AB255" s="20" t="s">
        <v>240</v>
      </c>
      <c r="AC255" s="16">
        <v>0.68700000000000006</v>
      </c>
    </row>
    <row r="256" spans="1:29">
      <c r="AA256" s="19">
        <v>92446</v>
      </c>
      <c r="AB256" s="20" t="s">
        <v>240</v>
      </c>
      <c r="AC256" s="16">
        <v>0.68700000000000006</v>
      </c>
    </row>
    <row r="257" spans="1:29">
      <c r="A257" s="171" t="s">
        <v>1759</v>
      </c>
      <c r="AA257" s="19">
        <v>92453</v>
      </c>
      <c r="AB257" s="20" t="s">
        <v>240</v>
      </c>
      <c r="AC257" s="16">
        <v>0.68700000000000006</v>
      </c>
    </row>
    <row r="258" spans="1:29">
      <c r="A258" t="s">
        <v>1762</v>
      </c>
      <c r="AA258" s="19">
        <v>92593</v>
      </c>
      <c r="AB258" s="20" t="s">
        <v>240</v>
      </c>
      <c r="AC258" s="16">
        <v>0.68700000000000006</v>
      </c>
    </row>
    <row r="259" spans="1:29">
      <c r="A259" t="s">
        <v>1781</v>
      </c>
      <c r="AA259" s="19">
        <v>94225</v>
      </c>
      <c r="AB259" s="20" t="s">
        <v>240</v>
      </c>
      <c r="AC259" s="16">
        <v>0.68700000000000006</v>
      </c>
    </row>
    <row r="260" spans="1:29">
      <c r="A260" t="s">
        <v>1793</v>
      </c>
      <c r="AA260" s="19">
        <v>94276</v>
      </c>
      <c r="AB260" s="20" t="s">
        <v>240</v>
      </c>
      <c r="AC260" s="16">
        <v>0.68700000000000006</v>
      </c>
    </row>
    <row r="261" spans="1:29">
      <c r="A261" t="s">
        <v>1794</v>
      </c>
      <c r="AA261" s="19">
        <v>94304</v>
      </c>
      <c r="AB261" s="20" t="s">
        <v>240</v>
      </c>
      <c r="AC261" s="16">
        <v>0.68700000000000006</v>
      </c>
    </row>
    <row r="262" spans="1:29">
      <c r="A262" t="s">
        <v>1795</v>
      </c>
      <c r="AA262" s="19">
        <v>94381</v>
      </c>
      <c r="AB262" s="20" t="s">
        <v>240</v>
      </c>
      <c r="AC262" s="16">
        <v>0.68700000000000006</v>
      </c>
    </row>
    <row r="263" spans="1:29">
      <c r="A263" t="s">
        <v>1782</v>
      </c>
      <c r="AA263" s="19">
        <v>94404</v>
      </c>
      <c r="AB263" s="20" t="s">
        <v>240</v>
      </c>
      <c r="AC263" s="16">
        <v>0.68700000000000006</v>
      </c>
    </row>
    <row r="264" spans="1:29">
      <c r="A264" t="s">
        <v>1783</v>
      </c>
      <c r="AA264" s="19">
        <v>94569</v>
      </c>
      <c r="AB264" s="20" t="s">
        <v>240</v>
      </c>
      <c r="AC264" s="16">
        <v>0.68700000000000006</v>
      </c>
    </row>
    <row r="265" spans="1:29">
      <c r="A265" t="s">
        <v>1784</v>
      </c>
      <c r="AA265" s="19">
        <v>95124</v>
      </c>
      <c r="AB265" s="20" t="s">
        <v>240</v>
      </c>
      <c r="AC265" s="16">
        <v>0.68700000000000006</v>
      </c>
    </row>
    <row r="266" spans="1:29">
      <c r="A266" t="s">
        <v>1785</v>
      </c>
      <c r="AA266" s="19">
        <v>95233</v>
      </c>
      <c r="AB266" s="20" t="s">
        <v>240</v>
      </c>
      <c r="AC266" s="16">
        <v>0.68700000000000006</v>
      </c>
    </row>
    <row r="267" spans="1:29">
      <c r="A267" t="s">
        <v>1786</v>
      </c>
      <c r="AA267" s="19">
        <v>95625</v>
      </c>
      <c r="AB267" s="20" t="s">
        <v>240</v>
      </c>
      <c r="AC267" s="16">
        <v>0.68700000000000006</v>
      </c>
    </row>
    <row r="268" spans="1:29">
      <c r="A268" t="s">
        <v>1787</v>
      </c>
      <c r="AA268" s="19">
        <v>95630</v>
      </c>
      <c r="AB268" s="20" t="s">
        <v>240</v>
      </c>
      <c r="AC268" s="16">
        <v>0.68700000000000006</v>
      </c>
    </row>
    <row r="269" spans="1:29">
      <c r="A269" t="s">
        <v>1796</v>
      </c>
      <c r="AA269" s="19">
        <v>96053</v>
      </c>
      <c r="AB269" s="20" t="s">
        <v>240</v>
      </c>
      <c r="AC269" s="16">
        <v>0.68700000000000006</v>
      </c>
    </row>
    <row r="270" spans="1:29">
      <c r="A270" t="s">
        <v>1788</v>
      </c>
      <c r="AA270" s="19">
        <v>96317</v>
      </c>
      <c r="AB270" s="20" t="s">
        <v>240</v>
      </c>
      <c r="AC270" s="16">
        <v>0.68700000000000006</v>
      </c>
    </row>
    <row r="271" spans="1:29">
      <c r="A271" t="s">
        <v>1819</v>
      </c>
      <c r="AA271" s="19">
        <v>96408</v>
      </c>
      <c r="AB271" s="20" t="s">
        <v>240</v>
      </c>
      <c r="AC271" s="16">
        <v>0.68700000000000006</v>
      </c>
    </row>
    <row r="272" spans="1:29">
      <c r="A272" t="s">
        <v>1763</v>
      </c>
      <c r="AA272" s="19">
        <v>96409</v>
      </c>
      <c r="AB272" s="20" t="s">
        <v>240</v>
      </c>
      <c r="AC272" s="16">
        <v>0.68700000000000006</v>
      </c>
    </row>
    <row r="273" spans="1:29">
      <c r="AA273" s="19">
        <v>96410</v>
      </c>
      <c r="AB273" s="20" t="s">
        <v>240</v>
      </c>
      <c r="AC273" s="16">
        <v>0.68700000000000006</v>
      </c>
    </row>
    <row r="274" spans="1:29">
      <c r="AA274" s="19">
        <v>96611</v>
      </c>
      <c r="AB274" s="20" t="s">
        <v>240</v>
      </c>
      <c r="AC274" s="16">
        <v>0.68700000000000006</v>
      </c>
    </row>
    <row r="275" spans="1:29">
      <c r="AA275" s="19">
        <v>96702</v>
      </c>
      <c r="AB275" s="20" t="s">
        <v>240</v>
      </c>
      <c r="AC275" s="16">
        <v>0.68700000000000006</v>
      </c>
    </row>
    <row r="276" spans="1:29">
      <c r="A276" s="25" t="s">
        <v>1824</v>
      </c>
      <c r="AA276" s="19">
        <v>96703</v>
      </c>
      <c r="AB276" s="20" t="s">
        <v>240</v>
      </c>
      <c r="AC276" s="16">
        <v>0.68700000000000006</v>
      </c>
    </row>
    <row r="277" spans="1:29">
      <c r="A277" s="25" t="s">
        <v>1825</v>
      </c>
      <c r="AA277" s="19">
        <v>96872</v>
      </c>
      <c r="AB277" s="20" t="s">
        <v>240</v>
      </c>
      <c r="AC277" s="16">
        <v>0.68700000000000006</v>
      </c>
    </row>
    <row r="278" spans="1:29">
      <c r="A278" s="25" t="s">
        <v>1826</v>
      </c>
      <c r="AA278" s="19">
        <v>97047</v>
      </c>
      <c r="AB278" s="20" t="s">
        <v>240</v>
      </c>
      <c r="AC278" s="16">
        <v>0.68700000000000006</v>
      </c>
    </row>
    <row r="279" spans="1:29">
      <c r="A279" s="25"/>
      <c r="AA279" s="19">
        <v>97050</v>
      </c>
      <c r="AB279" s="20" t="s">
        <v>240</v>
      </c>
      <c r="AC279" s="16">
        <v>0.68700000000000006</v>
      </c>
    </row>
    <row r="280" spans="1:29">
      <c r="A280" s="25"/>
      <c r="AA280" s="19">
        <v>97111</v>
      </c>
      <c r="AB280" s="20" t="s">
        <v>240</v>
      </c>
      <c r="AC280" s="16">
        <v>0.68700000000000006</v>
      </c>
    </row>
    <row r="281" spans="1:29">
      <c r="A281" s="25"/>
      <c r="AA281" s="19">
        <v>98002</v>
      </c>
      <c r="AB281" s="20" t="s">
        <v>240</v>
      </c>
      <c r="AC281" s="16">
        <v>0.68700000000000006</v>
      </c>
    </row>
    <row r="282" spans="1:29">
      <c r="AA282" s="19">
        <v>98111</v>
      </c>
      <c r="AB282" s="20" t="s">
        <v>240</v>
      </c>
      <c r="AC282" s="16">
        <v>0.68700000000000006</v>
      </c>
    </row>
    <row r="283" spans="1:29">
      <c r="AA283" s="19">
        <v>98413</v>
      </c>
      <c r="AB283" s="20" t="s">
        <v>240</v>
      </c>
      <c r="AC283" s="16">
        <v>0.68700000000000006</v>
      </c>
    </row>
    <row r="284" spans="1:29">
      <c r="AA284" s="19">
        <v>98414</v>
      </c>
      <c r="AB284" s="20" t="s">
        <v>240</v>
      </c>
      <c r="AC284" s="16">
        <v>0.68700000000000006</v>
      </c>
    </row>
    <row r="285" spans="1:29">
      <c r="A285" s="78" t="s">
        <v>663</v>
      </c>
      <c r="AA285" s="19">
        <v>98502</v>
      </c>
      <c r="AB285" s="20" t="s">
        <v>240</v>
      </c>
      <c r="AC285" s="16">
        <v>0.68700000000000006</v>
      </c>
    </row>
    <row r="286" spans="1:29">
      <c r="A286" t="s">
        <v>350</v>
      </c>
      <c r="AA286" s="19">
        <v>98601</v>
      </c>
      <c r="AB286" s="20" t="s">
        <v>240</v>
      </c>
      <c r="AC286" s="16">
        <v>0.68700000000000006</v>
      </c>
    </row>
    <row r="287" spans="1:29">
      <c r="A287" t="s">
        <v>656</v>
      </c>
      <c r="AA287" s="19">
        <v>98624</v>
      </c>
      <c r="AB287" s="20" t="s">
        <v>240</v>
      </c>
      <c r="AC287" s="16">
        <v>0.68700000000000006</v>
      </c>
    </row>
    <row r="288" spans="1:29">
      <c r="A288" t="s">
        <v>272</v>
      </c>
      <c r="AA288" s="19">
        <v>98636</v>
      </c>
      <c r="AB288" s="20" t="s">
        <v>240</v>
      </c>
      <c r="AC288" s="16">
        <v>0.68700000000000006</v>
      </c>
    </row>
    <row r="289" spans="1:29">
      <c r="A289" t="s">
        <v>1804</v>
      </c>
      <c r="AA289" s="19">
        <v>98658</v>
      </c>
      <c r="AB289" s="20" t="s">
        <v>240</v>
      </c>
      <c r="AC289" s="16">
        <v>0.68700000000000006</v>
      </c>
    </row>
    <row r="290" spans="1:29">
      <c r="A290" t="s">
        <v>355</v>
      </c>
      <c r="AA290" s="19">
        <v>98659</v>
      </c>
      <c r="AB290" s="20" t="s">
        <v>240</v>
      </c>
      <c r="AC290" s="16">
        <v>0.68700000000000006</v>
      </c>
    </row>
    <row r="291" spans="1:29">
      <c r="A291" t="str">
        <f>"Favorable, currently valued (within 90 days of proposed inception) carrier loss runs for the following policy period(s):  " &amp; 'LOSS EVALUATION'!R20</f>
        <v>Favorable, currently valued (within 90 days of proposed inception) carrier loss runs for the following policy period(s):  /, /, /, /, /</v>
      </c>
      <c r="AA291" s="19">
        <v>98698</v>
      </c>
      <c r="AB291" s="20" t="s">
        <v>240</v>
      </c>
      <c r="AC291" s="16">
        <v>0.68700000000000006</v>
      </c>
    </row>
    <row r="292" spans="1:29">
      <c r="A292" t="s">
        <v>356</v>
      </c>
      <c r="AA292" s="19">
        <v>98699</v>
      </c>
      <c r="AB292" s="20" t="s">
        <v>240</v>
      </c>
      <c r="AC292" s="16">
        <v>0.68700000000000006</v>
      </c>
    </row>
    <row r="293" spans="1:29">
      <c r="A293" t="s">
        <v>357</v>
      </c>
      <c r="AA293" s="19">
        <v>98705</v>
      </c>
      <c r="AB293" s="20" t="s">
        <v>240</v>
      </c>
      <c r="AC293" s="16">
        <v>0.68700000000000006</v>
      </c>
    </row>
    <row r="294" spans="1:29">
      <c r="A294" t="s">
        <v>449</v>
      </c>
      <c r="AA294" s="19">
        <v>98751</v>
      </c>
      <c r="AB294" s="20" t="s">
        <v>240</v>
      </c>
      <c r="AC294" s="16">
        <v>0.68700000000000006</v>
      </c>
    </row>
    <row r="295" spans="1:29">
      <c r="A295" t="s">
        <v>450</v>
      </c>
      <c r="AA295" s="19">
        <v>98805</v>
      </c>
      <c r="AB295" s="20" t="s">
        <v>240</v>
      </c>
      <c r="AC295" s="16">
        <v>0.68700000000000006</v>
      </c>
    </row>
    <row r="296" spans="1:29">
      <c r="A296" t="s">
        <v>660</v>
      </c>
      <c r="AA296" s="19">
        <v>98806</v>
      </c>
      <c r="AB296" s="20" t="s">
        <v>240</v>
      </c>
      <c r="AC296" s="16">
        <v>0.68700000000000006</v>
      </c>
    </row>
    <row r="297" spans="1:29">
      <c r="A297" t="s">
        <v>451</v>
      </c>
      <c r="AA297" s="19">
        <v>98813</v>
      </c>
      <c r="AB297" s="20" t="s">
        <v>240</v>
      </c>
      <c r="AC297" s="16">
        <v>0.68700000000000006</v>
      </c>
    </row>
    <row r="298" spans="1:29">
      <c r="A298" t="s">
        <v>452</v>
      </c>
      <c r="AA298" s="19">
        <v>98820</v>
      </c>
      <c r="AB298" s="20" t="s">
        <v>240</v>
      </c>
      <c r="AC298" s="16">
        <v>0.68700000000000006</v>
      </c>
    </row>
    <row r="299" spans="1:29">
      <c r="A299" t="s">
        <v>543</v>
      </c>
      <c r="AA299" s="19">
        <v>98884</v>
      </c>
      <c r="AB299" s="20" t="s">
        <v>240</v>
      </c>
      <c r="AC299" s="16">
        <v>0.68700000000000006</v>
      </c>
    </row>
    <row r="300" spans="1:29">
      <c r="A300" t="s">
        <v>1965</v>
      </c>
      <c r="AA300" s="19">
        <v>98993</v>
      </c>
      <c r="AB300" s="20" t="s">
        <v>240</v>
      </c>
      <c r="AC300" s="16">
        <v>0.68700000000000006</v>
      </c>
    </row>
    <row r="301" spans="1:29">
      <c r="A301" t="s">
        <v>354</v>
      </c>
      <c r="AA301" s="19">
        <v>99080</v>
      </c>
      <c r="AB301" s="20" t="s">
        <v>240</v>
      </c>
      <c r="AC301" s="16">
        <v>0.68700000000000006</v>
      </c>
    </row>
    <row r="302" spans="1:29">
      <c r="A302" t="s">
        <v>351</v>
      </c>
      <c r="AA302" s="19">
        <v>99165</v>
      </c>
      <c r="AB302" s="20" t="s">
        <v>240</v>
      </c>
      <c r="AC302" s="16">
        <v>0.68700000000000006</v>
      </c>
    </row>
    <row r="303" spans="1:29">
      <c r="A303" t="s">
        <v>352</v>
      </c>
      <c r="AA303" s="19">
        <v>99220</v>
      </c>
      <c r="AB303" s="20" t="s">
        <v>240</v>
      </c>
      <c r="AC303" s="16">
        <v>0.68700000000000006</v>
      </c>
    </row>
    <row r="304" spans="1:29">
      <c r="A304" t="s">
        <v>360</v>
      </c>
      <c r="AA304" s="19">
        <v>99222</v>
      </c>
      <c r="AB304" s="20" t="s">
        <v>240</v>
      </c>
      <c r="AC304" s="16">
        <v>0.68700000000000006</v>
      </c>
    </row>
    <row r="305" spans="1:29">
      <c r="A305" t="s">
        <v>362</v>
      </c>
      <c r="AA305" s="19">
        <v>99303</v>
      </c>
      <c r="AB305" s="20" t="s">
        <v>240</v>
      </c>
      <c r="AC305" s="16">
        <v>0.68700000000000006</v>
      </c>
    </row>
    <row r="306" spans="1:29">
      <c r="A306" t="s">
        <v>359</v>
      </c>
      <c r="AA306" s="19">
        <v>99310</v>
      </c>
      <c r="AB306" s="20" t="s">
        <v>240</v>
      </c>
      <c r="AC306" s="16">
        <v>0.68700000000000006</v>
      </c>
    </row>
    <row r="307" spans="1:29">
      <c r="A307" t="s">
        <v>361</v>
      </c>
      <c r="AA307" s="19">
        <v>99471</v>
      </c>
      <c r="AB307" s="20" t="s">
        <v>240</v>
      </c>
      <c r="AC307" s="16">
        <v>0.68700000000000006</v>
      </c>
    </row>
    <row r="308" spans="1:29">
      <c r="A308" t="s">
        <v>358</v>
      </c>
      <c r="AA308" s="19">
        <v>99505</v>
      </c>
      <c r="AB308" s="20" t="s">
        <v>240</v>
      </c>
      <c r="AC308" s="16">
        <v>0.68700000000000006</v>
      </c>
    </row>
    <row r="309" spans="1:29">
      <c r="A309" t="s">
        <v>678</v>
      </c>
      <c r="AA309" s="19">
        <v>99506</v>
      </c>
      <c r="AB309" s="20" t="s">
        <v>240</v>
      </c>
      <c r="AC309" s="16">
        <v>0.68700000000000006</v>
      </c>
    </row>
    <row r="310" spans="1:29">
      <c r="A310" t="s">
        <v>353</v>
      </c>
      <c r="AA310" s="19">
        <v>99507</v>
      </c>
      <c r="AB310" s="20" t="s">
        <v>240</v>
      </c>
      <c r="AC310" s="16">
        <v>0.68700000000000006</v>
      </c>
    </row>
    <row r="311" spans="1:29">
      <c r="A311" t="s">
        <v>679</v>
      </c>
      <c r="AA311" s="19">
        <v>99600</v>
      </c>
      <c r="AB311" s="20" t="s">
        <v>240</v>
      </c>
      <c r="AC311" s="16">
        <v>0.68700000000000006</v>
      </c>
    </row>
    <row r="312" spans="1:29">
      <c r="A312" t="s">
        <v>676</v>
      </c>
      <c r="AA312" s="19">
        <v>99613</v>
      </c>
      <c r="AB312" s="20" t="s">
        <v>240</v>
      </c>
      <c r="AC312" s="16">
        <v>0.68700000000000006</v>
      </c>
    </row>
    <row r="313" spans="1:29">
      <c r="A313" t="s">
        <v>675</v>
      </c>
      <c r="AA313" s="19">
        <v>99650</v>
      </c>
      <c r="AB313" s="20" t="s">
        <v>240</v>
      </c>
      <c r="AC313" s="16">
        <v>0.68700000000000006</v>
      </c>
    </row>
    <row r="314" spans="1:29">
      <c r="A314" t="s">
        <v>677</v>
      </c>
      <c r="AA314" s="19">
        <v>99709</v>
      </c>
      <c r="AB314" s="20" t="s">
        <v>240</v>
      </c>
      <c r="AC314" s="16">
        <v>0.68700000000000006</v>
      </c>
    </row>
    <row r="315" spans="1:29">
      <c r="AA315" s="19">
        <v>99746</v>
      </c>
      <c r="AB315" s="20" t="s">
        <v>240</v>
      </c>
      <c r="AC315" s="16">
        <v>0.68700000000000006</v>
      </c>
    </row>
    <row r="316" spans="1:29">
      <c r="AA316" s="19">
        <v>99777</v>
      </c>
      <c r="AB316" s="20" t="s">
        <v>240</v>
      </c>
      <c r="AC316" s="16">
        <v>0.68700000000000006</v>
      </c>
    </row>
    <row r="317" spans="1:29">
      <c r="AA317" s="19">
        <v>99798</v>
      </c>
      <c r="AB317" s="20" t="s">
        <v>240</v>
      </c>
      <c r="AC317" s="16">
        <v>0.68700000000000006</v>
      </c>
    </row>
    <row r="318" spans="1:29">
      <c r="AA318" s="19">
        <v>99803</v>
      </c>
      <c r="AB318" s="20" t="s">
        <v>240</v>
      </c>
      <c r="AC318" s="16">
        <v>0.68700000000000006</v>
      </c>
    </row>
    <row r="319" spans="1:29">
      <c r="AA319" s="19">
        <v>99943</v>
      </c>
      <c r="AB319" s="20" t="s">
        <v>240</v>
      </c>
      <c r="AC319" s="16">
        <v>0.68700000000000006</v>
      </c>
    </row>
    <row r="320" spans="1:29">
      <c r="AA320" s="19">
        <v>99946</v>
      </c>
      <c r="AB320" s="20" t="s">
        <v>240</v>
      </c>
      <c r="AC320" s="16">
        <v>0.68700000000000006</v>
      </c>
    </row>
    <row r="321" spans="27:29">
      <c r="AA321" s="19">
        <v>99948</v>
      </c>
      <c r="AB321" s="20" t="s">
        <v>240</v>
      </c>
      <c r="AC321" s="16">
        <v>0.68700000000000006</v>
      </c>
    </row>
    <row r="322" spans="27:29">
      <c r="AA322" s="19">
        <v>99963</v>
      </c>
      <c r="AB322" s="20" t="s">
        <v>240</v>
      </c>
      <c r="AC322" s="16">
        <v>0.68700000000000006</v>
      </c>
    </row>
    <row r="323" spans="27:29">
      <c r="AA323" s="19">
        <v>99975</v>
      </c>
      <c r="AB323" s="20" t="s">
        <v>240</v>
      </c>
      <c r="AC323" s="16">
        <v>0.68700000000000006</v>
      </c>
    </row>
    <row r="324" spans="27:29">
      <c r="AA324" s="19">
        <v>99992</v>
      </c>
      <c r="AB324" s="20" t="s">
        <v>240</v>
      </c>
      <c r="AC324" s="16">
        <v>0.68700000000000006</v>
      </c>
    </row>
    <row r="325" spans="27:29">
      <c r="AA325" s="19">
        <v>46202</v>
      </c>
      <c r="AB325" s="20" t="s">
        <v>216</v>
      </c>
      <c r="AC325" s="16">
        <v>0.78100000000000003</v>
      </c>
    </row>
    <row r="326" spans="27:29">
      <c r="AA326" s="19">
        <v>47052</v>
      </c>
      <c r="AB326" s="20" t="s">
        <v>216</v>
      </c>
      <c r="AC326" s="16">
        <v>0.78100000000000003</v>
      </c>
    </row>
    <row r="327" spans="27:29">
      <c r="AA327" s="19">
        <v>60010</v>
      </c>
      <c r="AB327" s="20" t="s">
        <v>216</v>
      </c>
      <c r="AC327" s="16">
        <v>0.78100000000000003</v>
      </c>
    </row>
    <row r="328" spans="27:29">
      <c r="AA328" s="19">
        <v>60011</v>
      </c>
      <c r="AB328" s="20" t="s">
        <v>216</v>
      </c>
      <c r="AC328" s="16">
        <v>0.78100000000000003</v>
      </c>
    </row>
    <row r="329" spans="27:29">
      <c r="AA329" s="19">
        <v>60012</v>
      </c>
      <c r="AB329" s="20" t="s">
        <v>216</v>
      </c>
      <c r="AC329" s="16">
        <v>0.78100000000000003</v>
      </c>
    </row>
    <row r="330" spans="27:29">
      <c r="AA330" s="19">
        <v>60013</v>
      </c>
      <c r="AB330" s="20" t="s">
        <v>216</v>
      </c>
      <c r="AC330" s="16">
        <v>0.78100000000000003</v>
      </c>
    </row>
    <row r="331" spans="27:29">
      <c r="AA331" s="19">
        <v>60015</v>
      </c>
      <c r="AB331" s="20" t="s">
        <v>216</v>
      </c>
      <c r="AC331" s="16">
        <v>0.78100000000000003</v>
      </c>
    </row>
    <row r="332" spans="27:29">
      <c r="AA332" s="19">
        <v>60016</v>
      </c>
      <c r="AB332" s="20" t="s">
        <v>216</v>
      </c>
      <c r="AC332" s="16">
        <v>0.78100000000000003</v>
      </c>
    </row>
    <row r="333" spans="27:29">
      <c r="AA333" s="19">
        <v>60021</v>
      </c>
      <c r="AB333" s="20" t="s">
        <v>216</v>
      </c>
      <c r="AC333" s="16">
        <v>0.78100000000000003</v>
      </c>
    </row>
    <row r="334" spans="27:29">
      <c r="AA334" s="19">
        <v>60022</v>
      </c>
      <c r="AB334" s="20" t="s">
        <v>216</v>
      </c>
      <c r="AC334" s="16">
        <v>0.78100000000000003</v>
      </c>
    </row>
    <row r="335" spans="27:29">
      <c r="AA335" s="19">
        <v>61000</v>
      </c>
      <c r="AB335" s="20" t="s">
        <v>216</v>
      </c>
      <c r="AC335" s="16">
        <v>0.78100000000000003</v>
      </c>
    </row>
    <row r="336" spans="27:29">
      <c r="AA336" s="19">
        <v>62003</v>
      </c>
      <c r="AB336" s="20" t="s">
        <v>216</v>
      </c>
      <c r="AC336" s="16">
        <v>0.78100000000000003</v>
      </c>
    </row>
    <row r="337" spans="27:29">
      <c r="AA337" s="19">
        <v>63010</v>
      </c>
      <c r="AB337" s="20" t="s">
        <v>216</v>
      </c>
      <c r="AC337" s="16">
        <v>0.78100000000000003</v>
      </c>
    </row>
    <row r="338" spans="27:29">
      <c r="AA338" s="19">
        <v>63011</v>
      </c>
      <c r="AB338" s="20" t="s">
        <v>216</v>
      </c>
      <c r="AC338" s="16">
        <v>0.78100000000000003</v>
      </c>
    </row>
    <row r="339" spans="27:29">
      <c r="AA339" s="19">
        <v>64500</v>
      </c>
      <c r="AB339" s="20" t="s">
        <v>216</v>
      </c>
      <c r="AC339" s="16">
        <v>0.78100000000000003</v>
      </c>
    </row>
    <row r="340" spans="27:29">
      <c r="AA340" s="19">
        <v>67510</v>
      </c>
      <c r="AB340" s="20" t="s">
        <v>216</v>
      </c>
      <c r="AC340" s="16">
        <v>0.78100000000000003</v>
      </c>
    </row>
    <row r="341" spans="27:29">
      <c r="AA341" s="19">
        <v>67511</v>
      </c>
      <c r="AB341" s="20" t="s">
        <v>216</v>
      </c>
      <c r="AC341" s="16">
        <v>0.78100000000000003</v>
      </c>
    </row>
    <row r="342" spans="27:29">
      <c r="AA342" s="19">
        <v>68500</v>
      </c>
      <c r="AB342" s="20" t="s">
        <v>216</v>
      </c>
      <c r="AC342" s="16">
        <v>0.78100000000000003</v>
      </c>
    </row>
    <row r="343" spans="27:29">
      <c r="AA343" s="19">
        <v>51956</v>
      </c>
      <c r="AB343" s="20" t="s">
        <v>241</v>
      </c>
      <c r="AC343" s="16">
        <v>0.51900000000000002</v>
      </c>
    </row>
    <row r="344" spans="27:29">
      <c r="AA344" s="19">
        <v>91266</v>
      </c>
      <c r="AB344" s="20" t="s">
        <v>241</v>
      </c>
      <c r="AC344" s="16">
        <v>0.51900000000000002</v>
      </c>
    </row>
    <row r="345" spans="27:29">
      <c r="AA345" s="19">
        <v>91324</v>
      </c>
      <c r="AB345" s="20" t="s">
        <v>241</v>
      </c>
      <c r="AC345" s="16">
        <v>0.51900000000000002</v>
      </c>
    </row>
    <row r="346" spans="27:29">
      <c r="AA346" s="19">
        <v>91560</v>
      </c>
      <c r="AB346" s="20" t="s">
        <v>241</v>
      </c>
      <c r="AC346" s="16">
        <v>0.51900000000000002</v>
      </c>
    </row>
    <row r="347" spans="27:29">
      <c r="AA347" s="19">
        <v>92215</v>
      </c>
      <c r="AB347" s="20" t="s">
        <v>241</v>
      </c>
      <c r="AC347" s="16">
        <v>0.51900000000000002</v>
      </c>
    </row>
    <row r="348" spans="27:29">
      <c r="AA348" s="19">
        <v>95505</v>
      </c>
      <c r="AB348" s="20" t="s">
        <v>241</v>
      </c>
      <c r="AC348" s="16">
        <v>0.51900000000000002</v>
      </c>
    </row>
    <row r="349" spans="27:29">
      <c r="AA349" s="19">
        <v>97447</v>
      </c>
      <c r="AB349" s="20" t="s">
        <v>241</v>
      </c>
      <c r="AC349" s="16">
        <v>0.51900000000000002</v>
      </c>
    </row>
    <row r="350" spans="27:29">
      <c r="AA350" s="19">
        <v>99315</v>
      </c>
      <c r="AB350" s="20" t="s">
        <v>241</v>
      </c>
      <c r="AC350" s="16">
        <v>0.51900000000000002</v>
      </c>
    </row>
    <row r="351" spans="27:29">
      <c r="AA351" s="19">
        <v>99321</v>
      </c>
      <c r="AB351" s="20" t="s">
        <v>241</v>
      </c>
      <c r="AC351" s="16">
        <v>0.51900000000000002</v>
      </c>
    </row>
    <row r="352" spans="27:29">
      <c r="AA352" s="19">
        <v>91340</v>
      </c>
      <c r="AB352" s="20" t="s">
        <v>242</v>
      </c>
      <c r="AC352" s="16">
        <v>0.53900000000000003</v>
      </c>
    </row>
    <row r="353" spans="27:29">
      <c r="AA353" s="19">
        <v>91341</v>
      </c>
      <c r="AB353" s="20" t="s">
        <v>242</v>
      </c>
      <c r="AC353" s="16">
        <v>0.53900000000000003</v>
      </c>
    </row>
    <row r="354" spans="27:29">
      <c r="AA354" s="19">
        <v>91342</v>
      </c>
      <c r="AB354" s="20" t="s">
        <v>242</v>
      </c>
      <c r="AC354" s="16">
        <v>0.53900000000000003</v>
      </c>
    </row>
    <row r="355" spans="27:29">
      <c r="AA355" s="19">
        <v>91343</v>
      </c>
      <c r="AB355" s="20" t="s">
        <v>242</v>
      </c>
      <c r="AC355" s="16">
        <v>0.53900000000000003</v>
      </c>
    </row>
    <row r="356" spans="27:29">
      <c r="AA356" s="19">
        <v>10073</v>
      </c>
      <c r="AB356" s="20" t="s">
        <v>243</v>
      </c>
      <c r="AC356" s="16">
        <v>0.68400000000000005</v>
      </c>
    </row>
    <row r="357" spans="27:29">
      <c r="AA357" s="19">
        <v>10135</v>
      </c>
      <c r="AB357" s="20" t="s">
        <v>243</v>
      </c>
      <c r="AC357" s="16">
        <v>0.68400000000000005</v>
      </c>
    </row>
    <row r="358" spans="27:29">
      <c r="AA358" s="19">
        <v>10331</v>
      </c>
      <c r="AB358" s="20" t="s">
        <v>243</v>
      </c>
      <c r="AC358" s="16">
        <v>0.68400000000000005</v>
      </c>
    </row>
    <row r="359" spans="27:29">
      <c r="AA359" s="19">
        <v>10367</v>
      </c>
      <c r="AB359" s="20" t="s">
        <v>243</v>
      </c>
      <c r="AC359" s="16">
        <v>0.68400000000000005</v>
      </c>
    </row>
    <row r="360" spans="27:29">
      <c r="AA360" s="19">
        <v>11138</v>
      </c>
      <c r="AB360" s="20" t="s">
        <v>243</v>
      </c>
      <c r="AC360" s="16">
        <v>0.68400000000000005</v>
      </c>
    </row>
    <row r="361" spans="27:29">
      <c r="AA361" s="19">
        <v>14731</v>
      </c>
      <c r="AB361" s="20" t="s">
        <v>243</v>
      </c>
      <c r="AC361" s="16">
        <v>0.68400000000000005</v>
      </c>
    </row>
    <row r="362" spans="27:29">
      <c r="AA362" s="19">
        <v>15488</v>
      </c>
      <c r="AB362" s="20" t="s">
        <v>243</v>
      </c>
      <c r="AC362" s="16">
        <v>0.68400000000000005</v>
      </c>
    </row>
    <row r="363" spans="27:29">
      <c r="AA363" s="19">
        <v>16404</v>
      </c>
      <c r="AB363" s="20" t="s">
        <v>243</v>
      </c>
      <c r="AC363" s="16">
        <v>0.68400000000000005</v>
      </c>
    </row>
    <row r="364" spans="27:29">
      <c r="AA364" s="19">
        <v>16471</v>
      </c>
      <c r="AB364" s="20" t="s">
        <v>243</v>
      </c>
      <c r="AC364" s="16">
        <v>0.68400000000000005</v>
      </c>
    </row>
    <row r="365" spans="27:29">
      <c r="AA365" s="19">
        <v>16604</v>
      </c>
      <c r="AB365" s="20" t="s">
        <v>243</v>
      </c>
      <c r="AC365" s="16">
        <v>0.68400000000000005</v>
      </c>
    </row>
    <row r="366" spans="27:29">
      <c r="AA366" s="19">
        <v>16670</v>
      </c>
      <c r="AB366" s="20" t="s">
        <v>243</v>
      </c>
      <c r="AC366" s="16">
        <v>0.68400000000000005</v>
      </c>
    </row>
    <row r="367" spans="27:29">
      <c r="AA367" s="19">
        <v>16750</v>
      </c>
      <c r="AB367" s="20" t="s">
        <v>243</v>
      </c>
      <c r="AC367" s="16">
        <v>0.68400000000000005</v>
      </c>
    </row>
    <row r="368" spans="27:29">
      <c r="AA368" s="19">
        <v>18200</v>
      </c>
      <c r="AB368" s="20" t="s">
        <v>243</v>
      </c>
      <c r="AC368" s="16">
        <v>0.68400000000000005</v>
      </c>
    </row>
    <row r="369" spans="27:29">
      <c r="AA369" s="19">
        <v>18991</v>
      </c>
      <c r="AB369" s="20" t="s">
        <v>243</v>
      </c>
      <c r="AC369" s="16">
        <v>0.68400000000000005</v>
      </c>
    </row>
    <row r="370" spans="27:29">
      <c r="AA370" s="19">
        <v>19796</v>
      </c>
      <c r="AB370" s="20" t="s">
        <v>243</v>
      </c>
      <c r="AC370" s="16">
        <v>0.68400000000000005</v>
      </c>
    </row>
    <row r="371" spans="27:29">
      <c r="AA371" s="19">
        <v>40005</v>
      </c>
      <c r="AB371" s="20" t="s">
        <v>243</v>
      </c>
      <c r="AC371" s="16">
        <v>0.68400000000000005</v>
      </c>
    </row>
    <row r="372" spans="27:29">
      <c r="AA372" s="19">
        <v>40013</v>
      </c>
      <c r="AB372" s="20" t="s">
        <v>243</v>
      </c>
      <c r="AC372" s="16">
        <v>0.68400000000000005</v>
      </c>
    </row>
    <row r="373" spans="27:29">
      <c r="AA373" s="19">
        <v>40031</v>
      </c>
      <c r="AB373" s="20" t="s">
        <v>243</v>
      </c>
      <c r="AC373" s="16">
        <v>0.68400000000000005</v>
      </c>
    </row>
    <row r="374" spans="27:29">
      <c r="AA374" s="19">
        <v>40059</v>
      </c>
      <c r="AB374" s="20" t="s">
        <v>243</v>
      </c>
      <c r="AC374" s="16">
        <v>0.68400000000000005</v>
      </c>
    </row>
    <row r="375" spans="27:29">
      <c r="AA375" s="19">
        <v>40061</v>
      </c>
      <c r="AB375" s="20" t="s">
        <v>243</v>
      </c>
      <c r="AC375" s="16">
        <v>0.68400000000000005</v>
      </c>
    </row>
    <row r="376" spans="27:29">
      <c r="AA376" s="19">
        <v>40063</v>
      </c>
      <c r="AB376" s="20" t="s">
        <v>243</v>
      </c>
      <c r="AC376" s="16">
        <v>0.68400000000000005</v>
      </c>
    </row>
    <row r="377" spans="27:29">
      <c r="AA377" s="19">
        <v>41210</v>
      </c>
      <c r="AB377" s="20" t="s">
        <v>243</v>
      </c>
      <c r="AC377" s="16">
        <v>0.68400000000000005</v>
      </c>
    </row>
    <row r="378" spans="27:29">
      <c r="AA378" s="19">
        <v>41421</v>
      </c>
      <c r="AB378" s="20" t="s">
        <v>243</v>
      </c>
      <c r="AC378" s="16">
        <v>0.68400000000000005</v>
      </c>
    </row>
    <row r="379" spans="27:29">
      <c r="AA379" s="19">
        <v>41422</v>
      </c>
      <c r="AB379" s="20" t="s">
        <v>243</v>
      </c>
      <c r="AC379" s="16">
        <v>0.68400000000000005</v>
      </c>
    </row>
    <row r="380" spans="27:29">
      <c r="AA380" s="19">
        <v>41603</v>
      </c>
      <c r="AB380" s="20" t="s">
        <v>243</v>
      </c>
      <c r="AC380" s="16">
        <v>0.68400000000000005</v>
      </c>
    </row>
    <row r="381" spans="27:29">
      <c r="AA381" s="19">
        <v>41604</v>
      </c>
      <c r="AB381" s="20" t="s">
        <v>243</v>
      </c>
      <c r="AC381" s="16">
        <v>0.68400000000000005</v>
      </c>
    </row>
    <row r="382" spans="27:29">
      <c r="AA382" s="19">
        <v>41650</v>
      </c>
      <c r="AB382" s="20" t="s">
        <v>243</v>
      </c>
      <c r="AC382" s="16">
        <v>0.68400000000000005</v>
      </c>
    </row>
    <row r="383" spans="27:29">
      <c r="AA383" s="19">
        <v>41662</v>
      </c>
      <c r="AB383" s="20" t="s">
        <v>243</v>
      </c>
      <c r="AC383" s="16">
        <v>0.68400000000000005</v>
      </c>
    </row>
    <row r="384" spans="27:29">
      <c r="AA384" s="19">
        <v>41664</v>
      </c>
      <c r="AB384" s="20" t="s">
        <v>243</v>
      </c>
      <c r="AC384" s="16">
        <v>0.68400000000000005</v>
      </c>
    </row>
    <row r="385" spans="27:29">
      <c r="AA385" s="19">
        <v>41666</v>
      </c>
      <c r="AB385" s="20" t="s">
        <v>243</v>
      </c>
      <c r="AC385" s="16">
        <v>0.68400000000000005</v>
      </c>
    </row>
    <row r="386" spans="27:29">
      <c r="AA386" s="19">
        <v>41667</v>
      </c>
      <c r="AB386" s="20" t="s">
        <v>243</v>
      </c>
      <c r="AC386" s="16">
        <v>0.68400000000000005</v>
      </c>
    </row>
    <row r="387" spans="27:29">
      <c r="AA387" s="19">
        <v>41668</v>
      </c>
      <c r="AB387" s="20" t="s">
        <v>243</v>
      </c>
      <c r="AC387" s="16">
        <v>0.68400000000000005</v>
      </c>
    </row>
    <row r="388" spans="27:29">
      <c r="AA388" s="19">
        <v>41670</v>
      </c>
      <c r="AB388" s="20" t="s">
        <v>243</v>
      </c>
      <c r="AC388" s="16">
        <v>0.68400000000000005</v>
      </c>
    </row>
    <row r="389" spans="27:29">
      <c r="AA389" s="19">
        <v>41675</v>
      </c>
      <c r="AB389" s="20" t="s">
        <v>243</v>
      </c>
      <c r="AC389" s="16">
        <v>0.68400000000000005</v>
      </c>
    </row>
    <row r="390" spans="27:29">
      <c r="AA390" s="19">
        <v>43117</v>
      </c>
      <c r="AB390" s="20" t="s">
        <v>243</v>
      </c>
      <c r="AC390" s="16">
        <v>0.68400000000000005</v>
      </c>
    </row>
    <row r="391" spans="27:29">
      <c r="AA391" s="19">
        <v>43200</v>
      </c>
      <c r="AB391" s="20" t="s">
        <v>243</v>
      </c>
      <c r="AC391" s="16">
        <v>0.68400000000000005</v>
      </c>
    </row>
    <row r="392" spans="27:29">
      <c r="AA392" s="19">
        <v>43215</v>
      </c>
      <c r="AB392" s="20" t="s">
        <v>243</v>
      </c>
      <c r="AC392" s="16">
        <v>0.68400000000000005</v>
      </c>
    </row>
    <row r="393" spans="27:29">
      <c r="AA393" s="19">
        <v>43421</v>
      </c>
      <c r="AB393" s="20" t="s">
        <v>243</v>
      </c>
      <c r="AC393" s="16">
        <v>0.68400000000000005</v>
      </c>
    </row>
    <row r="394" spans="27:29">
      <c r="AA394" s="19">
        <v>43422</v>
      </c>
      <c r="AB394" s="20" t="s">
        <v>243</v>
      </c>
      <c r="AC394" s="16">
        <v>0.68400000000000005</v>
      </c>
    </row>
    <row r="395" spans="27:29">
      <c r="AA395" s="19">
        <v>43424</v>
      </c>
      <c r="AB395" s="20" t="s">
        <v>243</v>
      </c>
      <c r="AC395" s="16">
        <v>0.68400000000000005</v>
      </c>
    </row>
    <row r="396" spans="27:29">
      <c r="AA396" s="19">
        <v>43470</v>
      </c>
      <c r="AB396" s="20" t="s">
        <v>243</v>
      </c>
      <c r="AC396" s="16">
        <v>0.68400000000000005</v>
      </c>
    </row>
    <row r="397" spans="27:29">
      <c r="AA397" s="19">
        <v>43629</v>
      </c>
      <c r="AB397" s="20" t="s">
        <v>243</v>
      </c>
      <c r="AC397" s="16">
        <v>0.68400000000000005</v>
      </c>
    </row>
    <row r="398" spans="27:29">
      <c r="AA398" s="19">
        <v>43822</v>
      </c>
      <c r="AB398" s="20" t="s">
        <v>243</v>
      </c>
      <c r="AC398" s="16">
        <v>0.68400000000000005</v>
      </c>
    </row>
    <row r="399" spans="27:29">
      <c r="AA399" s="19">
        <v>43889</v>
      </c>
      <c r="AB399" s="20" t="s">
        <v>243</v>
      </c>
      <c r="AC399" s="16">
        <v>0.68400000000000005</v>
      </c>
    </row>
    <row r="400" spans="27:29">
      <c r="AA400" s="19">
        <v>43945</v>
      </c>
      <c r="AB400" s="20" t="s">
        <v>243</v>
      </c>
      <c r="AC400" s="16">
        <v>0.68400000000000005</v>
      </c>
    </row>
    <row r="401" spans="27:29">
      <c r="AA401" s="19">
        <v>43990</v>
      </c>
      <c r="AB401" s="20" t="s">
        <v>243</v>
      </c>
      <c r="AC401" s="16">
        <v>0.68400000000000005</v>
      </c>
    </row>
    <row r="402" spans="27:29">
      <c r="AA402" s="19">
        <v>44070</v>
      </c>
      <c r="AB402" s="20" t="s">
        <v>243</v>
      </c>
      <c r="AC402" s="16">
        <v>0.68400000000000005</v>
      </c>
    </row>
    <row r="403" spans="27:29">
      <c r="AA403" s="19">
        <v>44101</v>
      </c>
      <c r="AB403" s="20" t="s">
        <v>243</v>
      </c>
      <c r="AC403" s="16">
        <v>0.68400000000000005</v>
      </c>
    </row>
    <row r="404" spans="27:29">
      <c r="AA404" s="19">
        <v>44222</v>
      </c>
      <c r="AB404" s="20" t="s">
        <v>243</v>
      </c>
      <c r="AC404" s="16">
        <v>0.68400000000000005</v>
      </c>
    </row>
    <row r="405" spans="27:29">
      <c r="AA405" s="19">
        <v>44276</v>
      </c>
      <c r="AB405" s="20" t="s">
        <v>243</v>
      </c>
      <c r="AC405" s="16">
        <v>0.68400000000000005</v>
      </c>
    </row>
    <row r="406" spans="27:29">
      <c r="AA406" s="19">
        <v>44280</v>
      </c>
      <c r="AB406" s="20" t="s">
        <v>243</v>
      </c>
      <c r="AC406" s="16">
        <v>0.68400000000000005</v>
      </c>
    </row>
    <row r="407" spans="27:29">
      <c r="AA407" s="19">
        <v>44311</v>
      </c>
      <c r="AB407" s="20" t="s">
        <v>243</v>
      </c>
      <c r="AC407" s="16">
        <v>0.68400000000000005</v>
      </c>
    </row>
    <row r="408" spans="27:29">
      <c r="AA408" s="19">
        <v>44315</v>
      </c>
      <c r="AB408" s="20" t="s">
        <v>243</v>
      </c>
      <c r="AC408" s="16">
        <v>0.68400000000000005</v>
      </c>
    </row>
    <row r="409" spans="27:29">
      <c r="AA409" s="19">
        <v>44435</v>
      </c>
      <c r="AB409" s="20" t="s">
        <v>243</v>
      </c>
      <c r="AC409" s="16">
        <v>0.68400000000000005</v>
      </c>
    </row>
    <row r="410" spans="27:29">
      <c r="AA410" s="19">
        <v>45450</v>
      </c>
      <c r="AB410" s="20" t="s">
        <v>243</v>
      </c>
      <c r="AC410" s="16">
        <v>0.68400000000000005</v>
      </c>
    </row>
    <row r="411" spans="27:29">
      <c r="AA411" s="19">
        <v>45523</v>
      </c>
      <c r="AB411" s="20" t="s">
        <v>243</v>
      </c>
      <c r="AC411" s="16">
        <v>0.68400000000000005</v>
      </c>
    </row>
    <row r="412" spans="27:29">
      <c r="AA412" s="19">
        <v>45524</v>
      </c>
      <c r="AB412" s="20" t="s">
        <v>243</v>
      </c>
      <c r="AC412" s="16">
        <v>0.68400000000000005</v>
      </c>
    </row>
    <row r="413" spans="27:29">
      <c r="AA413" s="19">
        <v>45539</v>
      </c>
      <c r="AB413" s="20" t="s">
        <v>243</v>
      </c>
      <c r="AC413" s="16">
        <v>0.68400000000000005</v>
      </c>
    </row>
    <row r="414" spans="27:29">
      <c r="AA414" s="19">
        <v>45819</v>
      </c>
      <c r="AB414" s="20" t="s">
        <v>243</v>
      </c>
      <c r="AC414" s="16">
        <v>0.68400000000000005</v>
      </c>
    </row>
    <row r="415" spans="27:29">
      <c r="AA415" s="19">
        <v>46362</v>
      </c>
      <c r="AB415" s="20" t="s">
        <v>243</v>
      </c>
      <c r="AC415" s="16">
        <v>0.68400000000000005</v>
      </c>
    </row>
    <row r="416" spans="27:29">
      <c r="AA416" s="19">
        <v>46426</v>
      </c>
      <c r="AB416" s="20" t="s">
        <v>243</v>
      </c>
      <c r="AC416" s="16">
        <v>0.68400000000000005</v>
      </c>
    </row>
    <row r="417" spans="27:29">
      <c r="AA417" s="19">
        <v>46427</v>
      </c>
      <c r="AB417" s="20" t="s">
        <v>243</v>
      </c>
      <c r="AC417" s="16">
        <v>0.68400000000000005</v>
      </c>
    </row>
    <row r="418" spans="27:29">
      <c r="AA418" s="19">
        <v>46671</v>
      </c>
      <c r="AB418" s="20" t="s">
        <v>243</v>
      </c>
      <c r="AC418" s="16">
        <v>0.68400000000000005</v>
      </c>
    </row>
    <row r="419" spans="27:29">
      <c r="AA419" s="19">
        <v>46773</v>
      </c>
      <c r="AB419" s="20" t="s">
        <v>243</v>
      </c>
      <c r="AC419" s="16">
        <v>0.68400000000000005</v>
      </c>
    </row>
    <row r="420" spans="27:29">
      <c r="AA420" s="19">
        <v>46881</v>
      </c>
      <c r="AB420" s="20" t="s">
        <v>243</v>
      </c>
      <c r="AC420" s="16">
        <v>0.68400000000000005</v>
      </c>
    </row>
    <row r="421" spans="27:29">
      <c r="AA421" s="19">
        <v>47050</v>
      </c>
      <c r="AB421" s="20" t="s">
        <v>243</v>
      </c>
      <c r="AC421" s="16">
        <v>0.68400000000000005</v>
      </c>
    </row>
    <row r="422" spans="27:29">
      <c r="AA422" s="19">
        <v>47051</v>
      </c>
      <c r="AB422" s="20" t="s">
        <v>243</v>
      </c>
      <c r="AC422" s="16">
        <v>0.68400000000000005</v>
      </c>
    </row>
    <row r="423" spans="27:29">
      <c r="AA423" s="19">
        <v>47103</v>
      </c>
      <c r="AB423" s="20" t="s">
        <v>243</v>
      </c>
      <c r="AC423" s="16">
        <v>0.68400000000000005</v>
      </c>
    </row>
    <row r="424" spans="27:29">
      <c r="AA424" s="19">
        <v>47146</v>
      </c>
      <c r="AB424" s="20" t="s">
        <v>243</v>
      </c>
      <c r="AC424" s="16">
        <v>0.68400000000000005</v>
      </c>
    </row>
    <row r="425" spans="27:29">
      <c r="AA425" s="19">
        <v>47147</v>
      </c>
      <c r="AB425" s="20" t="s">
        <v>243</v>
      </c>
      <c r="AC425" s="16">
        <v>0.68400000000000005</v>
      </c>
    </row>
    <row r="426" spans="27:29">
      <c r="AA426" s="19">
        <v>47254</v>
      </c>
      <c r="AB426" s="20" t="s">
        <v>243</v>
      </c>
      <c r="AC426" s="16">
        <v>0.68400000000000005</v>
      </c>
    </row>
    <row r="427" spans="27:29">
      <c r="AA427" s="19">
        <v>47367</v>
      </c>
      <c r="AB427" s="20" t="s">
        <v>243</v>
      </c>
      <c r="AC427" s="16">
        <v>0.68400000000000005</v>
      </c>
    </row>
    <row r="428" spans="27:29">
      <c r="AA428" s="19">
        <v>47471</v>
      </c>
      <c r="AB428" s="20" t="s">
        <v>243</v>
      </c>
      <c r="AC428" s="16">
        <v>0.68400000000000005</v>
      </c>
    </row>
    <row r="429" spans="27:29">
      <c r="AA429" s="19">
        <v>47474</v>
      </c>
      <c r="AB429" s="20" t="s">
        <v>243</v>
      </c>
      <c r="AC429" s="16">
        <v>0.68400000000000005</v>
      </c>
    </row>
    <row r="430" spans="27:29">
      <c r="AA430" s="19">
        <v>47477</v>
      </c>
      <c r="AB430" s="20" t="s">
        <v>243</v>
      </c>
      <c r="AC430" s="16">
        <v>0.68400000000000005</v>
      </c>
    </row>
    <row r="431" spans="27:29">
      <c r="AA431" s="19">
        <v>48177</v>
      </c>
      <c r="AB431" s="20" t="s">
        <v>243</v>
      </c>
      <c r="AC431" s="16">
        <v>0.68400000000000005</v>
      </c>
    </row>
    <row r="432" spans="27:29">
      <c r="AA432" s="19">
        <v>48178</v>
      </c>
      <c r="AB432" s="20" t="s">
        <v>243</v>
      </c>
      <c r="AC432" s="16">
        <v>0.68400000000000005</v>
      </c>
    </row>
    <row r="433" spans="27:29">
      <c r="AA433" s="19">
        <v>48252</v>
      </c>
      <c r="AB433" s="20" t="s">
        <v>243</v>
      </c>
      <c r="AC433" s="16">
        <v>0.68400000000000005</v>
      </c>
    </row>
    <row r="434" spans="27:29">
      <c r="AA434" s="19">
        <v>48557</v>
      </c>
      <c r="AB434" s="20" t="s">
        <v>243</v>
      </c>
      <c r="AC434" s="16">
        <v>0.68400000000000005</v>
      </c>
    </row>
    <row r="435" spans="27:29">
      <c r="AA435" s="19">
        <v>48558</v>
      </c>
      <c r="AB435" s="20" t="s">
        <v>243</v>
      </c>
      <c r="AC435" s="16">
        <v>0.68400000000000005</v>
      </c>
    </row>
    <row r="436" spans="27:29">
      <c r="AA436" s="19">
        <v>48610</v>
      </c>
      <c r="AB436" s="20" t="s">
        <v>243</v>
      </c>
      <c r="AC436" s="16">
        <v>0.68400000000000005</v>
      </c>
    </row>
    <row r="437" spans="27:29">
      <c r="AA437" s="19">
        <v>48727</v>
      </c>
      <c r="AB437" s="20" t="s">
        <v>243</v>
      </c>
      <c r="AC437" s="16">
        <v>0.68400000000000005</v>
      </c>
    </row>
    <row r="438" spans="27:29">
      <c r="AA438" s="19">
        <v>48924</v>
      </c>
      <c r="AB438" s="20" t="s">
        <v>243</v>
      </c>
      <c r="AC438" s="16">
        <v>0.68400000000000005</v>
      </c>
    </row>
    <row r="439" spans="27:29">
      <c r="AA439" s="19">
        <v>48925</v>
      </c>
      <c r="AB439" s="20" t="s">
        <v>243</v>
      </c>
      <c r="AC439" s="16">
        <v>0.68400000000000005</v>
      </c>
    </row>
    <row r="440" spans="27:29">
      <c r="AA440" s="19">
        <v>49111</v>
      </c>
      <c r="AB440" s="20" t="s">
        <v>243</v>
      </c>
      <c r="AC440" s="16">
        <v>0.68400000000000005</v>
      </c>
    </row>
    <row r="441" spans="27:29">
      <c r="AA441" s="19">
        <v>49183</v>
      </c>
      <c r="AB441" s="20" t="s">
        <v>243</v>
      </c>
      <c r="AC441" s="16">
        <v>0.68400000000000005</v>
      </c>
    </row>
    <row r="442" spans="27:29">
      <c r="AA442" s="19">
        <v>49184</v>
      </c>
      <c r="AB442" s="20" t="s">
        <v>243</v>
      </c>
      <c r="AC442" s="16">
        <v>0.68400000000000005</v>
      </c>
    </row>
    <row r="443" spans="27:29">
      <c r="AA443" s="19">
        <v>49185</v>
      </c>
      <c r="AB443" s="20" t="s">
        <v>243</v>
      </c>
      <c r="AC443" s="16">
        <v>0.68400000000000005</v>
      </c>
    </row>
    <row r="444" spans="27:29">
      <c r="AA444" s="19">
        <v>49333</v>
      </c>
      <c r="AB444" s="20" t="s">
        <v>243</v>
      </c>
      <c r="AC444" s="16">
        <v>0.68400000000000005</v>
      </c>
    </row>
    <row r="445" spans="27:29">
      <c r="AA445" s="19">
        <v>49619</v>
      </c>
      <c r="AB445" s="20" t="s">
        <v>243</v>
      </c>
      <c r="AC445" s="16">
        <v>0.68400000000000005</v>
      </c>
    </row>
    <row r="446" spans="27:29">
      <c r="AA446" s="19">
        <v>49870</v>
      </c>
      <c r="AB446" s="20" t="s">
        <v>243</v>
      </c>
      <c r="AC446" s="16">
        <v>0.68400000000000005</v>
      </c>
    </row>
    <row r="447" spans="27:29">
      <c r="AA447" s="19">
        <v>49902</v>
      </c>
      <c r="AB447" s="20" t="s">
        <v>243</v>
      </c>
      <c r="AC447" s="16">
        <v>0.68400000000000005</v>
      </c>
    </row>
    <row r="448" spans="27:29">
      <c r="AA448" s="19">
        <v>60035</v>
      </c>
      <c r="AB448" s="20" t="s">
        <v>243</v>
      </c>
      <c r="AC448" s="16">
        <v>0.68400000000000005</v>
      </c>
    </row>
    <row r="449" spans="27:29">
      <c r="AA449" s="19">
        <v>63215</v>
      </c>
      <c r="AB449" s="20" t="s">
        <v>243</v>
      </c>
      <c r="AC449" s="16">
        <v>0.68400000000000005</v>
      </c>
    </row>
    <row r="450" spans="27:29">
      <c r="AA450" s="19">
        <v>63217</v>
      </c>
      <c r="AB450" s="20" t="s">
        <v>243</v>
      </c>
      <c r="AC450" s="16">
        <v>0.68400000000000005</v>
      </c>
    </row>
    <row r="451" spans="27:29">
      <c r="AA451" s="19">
        <v>63219</v>
      </c>
      <c r="AB451" s="20" t="s">
        <v>243</v>
      </c>
      <c r="AC451" s="16">
        <v>0.68400000000000005</v>
      </c>
    </row>
    <row r="452" spans="27:29">
      <c r="AA452" s="19">
        <v>66561</v>
      </c>
      <c r="AB452" s="20" t="s">
        <v>243</v>
      </c>
      <c r="AC452" s="16">
        <v>0.68400000000000005</v>
      </c>
    </row>
    <row r="453" spans="27:29">
      <c r="AA453" s="19">
        <v>67508</v>
      </c>
      <c r="AB453" s="20" t="s">
        <v>243</v>
      </c>
      <c r="AC453" s="16">
        <v>0.68400000000000005</v>
      </c>
    </row>
    <row r="454" spans="27:29">
      <c r="AA454" s="19">
        <v>67512</v>
      </c>
      <c r="AB454" s="20" t="s">
        <v>243</v>
      </c>
      <c r="AC454" s="16">
        <v>0.68400000000000005</v>
      </c>
    </row>
    <row r="455" spans="27:29">
      <c r="AA455" s="19">
        <v>68439</v>
      </c>
      <c r="AB455" s="20" t="s">
        <v>243</v>
      </c>
      <c r="AC455" s="16">
        <v>0.68400000000000005</v>
      </c>
    </row>
    <row r="456" spans="27:29">
      <c r="AA456" s="19">
        <v>68706</v>
      </c>
      <c r="AB456" s="20" t="s">
        <v>243</v>
      </c>
      <c r="AC456" s="16">
        <v>0.68400000000000005</v>
      </c>
    </row>
    <row r="457" spans="27:29">
      <c r="AA457" s="19">
        <v>68707</v>
      </c>
      <c r="AB457" s="20" t="s">
        <v>243</v>
      </c>
      <c r="AC457" s="16">
        <v>0.68400000000000005</v>
      </c>
    </row>
    <row r="458" spans="27:29">
      <c r="AA458" s="19">
        <v>90556</v>
      </c>
      <c r="AB458" s="20" t="s">
        <v>243</v>
      </c>
      <c r="AC458" s="16">
        <v>0.68400000000000005</v>
      </c>
    </row>
    <row r="459" spans="27:29">
      <c r="AA459" s="19">
        <v>90557</v>
      </c>
      <c r="AB459" s="20" t="s">
        <v>243</v>
      </c>
      <c r="AC459" s="16">
        <v>0.68400000000000005</v>
      </c>
    </row>
    <row r="460" spans="27:29">
      <c r="AA460" s="19">
        <v>90559</v>
      </c>
      <c r="AB460" s="20" t="s">
        <v>243</v>
      </c>
      <c r="AC460" s="16">
        <v>0.68400000000000005</v>
      </c>
    </row>
    <row r="461" spans="27:29">
      <c r="AA461" s="19">
        <v>90560</v>
      </c>
      <c r="AB461" s="20" t="s">
        <v>243</v>
      </c>
      <c r="AC461" s="16">
        <v>0.68400000000000005</v>
      </c>
    </row>
    <row r="462" spans="27:29">
      <c r="AA462" s="19">
        <v>91177</v>
      </c>
      <c r="AB462" s="20" t="s">
        <v>243</v>
      </c>
      <c r="AC462" s="16">
        <v>0.68400000000000005</v>
      </c>
    </row>
    <row r="463" spans="27:29">
      <c r="AA463" s="19">
        <v>91179</v>
      </c>
      <c r="AB463" s="20" t="s">
        <v>243</v>
      </c>
      <c r="AC463" s="16">
        <v>0.68400000000000005</v>
      </c>
    </row>
    <row r="464" spans="27:29">
      <c r="AA464" s="19">
        <v>91190</v>
      </c>
      <c r="AB464" s="20" t="s">
        <v>243</v>
      </c>
      <c r="AC464" s="16">
        <v>0.68400000000000005</v>
      </c>
    </row>
    <row r="465" spans="27:29">
      <c r="AA465" s="19">
        <v>91315</v>
      </c>
      <c r="AB465" s="20" t="s">
        <v>243</v>
      </c>
      <c r="AC465" s="16">
        <v>0.68400000000000005</v>
      </c>
    </row>
    <row r="466" spans="27:29">
      <c r="AA466" s="19">
        <v>91555</v>
      </c>
      <c r="AB466" s="20" t="s">
        <v>243</v>
      </c>
      <c r="AC466" s="16">
        <v>0.68400000000000005</v>
      </c>
    </row>
    <row r="467" spans="27:29">
      <c r="AA467" s="19">
        <v>91591</v>
      </c>
      <c r="AB467" s="20" t="s">
        <v>243</v>
      </c>
      <c r="AC467" s="16">
        <v>0.68400000000000005</v>
      </c>
    </row>
    <row r="468" spans="27:29">
      <c r="AA468" s="19">
        <v>92447</v>
      </c>
      <c r="AB468" s="20" t="s">
        <v>243</v>
      </c>
      <c r="AC468" s="16">
        <v>0.68400000000000005</v>
      </c>
    </row>
    <row r="469" spans="27:29">
      <c r="AA469" s="19">
        <v>94099</v>
      </c>
      <c r="AB469" s="20" t="s">
        <v>243</v>
      </c>
      <c r="AC469" s="16">
        <v>0.68400000000000005</v>
      </c>
    </row>
    <row r="470" spans="27:29">
      <c r="AA470" s="19">
        <v>94617</v>
      </c>
      <c r="AB470" s="20" t="s">
        <v>243</v>
      </c>
      <c r="AC470" s="16">
        <v>0.68400000000000005</v>
      </c>
    </row>
    <row r="471" spans="27:29">
      <c r="AA471" s="19">
        <v>95455</v>
      </c>
      <c r="AB471" s="20" t="s">
        <v>243</v>
      </c>
      <c r="AC471" s="16">
        <v>0.68400000000000005</v>
      </c>
    </row>
    <row r="472" spans="27:29">
      <c r="AA472" s="19">
        <v>97002</v>
      </c>
      <c r="AB472" s="20" t="s">
        <v>243</v>
      </c>
      <c r="AC472" s="16">
        <v>0.68400000000000005</v>
      </c>
    </row>
    <row r="473" spans="27:29">
      <c r="AA473" s="19">
        <v>97003</v>
      </c>
      <c r="AB473" s="20" t="s">
        <v>243</v>
      </c>
      <c r="AC473" s="16">
        <v>0.68400000000000005</v>
      </c>
    </row>
    <row r="474" spans="27:29">
      <c r="AA474" s="19">
        <v>97308</v>
      </c>
      <c r="AB474" s="20" t="s">
        <v>243</v>
      </c>
      <c r="AC474" s="16">
        <v>0.68400000000000005</v>
      </c>
    </row>
    <row r="475" spans="27:29">
      <c r="AA475" s="19">
        <v>97504</v>
      </c>
      <c r="AB475" s="20" t="s">
        <v>243</v>
      </c>
      <c r="AC475" s="16">
        <v>0.68400000000000005</v>
      </c>
    </row>
    <row r="476" spans="27:29">
      <c r="AA476" s="19">
        <v>98091</v>
      </c>
      <c r="AB476" s="20" t="s">
        <v>243</v>
      </c>
      <c r="AC476" s="16">
        <v>0.68400000000000005</v>
      </c>
    </row>
    <row r="477" spans="27:29">
      <c r="AA477" s="19">
        <v>98092</v>
      </c>
      <c r="AB477" s="20" t="s">
        <v>243</v>
      </c>
      <c r="AC477" s="16">
        <v>0.68400000000000005</v>
      </c>
    </row>
    <row r="478" spans="27:29">
      <c r="AA478" s="19">
        <v>98555</v>
      </c>
      <c r="AB478" s="20" t="s">
        <v>243</v>
      </c>
      <c r="AC478" s="16">
        <v>0.68400000000000005</v>
      </c>
    </row>
    <row r="479" spans="27:29">
      <c r="AA479" s="19">
        <v>98597</v>
      </c>
      <c r="AB479" s="20" t="s">
        <v>243</v>
      </c>
      <c r="AC479" s="16">
        <v>0.68400000000000005</v>
      </c>
    </row>
    <row r="480" spans="27:29">
      <c r="AA480" s="19">
        <v>99111</v>
      </c>
      <c r="AB480" s="20" t="s">
        <v>243</v>
      </c>
      <c r="AC480" s="16">
        <v>0.68400000000000005</v>
      </c>
    </row>
    <row r="481" spans="27:29">
      <c r="AA481" s="19">
        <v>99718</v>
      </c>
      <c r="AB481" s="20" t="s">
        <v>243</v>
      </c>
      <c r="AC481" s="16">
        <v>0.68400000000000005</v>
      </c>
    </row>
    <row r="482" spans="27:29">
      <c r="AA482" s="19">
        <v>99851</v>
      </c>
      <c r="AB482" s="20" t="s">
        <v>243</v>
      </c>
      <c r="AC482" s="16">
        <v>0.68400000000000005</v>
      </c>
    </row>
    <row r="483" spans="27:29">
      <c r="AA483" s="19">
        <v>99938</v>
      </c>
      <c r="AB483" s="20" t="s">
        <v>243</v>
      </c>
      <c r="AC483" s="16">
        <v>0.68400000000000005</v>
      </c>
    </row>
    <row r="484" spans="27:29">
      <c r="AA484" s="19">
        <v>99991</v>
      </c>
      <c r="AB484" s="20" t="s">
        <v>243</v>
      </c>
      <c r="AC484" s="16">
        <v>0.68400000000000005</v>
      </c>
    </row>
    <row r="485" spans="27:29">
      <c r="AA485" s="19">
        <v>99995</v>
      </c>
      <c r="AB485" s="20" t="s">
        <v>243</v>
      </c>
      <c r="AC485" s="16">
        <v>0.68400000000000005</v>
      </c>
    </row>
    <row r="486" spans="27:29">
      <c r="AA486" s="19">
        <v>99996</v>
      </c>
      <c r="AB486" s="20" t="s">
        <v>243</v>
      </c>
      <c r="AC486" s="16">
        <v>0.68400000000000005</v>
      </c>
    </row>
    <row r="487" spans="27:29">
      <c r="AA487" s="19">
        <v>99999</v>
      </c>
      <c r="AB487" s="20" t="s">
        <v>243</v>
      </c>
      <c r="AC487" s="16">
        <v>0.68400000000000005</v>
      </c>
    </row>
    <row r="488" spans="27:29">
      <c r="AA488" s="19">
        <v>10145</v>
      </c>
      <c r="AB488" s="20" t="s">
        <v>244</v>
      </c>
      <c r="AC488" s="16">
        <v>1.357</v>
      </c>
    </row>
    <row r="489" spans="27:29">
      <c r="AA489" s="19">
        <v>10160</v>
      </c>
      <c r="AB489" s="20" t="s">
        <v>244</v>
      </c>
      <c r="AC489" s="16">
        <v>1.357</v>
      </c>
    </row>
    <row r="490" spans="27:29">
      <c r="AA490" s="19">
        <v>10220</v>
      </c>
      <c r="AB490" s="20" t="s">
        <v>244</v>
      </c>
      <c r="AC490" s="16">
        <v>1.357</v>
      </c>
    </row>
    <row r="491" spans="27:29">
      <c r="AA491" s="19">
        <v>11039</v>
      </c>
      <c r="AB491" s="20" t="s">
        <v>244</v>
      </c>
      <c r="AC491" s="16">
        <v>1.357</v>
      </c>
    </row>
    <row r="492" spans="27:29">
      <c r="AA492" s="19">
        <v>11168</v>
      </c>
      <c r="AB492" s="20" t="s">
        <v>244</v>
      </c>
      <c r="AC492" s="16">
        <v>1.357</v>
      </c>
    </row>
    <row r="493" spans="27:29">
      <c r="AA493" s="19">
        <v>11273</v>
      </c>
      <c r="AB493" s="20" t="s">
        <v>244</v>
      </c>
      <c r="AC493" s="16">
        <v>1.357</v>
      </c>
    </row>
    <row r="494" spans="27:29">
      <c r="AA494" s="19">
        <v>15656</v>
      </c>
      <c r="AB494" s="20" t="s">
        <v>244</v>
      </c>
      <c r="AC494" s="16">
        <v>1.357</v>
      </c>
    </row>
    <row r="495" spans="27:29">
      <c r="AA495" s="19">
        <v>16817</v>
      </c>
      <c r="AB495" s="20" t="s">
        <v>244</v>
      </c>
      <c r="AC495" s="16">
        <v>1.357</v>
      </c>
    </row>
    <row r="496" spans="27:29">
      <c r="AA496" s="19">
        <v>16818</v>
      </c>
      <c r="AB496" s="20" t="s">
        <v>244</v>
      </c>
      <c r="AC496" s="16">
        <v>1.357</v>
      </c>
    </row>
    <row r="497" spans="27:29">
      <c r="AA497" s="19">
        <v>16819</v>
      </c>
      <c r="AB497" s="20" t="s">
        <v>244</v>
      </c>
      <c r="AC497" s="16">
        <v>1.357</v>
      </c>
    </row>
    <row r="498" spans="27:29">
      <c r="AA498" s="19">
        <v>16823</v>
      </c>
      <c r="AB498" s="20" t="s">
        <v>244</v>
      </c>
      <c r="AC498" s="16">
        <v>1.357</v>
      </c>
    </row>
    <row r="499" spans="27:29">
      <c r="AA499" s="19">
        <v>16900</v>
      </c>
      <c r="AB499" s="20" t="s">
        <v>244</v>
      </c>
      <c r="AC499" s="16">
        <v>1.357</v>
      </c>
    </row>
    <row r="500" spans="27:29">
      <c r="AA500" s="19">
        <v>16901</v>
      </c>
      <c r="AB500" s="20" t="s">
        <v>244</v>
      </c>
      <c r="AC500" s="16">
        <v>1.357</v>
      </c>
    </row>
    <row r="501" spans="27:29">
      <c r="AA501" s="19">
        <v>16902</v>
      </c>
      <c r="AB501" s="20" t="s">
        <v>244</v>
      </c>
      <c r="AC501" s="16">
        <v>1.357</v>
      </c>
    </row>
    <row r="502" spans="27:29">
      <c r="AA502" s="19">
        <v>16910</v>
      </c>
      <c r="AB502" s="20" t="s">
        <v>244</v>
      </c>
      <c r="AC502" s="16">
        <v>1.357</v>
      </c>
    </row>
    <row r="503" spans="27:29">
      <c r="AA503" s="19">
        <v>16911</v>
      </c>
      <c r="AB503" s="20" t="s">
        <v>244</v>
      </c>
      <c r="AC503" s="16">
        <v>1.357</v>
      </c>
    </row>
    <row r="504" spans="27:29">
      <c r="AA504" s="19">
        <v>16915</v>
      </c>
      <c r="AB504" s="20" t="s">
        <v>244</v>
      </c>
      <c r="AC504" s="16">
        <v>1.357</v>
      </c>
    </row>
    <row r="505" spans="27:29">
      <c r="AA505" s="19">
        <v>16916</v>
      </c>
      <c r="AB505" s="20" t="s">
        <v>244</v>
      </c>
      <c r="AC505" s="16">
        <v>1.357</v>
      </c>
    </row>
    <row r="506" spans="27:29">
      <c r="AA506" s="19">
        <v>16920</v>
      </c>
      <c r="AB506" s="20" t="s">
        <v>244</v>
      </c>
      <c r="AC506" s="16">
        <v>1.357</v>
      </c>
    </row>
    <row r="507" spans="27:29">
      <c r="AA507" s="19">
        <v>16921</v>
      </c>
      <c r="AB507" s="20" t="s">
        <v>244</v>
      </c>
      <c r="AC507" s="16">
        <v>1.357</v>
      </c>
    </row>
    <row r="508" spans="27:29">
      <c r="AA508" s="19">
        <v>16930</v>
      </c>
      <c r="AB508" s="20" t="s">
        <v>244</v>
      </c>
      <c r="AC508" s="16">
        <v>1.357</v>
      </c>
    </row>
    <row r="509" spans="27:29">
      <c r="AA509" s="19">
        <v>16931</v>
      </c>
      <c r="AB509" s="20" t="s">
        <v>244</v>
      </c>
      <c r="AC509" s="16">
        <v>1.357</v>
      </c>
    </row>
    <row r="510" spans="27:29">
      <c r="AA510" s="19">
        <v>16940</v>
      </c>
      <c r="AB510" s="20" t="s">
        <v>244</v>
      </c>
      <c r="AC510" s="16">
        <v>1.357</v>
      </c>
    </row>
    <row r="511" spans="27:29">
      <c r="AA511" s="19">
        <v>16941</v>
      </c>
      <c r="AB511" s="20" t="s">
        <v>244</v>
      </c>
      <c r="AC511" s="16">
        <v>1.357</v>
      </c>
    </row>
    <row r="512" spans="27:29">
      <c r="AA512" s="19">
        <v>51351</v>
      </c>
      <c r="AB512" s="20" t="s">
        <v>244</v>
      </c>
      <c r="AC512" s="16">
        <v>1.357</v>
      </c>
    </row>
    <row r="513" spans="27:29">
      <c r="AA513" s="19">
        <v>56488</v>
      </c>
      <c r="AB513" s="20" t="s">
        <v>244</v>
      </c>
      <c r="AC513" s="16">
        <v>1.357</v>
      </c>
    </row>
    <row r="514" spans="27:29">
      <c r="AA514" s="19">
        <v>58161</v>
      </c>
      <c r="AB514" s="20" t="s">
        <v>244</v>
      </c>
      <c r="AC514" s="16">
        <v>1.357</v>
      </c>
    </row>
    <row r="515" spans="27:29">
      <c r="AA515" s="19">
        <v>59964</v>
      </c>
      <c r="AB515" s="20" t="s">
        <v>244</v>
      </c>
      <c r="AC515" s="16">
        <v>1.357</v>
      </c>
    </row>
    <row r="516" spans="27:29">
      <c r="AA516" s="19">
        <v>97650</v>
      </c>
      <c r="AB516" s="20" t="s">
        <v>245</v>
      </c>
      <c r="AC516" s="16">
        <v>0.65600000000000003</v>
      </c>
    </row>
    <row r="517" spans="27:29">
      <c r="AA517" s="19">
        <v>97651</v>
      </c>
      <c r="AB517" s="20" t="s">
        <v>245</v>
      </c>
      <c r="AC517" s="16">
        <v>0.65600000000000003</v>
      </c>
    </row>
    <row r="518" spans="27:29">
      <c r="AA518" s="19">
        <v>97652</v>
      </c>
      <c r="AB518" s="20" t="s">
        <v>245</v>
      </c>
      <c r="AC518" s="16">
        <v>0.65600000000000003</v>
      </c>
    </row>
    <row r="519" spans="27:29">
      <c r="AA519" s="19">
        <v>97653</v>
      </c>
      <c r="AB519" s="20" t="s">
        <v>245</v>
      </c>
      <c r="AC519" s="16">
        <v>0.65600000000000003</v>
      </c>
    </row>
    <row r="520" spans="27:29">
      <c r="AA520" s="19">
        <v>97654</v>
      </c>
      <c r="AB520" s="20" t="s">
        <v>245</v>
      </c>
      <c r="AC520" s="16">
        <v>0.65600000000000003</v>
      </c>
    </row>
    <row r="521" spans="27:29">
      <c r="AA521" s="19">
        <v>97655</v>
      </c>
      <c r="AB521" s="20" t="s">
        <v>245</v>
      </c>
      <c r="AC521" s="16">
        <v>0.65600000000000003</v>
      </c>
    </row>
    <row r="522" spans="27:29">
      <c r="AA522" s="19">
        <v>15119</v>
      </c>
      <c r="AB522" s="20" t="s">
        <v>63</v>
      </c>
      <c r="AC522" s="16">
        <v>0.81100000000000005</v>
      </c>
    </row>
    <row r="523" spans="27:29">
      <c r="AA523" s="19">
        <v>15123</v>
      </c>
      <c r="AB523" s="20" t="s">
        <v>63</v>
      </c>
      <c r="AC523" s="16">
        <v>0.81100000000000005</v>
      </c>
    </row>
    <row r="524" spans="27:29">
      <c r="AA524" s="19">
        <v>44009</v>
      </c>
      <c r="AB524" s="20" t="s">
        <v>63</v>
      </c>
      <c r="AC524" s="16">
        <v>0.81100000000000005</v>
      </c>
    </row>
    <row r="525" spans="27:29">
      <c r="AA525" s="19">
        <v>46603</v>
      </c>
      <c r="AB525" s="20" t="s">
        <v>63</v>
      </c>
      <c r="AC525" s="16">
        <v>0.81100000000000005</v>
      </c>
    </row>
    <row r="526" spans="27:29">
      <c r="AA526" s="19">
        <v>46604</v>
      </c>
      <c r="AB526" s="20" t="s">
        <v>63</v>
      </c>
      <c r="AC526" s="16">
        <v>0.81100000000000005</v>
      </c>
    </row>
    <row r="527" spans="27:29">
      <c r="AA527" s="19">
        <v>46606</v>
      </c>
      <c r="AB527" s="20" t="s">
        <v>63</v>
      </c>
      <c r="AC527" s="16">
        <v>0.81100000000000005</v>
      </c>
    </row>
    <row r="528" spans="27:29">
      <c r="AA528" s="19">
        <v>46607</v>
      </c>
      <c r="AB528" s="20" t="s">
        <v>63</v>
      </c>
      <c r="AC528" s="16">
        <v>0.81100000000000005</v>
      </c>
    </row>
    <row r="529" spans="27:29">
      <c r="AA529" s="19">
        <v>46622</v>
      </c>
      <c r="AB529" s="20" t="s">
        <v>63</v>
      </c>
      <c r="AC529" s="16">
        <v>0.81100000000000005</v>
      </c>
    </row>
    <row r="530" spans="27:29">
      <c r="AA530" s="19">
        <v>61212</v>
      </c>
      <c r="AB530" s="20" t="s">
        <v>63</v>
      </c>
      <c r="AC530" s="16">
        <v>0.81100000000000005</v>
      </c>
    </row>
    <row r="531" spans="27:29">
      <c r="AA531" s="19">
        <v>61216</v>
      </c>
      <c r="AB531" s="20" t="s">
        <v>63</v>
      </c>
      <c r="AC531" s="16">
        <v>0.81100000000000005</v>
      </c>
    </row>
    <row r="532" spans="27:29">
      <c r="AA532" s="19">
        <v>61217</v>
      </c>
      <c r="AB532" s="20" t="s">
        <v>63</v>
      </c>
      <c r="AC532" s="16">
        <v>0.81100000000000005</v>
      </c>
    </row>
    <row r="533" spans="27:29">
      <c r="AA533" s="19">
        <v>61218</v>
      </c>
      <c r="AB533" s="20" t="s">
        <v>63</v>
      </c>
      <c r="AC533" s="16">
        <v>0.81100000000000005</v>
      </c>
    </row>
    <row r="534" spans="27:29">
      <c r="AA534" s="19">
        <v>61223</v>
      </c>
      <c r="AB534" s="20" t="s">
        <v>63</v>
      </c>
      <c r="AC534" s="16">
        <v>0.81100000000000005</v>
      </c>
    </row>
    <row r="535" spans="27:29">
      <c r="AA535" s="19">
        <v>61224</v>
      </c>
      <c r="AB535" s="20" t="s">
        <v>63</v>
      </c>
      <c r="AC535" s="16">
        <v>0.81100000000000005</v>
      </c>
    </row>
    <row r="536" spans="27:29">
      <c r="AA536" s="19">
        <v>61225</v>
      </c>
      <c r="AB536" s="20" t="s">
        <v>63</v>
      </c>
      <c r="AC536" s="16">
        <v>0.81100000000000005</v>
      </c>
    </row>
    <row r="537" spans="27:29">
      <c r="AA537" s="19">
        <v>61226</v>
      </c>
      <c r="AB537" s="20" t="s">
        <v>63</v>
      </c>
      <c r="AC537" s="16">
        <v>0.81100000000000005</v>
      </c>
    </row>
    <row r="538" spans="27:29">
      <c r="AA538" s="19">
        <v>61227</v>
      </c>
      <c r="AB538" s="20" t="s">
        <v>63</v>
      </c>
      <c r="AC538" s="16">
        <v>0.81100000000000005</v>
      </c>
    </row>
    <row r="539" spans="27:29">
      <c r="AA539" s="19">
        <v>64074</v>
      </c>
      <c r="AB539" s="20" t="s">
        <v>63</v>
      </c>
      <c r="AC539" s="16">
        <v>0.81100000000000005</v>
      </c>
    </row>
    <row r="540" spans="27:29">
      <c r="AA540" s="19">
        <v>64075</v>
      </c>
      <c r="AB540" s="20" t="s">
        <v>63</v>
      </c>
      <c r="AC540" s="16">
        <v>0.81100000000000005</v>
      </c>
    </row>
    <row r="541" spans="27:29">
      <c r="AA541" s="19">
        <v>67634</v>
      </c>
      <c r="AB541" s="20" t="s">
        <v>63</v>
      </c>
      <c r="AC541" s="16">
        <v>0.81100000000000005</v>
      </c>
    </row>
    <row r="542" spans="27:29">
      <c r="AA542" s="19">
        <v>67635</v>
      </c>
      <c r="AB542" s="20" t="s">
        <v>63</v>
      </c>
      <c r="AC542" s="16">
        <v>0.81100000000000005</v>
      </c>
    </row>
    <row r="543" spans="27:29">
      <c r="AA543" s="19">
        <v>68702</v>
      </c>
      <c r="AB543" s="20" t="s">
        <v>63</v>
      </c>
      <c r="AC543" s="16">
        <v>0.81100000000000005</v>
      </c>
    </row>
    <row r="544" spans="27:29">
      <c r="AA544" s="19">
        <v>68703</v>
      </c>
      <c r="AB544" s="20" t="s">
        <v>63</v>
      </c>
      <c r="AC544" s="16">
        <v>0.81100000000000005</v>
      </c>
    </row>
    <row r="545" spans="27:29">
      <c r="AA545" s="19">
        <v>92055</v>
      </c>
      <c r="AB545" s="20" t="s">
        <v>246</v>
      </c>
      <c r="AC545" s="16">
        <v>0.56699999999999995</v>
      </c>
    </row>
    <row r="546" spans="27:29">
      <c r="AA546" s="19">
        <v>94007</v>
      </c>
      <c r="AB546" s="20" t="s">
        <v>246</v>
      </c>
      <c r="AC546" s="16">
        <v>0.56699999999999995</v>
      </c>
    </row>
    <row r="547" spans="27:29">
      <c r="AA547" s="19">
        <v>95410</v>
      </c>
      <c r="AB547" s="20" t="s">
        <v>246</v>
      </c>
      <c r="AC547" s="16">
        <v>0.56699999999999995</v>
      </c>
    </row>
    <row r="548" spans="27:29">
      <c r="AA548" s="19">
        <v>98449</v>
      </c>
      <c r="AB548" s="20" t="s">
        <v>246</v>
      </c>
      <c r="AC548" s="16">
        <v>0.56699999999999995</v>
      </c>
    </row>
    <row r="549" spans="27:29">
      <c r="AA549" s="19">
        <v>98710</v>
      </c>
      <c r="AB549" s="20" t="s">
        <v>246</v>
      </c>
      <c r="AC549" s="16">
        <v>0.56699999999999995</v>
      </c>
    </row>
    <row r="550" spans="27:29">
      <c r="AA550" s="19">
        <v>10010</v>
      </c>
      <c r="AB550" s="20" t="s">
        <v>247</v>
      </c>
      <c r="AC550" s="16">
        <v>0.51500000000000001</v>
      </c>
    </row>
    <row r="551" spans="27:29">
      <c r="AA551" s="19">
        <v>10040</v>
      </c>
      <c r="AB551" s="20" t="s">
        <v>247</v>
      </c>
      <c r="AC551" s="16">
        <v>0.51500000000000001</v>
      </c>
    </row>
    <row r="552" spans="27:29">
      <c r="AA552" s="19">
        <v>10070</v>
      </c>
      <c r="AB552" s="20" t="s">
        <v>247</v>
      </c>
      <c r="AC552" s="16">
        <v>0.51500000000000001</v>
      </c>
    </row>
    <row r="553" spans="27:29">
      <c r="AA553" s="19">
        <v>10255</v>
      </c>
      <c r="AB553" s="20" t="s">
        <v>247</v>
      </c>
      <c r="AC553" s="16">
        <v>0.51500000000000001</v>
      </c>
    </row>
    <row r="554" spans="27:29">
      <c r="AA554" s="19">
        <v>10256</v>
      </c>
      <c r="AB554" s="20" t="s">
        <v>247</v>
      </c>
      <c r="AC554" s="16">
        <v>0.51500000000000001</v>
      </c>
    </row>
    <row r="555" spans="27:29">
      <c r="AA555" s="19">
        <v>10257</v>
      </c>
      <c r="AB555" s="20" t="s">
        <v>247</v>
      </c>
      <c r="AC555" s="16">
        <v>0.51500000000000001</v>
      </c>
    </row>
    <row r="556" spans="27:29">
      <c r="AA556" s="19">
        <v>11101</v>
      </c>
      <c r="AB556" s="20" t="s">
        <v>247</v>
      </c>
      <c r="AC556" s="16">
        <v>0.51500000000000001</v>
      </c>
    </row>
    <row r="557" spans="27:29">
      <c r="AA557" s="19">
        <v>12361</v>
      </c>
      <c r="AB557" s="20" t="s">
        <v>247</v>
      </c>
      <c r="AC557" s="16">
        <v>0.51500000000000001</v>
      </c>
    </row>
    <row r="558" spans="27:29">
      <c r="AA558" s="19">
        <v>12362</v>
      </c>
      <c r="AB558" s="20" t="s">
        <v>247</v>
      </c>
      <c r="AC558" s="16">
        <v>0.51500000000000001</v>
      </c>
    </row>
    <row r="559" spans="27:29">
      <c r="AA559" s="19">
        <v>12391</v>
      </c>
      <c r="AB559" s="20" t="s">
        <v>247</v>
      </c>
      <c r="AC559" s="16">
        <v>0.51500000000000001</v>
      </c>
    </row>
    <row r="560" spans="27:29">
      <c r="AA560" s="19">
        <v>12583</v>
      </c>
      <c r="AB560" s="20" t="s">
        <v>247</v>
      </c>
      <c r="AC560" s="16">
        <v>0.51500000000000001</v>
      </c>
    </row>
    <row r="561" spans="27:29">
      <c r="AA561" s="19">
        <v>12651</v>
      </c>
      <c r="AB561" s="20" t="s">
        <v>247</v>
      </c>
      <c r="AC561" s="16">
        <v>0.51500000000000001</v>
      </c>
    </row>
    <row r="562" spans="27:29">
      <c r="AA562" s="19">
        <v>12683</v>
      </c>
      <c r="AB562" s="20" t="s">
        <v>247</v>
      </c>
      <c r="AC562" s="16">
        <v>0.51500000000000001</v>
      </c>
    </row>
    <row r="563" spans="27:29">
      <c r="AA563" s="19">
        <v>12707</v>
      </c>
      <c r="AB563" s="20" t="s">
        <v>247</v>
      </c>
      <c r="AC563" s="16">
        <v>0.51500000000000001</v>
      </c>
    </row>
    <row r="564" spans="27:29">
      <c r="AA564" s="19">
        <v>12797</v>
      </c>
      <c r="AB564" s="20" t="s">
        <v>247</v>
      </c>
      <c r="AC564" s="16">
        <v>0.51500000000000001</v>
      </c>
    </row>
    <row r="565" spans="27:29">
      <c r="AA565" s="19">
        <v>13112</v>
      </c>
      <c r="AB565" s="20" t="s">
        <v>247</v>
      </c>
      <c r="AC565" s="16">
        <v>0.51500000000000001</v>
      </c>
    </row>
    <row r="566" spans="27:29">
      <c r="AA566" s="19">
        <v>13204</v>
      </c>
      <c r="AB566" s="20" t="s">
        <v>247</v>
      </c>
      <c r="AC566" s="16">
        <v>0.51500000000000001</v>
      </c>
    </row>
    <row r="567" spans="27:29">
      <c r="AA567" s="19">
        <v>13205</v>
      </c>
      <c r="AB567" s="20" t="s">
        <v>247</v>
      </c>
      <c r="AC567" s="16">
        <v>0.51500000000000001</v>
      </c>
    </row>
    <row r="568" spans="27:29">
      <c r="AA568" s="19">
        <v>13410</v>
      </c>
      <c r="AB568" s="20" t="s">
        <v>247</v>
      </c>
      <c r="AC568" s="16">
        <v>0.51500000000000001</v>
      </c>
    </row>
    <row r="569" spans="27:29">
      <c r="AA569" s="19">
        <v>13411</v>
      </c>
      <c r="AB569" s="20" t="s">
        <v>247</v>
      </c>
      <c r="AC569" s="16">
        <v>0.51500000000000001</v>
      </c>
    </row>
    <row r="570" spans="27:29">
      <c r="AA570" s="19">
        <v>13412</v>
      </c>
      <c r="AB570" s="20" t="s">
        <v>247</v>
      </c>
      <c r="AC570" s="16">
        <v>0.51500000000000001</v>
      </c>
    </row>
    <row r="571" spans="27:29">
      <c r="AA571" s="19">
        <v>13715</v>
      </c>
      <c r="AB571" s="20" t="s">
        <v>247</v>
      </c>
      <c r="AC571" s="16">
        <v>0.51500000000000001</v>
      </c>
    </row>
    <row r="572" spans="27:29">
      <c r="AA572" s="19">
        <v>13930</v>
      </c>
      <c r="AB572" s="20" t="s">
        <v>247</v>
      </c>
      <c r="AC572" s="16">
        <v>0.51500000000000001</v>
      </c>
    </row>
    <row r="573" spans="27:29">
      <c r="AA573" s="19">
        <v>14527</v>
      </c>
      <c r="AB573" s="20" t="s">
        <v>247</v>
      </c>
      <c r="AC573" s="16">
        <v>0.51500000000000001</v>
      </c>
    </row>
    <row r="574" spans="27:29">
      <c r="AA574" s="19">
        <v>15060</v>
      </c>
      <c r="AB574" s="20" t="s">
        <v>247</v>
      </c>
      <c r="AC574" s="16">
        <v>0.51500000000000001</v>
      </c>
    </row>
    <row r="575" spans="27:29">
      <c r="AA575" s="19">
        <v>15061</v>
      </c>
      <c r="AB575" s="20" t="s">
        <v>247</v>
      </c>
      <c r="AC575" s="16">
        <v>0.51500000000000001</v>
      </c>
    </row>
    <row r="576" spans="27:29">
      <c r="AA576" s="19">
        <v>15062</v>
      </c>
      <c r="AB576" s="20" t="s">
        <v>247</v>
      </c>
      <c r="AC576" s="16">
        <v>0.51500000000000001</v>
      </c>
    </row>
    <row r="577" spans="27:29">
      <c r="AA577" s="19">
        <v>15223</v>
      </c>
      <c r="AB577" s="20" t="s">
        <v>247</v>
      </c>
      <c r="AC577" s="16">
        <v>0.51500000000000001</v>
      </c>
    </row>
    <row r="578" spans="27:29">
      <c r="AA578" s="19">
        <v>15404</v>
      </c>
      <c r="AB578" s="20" t="s">
        <v>247</v>
      </c>
      <c r="AC578" s="16">
        <v>0.51500000000000001</v>
      </c>
    </row>
    <row r="579" spans="27:29">
      <c r="AA579" s="19">
        <v>15405</v>
      </c>
      <c r="AB579" s="20" t="s">
        <v>247</v>
      </c>
      <c r="AC579" s="16">
        <v>0.51500000000000001</v>
      </c>
    </row>
    <row r="580" spans="27:29">
      <c r="AA580" s="19">
        <v>15406</v>
      </c>
      <c r="AB580" s="20" t="s">
        <v>247</v>
      </c>
      <c r="AC580" s="16">
        <v>0.51500000000000001</v>
      </c>
    </row>
    <row r="581" spans="27:29">
      <c r="AA581" s="19">
        <v>16501</v>
      </c>
      <c r="AB581" s="20" t="s">
        <v>247</v>
      </c>
      <c r="AC581" s="16">
        <v>0.51500000000000001</v>
      </c>
    </row>
    <row r="582" spans="27:29">
      <c r="AA582" s="19">
        <v>16527</v>
      </c>
      <c r="AB582" s="20" t="s">
        <v>247</v>
      </c>
      <c r="AC582" s="16">
        <v>0.51500000000000001</v>
      </c>
    </row>
    <row r="583" spans="27:29">
      <c r="AA583" s="19">
        <v>16881</v>
      </c>
      <c r="AB583" s="20" t="s">
        <v>247</v>
      </c>
      <c r="AC583" s="16">
        <v>0.51500000000000001</v>
      </c>
    </row>
    <row r="584" spans="27:29">
      <c r="AA584" s="19">
        <v>18205</v>
      </c>
      <c r="AB584" s="20" t="s">
        <v>247</v>
      </c>
      <c r="AC584" s="16">
        <v>0.51500000000000001</v>
      </c>
    </row>
    <row r="585" spans="27:29">
      <c r="AA585" s="19">
        <v>18616</v>
      </c>
      <c r="AB585" s="20" t="s">
        <v>247</v>
      </c>
      <c r="AC585" s="16">
        <v>0.51500000000000001</v>
      </c>
    </row>
    <row r="586" spans="27:29">
      <c r="AA586" s="19">
        <v>18707</v>
      </c>
      <c r="AB586" s="20" t="s">
        <v>247</v>
      </c>
      <c r="AC586" s="16">
        <v>0.51500000000000001</v>
      </c>
    </row>
    <row r="587" spans="27:29">
      <c r="AA587" s="19">
        <v>18833</v>
      </c>
      <c r="AB587" s="20" t="s">
        <v>247</v>
      </c>
      <c r="AC587" s="16">
        <v>0.51500000000000001</v>
      </c>
    </row>
    <row r="588" spans="27:29">
      <c r="AA588" s="19">
        <v>19795</v>
      </c>
      <c r="AB588" s="20" t="s">
        <v>247</v>
      </c>
      <c r="AC588" s="16">
        <v>0.51500000000000001</v>
      </c>
    </row>
    <row r="589" spans="27:29">
      <c r="AA589" s="19">
        <v>45380</v>
      </c>
      <c r="AB589" s="20" t="s">
        <v>247</v>
      </c>
      <c r="AC589" s="16">
        <v>0.51500000000000001</v>
      </c>
    </row>
    <row r="590" spans="27:29">
      <c r="AA590" s="19">
        <v>45993</v>
      </c>
      <c r="AB590" s="20" t="s">
        <v>247</v>
      </c>
      <c r="AC590" s="16">
        <v>0.51500000000000001</v>
      </c>
    </row>
    <row r="591" spans="27:29">
      <c r="AA591" s="19">
        <v>98482</v>
      </c>
      <c r="AB591" s="20" t="s">
        <v>248</v>
      </c>
      <c r="AC591" s="16">
        <v>0.69299999999999995</v>
      </c>
    </row>
    <row r="592" spans="27:29">
      <c r="AA592" s="19">
        <v>98483</v>
      </c>
      <c r="AB592" s="20" t="s">
        <v>248</v>
      </c>
      <c r="AC592" s="16">
        <v>0.69299999999999995</v>
      </c>
    </row>
    <row r="593" spans="27:29">
      <c r="AA593" s="19">
        <v>97221</v>
      </c>
      <c r="AB593" s="20" t="s">
        <v>249</v>
      </c>
      <c r="AC593" s="16">
        <v>0.58199999999999996</v>
      </c>
    </row>
    <row r="594" spans="27:29">
      <c r="AA594" s="19">
        <v>97222</v>
      </c>
      <c r="AB594" s="20" t="s">
        <v>249</v>
      </c>
      <c r="AC594" s="16">
        <v>0.58199999999999996</v>
      </c>
    </row>
    <row r="595" spans="27:29">
      <c r="AA595" s="19">
        <v>97223</v>
      </c>
      <c r="AB595" s="20" t="s">
        <v>249</v>
      </c>
      <c r="AC595" s="16">
        <v>0.58199999999999996</v>
      </c>
    </row>
    <row r="596" spans="27:29">
      <c r="AA596" s="19">
        <v>10026</v>
      </c>
      <c r="AB596" s="20" t="s">
        <v>250</v>
      </c>
      <c r="AC596" s="16">
        <v>1.706</v>
      </c>
    </row>
    <row r="597" spans="27:29">
      <c r="AA597" s="19">
        <v>10042</v>
      </c>
      <c r="AB597" s="20" t="s">
        <v>250</v>
      </c>
      <c r="AC597" s="16">
        <v>1.706</v>
      </c>
    </row>
    <row r="598" spans="27:29">
      <c r="AA598" s="19">
        <v>10071</v>
      </c>
      <c r="AB598" s="20" t="s">
        <v>250</v>
      </c>
      <c r="AC598" s="16">
        <v>1.706</v>
      </c>
    </row>
    <row r="599" spans="27:29">
      <c r="AA599" s="19">
        <v>10100</v>
      </c>
      <c r="AB599" s="20" t="s">
        <v>250</v>
      </c>
      <c r="AC599" s="16">
        <v>1.706</v>
      </c>
    </row>
    <row r="600" spans="27:29">
      <c r="AA600" s="19">
        <v>10150</v>
      </c>
      <c r="AB600" s="20" t="s">
        <v>250</v>
      </c>
      <c r="AC600" s="16">
        <v>1.706</v>
      </c>
    </row>
    <row r="601" spans="27:29">
      <c r="AA601" s="19">
        <v>10204</v>
      </c>
      <c r="AB601" s="20" t="s">
        <v>250</v>
      </c>
      <c r="AC601" s="16">
        <v>1.706</v>
      </c>
    </row>
    <row r="602" spans="27:29">
      <c r="AA602" s="19">
        <v>11020</v>
      </c>
      <c r="AB602" s="20" t="s">
        <v>250</v>
      </c>
      <c r="AC602" s="16">
        <v>1.706</v>
      </c>
    </row>
    <row r="603" spans="27:29">
      <c r="AA603" s="19">
        <v>11127</v>
      </c>
      <c r="AB603" s="20" t="s">
        <v>250</v>
      </c>
      <c r="AC603" s="16">
        <v>1.706</v>
      </c>
    </row>
    <row r="604" spans="27:29">
      <c r="AA604" s="19">
        <v>11288</v>
      </c>
      <c r="AB604" s="20" t="s">
        <v>250</v>
      </c>
      <c r="AC604" s="16">
        <v>1.706</v>
      </c>
    </row>
    <row r="605" spans="27:29">
      <c r="AA605" s="19">
        <v>12356</v>
      </c>
      <c r="AB605" s="20" t="s">
        <v>250</v>
      </c>
      <c r="AC605" s="16">
        <v>1.706</v>
      </c>
    </row>
    <row r="606" spans="27:29">
      <c r="AA606" s="19">
        <v>12375</v>
      </c>
      <c r="AB606" s="20" t="s">
        <v>250</v>
      </c>
      <c r="AC606" s="16">
        <v>1.706</v>
      </c>
    </row>
    <row r="607" spans="27:29">
      <c r="AA607" s="19">
        <v>12805</v>
      </c>
      <c r="AB607" s="20" t="s">
        <v>250</v>
      </c>
      <c r="AC607" s="16">
        <v>1.706</v>
      </c>
    </row>
    <row r="608" spans="27:29">
      <c r="AA608" s="19">
        <v>13351</v>
      </c>
      <c r="AB608" s="20" t="s">
        <v>250</v>
      </c>
      <c r="AC608" s="16">
        <v>1.706</v>
      </c>
    </row>
    <row r="609" spans="27:29">
      <c r="AA609" s="19">
        <v>13454</v>
      </c>
      <c r="AB609" s="20" t="s">
        <v>250</v>
      </c>
      <c r="AC609" s="16">
        <v>1.706</v>
      </c>
    </row>
    <row r="610" spans="27:29">
      <c r="AA610" s="19">
        <v>13673</v>
      </c>
      <c r="AB610" s="20" t="s">
        <v>250</v>
      </c>
      <c r="AC610" s="16">
        <v>1.706</v>
      </c>
    </row>
    <row r="611" spans="27:29">
      <c r="AA611" s="19">
        <v>13716</v>
      </c>
      <c r="AB611" s="20" t="s">
        <v>250</v>
      </c>
      <c r="AC611" s="16">
        <v>1.706</v>
      </c>
    </row>
    <row r="612" spans="27:29">
      <c r="AA612" s="19">
        <v>14279</v>
      </c>
      <c r="AB612" s="20" t="s">
        <v>250</v>
      </c>
      <c r="AC612" s="16">
        <v>1.706</v>
      </c>
    </row>
    <row r="613" spans="27:29">
      <c r="AA613" s="19">
        <v>14733</v>
      </c>
      <c r="AB613" s="20" t="s">
        <v>250</v>
      </c>
      <c r="AC613" s="16">
        <v>1.706</v>
      </c>
    </row>
    <row r="614" spans="27:29">
      <c r="AA614" s="19">
        <v>15314</v>
      </c>
      <c r="AB614" s="20" t="s">
        <v>250</v>
      </c>
      <c r="AC614" s="16">
        <v>1.706</v>
      </c>
    </row>
    <row r="615" spans="27:29">
      <c r="AA615" s="19">
        <v>15699</v>
      </c>
      <c r="AB615" s="20" t="s">
        <v>250</v>
      </c>
      <c r="AC615" s="16">
        <v>1.706</v>
      </c>
    </row>
    <row r="616" spans="27:29">
      <c r="AA616" s="19">
        <v>18110</v>
      </c>
      <c r="AB616" s="20" t="s">
        <v>250</v>
      </c>
      <c r="AC616" s="16">
        <v>1.706</v>
      </c>
    </row>
    <row r="617" spans="27:29">
      <c r="AA617" s="19">
        <v>18206</v>
      </c>
      <c r="AB617" s="20" t="s">
        <v>250</v>
      </c>
      <c r="AC617" s="16">
        <v>1.706</v>
      </c>
    </row>
    <row r="618" spans="27:29">
      <c r="AA618" s="19">
        <v>18335</v>
      </c>
      <c r="AB618" s="20" t="s">
        <v>250</v>
      </c>
      <c r="AC618" s="16">
        <v>1.706</v>
      </c>
    </row>
    <row r="619" spans="27:29">
      <c r="AA619" s="19">
        <v>18435</v>
      </c>
      <c r="AB619" s="20" t="s">
        <v>250</v>
      </c>
      <c r="AC619" s="16">
        <v>1.706</v>
      </c>
    </row>
    <row r="620" spans="27:29">
      <c r="AA620" s="19">
        <v>18437</v>
      </c>
      <c r="AB620" s="20" t="s">
        <v>250</v>
      </c>
      <c r="AC620" s="16">
        <v>1.706</v>
      </c>
    </row>
    <row r="621" spans="27:29">
      <c r="AA621" s="19">
        <v>18438</v>
      </c>
      <c r="AB621" s="20" t="s">
        <v>250</v>
      </c>
      <c r="AC621" s="16">
        <v>1.706</v>
      </c>
    </row>
    <row r="622" spans="27:29">
      <c r="AA622" s="19">
        <v>18501</v>
      </c>
      <c r="AB622" s="20" t="s">
        <v>250</v>
      </c>
      <c r="AC622" s="16">
        <v>1.706</v>
      </c>
    </row>
    <row r="623" spans="27:29">
      <c r="AA623" s="19">
        <v>18834</v>
      </c>
      <c r="AB623" s="20" t="s">
        <v>250</v>
      </c>
      <c r="AC623" s="16">
        <v>1.706</v>
      </c>
    </row>
    <row r="624" spans="27:29">
      <c r="AA624" s="19">
        <v>18911</v>
      </c>
      <c r="AB624" s="20" t="s">
        <v>250</v>
      </c>
      <c r="AC624" s="16">
        <v>1.706</v>
      </c>
    </row>
    <row r="625" spans="27:29">
      <c r="AA625" s="19">
        <v>18920</v>
      </c>
      <c r="AB625" s="20" t="s">
        <v>250</v>
      </c>
      <c r="AC625" s="16">
        <v>1.706</v>
      </c>
    </row>
    <row r="626" spans="27:29">
      <c r="AA626" s="19">
        <v>98449</v>
      </c>
      <c r="AB626" s="20" t="s">
        <v>251</v>
      </c>
      <c r="AC626" s="16">
        <v>0.70899999999999996</v>
      </c>
    </row>
    <row r="627" spans="27:29">
      <c r="AA627" s="19">
        <v>98967</v>
      </c>
      <c r="AB627" s="20" t="s">
        <v>251</v>
      </c>
      <c r="AC627" s="16">
        <v>0.70899999999999996</v>
      </c>
    </row>
    <row r="628" spans="27:29">
      <c r="AA628" s="19">
        <v>10015</v>
      </c>
      <c r="AB628" s="20" t="s">
        <v>252</v>
      </c>
      <c r="AC628" s="16">
        <v>1.091</v>
      </c>
    </row>
    <row r="629" spans="27:29">
      <c r="AA629" s="19">
        <v>10020</v>
      </c>
      <c r="AB629" s="20" t="s">
        <v>252</v>
      </c>
      <c r="AC629" s="16">
        <v>1.091</v>
      </c>
    </row>
    <row r="630" spans="27:29">
      <c r="AA630" s="19">
        <v>10375</v>
      </c>
      <c r="AB630" s="20" t="s">
        <v>252</v>
      </c>
      <c r="AC630" s="16">
        <v>1.091</v>
      </c>
    </row>
    <row r="631" spans="27:29">
      <c r="AA631" s="19">
        <v>40040</v>
      </c>
      <c r="AB631" s="20" t="s">
        <v>252</v>
      </c>
      <c r="AC631" s="16">
        <v>1.091</v>
      </c>
    </row>
    <row r="632" spans="27:29">
      <c r="AA632" s="19">
        <v>40041</v>
      </c>
      <c r="AB632" s="20" t="s">
        <v>252</v>
      </c>
      <c r="AC632" s="16">
        <v>1.091</v>
      </c>
    </row>
    <row r="633" spans="27:29">
      <c r="AA633" s="19">
        <v>43518</v>
      </c>
      <c r="AB633" s="20" t="s">
        <v>252</v>
      </c>
      <c r="AC633" s="16">
        <v>1.091</v>
      </c>
    </row>
    <row r="634" spans="27:29">
      <c r="AA634" s="19">
        <v>92451</v>
      </c>
      <c r="AB634" s="20" t="s">
        <v>253</v>
      </c>
      <c r="AC634" s="16">
        <v>0.47299999999999998</v>
      </c>
    </row>
    <row r="635" spans="27:29">
      <c r="AA635" s="19">
        <v>92478</v>
      </c>
      <c r="AB635" s="20" t="s">
        <v>253</v>
      </c>
      <c r="AC635" s="16">
        <v>0.47299999999999998</v>
      </c>
    </row>
    <row r="636" spans="27:29">
      <c r="AA636" s="19">
        <v>94590</v>
      </c>
      <c r="AB636" s="20" t="s">
        <v>254</v>
      </c>
      <c r="AC636" s="16">
        <v>1.246</v>
      </c>
    </row>
    <row r="637" spans="27:29">
      <c r="AA637" s="19">
        <v>96816</v>
      </c>
      <c r="AB637" s="20" t="s">
        <v>254</v>
      </c>
      <c r="AC637" s="16">
        <v>1.246</v>
      </c>
    </row>
    <row r="638" spans="27:29">
      <c r="AA638" s="19">
        <v>98303</v>
      </c>
      <c r="AB638" s="20" t="s">
        <v>255</v>
      </c>
      <c r="AC638" s="16">
        <v>0.79400000000000004</v>
      </c>
    </row>
    <row r="639" spans="27:29">
      <c r="AA639" s="19">
        <v>98304</v>
      </c>
      <c r="AB639" s="20" t="s">
        <v>255</v>
      </c>
      <c r="AC639" s="16">
        <v>0.79400000000000004</v>
      </c>
    </row>
    <row r="640" spans="27:29">
      <c r="AA640" s="19">
        <v>98305</v>
      </c>
      <c r="AB640" s="20" t="s">
        <v>255</v>
      </c>
      <c r="AC640" s="16">
        <v>0.79400000000000004</v>
      </c>
    </row>
    <row r="641" spans="27:29">
      <c r="AA641" s="19">
        <v>98306</v>
      </c>
      <c r="AB641" s="20" t="s">
        <v>255</v>
      </c>
      <c r="AC641" s="16">
        <v>0.79400000000000004</v>
      </c>
    </row>
    <row r="642" spans="27:29">
      <c r="AA642" s="19">
        <v>98307</v>
      </c>
      <c r="AB642" s="20" t="s">
        <v>255</v>
      </c>
      <c r="AC642" s="16">
        <v>0.79400000000000004</v>
      </c>
    </row>
    <row r="643" spans="27:29">
      <c r="AA643" s="19">
        <v>98308</v>
      </c>
      <c r="AB643" s="20" t="s">
        <v>255</v>
      </c>
      <c r="AC643" s="16">
        <v>0.79400000000000004</v>
      </c>
    </row>
    <row r="644" spans="27:29">
      <c r="AA644" s="19">
        <v>98309</v>
      </c>
      <c r="AB644" s="20" t="s">
        <v>255</v>
      </c>
      <c r="AC644" s="16">
        <v>0.79400000000000004</v>
      </c>
    </row>
    <row r="645" spans="27:29">
      <c r="AA645" s="19">
        <v>92338</v>
      </c>
      <c r="AB645" s="20" t="s">
        <v>256</v>
      </c>
      <c r="AC645" s="16">
        <v>0.32900000000000001</v>
      </c>
    </row>
    <row r="646" spans="27:29">
      <c r="AA646" s="19">
        <v>99969</v>
      </c>
      <c r="AB646" s="20" t="s">
        <v>257</v>
      </c>
      <c r="AC646" s="16">
        <v>0.45400000000000001</v>
      </c>
    </row>
    <row r="647" spans="27:29">
      <c r="AA647" s="19">
        <v>99986</v>
      </c>
      <c r="AB647" s="20" t="s">
        <v>258</v>
      </c>
      <c r="AC647" s="16">
        <v>0.68400000000000005</v>
      </c>
    </row>
    <row r="648" spans="27:29">
      <c r="AA648" s="19">
        <v>99987</v>
      </c>
      <c r="AB648" s="20" t="s">
        <v>258</v>
      </c>
      <c r="AC648" s="16">
        <v>0.68400000000000005</v>
      </c>
    </row>
    <row r="649" spans="27:29">
      <c r="AA649" s="19">
        <v>95647</v>
      </c>
      <c r="AB649" s="20" t="s">
        <v>259</v>
      </c>
      <c r="AC649" s="16">
        <v>0.67500000000000004</v>
      </c>
    </row>
    <row r="650" spans="27:29">
      <c r="AA650" s="19">
        <v>95648</v>
      </c>
      <c r="AB650" s="20" t="s">
        <v>259</v>
      </c>
      <c r="AC650" s="16">
        <v>0.67500000000000004</v>
      </c>
    </row>
    <row r="651" spans="27:29">
      <c r="AA651" s="19">
        <v>10151</v>
      </c>
      <c r="AB651" s="20" t="s">
        <v>260</v>
      </c>
      <c r="AC651" s="16">
        <v>0.53600000000000003</v>
      </c>
    </row>
    <row r="652" spans="27:29">
      <c r="AA652" s="19">
        <v>11202</v>
      </c>
      <c r="AB652" s="20" t="s">
        <v>260</v>
      </c>
      <c r="AC652" s="16">
        <v>0.53600000000000003</v>
      </c>
    </row>
    <row r="653" spans="27:29">
      <c r="AA653" s="19">
        <v>11203</v>
      </c>
      <c r="AB653" s="20" t="s">
        <v>260</v>
      </c>
      <c r="AC653" s="16">
        <v>0.53600000000000003</v>
      </c>
    </row>
    <row r="654" spans="27:29">
      <c r="AA654" s="19">
        <v>11204</v>
      </c>
      <c r="AB654" s="20" t="s">
        <v>260</v>
      </c>
      <c r="AC654" s="16">
        <v>0.53600000000000003</v>
      </c>
    </row>
    <row r="655" spans="27:29">
      <c r="AA655" s="19">
        <v>11206</v>
      </c>
      <c r="AB655" s="20" t="s">
        <v>260</v>
      </c>
      <c r="AC655" s="16">
        <v>0.53600000000000003</v>
      </c>
    </row>
    <row r="656" spans="27:29">
      <c r="AA656" s="19">
        <v>11208</v>
      </c>
      <c r="AB656" s="20" t="s">
        <v>260</v>
      </c>
      <c r="AC656" s="16">
        <v>0.53600000000000003</v>
      </c>
    </row>
    <row r="657" spans="27:29">
      <c r="AA657" s="19">
        <v>11209</v>
      </c>
      <c r="AB657" s="20" t="s">
        <v>260</v>
      </c>
      <c r="AC657" s="16">
        <v>0.53600000000000003</v>
      </c>
    </row>
    <row r="658" spans="27:29">
      <c r="AA658" s="19">
        <v>11210</v>
      </c>
      <c r="AB658" s="20" t="s">
        <v>260</v>
      </c>
      <c r="AC658" s="16">
        <v>0.53600000000000003</v>
      </c>
    </row>
    <row r="659" spans="27:29">
      <c r="AA659" s="19">
        <v>11212</v>
      </c>
      <c r="AB659" s="20" t="s">
        <v>260</v>
      </c>
      <c r="AC659" s="16">
        <v>0.53600000000000003</v>
      </c>
    </row>
    <row r="660" spans="27:29">
      <c r="AA660" s="19">
        <v>11213</v>
      </c>
      <c r="AB660" s="20" t="s">
        <v>260</v>
      </c>
      <c r="AC660" s="16">
        <v>0.53600000000000003</v>
      </c>
    </row>
    <row r="661" spans="27:29">
      <c r="AA661" s="19">
        <v>11214</v>
      </c>
      <c r="AB661" s="20" t="s">
        <v>260</v>
      </c>
      <c r="AC661" s="16">
        <v>0.53600000000000003</v>
      </c>
    </row>
    <row r="662" spans="27:29">
      <c r="AA662" s="19">
        <v>15300</v>
      </c>
      <c r="AB662" s="20" t="s">
        <v>260</v>
      </c>
      <c r="AC662" s="16">
        <v>0.53600000000000003</v>
      </c>
    </row>
    <row r="663" spans="27:29">
      <c r="AA663" s="19">
        <v>16722</v>
      </c>
      <c r="AB663" s="20" t="s">
        <v>260</v>
      </c>
      <c r="AC663" s="16">
        <v>0.53600000000000003</v>
      </c>
    </row>
    <row r="664" spans="27:29">
      <c r="AA664" s="19">
        <v>16723</v>
      </c>
      <c r="AB664" s="20" t="s">
        <v>260</v>
      </c>
      <c r="AC664" s="16">
        <v>0.53600000000000003</v>
      </c>
    </row>
    <row r="665" spans="27:29">
      <c r="AA665" s="19">
        <v>18575</v>
      </c>
      <c r="AB665" s="20" t="s">
        <v>260</v>
      </c>
      <c r="AC665" s="16">
        <v>0.53600000000000003</v>
      </c>
    </row>
    <row r="666" spans="27:29">
      <c r="AA666" s="19">
        <v>49451</v>
      </c>
      <c r="AB666" s="20" t="s">
        <v>261</v>
      </c>
      <c r="AC666" s="16">
        <v>0.39500000000000002</v>
      </c>
    </row>
    <row r="667" spans="27:29">
      <c r="AA667" s="19">
        <v>49452</v>
      </c>
      <c r="AB667" s="20" t="s">
        <v>261</v>
      </c>
      <c r="AC667" s="16">
        <v>0.39500000000000002</v>
      </c>
    </row>
    <row r="668" spans="27:29">
      <c r="AA668" s="19">
        <v>68604</v>
      </c>
      <c r="AB668" s="20" t="s">
        <v>261</v>
      </c>
      <c r="AC668" s="16">
        <v>0.39500000000000002</v>
      </c>
    </row>
    <row r="669" spans="27:29">
      <c r="AA669" s="19">
        <v>68606</v>
      </c>
      <c r="AB669" s="20" t="s">
        <v>261</v>
      </c>
      <c r="AC669" s="16">
        <v>0.39500000000000002</v>
      </c>
    </row>
    <row r="670" spans="27:29">
      <c r="AA670" s="19">
        <v>68607</v>
      </c>
      <c r="AB670" s="20" t="s">
        <v>261</v>
      </c>
      <c r="AC670" s="16">
        <v>0.39500000000000002</v>
      </c>
    </row>
    <row r="671" spans="27:29">
      <c r="AA671" s="19">
        <v>99952</v>
      </c>
      <c r="AB671" s="20" t="s">
        <v>262</v>
      </c>
      <c r="AC671" s="16">
        <v>0.88300000000000001</v>
      </c>
    </row>
    <row r="672" spans="27:29">
      <c r="AA672" s="19">
        <v>99953</v>
      </c>
      <c r="AB672" s="20" t="s">
        <v>262</v>
      </c>
      <c r="AC672" s="16">
        <v>0.88300000000000001</v>
      </c>
    </row>
    <row r="673" spans="27:29">
      <c r="AA673" s="19">
        <v>99954</v>
      </c>
      <c r="AB673" s="20" t="s">
        <v>262</v>
      </c>
      <c r="AC673" s="16">
        <v>0.88300000000000001</v>
      </c>
    </row>
    <row r="674" spans="27:29">
      <c r="AA674" s="19">
        <v>99955</v>
      </c>
      <c r="AB674" s="20" t="s">
        <v>262</v>
      </c>
      <c r="AC674" s="16">
        <v>0.88300000000000001</v>
      </c>
    </row>
    <row r="675" spans="27:29">
      <c r="AA675" s="19">
        <v>12361</v>
      </c>
      <c r="AB675" s="20" t="s">
        <v>263</v>
      </c>
      <c r="AC675" s="16">
        <v>0.5</v>
      </c>
    </row>
    <row r="676" spans="27:29">
      <c r="AA676" s="19">
        <v>12362</v>
      </c>
      <c r="AB676" s="20" t="s">
        <v>263</v>
      </c>
      <c r="AC676" s="16">
        <v>0.5</v>
      </c>
    </row>
    <row r="677" spans="27:29">
      <c r="AA677" s="19">
        <v>12373</v>
      </c>
      <c r="AB677" s="20" t="s">
        <v>263</v>
      </c>
      <c r="AC677" s="16">
        <v>0.5</v>
      </c>
    </row>
    <row r="678" spans="27:29">
      <c r="AA678" s="19">
        <v>46112</v>
      </c>
      <c r="AB678" s="20" t="s">
        <v>263</v>
      </c>
      <c r="AC678" s="16">
        <v>0.5</v>
      </c>
    </row>
    <row r="679" spans="27:29">
      <c r="AA679" s="19">
        <v>52341</v>
      </c>
      <c r="AB679" s="20" t="s">
        <v>263</v>
      </c>
      <c r="AC679" s="16">
        <v>0.5</v>
      </c>
    </row>
    <row r="680" spans="27:29">
      <c r="AA680" s="19">
        <v>52342</v>
      </c>
      <c r="AB680" s="20" t="s">
        <v>263</v>
      </c>
      <c r="AC680" s="16">
        <v>0.5</v>
      </c>
    </row>
    <row r="681" spans="27:29">
      <c r="AA681" s="19">
        <v>52343</v>
      </c>
      <c r="AB681" s="20" t="s">
        <v>263</v>
      </c>
      <c r="AC681" s="16">
        <v>0.5</v>
      </c>
    </row>
    <row r="682" spans="27:29">
      <c r="AA682" s="19">
        <v>97002</v>
      </c>
      <c r="AB682" s="20" t="s">
        <v>263</v>
      </c>
      <c r="AC682" s="16">
        <v>0.5</v>
      </c>
    </row>
    <row r="683" spans="27:29">
      <c r="AA683" s="19">
        <v>45190</v>
      </c>
      <c r="AB683" s="20" t="s">
        <v>264</v>
      </c>
      <c r="AC683" s="16">
        <v>0.85499999999999998</v>
      </c>
    </row>
    <row r="684" spans="27:29">
      <c r="AA684" s="19">
        <v>45191</v>
      </c>
      <c r="AB684" s="20" t="s">
        <v>264</v>
      </c>
      <c r="AC684" s="16">
        <v>0.85499999999999998</v>
      </c>
    </row>
    <row r="685" spans="27:29">
      <c r="AA685" s="19">
        <v>45192</v>
      </c>
      <c r="AB685" s="20" t="s">
        <v>264</v>
      </c>
      <c r="AC685" s="16">
        <v>0.85499999999999998</v>
      </c>
    </row>
    <row r="686" spans="27:29">
      <c r="AA686" s="19">
        <v>45193</v>
      </c>
      <c r="AB686" s="20" t="s">
        <v>264</v>
      </c>
      <c r="AC686" s="16">
        <v>0.85499999999999998</v>
      </c>
    </row>
    <row r="687" spans="27:29">
      <c r="AA687" s="19">
        <v>68001</v>
      </c>
      <c r="AB687" s="20" t="s">
        <v>265</v>
      </c>
      <c r="AC687" s="16">
        <v>0.88100000000000001</v>
      </c>
    </row>
    <row r="688" spans="27:29">
      <c r="AA688" s="19">
        <v>99793</v>
      </c>
      <c r="AB688" s="20" t="s">
        <v>265</v>
      </c>
      <c r="AC688" s="16">
        <v>0.88100000000000001</v>
      </c>
    </row>
    <row r="689" spans="27:29">
      <c r="AA689" s="19">
        <v>67513</v>
      </c>
      <c r="AB689" s="20" t="s">
        <v>266</v>
      </c>
      <c r="AC689" s="16">
        <v>0.41799999999999998</v>
      </c>
    </row>
  </sheetData>
  <phoneticPr fontId="3" type="noConversion"/>
  <conditionalFormatting sqref="AJ4 AJ8">
    <cfRule type="expression" dxfId="200" priority="78" stopIfTrue="1">
      <formula>AJ7="Units"</formula>
    </cfRule>
    <cfRule type="expression" dxfId="199" priority="79" stopIfTrue="1">
      <formula>AJ7="Pupils"</formula>
    </cfRule>
    <cfRule type="expression" dxfId="198" priority="80" stopIfTrue="1">
      <formula>AJ7="Dwellings"</formula>
    </cfRule>
    <cfRule type="expression" dxfId="197" priority="81" stopIfTrue="1">
      <formula>AJ7="Shows"</formula>
    </cfRule>
    <cfRule type="expression" dxfId="196" priority="82" stopIfTrue="1">
      <formula>AJ7="Kid Rides"</formula>
    </cfRule>
    <cfRule type="expression" dxfId="195" priority="83" stopIfTrue="1">
      <formula>AJ7="Adult Rides"</formula>
    </cfRule>
    <cfRule type="expression" dxfId="194" priority="84" stopIfTrue="1">
      <formula>AJ7="Acres"</formula>
    </cfRule>
    <cfRule type="expression" dxfId="193" priority="85" stopIfTrue="1">
      <formula>AJ7="Square Feet"</formula>
    </cfRule>
    <cfRule type="expression" dxfId="192" priority="86" stopIfTrue="1">
      <formula>AJ7="Gallons"</formula>
    </cfRule>
    <cfRule type="expression" dxfId="191" priority="87" stopIfTrue="1">
      <formula>AJ7="Admissions"</formula>
    </cfRule>
    <cfRule type="expression" dxfId="190" priority="88" stopIfTrue="1">
      <formula>AJ7="Total Cost"</formula>
    </cfRule>
    <cfRule type="expression" dxfId="189" priority="89" stopIfTrue="1">
      <formula>AJ7="Sub Costs"</formula>
    </cfRule>
    <cfRule type="expression" dxfId="188" priority="90" stopIfTrue="1">
      <formula>AJ7="Payroll"</formula>
    </cfRule>
    <cfRule type="expression" dxfId="187" priority="91" stopIfTrue="1">
      <formula>AJ7="Gross Sales"</formula>
    </cfRule>
  </conditionalFormatting>
  <conditionalFormatting sqref="AJ9">
    <cfRule type="expression" dxfId="186" priority="35" stopIfTrue="1">
      <formula>AJ23="Units"</formula>
    </cfRule>
    <cfRule type="expression" dxfId="185" priority="36" stopIfTrue="1">
      <formula>AJ23="Pupils"</formula>
    </cfRule>
    <cfRule type="expression" dxfId="184" priority="37" stopIfTrue="1">
      <formula>AJ23="Dwellings"</formula>
    </cfRule>
    <cfRule type="expression" dxfId="183" priority="38" stopIfTrue="1">
      <formula>AJ23="Shows"</formula>
    </cfRule>
    <cfRule type="expression" dxfId="182" priority="39" stopIfTrue="1">
      <formula>AJ23="Kid Rides"</formula>
    </cfRule>
    <cfRule type="expression" dxfId="181" priority="40" stopIfTrue="1">
      <formula>AJ23="Adult Rides"</formula>
    </cfRule>
    <cfRule type="expression" dxfId="180" priority="41" stopIfTrue="1">
      <formula>AJ23="Acres"</formula>
    </cfRule>
    <cfRule type="expression" dxfId="179" priority="42" stopIfTrue="1">
      <formula>AJ23="Square Feet"</formula>
    </cfRule>
    <cfRule type="expression" dxfId="178" priority="43" stopIfTrue="1">
      <formula>AJ23="Gallons"</formula>
    </cfRule>
    <cfRule type="expression" dxfId="177" priority="44" stopIfTrue="1">
      <formula>AJ23="Admissions"</formula>
    </cfRule>
    <cfRule type="expression" dxfId="176" priority="45" stopIfTrue="1">
      <formula>AJ23="Total Cost"</formula>
    </cfRule>
    <cfRule type="expression" dxfId="175" priority="46" stopIfTrue="1">
      <formula>AJ23="Sub Costs"</formula>
    </cfRule>
    <cfRule type="expression" dxfId="174" priority="47" stopIfTrue="1">
      <formula>AJ23="Payroll"</formula>
    </cfRule>
    <cfRule type="expression" dxfId="173" priority="48" stopIfTrue="1">
      <formula>AJ23="Gross Sales"</formula>
    </cfRule>
  </conditionalFormatting>
  <conditionalFormatting sqref="AJ9">
    <cfRule type="expression" dxfId="172" priority="21" stopIfTrue="1">
      <formula>AJ23="Units"</formula>
    </cfRule>
    <cfRule type="expression" dxfId="171" priority="22" stopIfTrue="1">
      <formula>AJ23="Pupils"</formula>
    </cfRule>
    <cfRule type="expression" dxfId="170" priority="23" stopIfTrue="1">
      <formula>AJ23="Dwellings"</formula>
    </cfRule>
    <cfRule type="expression" dxfId="169" priority="24" stopIfTrue="1">
      <formula>AJ23="Shows"</formula>
    </cfRule>
    <cfRule type="expression" dxfId="168" priority="25" stopIfTrue="1">
      <formula>AJ23="Kid Rides"</formula>
    </cfRule>
    <cfRule type="expression" dxfId="167" priority="26" stopIfTrue="1">
      <formula>AJ23="Adult Rides"</formula>
    </cfRule>
    <cfRule type="expression" dxfId="166" priority="27" stopIfTrue="1">
      <formula>AJ23="Acres"</formula>
    </cfRule>
    <cfRule type="expression" dxfId="165" priority="28" stopIfTrue="1">
      <formula>AJ23="Square Feet"</formula>
    </cfRule>
    <cfRule type="expression" dxfId="164" priority="29" stopIfTrue="1">
      <formula>AJ23="Gallons"</formula>
    </cfRule>
    <cfRule type="expression" dxfId="163" priority="30" stopIfTrue="1">
      <formula>AJ23="Admissions"</formula>
    </cfRule>
    <cfRule type="expression" dxfId="162" priority="31" stopIfTrue="1">
      <formula>AJ23="Total Cost"</formula>
    </cfRule>
    <cfRule type="expression" dxfId="161" priority="32" stopIfTrue="1">
      <formula>AJ23="Sub Costs"</formula>
    </cfRule>
    <cfRule type="expression" dxfId="160" priority="33" stopIfTrue="1">
      <formula>AJ23="Payroll"</formula>
    </cfRule>
    <cfRule type="expression" dxfId="159" priority="34" stopIfTrue="1">
      <formula>AJ23="Gross Sales"</formula>
    </cfRule>
  </conditionalFormatting>
  <conditionalFormatting sqref="AJ17">
    <cfRule type="expression" dxfId="158" priority="106" stopIfTrue="1">
      <formula>AJ8="Units"</formula>
    </cfRule>
    <cfRule type="expression" dxfId="157" priority="107" stopIfTrue="1">
      <formula>AJ8="Pupils"</formula>
    </cfRule>
    <cfRule type="expression" dxfId="156" priority="108" stopIfTrue="1">
      <formula>AJ8="Dwellings"</formula>
    </cfRule>
    <cfRule type="expression" dxfId="155" priority="109" stopIfTrue="1">
      <formula>AJ8="Shows"</formula>
    </cfRule>
    <cfRule type="expression" dxfId="154" priority="110" stopIfTrue="1">
      <formula>AJ8="Kid Rides"</formula>
    </cfRule>
    <cfRule type="expression" dxfId="153" priority="111" stopIfTrue="1">
      <formula>AJ8="Adult Rides"</formula>
    </cfRule>
    <cfRule type="expression" dxfId="152" priority="112" stopIfTrue="1">
      <formula>AJ8="Acres"</formula>
    </cfRule>
    <cfRule type="expression" dxfId="151" priority="113" stopIfTrue="1">
      <formula>AJ8="Square Feet"</formula>
    </cfRule>
    <cfRule type="expression" dxfId="150" priority="114" stopIfTrue="1">
      <formula>AJ8="Gallons"</formula>
    </cfRule>
    <cfRule type="expression" dxfId="149" priority="115" stopIfTrue="1">
      <formula>AJ8="Admissions"</formula>
    </cfRule>
    <cfRule type="expression" dxfId="148" priority="116" stopIfTrue="1">
      <formula>AJ8="Total Cost"</formula>
    </cfRule>
    <cfRule type="expression" dxfId="147" priority="117" stopIfTrue="1">
      <formula>AJ8="Sub Costs"</formula>
    </cfRule>
    <cfRule type="expression" dxfId="146" priority="118" stopIfTrue="1">
      <formula>AJ8="Payroll"</formula>
    </cfRule>
    <cfRule type="expression" dxfId="145" priority="119" stopIfTrue="1">
      <formula>AJ8="Gross Sales"</formula>
    </cfRule>
  </conditionalFormatting>
  <conditionalFormatting sqref="A168">
    <cfRule type="expression" dxfId="144" priority="20" stopIfTrue="1">
      <formula>MOD(ROW(),2)</formula>
    </cfRule>
  </conditionalFormatting>
  <conditionalFormatting sqref="A168">
    <cfRule type="expression" dxfId="143" priority="18" stopIfTrue="1">
      <formula>BQ160="Only Affects P/CO"</formula>
    </cfRule>
    <cfRule type="expression" dxfId="142" priority="19" stopIfTrue="1">
      <formula>BQ160="Problem"</formula>
    </cfRule>
  </conditionalFormatting>
  <pageMargins left="0.75" right="0.75" top="1" bottom="1" header="0.5" footer="0.5"/>
  <pageSetup orientation="portrait" horizontalDpi="1200"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X1152"/>
  <sheetViews>
    <sheetView showGridLines="0" zoomScale="80" zoomScaleNormal="80" workbookViewId="0">
      <pane xSplit="1" ySplit="2" topLeftCell="B3" activePane="bottomRight" state="frozen"/>
      <selection activeCell="I4" sqref="I4:Q4"/>
      <selection pane="topRight" activeCell="I4" sqref="I4:Q4"/>
      <selection pane="bottomLeft" activeCell="I4" sqref="I4:Q4"/>
      <selection pane="bottomRight" activeCell="A2" sqref="A2"/>
    </sheetView>
  </sheetViews>
  <sheetFormatPr defaultRowHeight="12.75"/>
  <cols>
    <col min="1" max="1" width="17" style="15" bestFit="1" customWidth="1"/>
    <col min="2" max="2" width="34.28515625" style="15" bestFit="1" customWidth="1"/>
    <col min="3" max="3" width="21.28515625" style="15" bestFit="1" customWidth="1"/>
    <col min="4" max="4" width="63.42578125" style="73" customWidth="1"/>
    <col min="5" max="5" width="82.7109375" style="15" customWidth="1"/>
    <col min="6" max="6" width="15.85546875" style="15" bestFit="1" customWidth="1"/>
    <col min="7" max="7" width="14.5703125" style="15" bestFit="1" customWidth="1"/>
    <col min="8" max="8" width="11.5703125" style="15" bestFit="1" customWidth="1"/>
    <col min="9" max="9" width="20" style="15" bestFit="1" customWidth="1"/>
    <col min="10" max="10" width="22.7109375" style="15" bestFit="1" customWidth="1"/>
    <col min="11" max="11" width="11.5703125" style="15" bestFit="1" customWidth="1"/>
    <col min="12" max="12" width="103.85546875" style="15" bestFit="1" customWidth="1"/>
    <col min="13" max="13" width="101" style="15" customWidth="1"/>
    <col min="14" max="14" width="91.5703125" style="15" bestFit="1" customWidth="1"/>
    <col min="15" max="15" width="73.140625" style="15" bestFit="1" customWidth="1"/>
    <col min="16" max="16" width="130.5703125" style="15" bestFit="1" customWidth="1"/>
    <col min="17" max="17" width="119.140625" style="15" bestFit="1" customWidth="1"/>
    <col min="18" max="18" width="108.42578125" style="15" bestFit="1" customWidth="1"/>
    <col min="19" max="19" width="95.7109375" style="15" bestFit="1" customWidth="1"/>
    <col min="20" max="20" width="111.42578125" style="15" customWidth="1"/>
    <col min="21" max="21" width="116.140625" style="15" customWidth="1"/>
    <col min="22" max="22" width="90.7109375" style="15" bestFit="1" customWidth="1"/>
    <col min="23" max="23" width="16.7109375" style="15" bestFit="1" customWidth="1"/>
    <col min="24" max="24" width="21.7109375" style="15" bestFit="1" customWidth="1"/>
    <col min="25" max="25" width="30.28515625" style="15" customWidth="1"/>
    <col min="26" max="26" width="14.85546875" style="15" customWidth="1"/>
    <col min="27" max="27" width="13.42578125" style="15" customWidth="1"/>
    <col min="28" max="28" width="20.28515625" style="15" customWidth="1"/>
    <col min="29" max="30" width="32.28515625" style="15" customWidth="1"/>
    <col min="31" max="31" width="102.85546875" style="15" customWidth="1"/>
    <col min="32" max="32" width="11.140625" style="15" customWidth="1"/>
    <col min="33" max="33" width="20.42578125" style="15" customWidth="1"/>
    <col min="34" max="34" width="22.7109375" style="15" bestFit="1" customWidth="1"/>
    <col min="35" max="44" width="13.42578125" style="15" customWidth="1"/>
    <col min="45" max="45" width="114.7109375" style="15" customWidth="1"/>
    <col min="46" max="46" width="27.85546875" style="15" bestFit="1" customWidth="1"/>
    <col min="47" max="50" width="11.140625" style="15" customWidth="1"/>
    <col min="51" max="16384" width="9.140625" style="15"/>
  </cols>
  <sheetData>
    <row r="1" spans="1:50" s="79" customFormat="1">
      <c r="A1" s="79">
        <v>1</v>
      </c>
      <c r="B1" s="79">
        <v>3</v>
      </c>
      <c r="D1" s="73"/>
    </row>
    <row r="2" spans="1:50" ht="15">
      <c r="A2" s="75" t="s">
        <v>453</v>
      </c>
      <c r="B2" s="75" t="s">
        <v>605</v>
      </c>
      <c r="C2" s="75" t="s">
        <v>2011</v>
      </c>
      <c r="D2" s="314" t="s">
        <v>2019</v>
      </c>
      <c r="E2" s="75" t="s">
        <v>2020</v>
      </c>
      <c r="F2" s="75"/>
      <c r="G2" s="75"/>
      <c r="H2" s="75"/>
      <c r="I2" s="75"/>
      <c r="J2" s="75"/>
      <c r="K2" s="75"/>
      <c r="L2" s="75"/>
      <c r="M2" s="75"/>
      <c r="N2" s="75"/>
      <c r="O2" s="75"/>
      <c r="P2" s="75"/>
      <c r="Q2" s="75"/>
      <c r="R2" s="75"/>
      <c r="S2" s="75"/>
      <c r="T2" s="75"/>
      <c r="U2" s="75"/>
      <c r="V2" s="75"/>
      <c r="W2" s="75"/>
      <c r="X2" s="75"/>
      <c r="Y2" s="75"/>
      <c r="Z2" s="75"/>
      <c r="AA2" s="75"/>
      <c r="AB2" s="75"/>
      <c r="AC2" s="75"/>
      <c r="AD2" s="75"/>
      <c r="AE2" s="75"/>
      <c r="AF2" s="75"/>
      <c r="AG2" s="75"/>
      <c r="AH2" s="75"/>
      <c r="AI2" s="75"/>
      <c r="AJ2" s="75"/>
      <c r="AK2" s="75"/>
      <c r="AL2" s="75"/>
      <c r="AM2" s="75"/>
      <c r="AN2" s="75"/>
      <c r="AO2" s="75"/>
      <c r="AP2" s="75"/>
      <c r="AQ2" s="75"/>
      <c r="AR2" s="75"/>
      <c r="AS2" s="75"/>
      <c r="AT2" s="75"/>
      <c r="AU2" s="75"/>
      <c r="AV2" s="75"/>
      <c r="AW2" s="75"/>
      <c r="AX2" s="75"/>
    </row>
    <row r="3" spans="1:50" ht="15">
      <c r="A3" s="74" t="s">
        <v>2754</v>
      </c>
      <c r="B3" s="251" t="s">
        <v>4479</v>
      </c>
      <c r="C3" s="223">
        <v>250</v>
      </c>
      <c r="D3" t="s">
        <v>2168</v>
      </c>
      <c r="E3" s="237" t="s">
        <v>3174</v>
      </c>
      <c r="F3" s="81"/>
      <c r="I3" s="81"/>
      <c r="J3" s="83"/>
      <c r="W3" s="81"/>
      <c r="Y3" s="87"/>
      <c r="AA3" s="81"/>
      <c r="AC3" s="81"/>
      <c r="AD3" s="81"/>
      <c r="AF3" s="81"/>
      <c r="AG3" s="80"/>
    </row>
    <row r="4" spans="1:50" ht="15">
      <c r="A4" s="74" t="s">
        <v>4475</v>
      </c>
      <c r="B4" s="251" t="s">
        <v>4476</v>
      </c>
      <c r="C4" s="223">
        <v>500</v>
      </c>
      <c r="D4" t="s">
        <v>2169</v>
      </c>
      <c r="E4" s="237" t="s">
        <v>3175</v>
      </c>
      <c r="F4" s="81"/>
      <c r="I4" s="81"/>
      <c r="J4" s="83"/>
      <c r="W4" s="81"/>
      <c r="Y4" s="87"/>
      <c r="AA4" s="81"/>
      <c r="AC4" s="81"/>
      <c r="AD4" s="81"/>
      <c r="AF4" s="81"/>
      <c r="AG4" s="80"/>
    </row>
    <row r="5" spans="1:50" ht="15">
      <c r="A5" s="74" t="s">
        <v>4330</v>
      </c>
      <c r="B5" s="203" t="s">
        <v>4331</v>
      </c>
      <c r="C5" s="223">
        <v>750</v>
      </c>
      <c r="D5" t="s">
        <v>2170</v>
      </c>
      <c r="E5" s="237" t="s">
        <v>3176</v>
      </c>
      <c r="F5" s="81"/>
      <c r="I5" s="81"/>
      <c r="J5" s="83"/>
      <c r="W5" s="81"/>
      <c r="Y5" s="87"/>
      <c r="AA5" s="81"/>
      <c r="AC5" s="81"/>
      <c r="AD5" s="81"/>
      <c r="AF5" s="81"/>
      <c r="AG5" s="80"/>
    </row>
    <row r="6" spans="1:50" ht="15">
      <c r="A6" s="74" t="s">
        <v>4457</v>
      </c>
      <c r="B6" s="203" t="s">
        <v>4458</v>
      </c>
      <c r="C6" s="223">
        <v>1000</v>
      </c>
      <c r="D6" t="s">
        <v>2171</v>
      </c>
      <c r="E6" s="237" t="s">
        <v>3177</v>
      </c>
      <c r="F6" s="81"/>
      <c r="I6" s="81"/>
      <c r="J6" s="83"/>
      <c r="W6" s="81"/>
      <c r="Y6" s="87"/>
      <c r="AA6" s="81"/>
      <c r="AC6" s="81"/>
      <c r="AD6" s="81"/>
      <c r="AF6" s="81"/>
      <c r="AG6" s="80"/>
    </row>
    <row r="7" spans="1:50" ht="15">
      <c r="A7" s="80" t="s">
        <v>2075</v>
      </c>
      <c r="B7" s="203" t="s">
        <v>2076</v>
      </c>
      <c r="C7" s="223">
        <v>1500</v>
      </c>
      <c r="D7" t="s">
        <v>2172</v>
      </c>
      <c r="E7" s="237" t="s">
        <v>3178</v>
      </c>
      <c r="F7" s="81"/>
      <c r="I7" s="81"/>
      <c r="J7" s="83"/>
      <c r="W7" s="81"/>
      <c r="Y7" s="87"/>
      <c r="AA7" s="81"/>
      <c r="AC7" s="81"/>
      <c r="AD7" s="81"/>
      <c r="AF7" s="81"/>
      <c r="AG7" s="80"/>
    </row>
    <row r="8" spans="1:50" ht="15">
      <c r="A8" s="80" t="s">
        <v>4326</v>
      </c>
      <c r="B8" s="203" t="s">
        <v>4327</v>
      </c>
      <c r="C8" s="223">
        <v>2000</v>
      </c>
      <c r="D8" t="s">
        <v>2173</v>
      </c>
      <c r="E8" s="237" t="s">
        <v>3179</v>
      </c>
      <c r="F8" s="81"/>
      <c r="I8" s="81"/>
      <c r="J8" s="83"/>
      <c r="W8" s="81"/>
      <c r="Y8" s="87"/>
      <c r="AA8" s="81"/>
      <c r="AC8" s="81"/>
      <c r="AD8" s="81"/>
      <c r="AF8" s="81"/>
      <c r="AG8" s="80"/>
    </row>
    <row r="9" spans="1:50" ht="15">
      <c r="A9" s="74" t="s">
        <v>4477</v>
      </c>
      <c r="B9" s="203" t="s">
        <v>4478</v>
      </c>
      <c r="C9" s="223">
        <v>2500</v>
      </c>
      <c r="D9" t="s">
        <v>2174</v>
      </c>
      <c r="E9" s="237" t="s">
        <v>3180</v>
      </c>
      <c r="F9" s="81"/>
      <c r="I9" s="81"/>
      <c r="J9" s="83"/>
      <c r="W9" s="81"/>
      <c r="Y9" s="87"/>
      <c r="AA9" s="81"/>
      <c r="AC9" s="81"/>
      <c r="AD9" s="81"/>
      <c r="AF9" s="81"/>
      <c r="AG9" s="80"/>
    </row>
    <row r="10" spans="1:50" ht="15">
      <c r="A10" s="80" t="s">
        <v>4332</v>
      </c>
      <c r="B10" s="203" t="s">
        <v>4333</v>
      </c>
      <c r="C10" s="223">
        <v>3000</v>
      </c>
      <c r="D10" t="s">
        <v>2175</v>
      </c>
      <c r="E10" s="237" t="s">
        <v>3181</v>
      </c>
      <c r="F10" s="81"/>
      <c r="I10" s="81"/>
      <c r="J10" s="83"/>
      <c r="W10" s="81"/>
      <c r="Y10" s="87"/>
      <c r="AA10" s="81"/>
      <c r="AC10" s="81"/>
      <c r="AD10" s="81"/>
      <c r="AF10" s="81"/>
      <c r="AG10" s="80"/>
    </row>
    <row r="11" spans="1:50" ht="15">
      <c r="A11" s="80" t="s">
        <v>4324</v>
      </c>
      <c r="B11" s="203" t="s">
        <v>4325</v>
      </c>
      <c r="C11" s="223">
        <v>4000</v>
      </c>
      <c r="D11" t="s">
        <v>2832</v>
      </c>
      <c r="E11" s="237" t="s">
        <v>3182</v>
      </c>
      <c r="F11" s="81"/>
      <c r="I11" s="81"/>
      <c r="J11" s="83"/>
      <c r="W11" s="81"/>
      <c r="Y11" s="87"/>
      <c r="AA11" s="81"/>
      <c r="AC11" s="81"/>
      <c r="AD11" s="81"/>
      <c r="AF11" s="81"/>
      <c r="AG11" s="80"/>
    </row>
    <row r="12" spans="1:50" ht="15">
      <c r="A12" s="80" t="s">
        <v>4328</v>
      </c>
      <c r="B12" s="203" t="s">
        <v>4329</v>
      </c>
      <c r="C12" s="223">
        <v>5000</v>
      </c>
      <c r="D12" t="s">
        <v>2176</v>
      </c>
      <c r="E12" s="237" t="s">
        <v>3183</v>
      </c>
      <c r="F12" s="81"/>
      <c r="I12" s="81"/>
      <c r="J12" s="83"/>
      <c r="W12" s="81"/>
      <c r="Y12" s="87"/>
      <c r="AA12" s="81"/>
      <c r="AC12" s="81"/>
      <c r="AD12" s="81"/>
      <c r="AF12" s="81"/>
      <c r="AG12" s="80"/>
    </row>
    <row r="13" spans="1:50" ht="15">
      <c r="A13" s="80" t="s">
        <v>1984</v>
      </c>
      <c r="B13" s="203" t="s">
        <v>1983</v>
      </c>
      <c r="C13" s="223">
        <v>7500</v>
      </c>
      <c r="D13" t="s">
        <v>2770</v>
      </c>
      <c r="E13" s="237" t="s">
        <v>3184</v>
      </c>
      <c r="F13" s="81"/>
      <c r="I13" s="81"/>
      <c r="J13" s="83"/>
      <c r="W13" s="81"/>
      <c r="Y13" s="87"/>
      <c r="AA13" s="81"/>
      <c r="AC13" s="81"/>
      <c r="AD13" s="81"/>
      <c r="AF13" s="81"/>
      <c r="AG13" s="80"/>
    </row>
    <row r="14" spans="1:50" ht="15">
      <c r="A14" s="80" t="s">
        <v>4473</v>
      </c>
      <c r="B14" s="203" t="s">
        <v>4474</v>
      </c>
      <c r="C14" s="223">
        <v>10000</v>
      </c>
      <c r="D14" t="s">
        <v>2177</v>
      </c>
      <c r="E14" s="237" t="s">
        <v>3185</v>
      </c>
      <c r="F14" s="81"/>
      <c r="I14" s="81"/>
      <c r="J14" s="83"/>
      <c r="K14" s="82"/>
      <c r="W14" s="81"/>
      <c r="Y14" s="87"/>
      <c r="AA14" s="81"/>
      <c r="AC14" s="81"/>
      <c r="AD14" s="81"/>
      <c r="AF14" s="81"/>
      <c r="AG14" s="80"/>
    </row>
    <row r="15" spans="1:50" ht="15">
      <c r="A15" s="80" t="s">
        <v>2535</v>
      </c>
      <c r="B15" s="249" t="s">
        <v>2536</v>
      </c>
      <c r="C15" s="223">
        <v>12500</v>
      </c>
      <c r="D15" t="s">
        <v>2178</v>
      </c>
      <c r="E15" s="237" t="s">
        <v>3186</v>
      </c>
      <c r="F15" s="81"/>
      <c r="I15" s="81"/>
      <c r="J15" s="83"/>
      <c r="K15" s="82"/>
      <c r="W15" s="81"/>
      <c r="Y15" s="87"/>
      <c r="AA15" s="81"/>
      <c r="AC15" s="81"/>
      <c r="AD15" s="81"/>
      <c r="AF15" s="81"/>
      <c r="AG15" s="80"/>
    </row>
    <row r="16" spans="1:50" ht="15">
      <c r="A16" s="80" t="s">
        <v>2537</v>
      </c>
      <c r="B16" s="249" t="s">
        <v>2538</v>
      </c>
      <c r="C16" s="223">
        <v>15000</v>
      </c>
      <c r="D16" t="s">
        <v>2833</v>
      </c>
      <c r="E16" s="237" t="s">
        <v>3187</v>
      </c>
      <c r="F16" s="81"/>
      <c r="H16" s="198"/>
      <c r="I16" s="81"/>
      <c r="J16" s="83"/>
      <c r="K16" s="82"/>
      <c r="W16" s="81"/>
      <c r="Y16" s="87"/>
      <c r="AA16" s="81"/>
      <c r="AC16" s="81"/>
      <c r="AD16" s="81"/>
      <c r="AF16" s="81"/>
      <c r="AG16" s="80"/>
    </row>
    <row r="17" spans="1:33" ht="15">
      <c r="A17" s="80" t="s">
        <v>2752</v>
      </c>
      <c r="B17" s="249" t="s">
        <v>2753</v>
      </c>
      <c r="C17" s="223">
        <v>17500</v>
      </c>
      <c r="D17" t="s">
        <v>2771</v>
      </c>
      <c r="E17" s="237" t="s">
        <v>3188</v>
      </c>
      <c r="F17" s="81"/>
      <c r="I17" s="81"/>
      <c r="J17" s="83"/>
      <c r="W17" s="81"/>
      <c r="Y17" s="87"/>
      <c r="AA17" s="81"/>
      <c r="AC17" s="81"/>
      <c r="AD17" s="81"/>
      <c r="AF17" s="81"/>
      <c r="AG17" s="80"/>
    </row>
    <row r="18" spans="1:33" ht="15">
      <c r="A18" s="80" t="s">
        <v>2073</v>
      </c>
      <c r="B18" s="203" t="s">
        <v>2074</v>
      </c>
      <c r="C18" s="223">
        <v>20000</v>
      </c>
      <c r="D18" t="s">
        <v>2179</v>
      </c>
      <c r="E18" s="237" t="s">
        <v>3189</v>
      </c>
      <c r="F18" s="81"/>
      <c r="I18" s="81"/>
      <c r="J18" s="83"/>
      <c r="W18" s="81"/>
      <c r="Y18" s="87"/>
      <c r="AA18" s="81"/>
      <c r="AC18" s="81"/>
      <c r="AD18" s="81"/>
      <c r="AF18" s="81"/>
      <c r="AG18" s="80"/>
    </row>
    <row r="19" spans="1:33" ht="15">
      <c r="A19" s="80" t="s">
        <v>4471</v>
      </c>
      <c r="B19" s="203" t="s">
        <v>4472</v>
      </c>
      <c r="C19" s="223">
        <v>25000</v>
      </c>
      <c r="D19" t="s">
        <v>2772</v>
      </c>
      <c r="E19" s="237" t="s">
        <v>3190</v>
      </c>
      <c r="F19" s="81"/>
      <c r="I19" s="81"/>
      <c r="J19" s="83"/>
      <c r="K19" s="82"/>
      <c r="W19" s="81"/>
      <c r="Y19" s="87"/>
      <c r="AA19" s="81"/>
      <c r="AF19" s="81"/>
      <c r="AG19" s="80"/>
    </row>
    <row r="20" spans="1:33" ht="15">
      <c r="A20" s="80"/>
      <c r="B20" s="203"/>
      <c r="C20" s="223">
        <v>30000</v>
      </c>
      <c r="D20" t="s">
        <v>2773</v>
      </c>
      <c r="E20" s="237" t="s">
        <v>3191</v>
      </c>
      <c r="F20" s="81"/>
      <c r="I20" s="81"/>
      <c r="J20" s="83"/>
      <c r="W20" s="81"/>
      <c r="Y20" s="87"/>
      <c r="AA20" s="81"/>
      <c r="AC20" s="81"/>
      <c r="AD20" s="81"/>
      <c r="AF20" s="81"/>
      <c r="AG20" s="80"/>
    </row>
    <row r="21" spans="1:33" ht="15">
      <c r="A21" s="80"/>
      <c r="B21" s="203"/>
      <c r="C21" s="223">
        <v>35000</v>
      </c>
      <c r="D21" t="s">
        <v>2180</v>
      </c>
      <c r="E21" s="237" t="s">
        <v>3192</v>
      </c>
      <c r="F21" s="81"/>
      <c r="I21" s="81"/>
      <c r="J21" s="83"/>
      <c r="K21" s="82"/>
      <c r="W21" s="81"/>
      <c r="Y21" s="87"/>
      <c r="AA21" s="81"/>
      <c r="AC21" s="81"/>
      <c r="AD21" s="81"/>
      <c r="AF21" s="81"/>
      <c r="AG21" s="80"/>
    </row>
    <row r="22" spans="1:33" ht="15">
      <c r="A22" s="80"/>
      <c r="B22" s="203"/>
      <c r="C22" s="223">
        <v>40000</v>
      </c>
      <c r="D22" t="s">
        <v>2181</v>
      </c>
      <c r="E22" s="237" t="s">
        <v>3193</v>
      </c>
      <c r="F22" s="81"/>
      <c r="I22" s="81"/>
      <c r="J22" s="83"/>
      <c r="W22" s="81"/>
      <c r="Y22" s="87"/>
      <c r="AA22" s="81"/>
      <c r="AC22" s="81"/>
      <c r="AD22" s="81"/>
      <c r="AF22" s="81"/>
      <c r="AG22" s="80"/>
    </row>
    <row r="23" spans="1:33" ht="15">
      <c r="A23" s="80"/>
      <c r="B23" s="72"/>
      <c r="C23" s="223">
        <v>45000</v>
      </c>
      <c r="D23" t="s">
        <v>2182</v>
      </c>
      <c r="E23" s="237" t="s">
        <v>3194</v>
      </c>
      <c r="F23" s="81"/>
      <c r="I23" s="81"/>
      <c r="J23" s="83"/>
      <c r="W23" s="81"/>
      <c r="Y23" s="87"/>
      <c r="AA23" s="81"/>
      <c r="AC23" s="81"/>
      <c r="AD23" s="81"/>
      <c r="AF23" s="81"/>
      <c r="AG23" s="80"/>
    </row>
    <row r="24" spans="1:33" ht="15">
      <c r="A24" s="80"/>
      <c r="B24" s="72"/>
      <c r="C24" s="223">
        <v>50000</v>
      </c>
      <c r="D24" t="s">
        <v>2183</v>
      </c>
      <c r="E24" s="237" t="s">
        <v>3195</v>
      </c>
      <c r="F24" s="81"/>
      <c r="H24" s="198"/>
      <c r="I24" s="81"/>
      <c r="J24" s="83"/>
      <c r="K24" s="82"/>
      <c r="W24" s="81"/>
      <c r="Y24" s="87"/>
      <c r="AA24" s="81"/>
      <c r="AF24" s="81"/>
      <c r="AG24" s="80"/>
    </row>
    <row r="25" spans="1:33" ht="15">
      <c r="A25" s="80"/>
      <c r="B25" s="72"/>
      <c r="C25" s="223">
        <v>75000</v>
      </c>
      <c r="D25" t="s">
        <v>2184</v>
      </c>
      <c r="E25" s="237" t="s">
        <v>3196</v>
      </c>
      <c r="F25" s="81"/>
      <c r="I25" s="81"/>
      <c r="J25" s="83"/>
      <c r="K25" s="82"/>
      <c r="W25" s="81"/>
      <c r="Y25" s="87"/>
      <c r="AA25" s="81"/>
      <c r="AC25" s="81"/>
      <c r="AD25" s="81"/>
      <c r="AF25" s="81"/>
      <c r="AG25" s="80"/>
    </row>
    <row r="26" spans="1:33" ht="15">
      <c r="A26" s="80"/>
      <c r="B26" s="72"/>
      <c r="C26" s="223">
        <v>100000</v>
      </c>
      <c r="D26" t="s">
        <v>2185</v>
      </c>
      <c r="E26" s="237" t="s">
        <v>3197</v>
      </c>
      <c r="F26" s="81"/>
      <c r="I26" s="81"/>
      <c r="J26" s="83"/>
      <c r="W26" s="81"/>
      <c r="Y26" s="87"/>
      <c r="AA26" s="81"/>
      <c r="AC26" s="81"/>
      <c r="AD26" s="81"/>
      <c r="AF26" s="81"/>
      <c r="AG26" s="80"/>
    </row>
    <row r="27" spans="1:33" ht="15">
      <c r="A27" s="80"/>
      <c r="B27" s="72"/>
      <c r="C27" s="250">
        <v>125000</v>
      </c>
      <c r="D27" t="s">
        <v>2186</v>
      </c>
      <c r="E27" s="237" t="s">
        <v>3198</v>
      </c>
      <c r="F27" s="81"/>
      <c r="I27" s="81"/>
      <c r="J27" s="83"/>
      <c r="K27" s="82"/>
      <c r="W27" s="81"/>
      <c r="Y27" s="87"/>
      <c r="AA27" s="81"/>
      <c r="AC27" s="81"/>
      <c r="AD27" s="81"/>
      <c r="AF27" s="81"/>
      <c r="AG27" s="80"/>
    </row>
    <row r="28" spans="1:33" ht="15">
      <c r="A28" s="80"/>
      <c r="B28" s="72"/>
      <c r="C28" s="223">
        <v>150000</v>
      </c>
      <c r="D28" t="s">
        <v>2187</v>
      </c>
      <c r="E28" s="237" t="s">
        <v>3199</v>
      </c>
      <c r="F28" s="81"/>
      <c r="I28" s="81"/>
      <c r="J28" s="83"/>
      <c r="W28" s="81"/>
      <c r="Y28" s="87"/>
      <c r="AA28" s="81"/>
      <c r="AC28" s="81"/>
      <c r="AD28" s="81"/>
      <c r="AF28" s="81"/>
      <c r="AG28" s="80"/>
    </row>
    <row r="29" spans="1:33" ht="15">
      <c r="A29" s="80"/>
      <c r="B29" s="72"/>
      <c r="C29" s="223">
        <v>175000</v>
      </c>
      <c r="D29" t="s">
        <v>2188</v>
      </c>
      <c r="E29" s="237" t="s">
        <v>3200</v>
      </c>
      <c r="F29" s="81"/>
      <c r="I29" s="81"/>
      <c r="J29" s="83"/>
      <c r="K29" s="82"/>
      <c r="W29" s="81"/>
      <c r="Y29" s="87"/>
      <c r="AA29" s="81"/>
      <c r="AC29" s="81"/>
      <c r="AD29" s="81"/>
      <c r="AF29" s="81"/>
      <c r="AG29" s="80"/>
    </row>
    <row r="30" spans="1:33" ht="15">
      <c r="A30" s="80"/>
      <c r="B30" s="72"/>
      <c r="C30" s="223">
        <v>200000</v>
      </c>
      <c r="D30" t="s">
        <v>2189</v>
      </c>
      <c r="E30" s="237" t="s">
        <v>3201</v>
      </c>
      <c r="F30" s="81"/>
      <c r="I30" s="81"/>
      <c r="J30" s="83"/>
      <c r="W30" s="81"/>
      <c r="Y30" s="87"/>
      <c r="AA30" s="81"/>
      <c r="AC30" s="81"/>
      <c r="AD30" s="81"/>
      <c r="AF30" s="81"/>
      <c r="AG30" s="80"/>
    </row>
    <row r="31" spans="1:33" ht="15">
      <c r="A31" s="80"/>
      <c r="B31" s="72"/>
      <c r="C31" s="223">
        <v>225000</v>
      </c>
      <c r="D31" t="s">
        <v>2190</v>
      </c>
      <c r="E31" s="237" t="s">
        <v>3202</v>
      </c>
      <c r="F31" s="81"/>
      <c r="I31" s="81"/>
      <c r="J31" s="83"/>
      <c r="K31" s="82"/>
      <c r="W31" s="81"/>
      <c r="Y31" s="87"/>
      <c r="AA31" s="81"/>
      <c r="AC31" s="81"/>
      <c r="AD31" s="81"/>
      <c r="AF31" s="81"/>
      <c r="AG31" s="80"/>
    </row>
    <row r="32" spans="1:33" ht="15">
      <c r="A32" s="80"/>
      <c r="B32" s="72"/>
      <c r="C32" s="80"/>
      <c r="D32" t="s">
        <v>2191</v>
      </c>
      <c r="E32" s="237" t="s">
        <v>3203</v>
      </c>
      <c r="F32" s="81"/>
      <c r="I32" s="81"/>
      <c r="J32" s="83"/>
      <c r="W32" s="81"/>
      <c r="Y32" s="87"/>
      <c r="AA32" s="81"/>
      <c r="AC32" s="81"/>
      <c r="AD32" s="81"/>
      <c r="AF32" s="81"/>
      <c r="AG32" s="80"/>
    </row>
    <row r="33" spans="1:33" ht="15">
      <c r="A33" s="80"/>
      <c r="B33" s="72"/>
      <c r="D33" t="s">
        <v>2774</v>
      </c>
      <c r="E33" s="237" t="s">
        <v>3204</v>
      </c>
      <c r="F33" s="81"/>
      <c r="I33" s="81"/>
      <c r="J33" s="83"/>
      <c r="W33" s="81"/>
      <c r="Y33" s="87"/>
      <c r="AA33" s="81"/>
      <c r="AC33" s="81"/>
      <c r="AD33" s="81"/>
      <c r="AF33" s="81"/>
      <c r="AG33" s="80"/>
    </row>
    <row r="34" spans="1:33" ht="15">
      <c r="A34" s="80"/>
      <c r="B34" s="72"/>
      <c r="D34" t="s">
        <v>2192</v>
      </c>
      <c r="E34" s="237" t="s">
        <v>3205</v>
      </c>
      <c r="F34" s="81"/>
      <c r="I34" s="81"/>
      <c r="J34" s="83"/>
      <c r="K34" s="82"/>
      <c r="W34" s="81"/>
      <c r="Y34" s="87"/>
      <c r="AA34" s="81"/>
      <c r="AC34" s="81"/>
      <c r="AD34" s="81"/>
      <c r="AF34" s="81"/>
      <c r="AG34" s="80"/>
    </row>
    <row r="35" spans="1:33" ht="15">
      <c r="A35" s="80"/>
      <c r="B35" s="72"/>
      <c r="C35" s="80"/>
      <c r="D35" t="s">
        <v>2193</v>
      </c>
      <c r="E35" s="237" t="s">
        <v>3206</v>
      </c>
      <c r="F35" s="81"/>
      <c r="I35" s="81"/>
      <c r="J35" s="83"/>
      <c r="W35" s="81"/>
      <c r="Y35" s="87"/>
      <c r="AA35" s="81"/>
      <c r="AC35" s="81"/>
      <c r="AD35" s="81"/>
      <c r="AF35" s="81"/>
      <c r="AG35" s="80"/>
    </row>
    <row r="36" spans="1:33" ht="15">
      <c r="A36" s="80"/>
      <c r="B36" s="72"/>
      <c r="C36" s="80"/>
      <c r="D36" t="s">
        <v>2775</v>
      </c>
      <c r="E36" s="237" t="s">
        <v>3207</v>
      </c>
      <c r="F36" s="81"/>
      <c r="I36" s="81"/>
      <c r="J36" s="83"/>
      <c r="W36" s="81"/>
      <c r="Y36" s="87"/>
      <c r="AA36" s="81"/>
      <c r="AC36" s="81"/>
      <c r="AD36" s="81"/>
      <c r="AF36" s="81"/>
      <c r="AG36" s="80"/>
    </row>
    <row r="37" spans="1:33" ht="15">
      <c r="A37" s="80"/>
      <c r="B37" s="72"/>
      <c r="C37" s="80"/>
      <c r="D37" t="s">
        <v>2776</v>
      </c>
      <c r="E37" s="237" t="s">
        <v>3208</v>
      </c>
      <c r="F37" s="81"/>
      <c r="I37" s="81"/>
      <c r="J37" s="83"/>
      <c r="W37" s="81"/>
      <c r="Y37" s="87"/>
      <c r="AA37" s="81"/>
      <c r="AC37" s="81"/>
      <c r="AD37" s="81"/>
      <c r="AF37" s="81"/>
      <c r="AG37" s="80"/>
    </row>
    <row r="38" spans="1:33" ht="15">
      <c r="A38" s="80"/>
      <c r="B38" s="72"/>
      <c r="C38" s="80"/>
      <c r="D38" t="s">
        <v>2777</v>
      </c>
      <c r="E38" s="237" t="s">
        <v>3209</v>
      </c>
      <c r="F38" s="81"/>
      <c r="I38" s="81"/>
      <c r="J38" s="83"/>
      <c r="K38" s="81"/>
      <c r="W38" s="81"/>
      <c r="Y38" s="87"/>
      <c r="AA38" s="81"/>
      <c r="AC38" s="81"/>
      <c r="AD38" s="81"/>
      <c r="AF38" s="81"/>
      <c r="AG38" s="80"/>
    </row>
    <row r="39" spans="1:33" ht="15">
      <c r="A39" s="80"/>
      <c r="B39" s="72"/>
      <c r="C39" s="80"/>
      <c r="D39" t="s">
        <v>2778</v>
      </c>
      <c r="E39" s="237" t="s">
        <v>3210</v>
      </c>
      <c r="F39" s="81"/>
      <c r="I39" s="81"/>
      <c r="J39" s="83"/>
      <c r="W39" s="81"/>
      <c r="Y39" s="87"/>
      <c r="AA39" s="81"/>
      <c r="AC39" s="81"/>
      <c r="AD39" s="81"/>
      <c r="AF39" s="81"/>
      <c r="AG39" s="80"/>
    </row>
    <row r="40" spans="1:33" ht="15">
      <c r="A40" s="80"/>
      <c r="B40" s="72"/>
      <c r="C40" s="80"/>
      <c r="D40" t="s">
        <v>2779</v>
      </c>
      <c r="E40" s="237" t="s">
        <v>3211</v>
      </c>
      <c r="F40" s="81"/>
      <c r="I40" s="81"/>
      <c r="J40" s="83"/>
      <c r="W40" s="81"/>
      <c r="Y40" s="87"/>
      <c r="AA40" s="81"/>
      <c r="AC40" s="81"/>
      <c r="AD40" s="81"/>
      <c r="AF40" s="81"/>
      <c r="AG40" s="80"/>
    </row>
    <row r="41" spans="1:33" ht="15">
      <c r="A41" s="80"/>
      <c r="B41" s="72"/>
      <c r="C41" s="80"/>
      <c r="D41" t="s">
        <v>2780</v>
      </c>
      <c r="E41" s="237" t="s">
        <v>3212</v>
      </c>
      <c r="F41" s="81"/>
      <c r="I41" s="81"/>
      <c r="J41" s="83"/>
      <c r="W41" s="81"/>
      <c r="Y41" s="87"/>
      <c r="AA41" s="81"/>
      <c r="AC41" s="81"/>
      <c r="AD41" s="81"/>
      <c r="AF41" s="81"/>
      <c r="AG41" s="80"/>
    </row>
    <row r="42" spans="1:33" ht="15">
      <c r="A42" s="80"/>
      <c r="B42" s="72"/>
      <c r="C42" s="80"/>
      <c r="D42" t="s">
        <v>2781</v>
      </c>
      <c r="E42" s="237" t="s">
        <v>3213</v>
      </c>
      <c r="F42" s="81"/>
      <c r="H42" s="198"/>
      <c r="I42" s="81"/>
      <c r="J42" s="83"/>
      <c r="K42" s="82"/>
      <c r="W42" s="81"/>
      <c r="Y42" s="87"/>
      <c r="AA42" s="81"/>
      <c r="AF42" s="81"/>
      <c r="AG42" s="80"/>
    </row>
    <row r="43" spans="1:33" ht="15">
      <c r="A43" s="80"/>
      <c r="B43" s="72"/>
      <c r="C43" s="80"/>
      <c r="D43" t="s">
        <v>2782</v>
      </c>
      <c r="E43" s="237" t="s">
        <v>3214</v>
      </c>
      <c r="F43" s="81"/>
      <c r="I43" s="81"/>
      <c r="J43" s="83"/>
      <c r="W43" s="81"/>
      <c r="Y43" s="87"/>
      <c r="AA43" s="81"/>
      <c r="AC43" s="81"/>
      <c r="AD43" s="81"/>
      <c r="AF43" s="81"/>
      <c r="AG43" s="80"/>
    </row>
    <row r="44" spans="1:33" ht="15">
      <c r="A44" s="80"/>
      <c r="B44" s="72"/>
      <c r="D44" t="s">
        <v>2783</v>
      </c>
      <c r="E44" s="237" t="s">
        <v>3215</v>
      </c>
      <c r="F44" s="81"/>
      <c r="I44" s="81"/>
      <c r="J44" s="83"/>
      <c r="K44" s="82"/>
      <c r="W44" s="81"/>
      <c r="Y44" s="87"/>
      <c r="AA44" s="81"/>
      <c r="AC44" s="81"/>
      <c r="AD44" s="81"/>
      <c r="AF44" s="81"/>
      <c r="AG44" s="80"/>
    </row>
    <row r="45" spans="1:33" ht="15">
      <c r="A45" s="80"/>
      <c r="B45" s="72"/>
      <c r="C45" s="80"/>
      <c r="D45" t="s">
        <v>2784</v>
      </c>
      <c r="E45" s="237" t="s">
        <v>3216</v>
      </c>
      <c r="F45" s="81"/>
      <c r="I45" s="81"/>
      <c r="J45" s="83"/>
      <c r="W45" s="81"/>
      <c r="Y45" s="87"/>
      <c r="AA45" s="81"/>
      <c r="AC45" s="81"/>
      <c r="AD45" s="81"/>
      <c r="AF45" s="81"/>
      <c r="AG45" s="80"/>
    </row>
    <row r="46" spans="1:33" ht="15">
      <c r="A46" s="80"/>
      <c r="B46" s="72"/>
      <c r="C46" s="80"/>
      <c r="D46" t="s">
        <v>2785</v>
      </c>
      <c r="E46" s="237" t="s">
        <v>3217</v>
      </c>
      <c r="F46" s="81"/>
      <c r="I46" s="81"/>
      <c r="J46" s="83"/>
      <c r="W46" s="81"/>
      <c r="Y46" s="87"/>
      <c r="AA46" s="81"/>
      <c r="AC46" s="81"/>
      <c r="AD46" s="81"/>
      <c r="AF46" s="81"/>
      <c r="AG46" s="80"/>
    </row>
    <row r="47" spans="1:33" ht="15">
      <c r="A47" s="80"/>
      <c r="B47" s="72"/>
      <c r="C47" s="23"/>
      <c r="D47" t="s">
        <v>2786</v>
      </c>
      <c r="E47" s="237" t="s">
        <v>3218</v>
      </c>
      <c r="F47" s="81"/>
      <c r="I47" s="81"/>
      <c r="J47" s="83"/>
      <c r="W47" s="81"/>
      <c r="Y47" s="87"/>
      <c r="AA47" s="81"/>
      <c r="AC47" s="81"/>
      <c r="AD47" s="81"/>
      <c r="AF47" s="81"/>
      <c r="AG47" s="9"/>
    </row>
    <row r="48" spans="1:33" ht="15">
      <c r="A48" s="80"/>
      <c r="B48" s="72"/>
      <c r="C48" s="62"/>
      <c r="D48" t="s">
        <v>2787</v>
      </c>
      <c r="E48" s="237" t="s">
        <v>3219</v>
      </c>
    </row>
    <row r="49" spans="1:5" ht="15">
      <c r="A49" s="80"/>
      <c r="B49" s="72"/>
      <c r="D49" t="s">
        <v>2834</v>
      </c>
      <c r="E49" s="237" t="s">
        <v>3220</v>
      </c>
    </row>
    <row r="50" spans="1:5" ht="15">
      <c r="A50" s="80"/>
      <c r="B50" s="72"/>
      <c r="D50" t="s">
        <v>2835</v>
      </c>
      <c r="E50" s="237" t="s">
        <v>3221</v>
      </c>
    </row>
    <row r="51" spans="1:5" ht="15">
      <c r="A51" s="80"/>
      <c r="B51" s="72"/>
      <c r="D51" t="s">
        <v>2836</v>
      </c>
      <c r="E51" s="237" t="s">
        <v>3222</v>
      </c>
    </row>
    <row r="52" spans="1:5" ht="15">
      <c r="A52" s="80"/>
      <c r="B52" s="72"/>
      <c r="D52" t="s">
        <v>2837</v>
      </c>
      <c r="E52" s="237" t="s">
        <v>3223</v>
      </c>
    </row>
    <row r="53" spans="1:5" ht="15">
      <c r="A53" s="80"/>
      <c r="B53" s="72"/>
      <c r="D53" t="s">
        <v>2194</v>
      </c>
      <c r="E53" s="237" t="s">
        <v>3224</v>
      </c>
    </row>
    <row r="54" spans="1:5" ht="15">
      <c r="A54" s="80"/>
      <c r="B54" s="80"/>
      <c r="D54" t="s">
        <v>2195</v>
      </c>
      <c r="E54" s="237" t="s">
        <v>3225</v>
      </c>
    </row>
    <row r="55" spans="1:5" ht="15">
      <c r="A55" s="80"/>
      <c r="B55" s="72"/>
      <c r="D55" t="s">
        <v>2196</v>
      </c>
      <c r="E55" s="237" t="s">
        <v>3226</v>
      </c>
    </row>
    <row r="56" spans="1:5" ht="15">
      <c r="A56" s="80"/>
      <c r="B56" s="80"/>
      <c r="D56" t="s">
        <v>2197</v>
      </c>
      <c r="E56" s="237" t="s">
        <v>3227</v>
      </c>
    </row>
    <row r="57" spans="1:5" ht="15">
      <c r="A57" s="80"/>
      <c r="B57" s="72"/>
      <c r="D57" t="s">
        <v>2198</v>
      </c>
      <c r="E57" s="237" t="s">
        <v>3228</v>
      </c>
    </row>
    <row r="58" spans="1:5" ht="15">
      <c r="A58" s="80"/>
      <c r="B58" s="72"/>
      <c r="D58" t="s">
        <v>2199</v>
      </c>
      <c r="E58" s="237" t="s">
        <v>3229</v>
      </c>
    </row>
    <row r="59" spans="1:5" ht="15">
      <c r="A59" s="80"/>
      <c r="B59" s="72"/>
      <c r="D59" t="s">
        <v>2200</v>
      </c>
      <c r="E59" s="237" t="s">
        <v>3230</v>
      </c>
    </row>
    <row r="60" spans="1:5" ht="15">
      <c r="A60" s="9"/>
      <c r="B60" s="84"/>
      <c r="D60" t="s">
        <v>2201</v>
      </c>
      <c r="E60" s="237" t="s">
        <v>3231</v>
      </c>
    </row>
    <row r="61" spans="1:5" ht="15">
      <c r="A61" s="9"/>
      <c r="B61" s="72"/>
      <c r="D61" t="s">
        <v>2202</v>
      </c>
      <c r="E61" s="237" t="s">
        <v>3232</v>
      </c>
    </row>
    <row r="62" spans="1:5" ht="15">
      <c r="D62" t="s">
        <v>2203</v>
      </c>
      <c r="E62" s="237" t="s">
        <v>3233</v>
      </c>
    </row>
    <row r="63" spans="1:5" ht="15">
      <c r="D63" t="s">
        <v>2204</v>
      </c>
      <c r="E63" s="237" t="s">
        <v>3234</v>
      </c>
    </row>
    <row r="64" spans="1:5" ht="15">
      <c r="D64" t="s">
        <v>2205</v>
      </c>
      <c r="E64" s="237" t="s">
        <v>3235</v>
      </c>
    </row>
    <row r="65" spans="4:5" ht="15">
      <c r="D65" t="s">
        <v>2206</v>
      </c>
      <c r="E65" s="237" t="s">
        <v>3236</v>
      </c>
    </row>
    <row r="66" spans="4:5" ht="15">
      <c r="D66" t="s">
        <v>2207</v>
      </c>
      <c r="E66" s="237" t="s">
        <v>3237</v>
      </c>
    </row>
    <row r="67" spans="4:5" ht="30">
      <c r="D67" t="s">
        <v>2208</v>
      </c>
      <c r="E67" s="237" t="s">
        <v>3238</v>
      </c>
    </row>
    <row r="68" spans="4:5" ht="30">
      <c r="D68" t="s">
        <v>2209</v>
      </c>
      <c r="E68" s="237" t="s">
        <v>3239</v>
      </c>
    </row>
    <row r="69" spans="4:5" ht="15">
      <c r="D69" t="s">
        <v>2210</v>
      </c>
      <c r="E69" s="237" t="s">
        <v>3240</v>
      </c>
    </row>
    <row r="70" spans="4:5" ht="15">
      <c r="D70" t="s">
        <v>2211</v>
      </c>
      <c r="E70" s="237" t="s">
        <v>3241</v>
      </c>
    </row>
    <row r="71" spans="4:5" ht="15">
      <c r="D71" t="s">
        <v>2212</v>
      </c>
      <c r="E71" s="237" t="s">
        <v>3242</v>
      </c>
    </row>
    <row r="72" spans="4:5" ht="30">
      <c r="D72" t="s">
        <v>2213</v>
      </c>
      <c r="E72" s="237" t="s">
        <v>3243</v>
      </c>
    </row>
    <row r="73" spans="4:5" ht="15">
      <c r="D73" t="s">
        <v>2214</v>
      </c>
      <c r="E73" s="237" t="s">
        <v>3244</v>
      </c>
    </row>
    <row r="74" spans="4:5" ht="30">
      <c r="D74" t="s">
        <v>2215</v>
      </c>
      <c r="E74" s="237" t="s">
        <v>3245</v>
      </c>
    </row>
    <row r="75" spans="4:5" ht="30">
      <c r="D75" t="s">
        <v>2216</v>
      </c>
      <c r="E75" s="237" t="s">
        <v>3246</v>
      </c>
    </row>
    <row r="76" spans="4:5" ht="30">
      <c r="D76" t="s">
        <v>2217</v>
      </c>
      <c r="E76" s="237" t="s">
        <v>3247</v>
      </c>
    </row>
    <row r="77" spans="4:5" ht="15">
      <c r="D77" t="s">
        <v>2218</v>
      </c>
      <c r="E77" s="237" t="s">
        <v>3248</v>
      </c>
    </row>
    <row r="78" spans="4:5" ht="30">
      <c r="D78" t="s">
        <v>2219</v>
      </c>
      <c r="E78" s="237" t="s">
        <v>3249</v>
      </c>
    </row>
    <row r="79" spans="4:5" ht="30">
      <c r="D79" t="s">
        <v>2220</v>
      </c>
      <c r="E79" s="237" t="s">
        <v>3250</v>
      </c>
    </row>
    <row r="80" spans="4:5" ht="30">
      <c r="D80" t="s">
        <v>2838</v>
      </c>
      <c r="E80" s="237" t="s">
        <v>3251</v>
      </c>
    </row>
    <row r="81" spans="4:5" ht="30">
      <c r="D81" t="s">
        <v>2221</v>
      </c>
      <c r="E81" s="237" t="s">
        <v>3252</v>
      </c>
    </row>
    <row r="82" spans="4:5" ht="30">
      <c r="D82" t="s">
        <v>2222</v>
      </c>
      <c r="E82" s="237" t="s">
        <v>3253</v>
      </c>
    </row>
    <row r="83" spans="4:5" ht="30">
      <c r="D83" t="s">
        <v>2223</v>
      </c>
      <c r="E83" s="237" t="s">
        <v>3254</v>
      </c>
    </row>
    <row r="84" spans="4:5" ht="30">
      <c r="D84" t="s">
        <v>2224</v>
      </c>
      <c r="E84" s="237" t="s">
        <v>3255</v>
      </c>
    </row>
    <row r="85" spans="4:5" ht="30">
      <c r="D85" t="s">
        <v>2225</v>
      </c>
      <c r="E85" s="237" t="s">
        <v>3256</v>
      </c>
    </row>
    <row r="86" spans="4:5" ht="45">
      <c r="D86" t="s">
        <v>2788</v>
      </c>
      <c r="E86" s="237" t="s">
        <v>3257</v>
      </c>
    </row>
    <row r="87" spans="4:5" ht="45">
      <c r="D87" t="s">
        <v>2789</v>
      </c>
      <c r="E87" s="237" t="s">
        <v>3258</v>
      </c>
    </row>
    <row r="88" spans="4:5" ht="15">
      <c r="D88" t="s">
        <v>2790</v>
      </c>
      <c r="E88" s="237" t="s">
        <v>3259</v>
      </c>
    </row>
    <row r="89" spans="4:5" ht="15">
      <c r="D89" t="s">
        <v>2791</v>
      </c>
      <c r="E89" s="237" t="s">
        <v>3260</v>
      </c>
    </row>
    <row r="90" spans="4:5" ht="15">
      <c r="D90" t="s">
        <v>2792</v>
      </c>
      <c r="E90" s="237" t="s">
        <v>3261</v>
      </c>
    </row>
    <row r="91" spans="4:5" ht="15">
      <c r="D91" t="s">
        <v>2793</v>
      </c>
      <c r="E91" s="237" t="s">
        <v>3262</v>
      </c>
    </row>
    <row r="92" spans="4:5" ht="15">
      <c r="D92" t="s">
        <v>2794</v>
      </c>
      <c r="E92" s="237" t="s">
        <v>3263</v>
      </c>
    </row>
    <row r="93" spans="4:5" ht="15">
      <c r="D93" t="s">
        <v>2795</v>
      </c>
      <c r="E93" s="237" t="s">
        <v>3264</v>
      </c>
    </row>
    <row r="94" spans="4:5" ht="15">
      <c r="D94" t="s">
        <v>2796</v>
      </c>
      <c r="E94" s="237" t="s">
        <v>3265</v>
      </c>
    </row>
    <row r="95" spans="4:5" ht="15">
      <c r="D95" t="s">
        <v>2797</v>
      </c>
      <c r="E95" s="237" t="s">
        <v>3266</v>
      </c>
    </row>
    <row r="96" spans="4:5" ht="15">
      <c r="D96" t="s">
        <v>2798</v>
      </c>
      <c r="E96" s="237" t="s">
        <v>3267</v>
      </c>
    </row>
    <row r="97" spans="4:5" ht="15">
      <c r="D97" t="s">
        <v>2799</v>
      </c>
      <c r="E97" s="237" t="s">
        <v>3268</v>
      </c>
    </row>
    <row r="98" spans="4:5" ht="15">
      <c r="D98" t="s">
        <v>2800</v>
      </c>
      <c r="E98" s="237" t="s">
        <v>3269</v>
      </c>
    </row>
    <row r="99" spans="4:5" ht="15">
      <c r="D99" t="s">
        <v>2801</v>
      </c>
      <c r="E99" s="237" t="s">
        <v>3270</v>
      </c>
    </row>
    <row r="100" spans="4:5" ht="15">
      <c r="D100" t="s">
        <v>2802</v>
      </c>
      <c r="E100" s="237" t="s">
        <v>3271</v>
      </c>
    </row>
    <row r="101" spans="4:5" ht="15">
      <c r="D101" t="s">
        <v>2803</v>
      </c>
      <c r="E101" s="237" t="s">
        <v>3272</v>
      </c>
    </row>
    <row r="102" spans="4:5" ht="15">
      <c r="D102" t="s">
        <v>2804</v>
      </c>
      <c r="E102" s="237" t="s">
        <v>3273</v>
      </c>
    </row>
    <row r="103" spans="4:5" ht="15">
      <c r="D103" t="s">
        <v>2805</v>
      </c>
      <c r="E103" s="237" t="s">
        <v>3274</v>
      </c>
    </row>
    <row r="104" spans="4:5" ht="15">
      <c r="D104" t="s">
        <v>2806</v>
      </c>
      <c r="E104" s="237" t="s">
        <v>3275</v>
      </c>
    </row>
    <row r="105" spans="4:5" ht="30">
      <c r="D105" t="s">
        <v>2807</v>
      </c>
      <c r="E105" s="237" t="s">
        <v>3276</v>
      </c>
    </row>
    <row r="106" spans="4:5" ht="15">
      <c r="D106" t="s">
        <v>2808</v>
      </c>
      <c r="E106" s="237" t="s">
        <v>3277</v>
      </c>
    </row>
    <row r="107" spans="4:5" ht="15">
      <c r="D107" t="s">
        <v>2809</v>
      </c>
      <c r="E107" s="237" t="s">
        <v>3278</v>
      </c>
    </row>
    <row r="108" spans="4:5" ht="15">
      <c r="D108" t="s">
        <v>2810</v>
      </c>
      <c r="E108" s="237" t="s">
        <v>3279</v>
      </c>
    </row>
    <row r="109" spans="4:5" ht="15">
      <c r="D109" t="s">
        <v>2811</v>
      </c>
      <c r="E109" s="237" t="s">
        <v>3280</v>
      </c>
    </row>
    <row r="110" spans="4:5" ht="15">
      <c r="D110" t="s">
        <v>2812</v>
      </c>
      <c r="E110" s="237" t="s">
        <v>3281</v>
      </c>
    </row>
    <row r="111" spans="4:5" ht="15">
      <c r="D111" t="s">
        <v>2813</v>
      </c>
      <c r="E111" s="237" t="s">
        <v>3282</v>
      </c>
    </row>
    <row r="112" spans="4:5" ht="15">
      <c r="D112" t="s">
        <v>2814</v>
      </c>
      <c r="E112" s="237" t="s">
        <v>3283</v>
      </c>
    </row>
    <row r="113" spans="4:5" ht="15">
      <c r="D113" t="s">
        <v>2815</v>
      </c>
      <c r="E113" s="237" t="s">
        <v>3284</v>
      </c>
    </row>
    <row r="114" spans="4:5" ht="15">
      <c r="D114" t="s">
        <v>2816</v>
      </c>
      <c r="E114" s="237" t="s">
        <v>3285</v>
      </c>
    </row>
    <row r="115" spans="4:5" ht="15">
      <c r="D115" t="s">
        <v>2021</v>
      </c>
      <c r="E115" s="237" t="s">
        <v>3286</v>
      </c>
    </row>
    <row r="116" spans="4:5" ht="15">
      <c r="D116" t="s">
        <v>2022</v>
      </c>
      <c r="E116" s="237" t="s">
        <v>3287</v>
      </c>
    </row>
    <row r="117" spans="4:5" ht="15">
      <c r="D117" t="s">
        <v>2226</v>
      </c>
      <c r="E117" s="237" t="s">
        <v>3288</v>
      </c>
    </row>
    <row r="118" spans="4:5" ht="15">
      <c r="D118" t="s">
        <v>2227</v>
      </c>
      <c r="E118" s="237" t="s">
        <v>3289</v>
      </c>
    </row>
    <row r="119" spans="4:5" ht="15">
      <c r="D119" t="s">
        <v>2228</v>
      </c>
      <c r="E119" s="237" t="s">
        <v>3290</v>
      </c>
    </row>
    <row r="120" spans="4:5" ht="15">
      <c r="D120" t="s">
        <v>2229</v>
      </c>
      <c r="E120" s="237" t="s">
        <v>3291</v>
      </c>
    </row>
    <row r="121" spans="4:5" ht="15">
      <c r="D121" t="s">
        <v>2230</v>
      </c>
      <c r="E121" s="237" t="s">
        <v>3292</v>
      </c>
    </row>
    <row r="122" spans="4:5" ht="15">
      <c r="D122" t="s">
        <v>2231</v>
      </c>
      <c r="E122" s="237" t="s">
        <v>3293</v>
      </c>
    </row>
    <row r="123" spans="4:5" ht="15">
      <c r="D123" t="s">
        <v>2232</v>
      </c>
      <c r="E123" s="237" t="s">
        <v>3294</v>
      </c>
    </row>
    <row r="124" spans="4:5" ht="15">
      <c r="D124" t="s">
        <v>2233</v>
      </c>
      <c r="E124" s="237" t="s">
        <v>3295</v>
      </c>
    </row>
    <row r="125" spans="4:5" ht="15">
      <c r="D125" t="s">
        <v>2234</v>
      </c>
      <c r="E125" s="237" t="s">
        <v>3296</v>
      </c>
    </row>
    <row r="126" spans="4:5" ht="15">
      <c r="D126" t="s">
        <v>2235</v>
      </c>
      <c r="E126" s="237" t="s">
        <v>3297</v>
      </c>
    </row>
    <row r="127" spans="4:5" ht="15">
      <c r="D127" t="s">
        <v>2236</v>
      </c>
      <c r="E127" s="237" t="s">
        <v>3298</v>
      </c>
    </row>
    <row r="128" spans="4:5" ht="15">
      <c r="D128" t="s">
        <v>2237</v>
      </c>
      <c r="E128" s="237" t="s">
        <v>3299</v>
      </c>
    </row>
    <row r="129" spans="4:5" ht="15">
      <c r="D129" t="s">
        <v>2023</v>
      </c>
      <c r="E129" s="237" t="s">
        <v>3300</v>
      </c>
    </row>
    <row r="130" spans="4:5" ht="15">
      <c r="D130" t="s">
        <v>2238</v>
      </c>
      <c r="E130" s="237" t="s">
        <v>3301</v>
      </c>
    </row>
    <row r="131" spans="4:5" ht="15">
      <c r="D131" t="s">
        <v>2239</v>
      </c>
      <c r="E131" s="237" t="s">
        <v>3302</v>
      </c>
    </row>
    <row r="132" spans="4:5" ht="15">
      <c r="D132" t="s">
        <v>2240</v>
      </c>
      <c r="E132" s="237" t="s">
        <v>3303</v>
      </c>
    </row>
    <row r="133" spans="4:5" ht="15">
      <c r="D133" t="s">
        <v>2241</v>
      </c>
      <c r="E133" s="237" t="s">
        <v>3304</v>
      </c>
    </row>
    <row r="134" spans="4:5" ht="15">
      <c r="D134" t="s">
        <v>2242</v>
      </c>
      <c r="E134" s="237" t="s">
        <v>3305</v>
      </c>
    </row>
    <row r="135" spans="4:5" ht="15">
      <c r="D135" t="s">
        <v>2243</v>
      </c>
      <c r="E135" s="237" t="s">
        <v>3306</v>
      </c>
    </row>
    <row r="136" spans="4:5" ht="15">
      <c r="D136" t="s">
        <v>2244</v>
      </c>
      <c r="E136" s="237" t="s">
        <v>3307</v>
      </c>
    </row>
    <row r="137" spans="4:5" ht="15">
      <c r="D137" t="s">
        <v>2245</v>
      </c>
      <c r="E137" s="237" t="s">
        <v>3308</v>
      </c>
    </row>
    <row r="138" spans="4:5" ht="15">
      <c r="D138" t="s">
        <v>2246</v>
      </c>
      <c r="E138" s="237" t="s">
        <v>3309</v>
      </c>
    </row>
    <row r="139" spans="4:5" ht="15">
      <c r="D139" t="s">
        <v>2247</v>
      </c>
      <c r="E139" s="237" t="s">
        <v>3310</v>
      </c>
    </row>
    <row r="140" spans="4:5" ht="15">
      <c r="D140" t="s">
        <v>2248</v>
      </c>
      <c r="E140" s="237" t="s">
        <v>3311</v>
      </c>
    </row>
    <row r="141" spans="4:5" ht="30">
      <c r="D141" t="s">
        <v>2249</v>
      </c>
      <c r="E141" s="237" t="s">
        <v>3312</v>
      </c>
    </row>
    <row r="142" spans="4:5" ht="15">
      <c r="D142" t="s">
        <v>2024</v>
      </c>
      <c r="E142" s="237" t="s">
        <v>3313</v>
      </c>
    </row>
    <row r="143" spans="4:5" ht="15">
      <c r="D143" t="s">
        <v>2025</v>
      </c>
      <c r="E143" s="237" t="s">
        <v>3314</v>
      </c>
    </row>
    <row r="144" spans="4:5" ht="15">
      <c r="D144" t="s">
        <v>2026</v>
      </c>
      <c r="E144" s="237" t="s">
        <v>3315</v>
      </c>
    </row>
    <row r="145" spans="4:5" ht="15">
      <c r="D145" t="s">
        <v>2027</v>
      </c>
      <c r="E145" s="237" t="s">
        <v>3316</v>
      </c>
    </row>
    <row r="146" spans="4:5" ht="15">
      <c r="D146" t="s">
        <v>2028</v>
      </c>
      <c r="E146" s="237" t="s">
        <v>3317</v>
      </c>
    </row>
    <row r="147" spans="4:5" ht="15">
      <c r="D147" t="s">
        <v>2029</v>
      </c>
      <c r="E147" s="237" t="s">
        <v>3318</v>
      </c>
    </row>
    <row r="148" spans="4:5" ht="15">
      <c r="D148" t="s">
        <v>2030</v>
      </c>
      <c r="E148" s="237" t="s">
        <v>3319</v>
      </c>
    </row>
    <row r="149" spans="4:5" ht="15">
      <c r="D149" t="s">
        <v>2031</v>
      </c>
      <c r="E149" s="237" t="s">
        <v>3320</v>
      </c>
    </row>
    <row r="150" spans="4:5" ht="15">
      <c r="D150" t="s">
        <v>2032</v>
      </c>
      <c r="E150" s="237" t="s">
        <v>3321</v>
      </c>
    </row>
    <row r="151" spans="4:5" ht="15">
      <c r="D151" t="s">
        <v>2033</v>
      </c>
      <c r="E151" s="237" t="s">
        <v>3322</v>
      </c>
    </row>
    <row r="152" spans="4:5" ht="15">
      <c r="D152" t="s">
        <v>2034</v>
      </c>
      <c r="E152" s="237" t="s">
        <v>3323</v>
      </c>
    </row>
    <row r="153" spans="4:5" ht="15">
      <c r="D153" t="s">
        <v>2035</v>
      </c>
      <c r="E153" s="237" t="s">
        <v>3324</v>
      </c>
    </row>
    <row r="154" spans="4:5" ht="15">
      <c r="D154" t="s">
        <v>2036</v>
      </c>
      <c r="E154" s="237" t="s">
        <v>3325</v>
      </c>
    </row>
    <row r="155" spans="4:5" ht="30">
      <c r="D155" t="s">
        <v>2037</v>
      </c>
      <c r="E155" s="237" t="s">
        <v>3326</v>
      </c>
    </row>
    <row r="156" spans="4:5" ht="15">
      <c r="D156" t="s">
        <v>2038</v>
      </c>
      <c r="E156" s="237" t="s">
        <v>3327</v>
      </c>
    </row>
    <row r="157" spans="4:5" ht="15">
      <c r="D157" t="s">
        <v>2039</v>
      </c>
      <c r="E157" s="237" t="s">
        <v>3328</v>
      </c>
    </row>
    <row r="158" spans="4:5" ht="15">
      <c r="D158" t="s">
        <v>2040</v>
      </c>
      <c r="E158" s="237" t="s">
        <v>3329</v>
      </c>
    </row>
    <row r="159" spans="4:5" ht="15">
      <c r="D159" t="s">
        <v>2041</v>
      </c>
      <c r="E159" s="237" t="s">
        <v>3330</v>
      </c>
    </row>
    <row r="160" spans="4:5" ht="15">
      <c r="D160" t="s">
        <v>2042</v>
      </c>
      <c r="E160" s="237" t="s">
        <v>3331</v>
      </c>
    </row>
    <row r="161" spans="4:5" ht="15">
      <c r="D161" t="s">
        <v>2043</v>
      </c>
      <c r="E161" s="237" t="s">
        <v>3332</v>
      </c>
    </row>
    <row r="162" spans="4:5" ht="15">
      <c r="D162" t="s">
        <v>2044</v>
      </c>
      <c r="E162" s="237" t="s">
        <v>3333</v>
      </c>
    </row>
    <row r="163" spans="4:5" ht="15">
      <c r="D163" t="s">
        <v>2045</v>
      </c>
      <c r="E163" s="237" t="s">
        <v>3334</v>
      </c>
    </row>
    <row r="164" spans="4:5" ht="15">
      <c r="D164" t="s">
        <v>2046</v>
      </c>
      <c r="E164" s="237" t="s">
        <v>3335</v>
      </c>
    </row>
    <row r="165" spans="4:5" ht="15">
      <c r="D165" t="s">
        <v>2047</v>
      </c>
      <c r="E165" s="237" t="s">
        <v>3336</v>
      </c>
    </row>
    <row r="166" spans="4:5" ht="15">
      <c r="D166" t="s">
        <v>2048</v>
      </c>
      <c r="E166" s="237" t="s">
        <v>3337</v>
      </c>
    </row>
    <row r="167" spans="4:5" ht="15">
      <c r="D167" t="s">
        <v>2049</v>
      </c>
      <c r="E167" s="237" t="s">
        <v>3338</v>
      </c>
    </row>
    <row r="168" spans="4:5" ht="15">
      <c r="D168" t="s">
        <v>2050</v>
      </c>
      <c r="E168" s="237" t="s">
        <v>3339</v>
      </c>
    </row>
    <row r="169" spans="4:5" ht="15">
      <c r="D169" t="s">
        <v>2051</v>
      </c>
      <c r="E169" s="237" t="s">
        <v>3340</v>
      </c>
    </row>
    <row r="170" spans="4:5" ht="15">
      <c r="D170" t="s">
        <v>2052</v>
      </c>
      <c r="E170" s="237" t="s">
        <v>3341</v>
      </c>
    </row>
    <row r="171" spans="4:5" ht="15">
      <c r="D171" t="s">
        <v>2053</v>
      </c>
      <c r="E171" s="237" t="s">
        <v>3342</v>
      </c>
    </row>
    <row r="172" spans="4:5" ht="15">
      <c r="D172" t="s">
        <v>2054</v>
      </c>
      <c r="E172" s="237" t="s">
        <v>3343</v>
      </c>
    </row>
    <row r="173" spans="4:5" ht="15">
      <c r="D173" t="s">
        <v>2055</v>
      </c>
      <c r="E173" s="237" t="s">
        <v>3344</v>
      </c>
    </row>
    <row r="174" spans="4:5" ht="15">
      <c r="D174" t="s">
        <v>2250</v>
      </c>
      <c r="E174" s="237" t="s">
        <v>3345</v>
      </c>
    </row>
    <row r="175" spans="4:5" ht="15">
      <c r="D175" t="s">
        <v>2251</v>
      </c>
      <c r="E175" s="237" t="s">
        <v>3346</v>
      </c>
    </row>
    <row r="176" spans="4:5" ht="15">
      <c r="D176" t="s">
        <v>2252</v>
      </c>
      <c r="E176" s="237" t="s">
        <v>3347</v>
      </c>
    </row>
    <row r="177" spans="4:5" ht="15">
      <c r="D177" t="s">
        <v>2253</v>
      </c>
      <c r="E177" s="237" t="s">
        <v>3348</v>
      </c>
    </row>
    <row r="178" spans="4:5" ht="15">
      <c r="D178" t="s">
        <v>2254</v>
      </c>
      <c r="E178" s="237" t="s">
        <v>3349</v>
      </c>
    </row>
    <row r="179" spans="4:5" ht="15">
      <c r="D179" t="s">
        <v>2255</v>
      </c>
      <c r="E179" s="237" t="s">
        <v>3350</v>
      </c>
    </row>
    <row r="180" spans="4:5" ht="15">
      <c r="D180" t="s">
        <v>2256</v>
      </c>
      <c r="E180" s="237" t="s">
        <v>3351</v>
      </c>
    </row>
    <row r="181" spans="4:5" ht="15">
      <c r="D181" t="s">
        <v>2257</v>
      </c>
      <c r="E181" s="237" t="s">
        <v>3352</v>
      </c>
    </row>
    <row r="182" spans="4:5" ht="15">
      <c r="D182" t="s">
        <v>2258</v>
      </c>
      <c r="E182" s="237" t="s">
        <v>3353</v>
      </c>
    </row>
    <row r="183" spans="4:5" ht="15">
      <c r="D183" t="s">
        <v>2259</v>
      </c>
      <c r="E183" s="237" t="s">
        <v>3354</v>
      </c>
    </row>
    <row r="184" spans="4:5" ht="15">
      <c r="D184" t="s">
        <v>2260</v>
      </c>
      <c r="E184" s="237" t="s">
        <v>3355</v>
      </c>
    </row>
    <row r="185" spans="4:5" ht="15">
      <c r="D185" t="s">
        <v>2261</v>
      </c>
      <c r="E185" s="237" t="s">
        <v>3356</v>
      </c>
    </row>
    <row r="186" spans="4:5" ht="15">
      <c r="D186" t="s">
        <v>2262</v>
      </c>
      <c r="E186" s="237" t="s">
        <v>3357</v>
      </c>
    </row>
    <row r="187" spans="4:5" ht="15">
      <c r="D187" t="s">
        <v>2263</v>
      </c>
      <c r="E187" s="237" t="s">
        <v>3358</v>
      </c>
    </row>
    <row r="188" spans="4:5" ht="15">
      <c r="D188" t="s">
        <v>2264</v>
      </c>
      <c r="E188" s="237" t="s">
        <v>3359</v>
      </c>
    </row>
    <row r="189" spans="4:5" ht="15">
      <c r="D189" t="s">
        <v>2265</v>
      </c>
      <c r="E189" s="237" t="s">
        <v>3360</v>
      </c>
    </row>
    <row r="190" spans="4:5" ht="15">
      <c r="D190" t="s">
        <v>2266</v>
      </c>
      <c r="E190" s="237" t="s">
        <v>3361</v>
      </c>
    </row>
    <row r="191" spans="4:5" ht="15">
      <c r="D191" t="s">
        <v>2056</v>
      </c>
      <c r="E191" s="237" t="s">
        <v>3362</v>
      </c>
    </row>
    <row r="192" spans="4:5" ht="15">
      <c r="D192" t="s">
        <v>2267</v>
      </c>
      <c r="E192" s="237" t="s">
        <v>3363</v>
      </c>
    </row>
    <row r="193" spans="4:5" ht="15">
      <c r="D193" t="s">
        <v>2268</v>
      </c>
      <c r="E193" s="237" t="s">
        <v>3364</v>
      </c>
    </row>
    <row r="194" spans="4:5" ht="15">
      <c r="D194" t="s">
        <v>2269</v>
      </c>
      <c r="E194" s="237" t="s">
        <v>3365</v>
      </c>
    </row>
    <row r="195" spans="4:5" ht="15">
      <c r="D195" t="s">
        <v>2270</v>
      </c>
      <c r="E195" s="237" t="s">
        <v>3366</v>
      </c>
    </row>
    <row r="196" spans="4:5" ht="15">
      <c r="D196" t="s">
        <v>2271</v>
      </c>
      <c r="E196" s="237" t="s">
        <v>3367</v>
      </c>
    </row>
    <row r="197" spans="4:5" ht="15">
      <c r="D197" t="s">
        <v>2272</v>
      </c>
      <c r="E197" s="237" t="s">
        <v>3368</v>
      </c>
    </row>
    <row r="198" spans="4:5" ht="30">
      <c r="D198" t="s">
        <v>2273</v>
      </c>
      <c r="E198" s="237" t="s">
        <v>3369</v>
      </c>
    </row>
    <row r="199" spans="4:5" ht="15">
      <c r="D199" t="s">
        <v>2274</v>
      </c>
      <c r="E199" s="237" t="s">
        <v>3370</v>
      </c>
    </row>
    <row r="200" spans="4:5" ht="15">
      <c r="D200" t="s">
        <v>2275</v>
      </c>
      <c r="E200" s="237" t="s">
        <v>3371</v>
      </c>
    </row>
    <row r="201" spans="4:5" ht="15">
      <c r="D201" t="s">
        <v>2276</v>
      </c>
      <c r="E201" s="237" t="s">
        <v>3372</v>
      </c>
    </row>
    <row r="202" spans="4:5" ht="15">
      <c r="D202" t="s">
        <v>2277</v>
      </c>
      <c r="E202" s="237" t="s">
        <v>3373</v>
      </c>
    </row>
    <row r="203" spans="4:5" ht="15">
      <c r="D203" t="s">
        <v>2278</v>
      </c>
      <c r="E203" s="237" t="s">
        <v>3374</v>
      </c>
    </row>
    <row r="204" spans="4:5" ht="15">
      <c r="D204" t="s">
        <v>2057</v>
      </c>
      <c r="E204" s="237" t="s">
        <v>3375</v>
      </c>
    </row>
    <row r="205" spans="4:5" ht="15">
      <c r="D205" t="s">
        <v>2279</v>
      </c>
      <c r="E205" s="237" t="s">
        <v>3376</v>
      </c>
    </row>
    <row r="206" spans="4:5" ht="15">
      <c r="D206" t="s">
        <v>2817</v>
      </c>
      <c r="E206" s="237" t="s">
        <v>3377</v>
      </c>
    </row>
    <row r="207" spans="4:5" ht="30">
      <c r="D207" t="s">
        <v>2280</v>
      </c>
      <c r="E207" s="237" t="s">
        <v>3378</v>
      </c>
    </row>
    <row r="208" spans="4:5" ht="15">
      <c r="D208" t="s">
        <v>2281</v>
      </c>
      <c r="E208" s="237" t="s">
        <v>3379</v>
      </c>
    </row>
    <row r="209" spans="4:5" ht="30">
      <c r="D209" t="s">
        <v>2818</v>
      </c>
      <c r="E209" s="237" t="s">
        <v>3380</v>
      </c>
    </row>
    <row r="210" spans="4:5" ht="30">
      <c r="D210" t="s">
        <v>2282</v>
      </c>
      <c r="E210" s="237" t="s">
        <v>3381</v>
      </c>
    </row>
    <row r="211" spans="4:5" ht="30">
      <c r="D211" t="s">
        <v>2283</v>
      </c>
      <c r="E211" s="237" t="s">
        <v>3382</v>
      </c>
    </row>
    <row r="212" spans="4:5" ht="30">
      <c r="D212" t="s">
        <v>2284</v>
      </c>
      <c r="E212" s="237" t="s">
        <v>3383</v>
      </c>
    </row>
    <row r="213" spans="4:5" ht="30">
      <c r="D213" t="s">
        <v>2285</v>
      </c>
      <c r="E213" s="237" t="s">
        <v>3384</v>
      </c>
    </row>
    <row r="214" spans="4:5" ht="30">
      <c r="D214" t="s">
        <v>2286</v>
      </c>
      <c r="E214" s="237" t="s">
        <v>3385</v>
      </c>
    </row>
    <row r="215" spans="4:5" ht="30">
      <c r="D215" t="s">
        <v>2819</v>
      </c>
      <c r="E215" s="237" t="s">
        <v>3386</v>
      </c>
    </row>
    <row r="216" spans="4:5" ht="45">
      <c r="D216" t="s">
        <v>2287</v>
      </c>
      <c r="E216" s="237" t="s">
        <v>3387</v>
      </c>
    </row>
    <row r="217" spans="4:5" ht="30">
      <c r="D217" t="s">
        <v>2820</v>
      </c>
      <c r="E217" s="237" t="s">
        <v>3388</v>
      </c>
    </row>
    <row r="218" spans="4:5" ht="45">
      <c r="D218" t="s">
        <v>2821</v>
      </c>
      <c r="E218" s="237" t="s">
        <v>3389</v>
      </c>
    </row>
    <row r="219" spans="4:5" ht="15">
      <c r="D219" t="s">
        <v>2822</v>
      </c>
      <c r="E219" s="237" t="s">
        <v>3390</v>
      </c>
    </row>
    <row r="220" spans="4:5" ht="15">
      <c r="D220" t="s">
        <v>2823</v>
      </c>
      <c r="E220" s="237" t="s">
        <v>3391</v>
      </c>
    </row>
    <row r="221" spans="4:5" ht="15">
      <c r="D221" t="s">
        <v>2058</v>
      </c>
      <c r="E221" s="237" t="s">
        <v>3392</v>
      </c>
    </row>
    <row r="222" spans="4:5" ht="15">
      <c r="D222" t="s">
        <v>2288</v>
      </c>
      <c r="E222" s="237" t="s">
        <v>3393</v>
      </c>
    </row>
    <row r="223" spans="4:5" ht="15">
      <c r="D223" t="s">
        <v>2289</v>
      </c>
      <c r="E223" s="237" t="s">
        <v>3394</v>
      </c>
    </row>
    <row r="224" spans="4:5" ht="15">
      <c r="D224" t="s">
        <v>2290</v>
      </c>
      <c r="E224" s="237" t="s">
        <v>3395</v>
      </c>
    </row>
    <row r="225" spans="4:5" ht="15">
      <c r="D225" t="s">
        <v>2291</v>
      </c>
      <c r="E225" s="237" t="s">
        <v>3396</v>
      </c>
    </row>
    <row r="226" spans="4:5" ht="15">
      <c r="D226" t="s">
        <v>2292</v>
      </c>
      <c r="E226" s="237" t="s">
        <v>3397</v>
      </c>
    </row>
    <row r="227" spans="4:5" ht="15">
      <c r="D227" t="s">
        <v>2293</v>
      </c>
      <c r="E227" s="237" t="s">
        <v>3398</v>
      </c>
    </row>
    <row r="228" spans="4:5" ht="15">
      <c r="D228" t="s">
        <v>2294</v>
      </c>
      <c r="E228" s="237" t="s">
        <v>3399</v>
      </c>
    </row>
    <row r="229" spans="4:5" ht="15">
      <c r="D229" t="s">
        <v>2295</v>
      </c>
      <c r="E229" s="237" t="s">
        <v>3400</v>
      </c>
    </row>
    <row r="230" spans="4:5" ht="15">
      <c r="D230" t="s">
        <v>2296</v>
      </c>
      <c r="E230" s="237" t="s">
        <v>3401</v>
      </c>
    </row>
    <row r="231" spans="4:5" ht="15">
      <c r="D231" t="s">
        <v>2297</v>
      </c>
      <c r="E231" s="237" t="s">
        <v>3402</v>
      </c>
    </row>
    <row r="232" spans="4:5" ht="15">
      <c r="D232" t="s">
        <v>2298</v>
      </c>
      <c r="E232" s="237" t="s">
        <v>3403</v>
      </c>
    </row>
    <row r="233" spans="4:5" ht="15">
      <c r="D233" t="s">
        <v>2299</v>
      </c>
      <c r="E233" s="237" t="s">
        <v>3404</v>
      </c>
    </row>
    <row r="234" spans="4:5" ht="15">
      <c r="D234" t="s">
        <v>2059</v>
      </c>
      <c r="E234" s="237" t="s">
        <v>3405</v>
      </c>
    </row>
    <row r="235" spans="4:5" ht="15">
      <c r="D235" t="s">
        <v>2300</v>
      </c>
      <c r="E235" s="237" t="s">
        <v>3406</v>
      </c>
    </row>
    <row r="236" spans="4:5" ht="15">
      <c r="D236" t="s">
        <v>2301</v>
      </c>
      <c r="E236" s="237" t="s">
        <v>3407</v>
      </c>
    </row>
    <row r="237" spans="4:5" ht="15">
      <c r="D237" t="s">
        <v>2302</v>
      </c>
      <c r="E237" s="237" t="s">
        <v>3408</v>
      </c>
    </row>
    <row r="238" spans="4:5" ht="15">
      <c r="D238" t="s">
        <v>2303</v>
      </c>
      <c r="E238" s="237" t="s">
        <v>3409</v>
      </c>
    </row>
    <row r="239" spans="4:5" ht="15">
      <c r="D239" t="s">
        <v>2304</v>
      </c>
      <c r="E239" s="237" t="s">
        <v>3410</v>
      </c>
    </row>
    <row r="240" spans="4:5" ht="15">
      <c r="D240" t="s">
        <v>2305</v>
      </c>
      <c r="E240" s="237" t="s">
        <v>3411</v>
      </c>
    </row>
    <row r="241" spans="4:5" ht="15">
      <c r="D241" t="s">
        <v>2306</v>
      </c>
      <c r="E241" s="237" t="s">
        <v>3412</v>
      </c>
    </row>
    <row r="242" spans="4:5" ht="15">
      <c r="D242" t="s">
        <v>2307</v>
      </c>
      <c r="E242" s="237" t="s">
        <v>3413</v>
      </c>
    </row>
    <row r="243" spans="4:5" ht="15">
      <c r="D243" t="s">
        <v>2308</v>
      </c>
      <c r="E243" s="237" t="s">
        <v>3414</v>
      </c>
    </row>
    <row r="244" spans="4:5" ht="15">
      <c r="D244" t="s">
        <v>2309</v>
      </c>
      <c r="E244" s="237" t="s">
        <v>3415</v>
      </c>
    </row>
    <row r="245" spans="4:5" ht="15">
      <c r="D245" t="s">
        <v>2310</v>
      </c>
      <c r="E245" s="237" t="s">
        <v>3416</v>
      </c>
    </row>
    <row r="246" spans="4:5" ht="15">
      <c r="D246" t="s">
        <v>2311</v>
      </c>
      <c r="E246" s="237" t="s">
        <v>3417</v>
      </c>
    </row>
    <row r="247" spans="4:5" ht="15">
      <c r="D247" t="s">
        <v>2312</v>
      </c>
      <c r="E247" s="237" t="s">
        <v>3418</v>
      </c>
    </row>
    <row r="248" spans="4:5" ht="15">
      <c r="D248" t="s">
        <v>2313</v>
      </c>
      <c r="E248" s="237" t="s">
        <v>3419</v>
      </c>
    </row>
    <row r="249" spans="4:5" ht="15">
      <c r="D249" t="s">
        <v>2314</v>
      </c>
      <c r="E249" s="237" t="s">
        <v>3420</v>
      </c>
    </row>
    <row r="250" spans="4:5" ht="15">
      <c r="D250" t="s">
        <v>2315</v>
      </c>
      <c r="E250" s="237" t="s">
        <v>3421</v>
      </c>
    </row>
    <row r="251" spans="4:5" ht="30">
      <c r="D251" t="s">
        <v>2316</v>
      </c>
      <c r="E251" s="237" t="s">
        <v>3422</v>
      </c>
    </row>
    <row r="252" spans="4:5" ht="30">
      <c r="D252" t="s">
        <v>2317</v>
      </c>
      <c r="E252" s="237" t="s">
        <v>3423</v>
      </c>
    </row>
    <row r="253" spans="4:5" ht="15">
      <c r="D253" t="s">
        <v>2318</v>
      </c>
      <c r="E253" s="237" t="s">
        <v>3424</v>
      </c>
    </row>
    <row r="254" spans="4:5" ht="15">
      <c r="D254" t="s">
        <v>2319</v>
      </c>
      <c r="E254" s="237" t="s">
        <v>3425</v>
      </c>
    </row>
    <row r="255" spans="4:5" ht="15">
      <c r="D255" t="s">
        <v>2320</v>
      </c>
      <c r="E255" s="237" t="s">
        <v>3426</v>
      </c>
    </row>
    <row r="256" spans="4:5" ht="15">
      <c r="D256" t="s">
        <v>2321</v>
      </c>
      <c r="E256" s="237" t="s">
        <v>3427</v>
      </c>
    </row>
    <row r="257" spans="4:5" ht="15">
      <c r="D257" t="s">
        <v>2322</v>
      </c>
      <c r="E257" s="237" t="s">
        <v>3428</v>
      </c>
    </row>
    <row r="258" spans="4:5" ht="15">
      <c r="D258" t="s">
        <v>2323</v>
      </c>
      <c r="E258" s="237" t="s">
        <v>3429</v>
      </c>
    </row>
    <row r="259" spans="4:5" ht="15">
      <c r="D259" t="s">
        <v>2324</v>
      </c>
      <c r="E259" s="237" t="s">
        <v>3430</v>
      </c>
    </row>
    <row r="260" spans="4:5" ht="15">
      <c r="D260" t="s">
        <v>2325</v>
      </c>
      <c r="E260" s="237" t="s">
        <v>3431</v>
      </c>
    </row>
    <row r="261" spans="4:5" ht="15">
      <c r="D261" t="s">
        <v>2326</v>
      </c>
      <c r="E261" s="237" t="s">
        <v>3432</v>
      </c>
    </row>
    <row r="262" spans="4:5" ht="15">
      <c r="D262" t="s">
        <v>2327</v>
      </c>
      <c r="E262" s="237" t="s">
        <v>3433</v>
      </c>
    </row>
    <row r="263" spans="4:5" ht="15">
      <c r="D263" t="s">
        <v>2328</v>
      </c>
      <c r="E263" s="237" t="s">
        <v>3434</v>
      </c>
    </row>
    <row r="264" spans="4:5" ht="15">
      <c r="D264" t="s">
        <v>2329</v>
      </c>
      <c r="E264" s="237" t="s">
        <v>3435</v>
      </c>
    </row>
    <row r="265" spans="4:5" ht="15">
      <c r="D265" t="s">
        <v>2330</v>
      </c>
      <c r="E265" s="237" t="s">
        <v>3436</v>
      </c>
    </row>
    <row r="266" spans="4:5" ht="15">
      <c r="D266" t="s">
        <v>2331</v>
      </c>
      <c r="E266" s="237" t="s">
        <v>3437</v>
      </c>
    </row>
    <row r="267" spans="4:5" ht="15">
      <c r="D267" t="s">
        <v>2332</v>
      </c>
      <c r="E267" s="237" t="s">
        <v>3438</v>
      </c>
    </row>
    <row r="268" spans="4:5" ht="15">
      <c r="D268" t="s">
        <v>2333</v>
      </c>
      <c r="E268" s="237" t="s">
        <v>3439</v>
      </c>
    </row>
    <row r="269" spans="4:5" ht="15">
      <c r="D269" t="s">
        <v>2334</v>
      </c>
      <c r="E269" s="237" t="s">
        <v>3440</v>
      </c>
    </row>
    <row r="270" spans="4:5" ht="15">
      <c r="D270" t="s">
        <v>2335</v>
      </c>
      <c r="E270" s="237" t="s">
        <v>3441</v>
      </c>
    </row>
    <row r="271" spans="4:5" ht="15">
      <c r="D271" t="s">
        <v>2336</v>
      </c>
      <c r="E271" s="237" t="s">
        <v>3442</v>
      </c>
    </row>
    <row r="272" spans="4:5" ht="15">
      <c r="D272" t="s">
        <v>2337</v>
      </c>
      <c r="E272" s="237" t="s">
        <v>3443</v>
      </c>
    </row>
    <row r="273" spans="4:5" ht="15">
      <c r="D273" t="s">
        <v>2338</v>
      </c>
      <c r="E273" s="237" t="s">
        <v>3444</v>
      </c>
    </row>
    <row r="274" spans="4:5" ht="15">
      <c r="D274" t="s">
        <v>2339</v>
      </c>
      <c r="E274" s="237" t="s">
        <v>3445</v>
      </c>
    </row>
    <row r="275" spans="4:5" ht="15">
      <c r="D275" t="s">
        <v>2340</v>
      </c>
      <c r="E275" s="237" t="s">
        <v>3446</v>
      </c>
    </row>
    <row r="276" spans="4:5" ht="15">
      <c r="D276" t="s">
        <v>2341</v>
      </c>
      <c r="E276" s="237" t="s">
        <v>3447</v>
      </c>
    </row>
    <row r="277" spans="4:5" ht="15">
      <c r="D277" t="s">
        <v>2342</v>
      </c>
      <c r="E277" s="237" t="s">
        <v>3448</v>
      </c>
    </row>
    <row r="278" spans="4:5" ht="15">
      <c r="D278" t="s">
        <v>2343</v>
      </c>
      <c r="E278" s="237" t="s">
        <v>3449</v>
      </c>
    </row>
    <row r="279" spans="4:5" ht="15">
      <c r="D279" t="s">
        <v>2344</v>
      </c>
      <c r="E279" s="237" t="s">
        <v>3450</v>
      </c>
    </row>
    <row r="280" spans="4:5" ht="15">
      <c r="D280" t="s">
        <v>2345</v>
      </c>
      <c r="E280" s="237" t="s">
        <v>3451</v>
      </c>
    </row>
    <row r="281" spans="4:5" ht="15">
      <c r="D281" t="s">
        <v>2346</v>
      </c>
      <c r="E281" s="237" t="s">
        <v>3452</v>
      </c>
    </row>
    <row r="282" spans="4:5" ht="15">
      <c r="D282" t="s">
        <v>2347</v>
      </c>
      <c r="E282" s="237" t="s">
        <v>3453</v>
      </c>
    </row>
    <row r="283" spans="4:5" ht="15">
      <c r="D283" t="s">
        <v>2348</v>
      </c>
      <c r="E283" s="237" t="s">
        <v>3454</v>
      </c>
    </row>
    <row r="284" spans="4:5" ht="15">
      <c r="D284" t="s">
        <v>2349</v>
      </c>
      <c r="E284" s="237" t="s">
        <v>3455</v>
      </c>
    </row>
    <row r="285" spans="4:5" ht="15">
      <c r="D285" t="s">
        <v>2350</v>
      </c>
      <c r="E285" s="237" t="s">
        <v>3456</v>
      </c>
    </row>
    <row r="286" spans="4:5" ht="15">
      <c r="D286" t="s">
        <v>2351</v>
      </c>
      <c r="E286" s="237" t="s">
        <v>3457</v>
      </c>
    </row>
    <row r="287" spans="4:5" ht="30">
      <c r="D287" t="s">
        <v>2352</v>
      </c>
      <c r="E287" s="237" t="s">
        <v>3458</v>
      </c>
    </row>
    <row r="288" spans="4:5" ht="30">
      <c r="D288" t="s">
        <v>2353</v>
      </c>
      <c r="E288" s="237" t="s">
        <v>3459</v>
      </c>
    </row>
    <row r="289" spans="4:5" ht="30">
      <c r="D289" t="s">
        <v>2354</v>
      </c>
      <c r="E289" s="237" t="s">
        <v>3460</v>
      </c>
    </row>
    <row r="290" spans="4:5" ht="30">
      <c r="D290" t="s">
        <v>2355</v>
      </c>
      <c r="E290" s="237" t="s">
        <v>3461</v>
      </c>
    </row>
    <row r="291" spans="4:5" ht="15">
      <c r="D291" t="s">
        <v>2356</v>
      </c>
      <c r="E291" s="237" t="s">
        <v>3462</v>
      </c>
    </row>
    <row r="292" spans="4:5" ht="15">
      <c r="D292" t="s">
        <v>2357</v>
      </c>
      <c r="E292" s="237" t="s">
        <v>3463</v>
      </c>
    </row>
    <row r="293" spans="4:5" ht="15">
      <c r="D293" t="s">
        <v>2358</v>
      </c>
      <c r="E293" s="237" t="s">
        <v>3464</v>
      </c>
    </row>
    <row r="294" spans="4:5" ht="15">
      <c r="D294" t="s">
        <v>2359</v>
      </c>
      <c r="E294" s="237" t="s">
        <v>3465</v>
      </c>
    </row>
    <row r="295" spans="4:5" ht="15">
      <c r="D295" t="s">
        <v>2360</v>
      </c>
      <c r="E295" s="237" t="s">
        <v>3466</v>
      </c>
    </row>
    <row r="296" spans="4:5" ht="15">
      <c r="D296" t="s">
        <v>2361</v>
      </c>
      <c r="E296" s="237" t="s">
        <v>3467</v>
      </c>
    </row>
    <row r="297" spans="4:5" ht="15">
      <c r="D297" t="s">
        <v>2362</v>
      </c>
      <c r="E297" s="237" t="s">
        <v>3468</v>
      </c>
    </row>
    <row r="298" spans="4:5" ht="15">
      <c r="D298" t="s">
        <v>2363</v>
      </c>
      <c r="E298" s="237" t="s">
        <v>3469</v>
      </c>
    </row>
    <row r="299" spans="4:5" ht="15">
      <c r="D299" t="s">
        <v>2364</v>
      </c>
      <c r="E299" s="237" t="s">
        <v>3470</v>
      </c>
    </row>
    <row r="300" spans="4:5" ht="15">
      <c r="D300" t="s">
        <v>2365</v>
      </c>
      <c r="E300" s="237" t="s">
        <v>3471</v>
      </c>
    </row>
    <row r="301" spans="4:5" ht="15">
      <c r="D301" t="s">
        <v>2366</v>
      </c>
      <c r="E301" s="237" t="s">
        <v>3472</v>
      </c>
    </row>
    <row r="302" spans="4:5" ht="15">
      <c r="D302" t="s">
        <v>2367</v>
      </c>
      <c r="E302" s="237" t="s">
        <v>3473</v>
      </c>
    </row>
    <row r="303" spans="4:5" ht="15">
      <c r="D303" t="s">
        <v>2368</v>
      </c>
      <c r="E303" s="237" t="s">
        <v>3474</v>
      </c>
    </row>
    <row r="304" spans="4:5" ht="15">
      <c r="D304" t="s">
        <v>2369</v>
      </c>
      <c r="E304" s="237" t="s">
        <v>3475</v>
      </c>
    </row>
    <row r="305" spans="4:5" ht="15">
      <c r="D305" t="s">
        <v>2370</v>
      </c>
      <c r="E305" s="237" t="s">
        <v>3476</v>
      </c>
    </row>
    <row r="306" spans="4:5" ht="15">
      <c r="D306" t="s">
        <v>2371</v>
      </c>
      <c r="E306" s="237" t="s">
        <v>3477</v>
      </c>
    </row>
    <row r="307" spans="4:5" ht="15">
      <c r="D307" t="s">
        <v>2372</v>
      </c>
      <c r="E307" s="237" t="s">
        <v>3478</v>
      </c>
    </row>
    <row r="308" spans="4:5" ht="15">
      <c r="D308" t="s">
        <v>2373</v>
      </c>
      <c r="E308" s="237" t="s">
        <v>3479</v>
      </c>
    </row>
    <row r="309" spans="4:5" ht="45">
      <c r="D309" t="s">
        <v>2374</v>
      </c>
      <c r="E309" s="237" t="s">
        <v>3480</v>
      </c>
    </row>
    <row r="310" spans="4:5" ht="30">
      <c r="D310" t="s">
        <v>2375</v>
      </c>
      <c r="E310" s="237" t="s">
        <v>3481</v>
      </c>
    </row>
    <row r="311" spans="4:5" ht="15">
      <c r="D311" t="s">
        <v>2376</v>
      </c>
      <c r="E311" s="237" t="s">
        <v>3482</v>
      </c>
    </row>
    <row r="312" spans="4:5" ht="15">
      <c r="D312" t="s">
        <v>2377</v>
      </c>
      <c r="E312" s="237" t="s">
        <v>3483</v>
      </c>
    </row>
    <row r="313" spans="4:5" ht="15">
      <c r="D313" t="s">
        <v>2378</v>
      </c>
      <c r="E313" s="237" t="s">
        <v>3484</v>
      </c>
    </row>
    <row r="314" spans="4:5" ht="15">
      <c r="D314" t="s">
        <v>2379</v>
      </c>
      <c r="E314" s="237" t="s">
        <v>3485</v>
      </c>
    </row>
    <row r="315" spans="4:5" ht="15">
      <c r="D315" t="s">
        <v>2380</v>
      </c>
      <c r="E315" s="237" t="s">
        <v>3486</v>
      </c>
    </row>
    <row r="316" spans="4:5" ht="15">
      <c r="D316" t="s">
        <v>2381</v>
      </c>
      <c r="E316" s="237" t="s">
        <v>3487</v>
      </c>
    </row>
    <row r="317" spans="4:5" ht="15">
      <c r="D317" t="s">
        <v>2382</v>
      </c>
      <c r="E317" s="237" t="s">
        <v>3488</v>
      </c>
    </row>
    <row r="318" spans="4:5" ht="15">
      <c r="D318" t="s">
        <v>2383</v>
      </c>
      <c r="E318" s="237" t="s">
        <v>3489</v>
      </c>
    </row>
    <row r="319" spans="4:5" ht="15">
      <c r="D319" t="s">
        <v>2384</v>
      </c>
      <c r="E319" s="237" t="s">
        <v>3490</v>
      </c>
    </row>
    <row r="320" spans="4:5" ht="15">
      <c r="D320" t="s">
        <v>2385</v>
      </c>
      <c r="E320" s="237" t="s">
        <v>3491</v>
      </c>
    </row>
    <row r="321" spans="4:5" ht="15">
      <c r="D321" t="s">
        <v>2386</v>
      </c>
      <c r="E321" s="237" t="s">
        <v>3492</v>
      </c>
    </row>
    <row r="322" spans="4:5" ht="15">
      <c r="D322" t="s">
        <v>2387</v>
      </c>
      <c r="E322" s="237" t="s">
        <v>3493</v>
      </c>
    </row>
    <row r="323" spans="4:5" ht="15">
      <c r="D323" t="s">
        <v>2388</v>
      </c>
      <c r="E323" s="237" t="s">
        <v>3494</v>
      </c>
    </row>
    <row r="324" spans="4:5" ht="15">
      <c r="D324" t="s">
        <v>2389</v>
      </c>
      <c r="E324" s="237" t="s">
        <v>3495</v>
      </c>
    </row>
    <row r="325" spans="4:5" ht="15">
      <c r="D325" t="s">
        <v>2390</v>
      </c>
      <c r="E325" s="237" t="s">
        <v>3496</v>
      </c>
    </row>
    <row r="326" spans="4:5" ht="15">
      <c r="D326" t="s">
        <v>2391</v>
      </c>
      <c r="E326" s="237" t="s">
        <v>3497</v>
      </c>
    </row>
    <row r="327" spans="4:5" ht="15">
      <c r="D327" t="s">
        <v>2392</v>
      </c>
      <c r="E327" s="237" t="s">
        <v>3498</v>
      </c>
    </row>
    <row r="328" spans="4:5" ht="15">
      <c r="D328" t="s">
        <v>2393</v>
      </c>
      <c r="E328" s="237" t="s">
        <v>3499</v>
      </c>
    </row>
    <row r="329" spans="4:5" ht="15">
      <c r="D329" t="s">
        <v>2394</v>
      </c>
      <c r="E329" s="237" t="s">
        <v>3500</v>
      </c>
    </row>
    <row r="330" spans="4:5" ht="15">
      <c r="D330" t="s">
        <v>2395</v>
      </c>
      <c r="E330" s="237" t="s">
        <v>3501</v>
      </c>
    </row>
    <row r="331" spans="4:5" ht="15">
      <c r="D331" t="s">
        <v>2396</v>
      </c>
      <c r="E331" s="237" t="s">
        <v>3502</v>
      </c>
    </row>
    <row r="332" spans="4:5" ht="15">
      <c r="D332" t="s">
        <v>2397</v>
      </c>
      <c r="E332" s="237" t="s">
        <v>3503</v>
      </c>
    </row>
    <row r="333" spans="4:5" ht="15">
      <c r="D333" t="s">
        <v>2398</v>
      </c>
      <c r="E333" s="237" t="s">
        <v>3504</v>
      </c>
    </row>
    <row r="334" spans="4:5" ht="15">
      <c r="D334" t="s">
        <v>2399</v>
      </c>
      <c r="E334" s="237" t="s">
        <v>3505</v>
      </c>
    </row>
    <row r="335" spans="4:5" ht="15">
      <c r="D335" t="s">
        <v>2400</v>
      </c>
      <c r="E335" s="237" t="s">
        <v>3506</v>
      </c>
    </row>
    <row r="336" spans="4:5" ht="30">
      <c r="D336" t="s">
        <v>2401</v>
      </c>
      <c r="E336" s="237" t="s">
        <v>3507</v>
      </c>
    </row>
    <row r="337" spans="4:5" ht="30">
      <c r="D337" t="s">
        <v>2402</v>
      </c>
      <c r="E337" s="237" t="s">
        <v>3508</v>
      </c>
    </row>
    <row r="338" spans="4:5" ht="30">
      <c r="D338" t="s">
        <v>2403</v>
      </c>
      <c r="E338" s="237" t="s">
        <v>3509</v>
      </c>
    </row>
    <row r="339" spans="4:5" ht="30">
      <c r="D339" t="s">
        <v>2404</v>
      </c>
      <c r="E339" s="237" t="s">
        <v>3510</v>
      </c>
    </row>
    <row r="340" spans="4:5" ht="30">
      <c r="D340" t="s">
        <v>2405</v>
      </c>
      <c r="E340" s="237" t="s">
        <v>3511</v>
      </c>
    </row>
    <row r="341" spans="4:5" ht="30">
      <c r="D341" t="s">
        <v>2406</v>
      </c>
      <c r="E341" s="237" t="s">
        <v>3512</v>
      </c>
    </row>
    <row r="342" spans="4:5" ht="30">
      <c r="D342" t="s">
        <v>2407</v>
      </c>
      <c r="E342" s="237" t="s">
        <v>3513</v>
      </c>
    </row>
    <row r="343" spans="4:5" ht="30">
      <c r="D343" t="s">
        <v>2408</v>
      </c>
      <c r="E343" s="237" t="s">
        <v>3514</v>
      </c>
    </row>
    <row r="344" spans="4:5" ht="30">
      <c r="D344" t="s">
        <v>2409</v>
      </c>
      <c r="E344" s="237" t="s">
        <v>3515</v>
      </c>
    </row>
    <row r="345" spans="4:5" ht="30">
      <c r="D345" t="s">
        <v>2410</v>
      </c>
      <c r="E345" s="237" t="s">
        <v>3516</v>
      </c>
    </row>
    <row r="346" spans="4:5" ht="30">
      <c r="D346" t="s">
        <v>2411</v>
      </c>
      <c r="E346" s="237" t="s">
        <v>3517</v>
      </c>
    </row>
    <row r="347" spans="4:5" ht="30">
      <c r="D347" t="s">
        <v>2412</v>
      </c>
      <c r="E347" s="237" t="s">
        <v>3518</v>
      </c>
    </row>
    <row r="348" spans="4:5" ht="30">
      <c r="D348" t="s">
        <v>2413</v>
      </c>
      <c r="E348" s="237" t="s">
        <v>3519</v>
      </c>
    </row>
    <row r="349" spans="4:5" ht="15">
      <c r="D349" t="s">
        <v>2414</v>
      </c>
      <c r="E349" s="237" t="s">
        <v>3520</v>
      </c>
    </row>
    <row r="350" spans="4:5" ht="15">
      <c r="D350" t="s">
        <v>2415</v>
      </c>
      <c r="E350" s="237" t="s">
        <v>3521</v>
      </c>
    </row>
    <row r="351" spans="4:5" ht="15">
      <c r="D351" t="s">
        <v>2060</v>
      </c>
      <c r="E351" s="237" t="s">
        <v>3522</v>
      </c>
    </row>
    <row r="352" spans="4:5" ht="15">
      <c r="D352" t="s">
        <v>2416</v>
      </c>
      <c r="E352" s="237" t="s">
        <v>3523</v>
      </c>
    </row>
    <row r="353" spans="4:5" ht="15">
      <c r="D353" t="s">
        <v>2417</v>
      </c>
      <c r="E353" s="237" t="s">
        <v>3524</v>
      </c>
    </row>
    <row r="354" spans="4:5" ht="15">
      <c r="D354" t="s">
        <v>2418</v>
      </c>
      <c r="E354" s="237" t="s">
        <v>3525</v>
      </c>
    </row>
    <row r="355" spans="4:5" ht="15">
      <c r="D355" t="s">
        <v>2419</v>
      </c>
      <c r="E355" s="237" t="s">
        <v>3526</v>
      </c>
    </row>
    <row r="356" spans="4:5" ht="15">
      <c r="D356" t="s">
        <v>2420</v>
      </c>
      <c r="E356" s="237" t="s">
        <v>3527</v>
      </c>
    </row>
    <row r="357" spans="4:5" ht="15">
      <c r="D357" t="s">
        <v>2421</v>
      </c>
      <c r="E357" s="237" t="s">
        <v>3528</v>
      </c>
    </row>
    <row r="358" spans="4:5" ht="30">
      <c r="D358" t="s">
        <v>2422</v>
      </c>
      <c r="E358" s="237" t="s">
        <v>3529</v>
      </c>
    </row>
    <row r="359" spans="4:5" ht="30">
      <c r="D359" t="s">
        <v>2423</v>
      </c>
      <c r="E359" s="237" t="s">
        <v>3530</v>
      </c>
    </row>
    <row r="360" spans="4:5" ht="15">
      <c r="D360" t="s">
        <v>2424</v>
      </c>
      <c r="E360" s="237" t="s">
        <v>3531</v>
      </c>
    </row>
    <row r="361" spans="4:5" ht="15">
      <c r="D361" t="s">
        <v>2425</v>
      </c>
      <c r="E361" s="237" t="s">
        <v>3532</v>
      </c>
    </row>
    <row r="362" spans="4:5" ht="30">
      <c r="D362" t="s">
        <v>2426</v>
      </c>
      <c r="E362" s="237" t="s">
        <v>3533</v>
      </c>
    </row>
    <row r="363" spans="4:5" ht="30">
      <c r="D363" t="s">
        <v>2427</v>
      </c>
      <c r="E363" s="237" t="s">
        <v>3534</v>
      </c>
    </row>
    <row r="364" spans="4:5" ht="15">
      <c r="D364" t="s">
        <v>2061</v>
      </c>
      <c r="E364" s="237" t="s">
        <v>3535</v>
      </c>
    </row>
    <row r="365" spans="4:5" ht="15">
      <c r="D365" t="s">
        <v>2428</v>
      </c>
      <c r="E365" s="237" t="s">
        <v>3536</v>
      </c>
    </row>
    <row r="366" spans="4:5" ht="15">
      <c r="D366" t="s">
        <v>2429</v>
      </c>
      <c r="E366" s="237" t="s">
        <v>3537</v>
      </c>
    </row>
    <row r="367" spans="4:5" ht="15">
      <c r="D367" t="s">
        <v>2430</v>
      </c>
      <c r="E367" s="237" t="s">
        <v>3538</v>
      </c>
    </row>
    <row r="368" spans="4:5" ht="30">
      <c r="D368" t="s">
        <v>2431</v>
      </c>
      <c r="E368" s="237" t="s">
        <v>3539</v>
      </c>
    </row>
    <row r="369" spans="4:5" ht="30">
      <c r="D369" t="s">
        <v>2432</v>
      </c>
      <c r="E369" s="237" t="s">
        <v>3540</v>
      </c>
    </row>
    <row r="370" spans="4:5" ht="15">
      <c r="D370" t="s">
        <v>2433</v>
      </c>
      <c r="E370" s="237" t="s">
        <v>3541</v>
      </c>
    </row>
    <row r="371" spans="4:5" ht="15">
      <c r="D371" t="s">
        <v>2434</v>
      </c>
      <c r="E371" s="237" t="s">
        <v>3542</v>
      </c>
    </row>
    <row r="372" spans="4:5" ht="15">
      <c r="D372" t="s">
        <v>2435</v>
      </c>
      <c r="E372" s="237" t="s">
        <v>3543</v>
      </c>
    </row>
    <row r="373" spans="4:5" ht="15">
      <c r="D373" t="s">
        <v>2436</v>
      </c>
      <c r="E373" s="237" t="s">
        <v>3544</v>
      </c>
    </row>
    <row r="374" spans="4:5" ht="15">
      <c r="D374" t="s">
        <v>2437</v>
      </c>
      <c r="E374" s="237" t="s">
        <v>3545</v>
      </c>
    </row>
    <row r="375" spans="4:5" ht="15">
      <c r="D375" t="s">
        <v>2438</v>
      </c>
      <c r="E375" s="237" t="s">
        <v>3546</v>
      </c>
    </row>
    <row r="376" spans="4:5" ht="15">
      <c r="D376" t="s">
        <v>2439</v>
      </c>
      <c r="E376" s="237" t="s">
        <v>3547</v>
      </c>
    </row>
    <row r="377" spans="4:5" ht="15">
      <c r="D377" t="s">
        <v>2440</v>
      </c>
      <c r="E377" s="237" t="s">
        <v>3548</v>
      </c>
    </row>
    <row r="378" spans="4:5" ht="15">
      <c r="D378" t="s">
        <v>2441</v>
      </c>
      <c r="E378" s="237" t="s">
        <v>3549</v>
      </c>
    </row>
    <row r="379" spans="4:5" ht="15">
      <c r="D379" t="s">
        <v>2442</v>
      </c>
      <c r="E379" s="237" t="s">
        <v>3550</v>
      </c>
    </row>
    <row r="380" spans="4:5" ht="15">
      <c r="D380" t="s">
        <v>2443</v>
      </c>
      <c r="E380" s="237" t="s">
        <v>3551</v>
      </c>
    </row>
    <row r="381" spans="4:5" ht="15">
      <c r="D381" t="s">
        <v>2444</v>
      </c>
      <c r="E381" s="237" t="s">
        <v>3552</v>
      </c>
    </row>
    <row r="382" spans="4:5" ht="15">
      <c r="D382" t="s">
        <v>2445</v>
      </c>
      <c r="E382" s="237" t="s">
        <v>3553</v>
      </c>
    </row>
    <row r="383" spans="4:5" ht="30">
      <c r="D383" t="s">
        <v>2446</v>
      </c>
      <c r="E383" s="237" t="s">
        <v>3554</v>
      </c>
    </row>
    <row r="384" spans="4:5" ht="15">
      <c r="D384" t="s">
        <v>2447</v>
      </c>
      <c r="E384" s="237" t="s">
        <v>3555</v>
      </c>
    </row>
    <row r="385" spans="4:5" ht="15">
      <c r="D385" t="s">
        <v>2448</v>
      </c>
      <c r="E385" s="237" t="s">
        <v>3556</v>
      </c>
    </row>
    <row r="386" spans="4:5" ht="15">
      <c r="D386" t="s">
        <v>2449</v>
      </c>
      <c r="E386" s="237" t="s">
        <v>3557</v>
      </c>
    </row>
    <row r="387" spans="4:5" ht="15">
      <c r="D387" t="s">
        <v>2450</v>
      </c>
      <c r="E387" s="237" t="s">
        <v>3558</v>
      </c>
    </row>
    <row r="388" spans="4:5" ht="15">
      <c r="D388" t="s">
        <v>2824</v>
      </c>
      <c r="E388" s="237" t="s">
        <v>3559</v>
      </c>
    </row>
    <row r="389" spans="4:5" ht="15">
      <c r="D389" t="s">
        <v>2451</v>
      </c>
      <c r="E389" s="237" t="s">
        <v>3560</v>
      </c>
    </row>
    <row r="390" spans="4:5" ht="15">
      <c r="D390" t="s">
        <v>2452</v>
      </c>
      <c r="E390" s="237" t="s">
        <v>3561</v>
      </c>
    </row>
    <row r="391" spans="4:5" ht="15">
      <c r="D391" t="s">
        <v>2453</v>
      </c>
      <c r="E391" s="237" t="s">
        <v>3562</v>
      </c>
    </row>
    <row r="392" spans="4:5" ht="15">
      <c r="D392" t="s">
        <v>2454</v>
      </c>
      <c r="E392" s="237" t="s">
        <v>3563</v>
      </c>
    </row>
    <row r="393" spans="4:5" ht="15">
      <c r="D393" t="s">
        <v>2455</v>
      </c>
      <c r="E393" s="237" t="s">
        <v>3564</v>
      </c>
    </row>
    <row r="394" spans="4:5" ht="15">
      <c r="D394" t="s">
        <v>2456</v>
      </c>
      <c r="E394" s="237" t="s">
        <v>3565</v>
      </c>
    </row>
    <row r="395" spans="4:5" ht="15">
      <c r="D395" t="s">
        <v>2457</v>
      </c>
      <c r="E395" s="237" t="s">
        <v>3566</v>
      </c>
    </row>
    <row r="396" spans="4:5" ht="15">
      <c r="D396" t="s">
        <v>2458</v>
      </c>
      <c r="E396" s="237" t="s">
        <v>3567</v>
      </c>
    </row>
    <row r="397" spans="4:5" ht="15">
      <c r="D397" t="s">
        <v>2459</v>
      </c>
      <c r="E397" s="237" t="s">
        <v>3568</v>
      </c>
    </row>
    <row r="398" spans="4:5" ht="15">
      <c r="D398" t="s">
        <v>2460</v>
      </c>
      <c r="E398" s="237" t="s">
        <v>3569</v>
      </c>
    </row>
    <row r="399" spans="4:5" ht="15">
      <c r="D399" t="s">
        <v>2461</v>
      </c>
      <c r="E399" s="237" t="s">
        <v>3570</v>
      </c>
    </row>
    <row r="400" spans="4:5" ht="15">
      <c r="D400" t="s">
        <v>2462</v>
      </c>
      <c r="E400" s="237" t="s">
        <v>3571</v>
      </c>
    </row>
    <row r="401" spans="4:5" ht="15">
      <c r="D401" t="s">
        <v>2463</v>
      </c>
      <c r="E401" s="237" t="s">
        <v>3572</v>
      </c>
    </row>
    <row r="402" spans="4:5" ht="30">
      <c r="D402" t="s">
        <v>2464</v>
      </c>
      <c r="E402" s="237" t="s">
        <v>3573</v>
      </c>
    </row>
    <row r="403" spans="4:5" ht="15">
      <c r="D403" t="s">
        <v>2465</v>
      </c>
      <c r="E403" s="237" t="s">
        <v>3574</v>
      </c>
    </row>
    <row r="404" spans="4:5" ht="15">
      <c r="D404" t="s">
        <v>2466</v>
      </c>
      <c r="E404" s="237" t="s">
        <v>3575</v>
      </c>
    </row>
    <row r="405" spans="4:5" ht="15">
      <c r="D405" t="s">
        <v>2467</v>
      </c>
      <c r="E405" s="237" t="s">
        <v>3576</v>
      </c>
    </row>
    <row r="406" spans="4:5" ht="15">
      <c r="D406" t="s">
        <v>2468</v>
      </c>
      <c r="E406" s="237" t="s">
        <v>3577</v>
      </c>
    </row>
    <row r="407" spans="4:5" ht="15">
      <c r="D407" t="s">
        <v>2469</v>
      </c>
      <c r="E407" s="237" t="s">
        <v>3578</v>
      </c>
    </row>
    <row r="408" spans="4:5" ht="15">
      <c r="D408" t="s">
        <v>2062</v>
      </c>
      <c r="E408" s="237" t="s">
        <v>3579</v>
      </c>
    </row>
    <row r="409" spans="4:5" ht="30">
      <c r="D409" t="s">
        <v>2470</v>
      </c>
      <c r="E409" s="237" t="s">
        <v>3580</v>
      </c>
    </row>
    <row r="410" spans="4:5" ht="30">
      <c r="D410" t="s">
        <v>2471</v>
      </c>
      <c r="E410" s="237" t="s">
        <v>3581</v>
      </c>
    </row>
    <row r="411" spans="4:5" ht="15">
      <c r="D411" t="s">
        <v>2472</v>
      </c>
      <c r="E411" s="237" t="s">
        <v>3582</v>
      </c>
    </row>
    <row r="412" spans="4:5" ht="15">
      <c r="D412" t="s">
        <v>2473</v>
      </c>
      <c r="E412" s="237" t="s">
        <v>3583</v>
      </c>
    </row>
    <row r="413" spans="4:5" ht="15">
      <c r="D413" t="s">
        <v>2474</v>
      </c>
      <c r="E413" s="237" t="s">
        <v>3584</v>
      </c>
    </row>
    <row r="414" spans="4:5" ht="15">
      <c r="D414" t="s">
        <v>2475</v>
      </c>
      <c r="E414" s="237" t="s">
        <v>3585</v>
      </c>
    </row>
    <row r="415" spans="4:5" ht="15">
      <c r="D415" t="s">
        <v>2476</v>
      </c>
      <c r="E415" s="237" t="s">
        <v>3586</v>
      </c>
    </row>
    <row r="416" spans="4:5" ht="15">
      <c r="D416" t="s">
        <v>2477</v>
      </c>
      <c r="E416" s="237" t="s">
        <v>3587</v>
      </c>
    </row>
    <row r="417" spans="4:5" ht="15">
      <c r="D417" t="s">
        <v>2478</v>
      </c>
      <c r="E417" s="237" t="s">
        <v>3588</v>
      </c>
    </row>
    <row r="418" spans="4:5" ht="15">
      <c r="D418" t="s">
        <v>2479</v>
      </c>
      <c r="E418" s="237" t="s">
        <v>3589</v>
      </c>
    </row>
    <row r="419" spans="4:5" ht="15">
      <c r="D419" t="s">
        <v>2480</v>
      </c>
      <c r="E419" s="237" t="s">
        <v>3590</v>
      </c>
    </row>
    <row r="420" spans="4:5" ht="15">
      <c r="D420" t="s">
        <v>2481</v>
      </c>
      <c r="E420" s="237" t="s">
        <v>3591</v>
      </c>
    </row>
    <row r="421" spans="4:5" ht="15">
      <c r="D421" t="s">
        <v>2482</v>
      </c>
      <c r="E421" s="237" t="s">
        <v>3592</v>
      </c>
    </row>
    <row r="422" spans="4:5" ht="15">
      <c r="D422" t="s">
        <v>2483</v>
      </c>
      <c r="E422" s="237" t="s">
        <v>3593</v>
      </c>
    </row>
    <row r="423" spans="4:5" ht="15">
      <c r="D423" t="s">
        <v>2484</v>
      </c>
      <c r="E423" s="237" t="s">
        <v>3594</v>
      </c>
    </row>
    <row r="424" spans="4:5" ht="15">
      <c r="D424" t="s">
        <v>2485</v>
      </c>
      <c r="E424" s="237" t="s">
        <v>3595</v>
      </c>
    </row>
    <row r="425" spans="4:5" ht="15">
      <c r="D425" t="s">
        <v>2486</v>
      </c>
      <c r="E425" s="237" t="s">
        <v>3596</v>
      </c>
    </row>
    <row r="426" spans="4:5" ht="15">
      <c r="D426" t="s">
        <v>2487</v>
      </c>
      <c r="E426" s="237" t="s">
        <v>3597</v>
      </c>
    </row>
    <row r="427" spans="4:5" ht="15">
      <c r="D427" t="s">
        <v>2488</v>
      </c>
      <c r="E427" s="237" t="s">
        <v>3598</v>
      </c>
    </row>
    <row r="428" spans="4:5" ht="15">
      <c r="D428" t="s">
        <v>2489</v>
      </c>
      <c r="E428" s="237" t="s">
        <v>3599</v>
      </c>
    </row>
    <row r="429" spans="4:5" ht="15">
      <c r="D429" t="s">
        <v>2490</v>
      </c>
      <c r="E429" s="237" t="s">
        <v>3600</v>
      </c>
    </row>
    <row r="430" spans="4:5" ht="30">
      <c r="D430" t="s">
        <v>2491</v>
      </c>
      <c r="E430" s="237" t="s">
        <v>3601</v>
      </c>
    </row>
    <row r="431" spans="4:5" ht="15">
      <c r="D431" t="s">
        <v>2492</v>
      </c>
      <c r="E431" s="237" t="s">
        <v>3602</v>
      </c>
    </row>
    <row r="432" spans="4:5" ht="15">
      <c r="D432" t="s">
        <v>2493</v>
      </c>
      <c r="E432" s="237" t="s">
        <v>3603</v>
      </c>
    </row>
    <row r="433" spans="4:5" ht="15">
      <c r="D433" t="s">
        <v>2494</v>
      </c>
      <c r="E433" s="237" t="s">
        <v>3604</v>
      </c>
    </row>
    <row r="434" spans="4:5" ht="15">
      <c r="D434" t="s">
        <v>2063</v>
      </c>
      <c r="E434" s="237" t="s">
        <v>3605</v>
      </c>
    </row>
    <row r="435" spans="4:5" ht="15">
      <c r="D435" t="s">
        <v>2495</v>
      </c>
      <c r="E435" s="237" t="s">
        <v>3606</v>
      </c>
    </row>
    <row r="436" spans="4:5" ht="15">
      <c r="D436" t="s">
        <v>2496</v>
      </c>
      <c r="E436" s="237" t="s">
        <v>3607</v>
      </c>
    </row>
    <row r="437" spans="4:5" ht="15">
      <c r="D437" t="s">
        <v>2497</v>
      </c>
      <c r="E437" s="237" t="s">
        <v>3608</v>
      </c>
    </row>
    <row r="438" spans="4:5" ht="15">
      <c r="D438" t="s">
        <v>2498</v>
      </c>
      <c r="E438" s="237" t="s">
        <v>3609</v>
      </c>
    </row>
    <row r="439" spans="4:5" ht="15">
      <c r="D439" t="s">
        <v>2499</v>
      </c>
      <c r="E439" s="237" t="s">
        <v>3610</v>
      </c>
    </row>
    <row r="440" spans="4:5" ht="15">
      <c r="D440" t="s">
        <v>2500</v>
      </c>
      <c r="E440" s="237" t="s">
        <v>3611</v>
      </c>
    </row>
    <row r="441" spans="4:5" ht="15">
      <c r="D441" t="s">
        <v>2501</v>
      </c>
      <c r="E441" s="237" t="s">
        <v>3612</v>
      </c>
    </row>
    <row r="442" spans="4:5" ht="15">
      <c r="D442" t="s">
        <v>2502</v>
      </c>
      <c r="E442" s="237" t="s">
        <v>3613</v>
      </c>
    </row>
    <row r="443" spans="4:5" ht="15">
      <c r="D443" t="s">
        <v>2503</v>
      </c>
      <c r="E443" s="237" t="s">
        <v>3614</v>
      </c>
    </row>
    <row r="444" spans="4:5" ht="15">
      <c r="D444" t="s">
        <v>2504</v>
      </c>
      <c r="E444" s="237" t="s">
        <v>3615</v>
      </c>
    </row>
    <row r="445" spans="4:5" ht="15">
      <c r="D445" t="s">
        <v>2505</v>
      </c>
      <c r="E445" s="237" t="s">
        <v>3616</v>
      </c>
    </row>
    <row r="446" spans="4:5" ht="30">
      <c r="D446" t="s">
        <v>2506</v>
      </c>
      <c r="E446" s="237" t="s">
        <v>3617</v>
      </c>
    </row>
    <row r="447" spans="4:5" ht="30">
      <c r="D447" t="s">
        <v>2507</v>
      </c>
      <c r="E447" s="237" t="s">
        <v>3618</v>
      </c>
    </row>
    <row r="448" spans="4:5" ht="15">
      <c r="D448" t="s">
        <v>2508</v>
      </c>
      <c r="E448" s="237" t="s">
        <v>3619</v>
      </c>
    </row>
    <row r="449" spans="4:5" ht="15">
      <c r="D449" t="s">
        <v>2509</v>
      </c>
      <c r="E449" s="237" t="s">
        <v>3620</v>
      </c>
    </row>
    <row r="450" spans="4:5" ht="15">
      <c r="D450" t="s">
        <v>2510</v>
      </c>
      <c r="E450" s="237" t="s">
        <v>3621</v>
      </c>
    </row>
    <row r="451" spans="4:5" ht="15">
      <c r="D451" t="s">
        <v>2511</v>
      </c>
      <c r="E451" s="237" t="s">
        <v>3622</v>
      </c>
    </row>
    <row r="452" spans="4:5" ht="15">
      <c r="D452" t="s">
        <v>2512</v>
      </c>
      <c r="E452" s="237" t="s">
        <v>3623</v>
      </c>
    </row>
    <row r="453" spans="4:5" ht="30">
      <c r="D453" t="s">
        <v>2513</v>
      </c>
      <c r="E453" s="237" t="s">
        <v>3624</v>
      </c>
    </row>
    <row r="454" spans="4:5" ht="15">
      <c r="D454" t="s">
        <v>2514</v>
      </c>
      <c r="E454" s="237" t="s">
        <v>3625</v>
      </c>
    </row>
    <row r="455" spans="4:5" ht="15">
      <c r="D455" t="s">
        <v>2515</v>
      </c>
      <c r="E455" s="237" t="s">
        <v>3626</v>
      </c>
    </row>
    <row r="456" spans="4:5" ht="15">
      <c r="D456" t="s">
        <v>2516</v>
      </c>
      <c r="E456" s="237" t="s">
        <v>3627</v>
      </c>
    </row>
    <row r="457" spans="4:5" ht="15">
      <c r="D457" t="s">
        <v>2517</v>
      </c>
      <c r="E457" s="237" t="s">
        <v>3628</v>
      </c>
    </row>
    <row r="458" spans="4:5" ht="15">
      <c r="D458" t="s">
        <v>2518</v>
      </c>
      <c r="E458" s="237" t="s">
        <v>3629</v>
      </c>
    </row>
    <row r="459" spans="4:5" ht="15">
      <c r="D459" t="s">
        <v>2519</v>
      </c>
      <c r="E459" s="237" t="s">
        <v>3630</v>
      </c>
    </row>
    <row r="460" spans="4:5" ht="15">
      <c r="D460" t="s">
        <v>2520</v>
      </c>
      <c r="E460" s="237" t="s">
        <v>3631</v>
      </c>
    </row>
    <row r="461" spans="4:5" ht="15">
      <c r="D461" t="s">
        <v>2521</v>
      </c>
      <c r="E461" s="237" t="s">
        <v>3632</v>
      </c>
    </row>
    <row r="462" spans="4:5" ht="15">
      <c r="D462" t="s">
        <v>2522</v>
      </c>
      <c r="E462" s="237" t="s">
        <v>3633</v>
      </c>
    </row>
    <row r="463" spans="4:5" ht="15">
      <c r="D463" t="s">
        <v>2523</v>
      </c>
      <c r="E463" s="237" t="s">
        <v>3634</v>
      </c>
    </row>
    <row r="464" spans="4:5" ht="15">
      <c r="D464" t="s">
        <v>2524</v>
      </c>
      <c r="E464" s="237" t="s">
        <v>3635</v>
      </c>
    </row>
    <row r="465" spans="4:5" ht="15">
      <c r="D465" t="s">
        <v>2525</v>
      </c>
      <c r="E465" s="237" t="s">
        <v>3636</v>
      </c>
    </row>
    <row r="466" spans="4:5" ht="15">
      <c r="D466" t="s">
        <v>2526</v>
      </c>
      <c r="E466" s="237" t="s">
        <v>3637</v>
      </c>
    </row>
    <row r="467" spans="4:5" ht="15">
      <c r="D467" t="s">
        <v>2527</v>
      </c>
      <c r="E467" s="237" t="s">
        <v>3638</v>
      </c>
    </row>
    <row r="468" spans="4:5" ht="15">
      <c r="D468" t="s">
        <v>2528</v>
      </c>
      <c r="E468" s="237" t="s">
        <v>3639</v>
      </c>
    </row>
    <row r="469" spans="4:5" ht="15">
      <c r="D469" t="s">
        <v>2529</v>
      </c>
      <c r="E469" s="237" t="s">
        <v>3640</v>
      </c>
    </row>
    <row r="470" spans="4:5" ht="15">
      <c r="D470" t="s">
        <v>2530</v>
      </c>
      <c r="E470" s="237" t="s">
        <v>3641</v>
      </c>
    </row>
    <row r="471" spans="4:5" ht="15">
      <c r="D471" t="s">
        <v>2531</v>
      </c>
      <c r="E471" s="237" t="s">
        <v>3642</v>
      </c>
    </row>
    <row r="472" spans="4:5" ht="15">
      <c r="D472" t="s">
        <v>2532</v>
      </c>
      <c r="E472" s="237" t="s">
        <v>3643</v>
      </c>
    </row>
    <row r="473" spans="4:5" ht="30">
      <c r="D473" t="s">
        <v>2533</v>
      </c>
      <c r="E473" s="237" t="s">
        <v>3644</v>
      </c>
    </row>
    <row r="474" spans="4:5" ht="30">
      <c r="D474" t="s">
        <v>2534</v>
      </c>
      <c r="E474" s="237" t="s">
        <v>3645</v>
      </c>
    </row>
    <row r="475" spans="4:5" ht="30">
      <c r="D475" t="s">
        <v>2825</v>
      </c>
      <c r="E475" s="237" t="s">
        <v>3646</v>
      </c>
    </row>
    <row r="476" spans="4:5" ht="15">
      <c r="D476" t="s">
        <v>2826</v>
      </c>
      <c r="E476" s="237" t="s">
        <v>3647</v>
      </c>
    </row>
    <row r="477" spans="4:5" ht="15">
      <c r="D477" t="s">
        <v>2827</v>
      </c>
      <c r="E477" s="237" t="s">
        <v>3648</v>
      </c>
    </row>
    <row r="478" spans="4:5" ht="15">
      <c r="D478" t="s">
        <v>2828</v>
      </c>
      <c r="E478" s="237" t="s">
        <v>3649</v>
      </c>
    </row>
    <row r="479" spans="4:5" ht="15">
      <c r="D479" t="s">
        <v>2829</v>
      </c>
      <c r="E479" s="237" t="s">
        <v>3650</v>
      </c>
    </row>
    <row r="480" spans="4:5" ht="15">
      <c r="D480" t="s">
        <v>2830</v>
      </c>
      <c r="E480" s="237" t="s">
        <v>3651</v>
      </c>
    </row>
    <row r="481" spans="4:5" ht="15">
      <c r="D481" t="s">
        <v>2831</v>
      </c>
      <c r="E481" s="237" t="s">
        <v>3652</v>
      </c>
    </row>
    <row r="482" spans="4:5" ht="15">
      <c r="D482" s="238"/>
      <c r="E482" s="237" t="s">
        <v>3653</v>
      </c>
    </row>
    <row r="483" spans="4:5" ht="15">
      <c r="D483" s="238"/>
      <c r="E483" s="237" t="s">
        <v>3654</v>
      </c>
    </row>
    <row r="484" spans="4:5" ht="15">
      <c r="D484" s="238"/>
      <c r="E484" s="237" t="s">
        <v>3655</v>
      </c>
    </row>
    <row r="485" spans="4:5" ht="15">
      <c r="D485" s="238"/>
      <c r="E485" s="237" t="s">
        <v>3656</v>
      </c>
    </row>
    <row r="486" spans="4:5" ht="15">
      <c r="D486" s="238"/>
      <c r="E486" s="237" t="s">
        <v>3657</v>
      </c>
    </row>
    <row r="487" spans="4:5" ht="15">
      <c r="D487" s="238"/>
      <c r="E487" s="237" t="s">
        <v>3658</v>
      </c>
    </row>
    <row r="488" spans="4:5" ht="15">
      <c r="D488" s="238"/>
      <c r="E488" s="237" t="s">
        <v>3659</v>
      </c>
    </row>
    <row r="489" spans="4:5" ht="15">
      <c r="D489" s="238"/>
      <c r="E489" s="237" t="s">
        <v>3660</v>
      </c>
    </row>
    <row r="490" spans="4:5" ht="15">
      <c r="D490" s="238"/>
      <c r="E490" s="237" t="s">
        <v>3661</v>
      </c>
    </row>
    <row r="491" spans="4:5" ht="15">
      <c r="D491" s="238"/>
      <c r="E491" s="237" t="s">
        <v>3662</v>
      </c>
    </row>
    <row r="492" spans="4:5" ht="15">
      <c r="D492" s="238"/>
      <c r="E492" s="237" t="s">
        <v>3663</v>
      </c>
    </row>
    <row r="493" spans="4:5" ht="15">
      <c r="D493" s="238"/>
      <c r="E493" s="237" t="s">
        <v>3664</v>
      </c>
    </row>
    <row r="494" spans="4:5" ht="15">
      <c r="D494" s="238"/>
      <c r="E494" s="237" t="s">
        <v>3665</v>
      </c>
    </row>
    <row r="495" spans="4:5" ht="15">
      <c r="D495" s="238"/>
      <c r="E495" s="237" t="s">
        <v>3666</v>
      </c>
    </row>
    <row r="496" spans="4:5" ht="15">
      <c r="D496" s="238"/>
      <c r="E496" s="237" t="s">
        <v>3667</v>
      </c>
    </row>
    <row r="497" spans="4:5" ht="15">
      <c r="D497" s="238"/>
      <c r="E497" s="237" t="s">
        <v>3668</v>
      </c>
    </row>
    <row r="498" spans="4:5" ht="15">
      <c r="D498" s="238"/>
      <c r="E498" s="237" t="s">
        <v>3669</v>
      </c>
    </row>
    <row r="499" spans="4:5" ht="15">
      <c r="D499" s="238"/>
      <c r="E499" s="237" t="s">
        <v>3670</v>
      </c>
    </row>
    <row r="500" spans="4:5" ht="15">
      <c r="D500" s="238"/>
      <c r="E500" s="237" t="s">
        <v>3671</v>
      </c>
    </row>
    <row r="501" spans="4:5" ht="15">
      <c r="D501" s="238"/>
      <c r="E501" s="237" t="s">
        <v>3672</v>
      </c>
    </row>
    <row r="502" spans="4:5" ht="15">
      <c r="D502" s="238"/>
      <c r="E502" s="237" t="s">
        <v>3673</v>
      </c>
    </row>
    <row r="503" spans="4:5" ht="15">
      <c r="D503" s="238"/>
      <c r="E503" s="237" t="s">
        <v>3674</v>
      </c>
    </row>
    <row r="504" spans="4:5" ht="15">
      <c r="D504" s="238"/>
      <c r="E504" s="237" t="s">
        <v>3675</v>
      </c>
    </row>
    <row r="505" spans="4:5" ht="15">
      <c r="D505" s="238"/>
      <c r="E505" s="237" t="s">
        <v>3676</v>
      </c>
    </row>
    <row r="506" spans="4:5" ht="30">
      <c r="D506" s="238"/>
      <c r="E506" s="237" t="s">
        <v>3677</v>
      </c>
    </row>
    <row r="507" spans="4:5" ht="15">
      <c r="D507" s="238"/>
      <c r="E507" s="237" t="s">
        <v>3678</v>
      </c>
    </row>
    <row r="508" spans="4:5" ht="15">
      <c r="D508" s="238"/>
      <c r="E508" s="237" t="s">
        <v>3679</v>
      </c>
    </row>
    <row r="509" spans="4:5" ht="15">
      <c r="D509" s="238"/>
      <c r="E509" s="237" t="s">
        <v>3680</v>
      </c>
    </row>
    <row r="510" spans="4:5" ht="15">
      <c r="D510" s="238"/>
      <c r="E510" s="237" t="s">
        <v>3681</v>
      </c>
    </row>
    <row r="511" spans="4:5" ht="15">
      <c r="D511" s="238"/>
      <c r="E511" s="237" t="s">
        <v>3682</v>
      </c>
    </row>
    <row r="512" spans="4:5" ht="15">
      <c r="D512" s="238"/>
      <c r="E512" s="237" t="s">
        <v>3683</v>
      </c>
    </row>
    <row r="513" spans="4:5" ht="15">
      <c r="D513" s="238"/>
      <c r="E513" s="237" t="s">
        <v>3684</v>
      </c>
    </row>
    <row r="514" spans="4:5" ht="15">
      <c r="D514" s="238"/>
      <c r="E514" s="237" t="s">
        <v>3685</v>
      </c>
    </row>
    <row r="515" spans="4:5" ht="15">
      <c r="D515" s="238"/>
      <c r="E515" s="237" t="s">
        <v>3686</v>
      </c>
    </row>
    <row r="516" spans="4:5" ht="15">
      <c r="D516" s="238"/>
      <c r="E516" s="237" t="s">
        <v>3687</v>
      </c>
    </row>
    <row r="517" spans="4:5" ht="15">
      <c r="D517" s="238"/>
      <c r="E517" s="237" t="s">
        <v>3688</v>
      </c>
    </row>
    <row r="518" spans="4:5" ht="15">
      <c r="D518" s="238"/>
      <c r="E518" s="237" t="s">
        <v>3689</v>
      </c>
    </row>
    <row r="519" spans="4:5" ht="15">
      <c r="D519" s="238"/>
      <c r="E519" s="237" t="s">
        <v>3690</v>
      </c>
    </row>
    <row r="520" spans="4:5" ht="15">
      <c r="D520" s="238"/>
      <c r="E520" s="237" t="s">
        <v>3691</v>
      </c>
    </row>
    <row r="521" spans="4:5" ht="15">
      <c r="D521" s="238"/>
      <c r="E521" s="237" t="s">
        <v>3692</v>
      </c>
    </row>
    <row r="522" spans="4:5" ht="15">
      <c r="D522" s="238"/>
      <c r="E522" s="237" t="s">
        <v>3693</v>
      </c>
    </row>
    <row r="523" spans="4:5" ht="15">
      <c r="D523" s="238"/>
      <c r="E523" s="237" t="s">
        <v>3694</v>
      </c>
    </row>
    <row r="524" spans="4:5" ht="15">
      <c r="D524" s="238"/>
      <c r="E524" s="237" t="s">
        <v>3695</v>
      </c>
    </row>
    <row r="525" spans="4:5" ht="15">
      <c r="D525" s="238"/>
      <c r="E525" s="237" t="s">
        <v>3696</v>
      </c>
    </row>
    <row r="526" spans="4:5" ht="15">
      <c r="D526" s="238"/>
      <c r="E526" s="237" t="s">
        <v>3697</v>
      </c>
    </row>
    <row r="527" spans="4:5" ht="15">
      <c r="D527" s="238"/>
      <c r="E527" s="237" t="s">
        <v>3698</v>
      </c>
    </row>
    <row r="528" spans="4:5" ht="15">
      <c r="D528" s="238"/>
      <c r="E528" s="237" t="s">
        <v>3699</v>
      </c>
    </row>
    <row r="529" spans="4:5" ht="15">
      <c r="D529" s="238"/>
      <c r="E529" s="237" t="s">
        <v>3700</v>
      </c>
    </row>
    <row r="530" spans="4:5" ht="30">
      <c r="D530" s="238"/>
      <c r="E530" s="237" t="s">
        <v>3701</v>
      </c>
    </row>
    <row r="531" spans="4:5" ht="15">
      <c r="D531" s="238"/>
      <c r="E531" s="237" t="s">
        <v>3702</v>
      </c>
    </row>
    <row r="532" spans="4:5" ht="15">
      <c r="D532" s="238"/>
      <c r="E532" s="237" t="s">
        <v>3703</v>
      </c>
    </row>
    <row r="533" spans="4:5" ht="15">
      <c r="D533" s="238"/>
      <c r="E533" s="237" t="s">
        <v>3704</v>
      </c>
    </row>
    <row r="534" spans="4:5" ht="15">
      <c r="D534" s="238"/>
      <c r="E534" s="237" t="s">
        <v>3705</v>
      </c>
    </row>
    <row r="535" spans="4:5" ht="15">
      <c r="D535" s="238"/>
      <c r="E535" s="237" t="s">
        <v>3706</v>
      </c>
    </row>
    <row r="536" spans="4:5" ht="15">
      <c r="D536" s="238"/>
      <c r="E536" s="237" t="s">
        <v>3707</v>
      </c>
    </row>
    <row r="537" spans="4:5" ht="15">
      <c r="D537" s="238"/>
      <c r="E537" s="237" t="s">
        <v>3708</v>
      </c>
    </row>
    <row r="538" spans="4:5" ht="15">
      <c r="D538" s="238"/>
      <c r="E538" s="237" t="s">
        <v>3709</v>
      </c>
    </row>
    <row r="539" spans="4:5" ht="15">
      <c r="D539" s="238"/>
      <c r="E539" s="237" t="s">
        <v>3710</v>
      </c>
    </row>
    <row r="540" spans="4:5" ht="15">
      <c r="D540" s="238"/>
      <c r="E540" s="237" t="s">
        <v>3711</v>
      </c>
    </row>
    <row r="541" spans="4:5" ht="15">
      <c r="D541" s="238"/>
      <c r="E541" s="237" t="s">
        <v>3712</v>
      </c>
    </row>
    <row r="542" spans="4:5" ht="15">
      <c r="D542" s="238"/>
      <c r="E542" s="237" t="s">
        <v>3713</v>
      </c>
    </row>
    <row r="543" spans="4:5" ht="15">
      <c r="D543" s="238"/>
      <c r="E543" s="237" t="s">
        <v>3714</v>
      </c>
    </row>
    <row r="544" spans="4:5" ht="15">
      <c r="D544" s="238"/>
      <c r="E544" s="237" t="s">
        <v>3715</v>
      </c>
    </row>
    <row r="545" spans="4:5" ht="15">
      <c r="D545" s="238"/>
      <c r="E545" s="237" t="s">
        <v>3716</v>
      </c>
    </row>
    <row r="546" spans="4:5" ht="15">
      <c r="D546" s="238"/>
      <c r="E546" s="237" t="s">
        <v>3717</v>
      </c>
    </row>
    <row r="547" spans="4:5" ht="15">
      <c r="D547" s="238"/>
      <c r="E547" s="237" t="s">
        <v>3718</v>
      </c>
    </row>
    <row r="548" spans="4:5" ht="15">
      <c r="D548" s="238"/>
      <c r="E548" s="237" t="s">
        <v>3719</v>
      </c>
    </row>
    <row r="549" spans="4:5" ht="15">
      <c r="D549" s="238"/>
      <c r="E549" s="237" t="s">
        <v>3720</v>
      </c>
    </row>
    <row r="550" spans="4:5" ht="15">
      <c r="D550" s="238"/>
      <c r="E550" s="237" t="s">
        <v>3721</v>
      </c>
    </row>
    <row r="551" spans="4:5" ht="15">
      <c r="D551" s="238"/>
      <c r="E551" s="237" t="s">
        <v>3722</v>
      </c>
    </row>
    <row r="552" spans="4:5" ht="15">
      <c r="D552" s="238"/>
      <c r="E552" s="237" t="s">
        <v>3723</v>
      </c>
    </row>
    <row r="553" spans="4:5" ht="30">
      <c r="D553" s="238"/>
      <c r="E553" s="237" t="s">
        <v>3724</v>
      </c>
    </row>
    <row r="554" spans="4:5" ht="30">
      <c r="D554" s="238"/>
      <c r="E554" s="237" t="s">
        <v>3725</v>
      </c>
    </row>
    <row r="555" spans="4:5" ht="30">
      <c r="D555" s="238"/>
      <c r="E555" s="237" t="s">
        <v>3726</v>
      </c>
    </row>
    <row r="556" spans="4:5" ht="30">
      <c r="D556" s="238"/>
      <c r="E556" s="237" t="s">
        <v>3727</v>
      </c>
    </row>
    <row r="557" spans="4:5" ht="15">
      <c r="D557" s="238"/>
      <c r="E557" s="237" t="s">
        <v>3728</v>
      </c>
    </row>
    <row r="558" spans="4:5" ht="30">
      <c r="D558" s="238"/>
      <c r="E558" s="237" t="s">
        <v>3729</v>
      </c>
    </row>
    <row r="559" spans="4:5" ht="30">
      <c r="D559" s="238"/>
      <c r="E559" s="237" t="s">
        <v>3730</v>
      </c>
    </row>
    <row r="560" spans="4:5" ht="15">
      <c r="D560" s="238"/>
      <c r="E560" s="237" t="s">
        <v>3731</v>
      </c>
    </row>
    <row r="561" spans="4:5" ht="15">
      <c r="D561" s="238"/>
      <c r="E561" s="237" t="s">
        <v>3732</v>
      </c>
    </row>
    <row r="562" spans="4:5" ht="15">
      <c r="D562" s="238"/>
      <c r="E562" s="237" t="s">
        <v>3733</v>
      </c>
    </row>
    <row r="563" spans="4:5" ht="15">
      <c r="D563" s="238"/>
      <c r="E563" s="237" t="s">
        <v>3734</v>
      </c>
    </row>
    <row r="564" spans="4:5" ht="15">
      <c r="D564" s="238"/>
      <c r="E564" s="237" t="s">
        <v>3735</v>
      </c>
    </row>
    <row r="565" spans="4:5" ht="15">
      <c r="D565" s="238"/>
      <c r="E565" s="237" t="s">
        <v>3736</v>
      </c>
    </row>
    <row r="566" spans="4:5" ht="15">
      <c r="D566" s="238"/>
      <c r="E566" s="237" t="s">
        <v>3737</v>
      </c>
    </row>
    <row r="567" spans="4:5" ht="30">
      <c r="D567" s="238"/>
      <c r="E567" s="237" t="s">
        <v>3738</v>
      </c>
    </row>
    <row r="568" spans="4:5" ht="30">
      <c r="D568" s="238"/>
      <c r="E568" s="237" t="s">
        <v>3739</v>
      </c>
    </row>
    <row r="569" spans="4:5" ht="15">
      <c r="D569" s="238"/>
      <c r="E569" s="237" t="s">
        <v>3740</v>
      </c>
    </row>
    <row r="570" spans="4:5" ht="15">
      <c r="D570" s="238"/>
      <c r="E570" s="237" t="s">
        <v>3741</v>
      </c>
    </row>
    <row r="571" spans="4:5" ht="15">
      <c r="D571" s="238"/>
      <c r="E571" s="237" t="s">
        <v>3742</v>
      </c>
    </row>
    <row r="572" spans="4:5" ht="15">
      <c r="D572" s="238"/>
      <c r="E572" s="237" t="s">
        <v>3743</v>
      </c>
    </row>
    <row r="573" spans="4:5" ht="15">
      <c r="D573" s="238"/>
      <c r="E573" s="237" t="s">
        <v>3744</v>
      </c>
    </row>
    <row r="574" spans="4:5" ht="15">
      <c r="D574" s="238"/>
      <c r="E574" s="237" t="s">
        <v>3745</v>
      </c>
    </row>
    <row r="575" spans="4:5" ht="15">
      <c r="D575" s="238"/>
      <c r="E575" s="237" t="s">
        <v>3746</v>
      </c>
    </row>
    <row r="576" spans="4:5" ht="15">
      <c r="D576" s="238"/>
      <c r="E576" s="237" t="s">
        <v>3747</v>
      </c>
    </row>
    <row r="577" spans="4:5" ht="15">
      <c r="D577" s="238"/>
      <c r="E577" s="237" t="s">
        <v>3748</v>
      </c>
    </row>
    <row r="578" spans="4:5" ht="15">
      <c r="D578" s="238"/>
      <c r="E578" s="237" t="s">
        <v>3749</v>
      </c>
    </row>
    <row r="579" spans="4:5" ht="15">
      <c r="D579" s="238"/>
      <c r="E579" s="237" t="s">
        <v>3750</v>
      </c>
    </row>
    <row r="580" spans="4:5" ht="15">
      <c r="D580" s="238"/>
      <c r="E580" s="237" t="s">
        <v>3751</v>
      </c>
    </row>
    <row r="581" spans="4:5" ht="15">
      <c r="D581" s="238"/>
      <c r="E581" s="237" t="s">
        <v>3752</v>
      </c>
    </row>
    <row r="582" spans="4:5" ht="15">
      <c r="D582" s="238"/>
      <c r="E582" s="237" t="s">
        <v>3753</v>
      </c>
    </row>
    <row r="583" spans="4:5" ht="30">
      <c r="D583" s="238"/>
      <c r="E583" s="237" t="s">
        <v>3754</v>
      </c>
    </row>
    <row r="584" spans="4:5" ht="15">
      <c r="E584" s="237" t="s">
        <v>3755</v>
      </c>
    </row>
    <row r="585" spans="4:5" ht="15">
      <c r="E585" s="237" t="s">
        <v>3756</v>
      </c>
    </row>
    <row r="586" spans="4:5">
      <c r="E586" s="15" t="s">
        <v>3757</v>
      </c>
    </row>
    <row r="587" spans="4:5">
      <c r="E587" s="15" t="s">
        <v>3758</v>
      </c>
    </row>
    <row r="588" spans="4:5">
      <c r="E588" s="15" t="s">
        <v>3759</v>
      </c>
    </row>
    <row r="589" spans="4:5">
      <c r="E589" s="15" t="s">
        <v>3760</v>
      </c>
    </row>
    <row r="590" spans="4:5">
      <c r="E590" s="15" t="s">
        <v>3761</v>
      </c>
    </row>
    <row r="591" spans="4:5">
      <c r="E591" s="15" t="s">
        <v>3762</v>
      </c>
    </row>
    <row r="592" spans="4:5">
      <c r="E592" s="15" t="s">
        <v>3763</v>
      </c>
    </row>
    <row r="593" spans="5:5">
      <c r="E593" s="15" t="s">
        <v>3764</v>
      </c>
    </row>
    <row r="594" spans="5:5">
      <c r="E594" s="15" t="s">
        <v>3765</v>
      </c>
    </row>
    <row r="595" spans="5:5">
      <c r="E595" s="15" t="s">
        <v>3766</v>
      </c>
    </row>
    <row r="596" spans="5:5">
      <c r="E596" s="15" t="s">
        <v>3767</v>
      </c>
    </row>
    <row r="597" spans="5:5">
      <c r="E597" s="15" t="s">
        <v>3768</v>
      </c>
    </row>
    <row r="598" spans="5:5">
      <c r="E598" s="15" t="s">
        <v>3769</v>
      </c>
    </row>
    <row r="599" spans="5:5">
      <c r="E599" s="15" t="s">
        <v>3770</v>
      </c>
    </row>
    <row r="600" spans="5:5">
      <c r="E600" s="15" t="s">
        <v>3771</v>
      </c>
    </row>
    <row r="601" spans="5:5">
      <c r="E601" s="15" t="s">
        <v>3772</v>
      </c>
    </row>
    <row r="602" spans="5:5">
      <c r="E602" s="15" t="s">
        <v>3773</v>
      </c>
    </row>
    <row r="603" spans="5:5">
      <c r="E603" s="15" t="s">
        <v>3774</v>
      </c>
    </row>
    <row r="604" spans="5:5">
      <c r="E604" s="15" t="s">
        <v>3775</v>
      </c>
    </row>
    <row r="605" spans="5:5">
      <c r="E605" s="15" t="s">
        <v>3776</v>
      </c>
    </row>
    <row r="606" spans="5:5">
      <c r="E606" s="15" t="s">
        <v>3777</v>
      </c>
    </row>
    <row r="607" spans="5:5">
      <c r="E607" s="15" t="s">
        <v>3778</v>
      </c>
    </row>
    <row r="608" spans="5:5">
      <c r="E608" s="15" t="s">
        <v>3779</v>
      </c>
    </row>
    <row r="609" spans="5:5">
      <c r="E609" s="15" t="s">
        <v>3780</v>
      </c>
    </row>
    <row r="610" spans="5:5">
      <c r="E610" s="15" t="s">
        <v>3781</v>
      </c>
    </row>
    <row r="611" spans="5:5">
      <c r="E611" s="15" t="s">
        <v>3782</v>
      </c>
    </row>
    <row r="612" spans="5:5">
      <c r="E612" s="15" t="s">
        <v>3783</v>
      </c>
    </row>
    <row r="613" spans="5:5">
      <c r="E613" s="15" t="s">
        <v>3784</v>
      </c>
    </row>
    <row r="614" spans="5:5">
      <c r="E614" s="15" t="s">
        <v>3785</v>
      </c>
    </row>
    <row r="615" spans="5:5">
      <c r="E615" s="15" t="s">
        <v>3786</v>
      </c>
    </row>
    <row r="616" spans="5:5">
      <c r="E616" s="15" t="s">
        <v>3787</v>
      </c>
    </row>
    <row r="617" spans="5:5">
      <c r="E617" s="15" t="s">
        <v>3788</v>
      </c>
    </row>
    <row r="618" spans="5:5">
      <c r="E618" s="15" t="s">
        <v>3789</v>
      </c>
    </row>
    <row r="619" spans="5:5">
      <c r="E619" s="15" t="s">
        <v>3790</v>
      </c>
    </row>
    <row r="620" spans="5:5">
      <c r="E620" s="15" t="s">
        <v>3791</v>
      </c>
    </row>
    <row r="621" spans="5:5">
      <c r="E621" s="15" t="s">
        <v>3792</v>
      </c>
    </row>
    <row r="622" spans="5:5">
      <c r="E622" s="15" t="s">
        <v>3793</v>
      </c>
    </row>
    <row r="623" spans="5:5">
      <c r="E623" s="15" t="s">
        <v>3794</v>
      </c>
    </row>
    <row r="624" spans="5:5">
      <c r="E624" s="15" t="s">
        <v>3795</v>
      </c>
    </row>
    <row r="625" spans="5:5">
      <c r="E625" s="15" t="s">
        <v>3796</v>
      </c>
    </row>
    <row r="626" spans="5:5">
      <c r="E626" s="15" t="s">
        <v>3797</v>
      </c>
    </row>
    <row r="627" spans="5:5">
      <c r="E627" s="15" t="s">
        <v>3798</v>
      </c>
    </row>
    <row r="628" spans="5:5">
      <c r="E628" s="15" t="s">
        <v>3799</v>
      </c>
    </row>
    <row r="629" spans="5:5">
      <c r="E629" s="15" t="s">
        <v>3800</v>
      </c>
    </row>
    <row r="630" spans="5:5">
      <c r="E630" s="15" t="s">
        <v>3801</v>
      </c>
    </row>
    <row r="631" spans="5:5">
      <c r="E631" s="15" t="s">
        <v>3802</v>
      </c>
    </row>
    <row r="632" spans="5:5">
      <c r="E632" s="15" t="s">
        <v>3803</v>
      </c>
    </row>
    <row r="633" spans="5:5">
      <c r="E633" s="15" t="s">
        <v>3804</v>
      </c>
    </row>
    <row r="634" spans="5:5">
      <c r="E634" s="15" t="s">
        <v>3805</v>
      </c>
    </row>
    <row r="635" spans="5:5">
      <c r="E635" s="15" t="s">
        <v>3806</v>
      </c>
    </row>
    <row r="636" spans="5:5">
      <c r="E636" s="15" t="s">
        <v>3807</v>
      </c>
    </row>
    <row r="637" spans="5:5">
      <c r="E637" s="15" t="s">
        <v>3808</v>
      </c>
    </row>
    <row r="638" spans="5:5">
      <c r="E638" s="15" t="s">
        <v>3809</v>
      </c>
    </row>
    <row r="639" spans="5:5">
      <c r="E639" s="15" t="s">
        <v>3810</v>
      </c>
    </row>
    <row r="640" spans="5:5">
      <c r="E640" s="15" t="s">
        <v>3811</v>
      </c>
    </row>
    <row r="641" spans="5:5">
      <c r="E641" s="15" t="s">
        <v>3812</v>
      </c>
    </row>
    <row r="642" spans="5:5">
      <c r="E642" s="15" t="s">
        <v>3813</v>
      </c>
    </row>
    <row r="643" spans="5:5">
      <c r="E643" s="15" t="s">
        <v>3814</v>
      </c>
    </row>
    <row r="644" spans="5:5">
      <c r="E644" s="15" t="s">
        <v>3815</v>
      </c>
    </row>
    <row r="645" spans="5:5">
      <c r="E645" s="15" t="s">
        <v>3816</v>
      </c>
    </row>
    <row r="646" spans="5:5">
      <c r="E646" s="15" t="s">
        <v>3817</v>
      </c>
    </row>
    <row r="647" spans="5:5">
      <c r="E647" s="15" t="s">
        <v>3818</v>
      </c>
    </row>
    <row r="648" spans="5:5">
      <c r="E648" s="15" t="s">
        <v>3819</v>
      </c>
    </row>
    <row r="649" spans="5:5">
      <c r="E649" s="15" t="s">
        <v>3820</v>
      </c>
    </row>
    <row r="650" spans="5:5">
      <c r="E650" s="15" t="s">
        <v>3821</v>
      </c>
    </row>
    <row r="651" spans="5:5">
      <c r="E651" s="15" t="s">
        <v>3822</v>
      </c>
    </row>
    <row r="652" spans="5:5">
      <c r="E652" s="15" t="s">
        <v>3823</v>
      </c>
    </row>
    <row r="653" spans="5:5">
      <c r="E653" s="15" t="s">
        <v>3824</v>
      </c>
    </row>
    <row r="654" spans="5:5">
      <c r="E654" s="15" t="s">
        <v>3825</v>
      </c>
    </row>
    <row r="655" spans="5:5">
      <c r="E655" s="15" t="s">
        <v>3826</v>
      </c>
    </row>
    <row r="656" spans="5:5">
      <c r="E656" s="15" t="s">
        <v>3827</v>
      </c>
    </row>
    <row r="657" spans="5:5">
      <c r="E657" s="15" t="s">
        <v>3828</v>
      </c>
    </row>
    <row r="658" spans="5:5">
      <c r="E658" s="15" t="s">
        <v>3829</v>
      </c>
    </row>
    <row r="659" spans="5:5">
      <c r="E659" s="15" t="s">
        <v>3830</v>
      </c>
    </row>
    <row r="660" spans="5:5">
      <c r="E660" s="15" t="s">
        <v>3831</v>
      </c>
    </row>
    <row r="661" spans="5:5">
      <c r="E661" s="15" t="s">
        <v>3832</v>
      </c>
    </row>
    <row r="662" spans="5:5">
      <c r="E662" s="15" t="s">
        <v>3833</v>
      </c>
    </row>
    <row r="663" spans="5:5">
      <c r="E663" s="15" t="s">
        <v>3834</v>
      </c>
    </row>
    <row r="664" spans="5:5">
      <c r="E664" s="15" t="s">
        <v>3835</v>
      </c>
    </row>
    <row r="665" spans="5:5">
      <c r="E665" s="15" t="s">
        <v>3836</v>
      </c>
    </row>
    <row r="666" spans="5:5">
      <c r="E666" s="15" t="s">
        <v>3837</v>
      </c>
    </row>
    <row r="667" spans="5:5">
      <c r="E667" s="15" t="s">
        <v>3838</v>
      </c>
    </row>
    <row r="668" spans="5:5">
      <c r="E668" s="15" t="s">
        <v>3839</v>
      </c>
    </row>
    <row r="669" spans="5:5">
      <c r="E669" s="15" t="s">
        <v>3840</v>
      </c>
    </row>
    <row r="670" spans="5:5">
      <c r="E670" s="15" t="s">
        <v>3841</v>
      </c>
    </row>
    <row r="671" spans="5:5">
      <c r="E671" s="15" t="s">
        <v>3842</v>
      </c>
    </row>
    <row r="672" spans="5:5">
      <c r="E672" s="15" t="s">
        <v>3843</v>
      </c>
    </row>
    <row r="673" spans="5:5">
      <c r="E673" s="15" t="s">
        <v>3844</v>
      </c>
    </row>
    <row r="674" spans="5:5">
      <c r="E674" s="15" t="s">
        <v>3845</v>
      </c>
    </row>
    <row r="675" spans="5:5">
      <c r="E675" s="15" t="s">
        <v>3846</v>
      </c>
    </row>
    <row r="676" spans="5:5">
      <c r="E676" s="15" t="s">
        <v>3847</v>
      </c>
    </row>
    <row r="677" spans="5:5">
      <c r="E677" s="15" t="s">
        <v>3848</v>
      </c>
    </row>
    <row r="678" spans="5:5">
      <c r="E678" s="15" t="s">
        <v>3849</v>
      </c>
    </row>
    <row r="679" spans="5:5">
      <c r="E679" s="15" t="s">
        <v>3850</v>
      </c>
    </row>
    <row r="680" spans="5:5">
      <c r="E680" s="15" t="s">
        <v>3851</v>
      </c>
    </row>
    <row r="681" spans="5:5">
      <c r="E681" s="15" t="s">
        <v>3852</v>
      </c>
    </row>
    <row r="682" spans="5:5">
      <c r="E682" s="15" t="s">
        <v>3853</v>
      </c>
    </row>
    <row r="683" spans="5:5">
      <c r="E683" s="15" t="s">
        <v>3854</v>
      </c>
    </row>
    <row r="684" spans="5:5">
      <c r="E684" s="15" t="s">
        <v>3855</v>
      </c>
    </row>
    <row r="685" spans="5:5">
      <c r="E685" s="15" t="s">
        <v>3856</v>
      </c>
    </row>
    <row r="686" spans="5:5">
      <c r="E686" s="15" t="s">
        <v>3857</v>
      </c>
    </row>
    <row r="687" spans="5:5">
      <c r="E687" s="15" t="s">
        <v>3858</v>
      </c>
    </row>
    <row r="688" spans="5:5">
      <c r="E688" s="15" t="s">
        <v>3859</v>
      </c>
    </row>
    <row r="689" spans="5:5">
      <c r="E689" s="15" t="s">
        <v>3860</v>
      </c>
    </row>
    <row r="690" spans="5:5">
      <c r="E690" s="15" t="s">
        <v>3861</v>
      </c>
    </row>
    <row r="691" spans="5:5">
      <c r="E691" s="15" t="s">
        <v>3862</v>
      </c>
    </row>
    <row r="692" spans="5:5">
      <c r="E692" s="15" t="s">
        <v>3863</v>
      </c>
    </row>
    <row r="693" spans="5:5">
      <c r="E693" s="15" t="s">
        <v>3864</v>
      </c>
    </row>
    <row r="694" spans="5:5">
      <c r="E694" s="15" t="s">
        <v>3865</v>
      </c>
    </row>
    <row r="695" spans="5:5">
      <c r="E695" s="15" t="s">
        <v>3866</v>
      </c>
    </row>
    <row r="696" spans="5:5">
      <c r="E696" s="15" t="s">
        <v>3867</v>
      </c>
    </row>
    <row r="697" spans="5:5">
      <c r="E697" s="15" t="s">
        <v>3868</v>
      </c>
    </row>
    <row r="698" spans="5:5">
      <c r="E698" s="15" t="s">
        <v>3869</v>
      </c>
    </row>
    <row r="699" spans="5:5">
      <c r="E699" s="15" t="s">
        <v>3870</v>
      </c>
    </row>
    <row r="700" spans="5:5">
      <c r="E700" s="15" t="s">
        <v>3871</v>
      </c>
    </row>
    <row r="701" spans="5:5">
      <c r="E701" s="15" t="s">
        <v>3872</v>
      </c>
    </row>
    <row r="702" spans="5:5">
      <c r="E702" s="15" t="s">
        <v>3873</v>
      </c>
    </row>
    <row r="703" spans="5:5">
      <c r="E703" s="15" t="s">
        <v>3874</v>
      </c>
    </row>
    <row r="704" spans="5:5">
      <c r="E704" s="15" t="s">
        <v>3875</v>
      </c>
    </row>
    <row r="705" spans="5:5">
      <c r="E705" s="15" t="s">
        <v>3876</v>
      </c>
    </row>
    <row r="706" spans="5:5">
      <c r="E706" s="15" t="s">
        <v>3877</v>
      </c>
    </row>
    <row r="707" spans="5:5">
      <c r="E707" s="15" t="s">
        <v>3878</v>
      </c>
    </row>
    <row r="708" spans="5:5">
      <c r="E708" s="15" t="s">
        <v>3879</v>
      </c>
    </row>
    <row r="709" spans="5:5">
      <c r="E709" s="15" t="s">
        <v>3880</v>
      </c>
    </row>
    <row r="710" spans="5:5">
      <c r="E710" s="15" t="s">
        <v>3881</v>
      </c>
    </row>
    <row r="711" spans="5:5">
      <c r="E711" s="15" t="s">
        <v>3882</v>
      </c>
    </row>
    <row r="712" spans="5:5">
      <c r="E712" s="15" t="s">
        <v>3883</v>
      </c>
    </row>
    <row r="713" spans="5:5">
      <c r="E713" s="15" t="s">
        <v>3884</v>
      </c>
    </row>
    <row r="714" spans="5:5">
      <c r="E714" s="15" t="s">
        <v>3885</v>
      </c>
    </row>
    <row r="715" spans="5:5">
      <c r="E715" s="15" t="s">
        <v>3886</v>
      </c>
    </row>
    <row r="716" spans="5:5">
      <c r="E716" s="15" t="s">
        <v>3887</v>
      </c>
    </row>
    <row r="717" spans="5:5">
      <c r="E717" s="15" t="s">
        <v>3888</v>
      </c>
    </row>
    <row r="718" spans="5:5">
      <c r="E718" s="15" t="s">
        <v>3889</v>
      </c>
    </row>
    <row r="719" spans="5:5">
      <c r="E719" s="15" t="s">
        <v>3890</v>
      </c>
    </row>
    <row r="720" spans="5:5">
      <c r="E720" s="15" t="s">
        <v>3891</v>
      </c>
    </row>
    <row r="721" spans="5:5">
      <c r="E721" s="15" t="s">
        <v>3892</v>
      </c>
    </row>
    <row r="722" spans="5:5">
      <c r="E722" s="15" t="s">
        <v>3893</v>
      </c>
    </row>
    <row r="723" spans="5:5">
      <c r="E723" s="15" t="s">
        <v>3894</v>
      </c>
    </row>
    <row r="724" spans="5:5">
      <c r="E724" s="15" t="s">
        <v>3895</v>
      </c>
    </row>
    <row r="725" spans="5:5">
      <c r="E725" s="15" t="s">
        <v>3896</v>
      </c>
    </row>
    <row r="726" spans="5:5">
      <c r="E726" s="15" t="s">
        <v>3897</v>
      </c>
    </row>
    <row r="727" spans="5:5">
      <c r="E727" s="15" t="s">
        <v>3898</v>
      </c>
    </row>
    <row r="728" spans="5:5">
      <c r="E728" s="15" t="s">
        <v>3899</v>
      </c>
    </row>
    <row r="729" spans="5:5">
      <c r="E729" s="15" t="s">
        <v>3900</v>
      </c>
    </row>
    <row r="730" spans="5:5">
      <c r="E730" s="15" t="s">
        <v>3901</v>
      </c>
    </row>
    <row r="731" spans="5:5">
      <c r="E731" s="15" t="s">
        <v>3902</v>
      </c>
    </row>
    <row r="732" spans="5:5">
      <c r="E732" s="15" t="s">
        <v>3903</v>
      </c>
    </row>
    <row r="733" spans="5:5">
      <c r="E733" s="15" t="s">
        <v>3904</v>
      </c>
    </row>
    <row r="734" spans="5:5">
      <c r="E734" s="15" t="s">
        <v>3905</v>
      </c>
    </row>
    <row r="735" spans="5:5">
      <c r="E735" s="15" t="s">
        <v>3906</v>
      </c>
    </row>
    <row r="736" spans="5:5">
      <c r="E736" s="15" t="s">
        <v>3907</v>
      </c>
    </row>
    <row r="737" spans="5:5">
      <c r="E737" s="15" t="s">
        <v>3908</v>
      </c>
    </row>
    <row r="738" spans="5:5">
      <c r="E738" s="15" t="s">
        <v>3909</v>
      </c>
    </row>
    <row r="739" spans="5:5">
      <c r="E739" s="15" t="s">
        <v>3910</v>
      </c>
    </row>
    <row r="740" spans="5:5">
      <c r="E740" s="15" t="s">
        <v>3911</v>
      </c>
    </row>
    <row r="741" spans="5:5">
      <c r="E741" s="15" t="s">
        <v>3912</v>
      </c>
    </row>
    <row r="742" spans="5:5">
      <c r="E742" s="15" t="s">
        <v>3913</v>
      </c>
    </row>
    <row r="743" spans="5:5">
      <c r="E743" s="15" t="s">
        <v>3914</v>
      </c>
    </row>
    <row r="744" spans="5:5">
      <c r="E744" s="15" t="s">
        <v>3915</v>
      </c>
    </row>
    <row r="745" spans="5:5">
      <c r="E745" s="15" t="s">
        <v>3916</v>
      </c>
    </row>
    <row r="746" spans="5:5">
      <c r="E746" s="15" t="s">
        <v>3917</v>
      </c>
    </row>
    <row r="747" spans="5:5">
      <c r="E747" s="15" t="s">
        <v>3918</v>
      </c>
    </row>
    <row r="748" spans="5:5">
      <c r="E748" s="15" t="s">
        <v>3919</v>
      </c>
    </row>
    <row r="749" spans="5:5">
      <c r="E749" s="15" t="s">
        <v>3920</v>
      </c>
    </row>
    <row r="750" spans="5:5">
      <c r="E750" s="15" t="s">
        <v>3921</v>
      </c>
    </row>
    <row r="751" spans="5:5">
      <c r="E751" s="15" t="s">
        <v>3922</v>
      </c>
    </row>
    <row r="752" spans="5:5">
      <c r="E752" s="15" t="s">
        <v>3923</v>
      </c>
    </row>
    <row r="753" spans="5:5">
      <c r="E753" s="15" t="s">
        <v>3924</v>
      </c>
    </row>
    <row r="754" spans="5:5">
      <c r="E754" s="15" t="s">
        <v>3925</v>
      </c>
    </row>
    <row r="755" spans="5:5">
      <c r="E755" s="15" t="s">
        <v>3926</v>
      </c>
    </row>
    <row r="756" spans="5:5">
      <c r="E756" s="15" t="s">
        <v>3927</v>
      </c>
    </row>
    <row r="757" spans="5:5">
      <c r="E757" s="15" t="s">
        <v>3928</v>
      </c>
    </row>
    <row r="758" spans="5:5">
      <c r="E758" s="15" t="s">
        <v>3929</v>
      </c>
    </row>
    <row r="759" spans="5:5">
      <c r="E759" s="15" t="s">
        <v>3930</v>
      </c>
    </row>
    <row r="760" spans="5:5">
      <c r="E760" s="15" t="s">
        <v>3931</v>
      </c>
    </row>
    <row r="761" spans="5:5">
      <c r="E761" s="15" t="s">
        <v>3932</v>
      </c>
    </row>
    <row r="762" spans="5:5">
      <c r="E762" s="15" t="s">
        <v>3933</v>
      </c>
    </row>
    <row r="763" spans="5:5">
      <c r="E763" s="15" t="s">
        <v>3934</v>
      </c>
    </row>
    <row r="764" spans="5:5">
      <c r="E764" s="15" t="s">
        <v>3935</v>
      </c>
    </row>
    <row r="765" spans="5:5">
      <c r="E765" s="15" t="s">
        <v>3936</v>
      </c>
    </row>
    <row r="766" spans="5:5">
      <c r="E766" s="15" t="s">
        <v>3937</v>
      </c>
    </row>
    <row r="767" spans="5:5">
      <c r="E767" s="15" t="s">
        <v>3938</v>
      </c>
    </row>
    <row r="768" spans="5:5">
      <c r="E768" s="15" t="s">
        <v>3939</v>
      </c>
    </row>
    <row r="769" spans="5:5">
      <c r="E769" s="15" t="s">
        <v>3940</v>
      </c>
    </row>
    <row r="770" spans="5:5">
      <c r="E770" s="15" t="s">
        <v>3941</v>
      </c>
    </row>
    <row r="771" spans="5:5">
      <c r="E771" s="15" t="s">
        <v>3942</v>
      </c>
    </row>
    <row r="772" spans="5:5">
      <c r="E772" s="15" t="s">
        <v>3943</v>
      </c>
    </row>
    <row r="773" spans="5:5">
      <c r="E773" s="15" t="s">
        <v>3944</v>
      </c>
    </row>
    <row r="774" spans="5:5">
      <c r="E774" s="15" t="s">
        <v>3945</v>
      </c>
    </row>
    <row r="775" spans="5:5">
      <c r="E775" s="15" t="s">
        <v>3946</v>
      </c>
    </row>
    <row r="776" spans="5:5">
      <c r="E776" s="15" t="s">
        <v>3947</v>
      </c>
    </row>
    <row r="777" spans="5:5">
      <c r="E777" s="15" t="s">
        <v>3948</v>
      </c>
    </row>
    <row r="778" spans="5:5">
      <c r="E778" s="15" t="s">
        <v>3949</v>
      </c>
    </row>
    <row r="779" spans="5:5">
      <c r="E779" s="15" t="s">
        <v>3950</v>
      </c>
    </row>
    <row r="780" spans="5:5">
      <c r="E780" s="15" t="s">
        <v>3951</v>
      </c>
    </row>
    <row r="781" spans="5:5">
      <c r="E781" s="15" t="s">
        <v>3952</v>
      </c>
    </row>
    <row r="782" spans="5:5">
      <c r="E782" s="15" t="s">
        <v>3953</v>
      </c>
    </row>
    <row r="783" spans="5:5">
      <c r="E783" s="15" t="s">
        <v>3954</v>
      </c>
    </row>
    <row r="784" spans="5:5">
      <c r="E784" s="15" t="s">
        <v>3955</v>
      </c>
    </row>
    <row r="785" spans="5:5">
      <c r="E785" s="15" t="s">
        <v>3956</v>
      </c>
    </row>
    <row r="786" spans="5:5">
      <c r="E786" s="15" t="s">
        <v>3957</v>
      </c>
    </row>
    <row r="787" spans="5:5">
      <c r="E787" s="15" t="s">
        <v>3958</v>
      </c>
    </row>
    <row r="788" spans="5:5">
      <c r="E788" s="15" t="s">
        <v>3959</v>
      </c>
    </row>
    <row r="789" spans="5:5">
      <c r="E789" s="15" t="s">
        <v>3960</v>
      </c>
    </row>
    <row r="790" spans="5:5">
      <c r="E790" s="15" t="s">
        <v>3961</v>
      </c>
    </row>
    <row r="791" spans="5:5">
      <c r="E791" s="15" t="s">
        <v>3962</v>
      </c>
    </row>
    <row r="792" spans="5:5">
      <c r="E792" s="15" t="s">
        <v>3963</v>
      </c>
    </row>
    <row r="793" spans="5:5">
      <c r="E793" s="15" t="s">
        <v>3964</v>
      </c>
    </row>
    <row r="794" spans="5:5">
      <c r="E794" s="15" t="s">
        <v>3965</v>
      </c>
    </row>
    <row r="795" spans="5:5">
      <c r="E795" s="15" t="s">
        <v>3966</v>
      </c>
    </row>
    <row r="796" spans="5:5">
      <c r="E796" s="15" t="s">
        <v>3967</v>
      </c>
    </row>
    <row r="797" spans="5:5">
      <c r="E797" s="15" t="s">
        <v>3968</v>
      </c>
    </row>
    <row r="798" spans="5:5">
      <c r="E798" s="15" t="s">
        <v>3969</v>
      </c>
    </row>
    <row r="799" spans="5:5">
      <c r="E799" s="15" t="s">
        <v>3970</v>
      </c>
    </row>
    <row r="800" spans="5:5">
      <c r="E800" s="15" t="s">
        <v>3971</v>
      </c>
    </row>
    <row r="801" spans="5:5">
      <c r="E801" s="15" t="s">
        <v>3972</v>
      </c>
    </row>
    <row r="802" spans="5:5">
      <c r="E802" s="15" t="s">
        <v>3973</v>
      </c>
    </row>
    <row r="803" spans="5:5">
      <c r="E803" s="15" t="s">
        <v>3974</v>
      </c>
    </row>
    <row r="804" spans="5:5">
      <c r="E804" s="15" t="s">
        <v>3975</v>
      </c>
    </row>
    <row r="805" spans="5:5">
      <c r="E805" s="15" t="s">
        <v>3976</v>
      </c>
    </row>
    <row r="806" spans="5:5">
      <c r="E806" s="15" t="s">
        <v>3977</v>
      </c>
    </row>
    <row r="807" spans="5:5">
      <c r="E807" s="15" t="s">
        <v>3978</v>
      </c>
    </row>
    <row r="808" spans="5:5">
      <c r="E808" s="15" t="s">
        <v>3979</v>
      </c>
    </row>
    <row r="809" spans="5:5">
      <c r="E809" s="15" t="s">
        <v>3980</v>
      </c>
    </row>
    <row r="810" spans="5:5">
      <c r="E810" s="15" t="s">
        <v>3981</v>
      </c>
    </row>
    <row r="811" spans="5:5">
      <c r="E811" s="15" t="s">
        <v>3982</v>
      </c>
    </row>
    <row r="812" spans="5:5">
      <c r="E812" s="15" t="s">
        <v>3983</v>
      </c>
    </row>
    <row r="813" spans="5:5">
      <c r="E813" s="15" t="s">
        <v>3984</v>
      </c>
    </row>
    <row r="814" spans="5:5">
      <c r="E814" s="15" t="s">
        <v>3985</v>
      </c>
    </row>
    <row r="815" spans="5:5">
      <c r="E815" s="15" t="s">
        <v>3986</v>
      </c>
    </row>
    <row r="816" spans="5:5">
      <c r="E816" s="15" t="s">
        <v>3987</v>
      </c>
    </row>
    <row r="817" spans="5:5">
      <c r="E817" s="15" t="s">
        <v>3988</v>
      </c>
    </row>
    <row r="818" spans="5:5">
      <c r="E818" s="15" t="s">
        <v>3989</v>
      </c>
    </row>
    <row r="819" spans="5:5">
      <c r="E819" s="15" t="s">
        <v>3990</v>
      </c>
    </row>
    <row r="820" spans="5:5">
      <c r="E820" s="15" t="s">
        <v>3991</v>
      </c>
    </row>
    <row r="821" spans="5:5">
      <c r="E821" s="15" t="s">
        <v>3992</v>
      </c>
    </row>
    <row r="822" spans="5:5">
      <c r="E822" s="15" t="s">
        <v>3993</v>
      </c>
    </row>
    <row r="823" spans="5:5">
      <c r="E823" s="15" t="s">
        <v>3994</v>
      </c>
    </row>
    <row r="824" spans="5:5">
      <c r="E824" s="15" t="s">
        <v>3995</v>
      </c>
    </row>
    <row r="825" spans="5:5">
      <c r="E825" s="15" t="s">
        <v>3996</v>
      </c>
    </row>
    <row r="826" spans="5:5">
      <c r="E826" s="15" t="s">
        <v>3997</v>
      </c>
    </row>
    <row r="827" spans="5:5">
      <c r="E827" s="15" t="s">
        <v>3998</v>
      </c>
    </row>
    <row r="828" spans="5:5">
      <c r="E828" s="15" t="s">
        <v>3999</v>
      </c>
    </row>
    <row r="829" spans="5:5">
      <c r="E829" s="15" t="s">
        <v>4000</v>
      </c>
    </row>
    <row r="830" spans="5:5">
      <c r="E830" s="15" t="s">
        <v>4001</v>
      </c>
    </row>
    <row r="831" spans="5:5">
      <c r="E831" s="15" t="s">
        <v>4002</v>
      </c>
    </row>
    <row r="832" spans="5:5">
      <c r="E832" s="15" t="s">
        <v>4003</v>
      </c>
    </row>
    <row r="833" spans="5:5">
      <c r="E833" s="15" t="s">
        <v>4004</v>
      </c>
    </row>
    <row r="834" spans="5:5">
      <c r="E834" s="15" t="s">
        <v>4005</v>
      </c>
    </row>
    <row r="835" spans="5:5">
      <c r="E835" s="15" t="s">
        <v>4006</v>
      </c>
    </row>
    <row r="836" spans="5:5">
      <c r="E836" s="15" t="s">
        <v>4007</v>
      </c>
    </row>
    <row r="837" spans="5:5">
      <c r="E837" s="15" t="s">
        <v>4008</v>
      </c>
    </row>
    <row r="838" spans="5:5">
      <c r="E838" s="15" t="s">
        <v>4009</v>
      </c>
    </row>
    <row r="839" spans="5:5">
      <c r="E839" s="15" t="s">
        <v>4010</v>
      </c>
    </row>
    <row r="840" spans="5:5">
      <c r="E840" s="15" t="s">
        <v>4011</v>
      </c>
    </row>
    <row r="841" spans="5:5">
      <c r="E841" s="15" t="s">
        <v>4012</v>
      </c>
    </row>
    <row r="842" spans="5:5">
      <c r="E842" s="15" t="s">
        <v>4013</v>
      </c>
    </row>
    <row r="843" spans="5:5">
      <c r="E843" s="15" t="s">
        <v>4014</v>
      </c>
    </row>
    <row r="844" spans="5:5">
      <c r="E844" s="15" t="s">
        <v>4015</v>
      </c>
    </row>
    <row r="845" spans="5:5">
      <c r="E845" s="15" t="s">
        <v>4016</v>
      </c>
    </row>
    <row r="846" spans="5:5">
      <c r="E846" s="15" t="s">
        <v>4017</v>
      </c>
    </row>
    <row r="847" spans="5:5">
      <c r="E847" s="15" t="s">
        <v>4018</v>
      </c>
    </row>
    <row r="848" spans="5:5">
      <c r="E848" s="15" t="s">
        <v>4019</v>
      </c>
    </row>
    <row r="849" spans="5:5">
      <c r="E849" s="15" t="s">
        <v>4020</v>
      </c>
    </row>
    <row r="850" spans="5:5">
      <c r="E850" s="15" t="s">
        <v>4021</v>
      </c>
    </row>
    <row r="851" spans="5:5">
      <c r="E851" s="15" t="s">
        <v>4022</v>
      </c>
    </row>
    <row r="852" spans="5:5">
      <c r="E852" s="15" t="s">
        <v>4023</v>
      </c>
    </row>
    <row r="853" spans="5:5">
      <c r="E853" s="15" t="s">
        <v>4024</v>
      </c>
    </row>
    <row r="854" spans="5:5">
      <c r="E854" s="15" t="s">
        <v>4025</v>
      </c>
    </row>
    <row r="855" spans="5:5">
      <c r="E855" s="15" t="s">
        <v>4026</v>
      </c>
    </row>
    <row r="856" spans="5:5">
      <c r="E856" s="15" t="s">
        <v>4027</v>
      </c>
    </row>
    <row r="857" spans="5:5">
      <c r="E857" s="15" t="s">
        <v>4028</v>
      </c>
    </row>
    <row r="858" spans="5:5">
      <c r="E858" s="15" t="s">
        <v>4029</v>
      </c>
    </row>
    <row r="859" spans="5:5">
      <c r="E859" s="15" t="s">
        <v>4030</v>
      </c>
    </row>
    <row r="860" spans="5:5">
      <c r="E860" s="15" t="s">
        <v>4031</v>
      </c>
    </row>
    <row r="861" spans="5:5">
      <c r="E861" s="15" t="s">
        <v>4032</v>
      </c>
    </row>
    <row r="862" spans="5:5">
      <c r="E862" s="15" t="s">
        <v>4033</v>
      </c>
    </row>
    <row r="863" spans="5:5">
      <c r="E863" s="15" t="s">
        <v>4034</v>
      </c>
    </row>
    <row r="864" spans="5:5">
      <c r="E864" s="15" t="s">
        <v>4035</v>
      </c>
    </row>
    <row r="865" spans="5:5">
      <c r="E865" s="15" t="s">
        <v>4036</v>
      </c>
    </row>
    <row r="866" spans="5:5">
      <c r="E866" s="15" t="s">
        <v>4037</v>
      </c>
    </row>
    <row r="867" spans="5:5">
      <c r="E867" s="15" t="s">
        <v>4038</v>
      </c>
    </row>
    <row r="868" spans="5:5">
      <c r="E868" s="15" t="s">
        <v>4039</v>
      </c>
    </row>
    <row r="869" spans="5:5">
      <c r="E869" s="15" t="s">
        <v>4040</v>
      </c>
    </row>
    <row r="870" spans="5:5">
      <c r="E870" s="15" t="s">
        <v>4041</v>
      </c>
    </row>
    <row r="871" spans="5:5">
      <c r="E871" s="15" t="s">
        <v>4042</v>
      </c>
    </row>
    <row r="872" spans="5:5">
      <c r="E872" s="15" t="s">
        <v>4043</v>
      </c>
    </row>
    <row r="873" spans="5:5">
      <c r="E873" s="15" t="s">
        <v>4044</v>
      </c>
    </row>
    <row r="874" spans="5:5">
      <c r="E874" s="15" t="s">
        <v>4045</v>
      </c>
    </row>
    <row r="875" spans="5:5">
      <c r="E875" s="15" t="s">
        <v>4046</v>
      </c>
    </row>
    <row r="876" spans="5:5">
      <c r="E876" s="15" t="s">
        <v>4047</v>
      </c>
    </row>
    <row r="877" spans="5:5">
      <c r="E877" s="15" t="s">
        <v>4048</v>
      </c>
    </row>
    <row r="878" spans="5:5">
      <c r="E878" s="15" t="s">
        <v>4049</v>
      </c>
    </row>
    <row r="879" spans="5:5">
      <c r="E879" s="15" t="s">
        <v>4050</v>
      </c>
    </row>
    <row r="880" spans="5:5">
      <c r="E880" s="15" t="s">
        <v>4051</v>
      </c>
    </row>
    <row r="881" spans="5:5">
      <c r="E881" s="15" t="s">
        <v>4052</v>
      </c>
    </row>
    <row r="882" spans="5:5">
      <c r="E882" s="15" t="s">
        <v>4053</v>
      </c>
    </row>
    <row r="883" spans="5:5">
      <c r="E883" s="15" t="s">
        <v>4054</v>
      </c>
    </row>
    <row r="884" spans="5:5">
      <c r="E884" s="15" t="s">
        <v>4055</v>
      </c>
    </row>
    <row r="885" spans="5:5">
      <c r="E885" s="15" t="s">
        <v>4056</v>
      </c>
    </row>
    <row r="886" spans="5:5">
      <c r="E886" s="15" t="s">
        <v>4057</v>
      </c>
    </row>
    <row r="887" spans="5:5">
      <c r="E887" s="15" t="s">
        <v>4058</v>
      </c>
    </row>
    <row r="888" spans="5:5">
      <c r="E888" s="15" t="s">
        <v>4059</v>
      </c>
    </row>
    <row r="889" spans="5:5">
      <c r="E889" s="15" t="s">
        <v>4060</v>
      </c>
    </row>
    <row r="890" spans="5:5">
      <c r="E890" s="15" t="s">
        <v>4061</v>
      </c>
    </row>
    <row r="891" spans="5:5">
      <c r="E891" s="15" t="s">
        <v>4062</v>
      </c>
    </row>
    <row r="892" spans="5:5">
      <c r="E892" s="15" t="s">
        <v>4063</v>
      </c>
    </row>
    <row r="893" spans="5:5">
      <c r="E893" s="15" t="s">
        <v>4064</v>
      </c>
    </row>
    <row r="894" spans="5:5">
      <c r="E894" s="15" t="s">
        <v>4065</v>
      </c>
    </row>
    <row r="895" spans="5:5">
      <c r="E895" s="15" t="s">
        <v>4066</v>
      </c>
    </row>
    <row r="896" spans="5:5">
      <c r="E896" s="15" t="s">
        <v>4067</v>
      </c>
    </row>
    <row r="897" spans="5:5">
      <c r="E897" s="15" t="s">
        <v>4068</v>
      </c>
    </row>
    <row r="898" spans="5:5">
      <c r="E898" s="15" t="s">
        <v>4069</v>
      </c>
    </row>
    <row r="899" spans="5:5">
      <c r="E899" s="15" t="s">
        <v>4070</v>
      </c>
    </row>
    <row r="900" spans="5:5">
      <c r="E900" s="15" t="s">
        <v>4071</v>
      </c>
    </row>
    <row r="901" spans="5:5">
      <c r="E901" s="15" t="s">
        <v>4072</v>
      </c>
    </row>
    <row r="902" spans="5:5">
      <c r="E902" s="15" t="s">
        <v>4073</v>
      </c>
    </row>
    <row r="903" spans="5:5">
      <c r="E903" s="15" t="s">
        <v>4074</v>
      </c>
    </row>
    <row r="904" spans="5:5">
      <c r="E904" s="15" t="s">
        <v>4075</v>
      </c>
    </row>
    <row r="905" spans="5:5">
      <c r="E905" s="15" t="s">
        <v>4076</v>
      </c>
    </row>
    <row r="906" spans="5:5">
      <c r="E906" s="15" t="s">
        <v>4077</v>
      </c>
    </row>
    <row r="907" spans="5:5">
      <c r="E907" s="15" t="s">
        <v>4078</v>
      </c>
    </row>
    <row r="908" spans="5:5">
      <c r="E908" s="15" t="s">
        <v>4079</v>
      </c>
    </row>
    <row r="909" spans="5:5">
      <c r="E909" s="15" t="s">
        <v>4080</v>
      </c>
    </row>
    <row r="910" spans="5:5">
      <c r="E910" s="15" t="s">
        <v>4081</v>
      </c>
    </row>
    <row r="911" spans="5:5">
      <c r="E911" s="15" t="s">
        <v>4082</v>
      </c>
    </row>
    <row r="912" spans="5:5">
      <c r="E912" s="15" t="s">
        <v>4083</v>
      </c>
    </row>
    <row r="913" spans="5:5">
      <c r="E913" s="15" t="s">
        <v>4084</v>
      </c>
    </row>
    <row r="914" spans="5:5">
      <c r="E914" s="15" t="s">
        <v>4085</v>
      </c>
    </row>
    <row r="915" spans="5:5">
      <c r="E915" s="15" t="s">
        <v>4086</v>
      </c>
    </row>
    <row r="916" spans="5:5">
      <c r="E916" s="15" t="s">
        <v>4087</v>
      </c>
    </row>
    <row r="917" spans="5:5">
      <c r="E917" s="15" t="s">
        <v>4088</v>
      </c>
    </row>
    <row r="918" spans="5:5">
      <c r="E918" s="15" t="s">
        <v>4089</v>
      </c>
    </row>
    <row r="919" spans="5:5">
      <c r="E919" s="15" t="s">
        <v>4090</v>
      </c>
    </row>
    <row r="920" spans="5:5">
      <c r="E920" s="15" t="s">
        <v>4091</v>
      </c>
    </row>
    <row r="921" spans="5:5">
      <c r="E921" s="15" t="s">
        <v>4092</v>
      </c>
    </row>
    <row r="922" spans="5:5">
      <c r="E922" s="15" t="s">
        <v>4093</v>
      </c>
    </row>
    <row r="923" spans="5:5">
      <c r="E923" s="15" t="s">
        <v>4094</v>
      </c>
    </row>
    <row r="924" spans="5:5">
      <c r="E924" s="15" t="s">
        <v>4095</v>
      </c>
    </row>
    <row r="925" spans="5:5">
      <c r="E925" s="15" t="s">
        <v>4096</v>
      </c>
    </row>
    <row r="926" spans="5:5">
      <c r="E926" s="15" t="s">
        <v>4097</v>
      </c>
    </row>
    <row r="927" spans="5:5">
      <c r="E927" s="15" t="s">
        <v>4098</v>
      </c>
    </row>
    <row r="928" spans="5:5">
      <c r="E928" s="15" t="s">
        <v>4099</v>
      </c>
    </row>
    <row r="929" spans="5:5">
      <c r="E929" s="15" t="s">
        <v>4100</v>
      </c>
    </row>
    <row r="930" spans="5:5">
      <c r="E930" s="15" t="s">
        <v>4101</v>
      </c>
    </row>
    <row r="931" spans="5:5">
      <c r="E931" s="15" t="s">
        <v>4102</v>
      </c>
    </row>
    <row r="932" spans="5:5">
      <c r="E932" s="15" t="s">
        <v>4103</v>
      </c>
    </row>
    <row r="933" spans="5:5">
      <c r="E933" s="15" t="s">
        <v>4104</v>
      </c>
    </row>
    <row r="934" spans="5:5">
      <c r="E934" s="15" t="s">
        <v>4105</v>
      </c>
    </row>
    <row r="935" spans="5:5">
      <c r="E935" s="15" t="s">
        <v>4106</v>
      </c>
    </row>
    <row r="936" spans="5:5">
      <c r="E936" s="15" t="s">
        <v>4107</v>
      </c>
    </row>
    <row r="937" spans="5:5">
      <c r="E937" s="15" t="s">
        <v>4108</v>
      </c>
    </row>
    <row r="938" spans="5:5">
      <c r="E938" s="15" t="s">
        <v>4109</v>
      </c>
    </row>
    <row r="939" spans="5:5">
      <c r="E939" s="15" t="s">
        <v>4110</v>
      </c>
    </row>
    <row r="940" spans="5:5">
      <c r="E940" s="15" t="s">
        <v>4111</v>
      </c>
    </row>
    <row r="941" spans="5:5">
      <c r="E941" s="15" t="s">
        <v>4112</v>
      </c>
    </row>
    <row r="942" spans="5:5">
      <c r="E942" s="15" t="s">
        <v>4113</v>
      </c>
    </row>
    <row r="943" spans="5:5">
      <c r="E943" s="15" t="s">
        <v>4114</v>
      </c>
    </row>
    <row r="944" spans="5:5">
      <c r="E944" s="15" t="s">
        <v>4115</v>
      </c>
    </row>
    <row r="945" spans="5:5">
      <c r="E945" s="15" t="s">
        <v>4116</v>
      </c>
    </row>
    <row r="946" spans="5:5">
      <c r="E946" s="15" t="s">
        <v>4117</v>
      </c>
    </row>
    <row r="947" spans="5:5">
      <c r="E947" s="15" t="s">
        <v>4118</v>
      </c>
    </row>
    <row r="948" spans="5:5">
      <c r="E948" s="15" t="s">
        <v>4119</v>
      </c>
    </row>
    <row r="949" spans="5:5">
      <c r="E949" s="15" t="s">
        <v>4120</v>
      </c>
    </row>
    <row r="950" spans="5:5">
      <c r="E950" s="15" t="s">
        <v>4121</v>
      </c>
    </row>
    <row r="951" spans="5:5">
      <c r="E951" s="15" t="s">
        <v>4122</v>
      </c>
    </row>
    <row r="952" spans="5:5">
      <c r="E952" s="15" t="s">
        <v>4123</v>
      </c>
    </row>
    <row r="953" spans="5:5">
      <c r="E953" s="15" t="s">
        <v>4124</v>
      </c>
    </row>
    <row r="954" spans="5:5">
      <c r="E954" s="15" t="s">
        <v>4125</v>
      </c>
    </row>
    <row r="955" spans="5:5">
      <c r="E955" s="15" t="s">
        <v>4126</v>
      </c>
    </row>
    <row r="956" spans="5:5">
      <c r="E956" s="15" t="s">
        <v>4127</v>
      </c>
    </row>
    <row r="957" spans="5:5">
      <c r="E957" s="15" t="s">
        <v>4128</v>
      </c>
    </row>
    <row r="958" spans="5:5">
      <c r="E958" s="15" t="s">
        <v>4129</v>
      </c>
    </row>
    <row r="959" spans="5:5">
      <c r="E959" s="15" t="s">
        <v>4130</v>
      </c>
    </row>
    <row r="960" spans="5:5">
      <c r="E960" s="15" t="s">
        <v>4131</v>
      </c>
    </row>
    <row r="961" spans="5:5">
      <c r="E961" s="15" t="s">
        <v>4132</v>
      </c>
    </row>
    <row r="962" spans="5:5">
      <c r="E962" s="15" t="s">
        <v>4133</v>
      </c>
    </row>
    <row r="963" spans="5:5">
      <c r="E963" s="15" t="s">
        <v>4134</v>
      </c>
    </row>
    <row r="964" spans="5:5">
      <c r="E964" s="15" t="s">
        <v>4135</v>
      </c>
    </row>
    <row r="965" spans="5:5">
      <c r="E965" s="15" t="s">
        <v>4136</v>
      </c>
    </row>
    <row r="966" spans="5:5">
      <c r="E966" s="15" t="s">
        <v>4137</v>
      </c>
    </row>
    <row r="967" spans="5:5">
      <c r="E967" s="15" t="s">
        <v>4138</v>
      </c>
    </row>
    <row r="968" spans="5:5">
      <c r="E968" s="15" t="s">
        <v>4139</v>
      </c>
    </row>
    <row r="969" spans="5:5">
      <c r="E969" s="15" t="s">
        <v>4140</v>
      </c>
    </row>
    <row r="970" spans="5:5">
      <c r="E970" s="15" t="s">
        <v>4141</v>
      </c>
    </row>
    <row r="971" spans="5:5">
      <c r="E971" s="15" t="s">
        <v>4142</v>
      </c>
    </row>
    <row r="972" spans="5:5">
      <c r="E972" s="15" t="s">
        <v>4143</v>
      </c>
    </row>
    <row r="973" spans="5:5">
      <c r="E973" s="15" t="s">
        <v>4144</v>
      </c>
    </row>
    <row r="974" spans="5:5">
      <c r="E974" s="15" t="s">
        <v>4145</v>
      </c>
    </row>
    <row r="975" spans="5:5">
      <c r="E975" s="15" t="s">
        <v>4146</v>
      </c>
    </row>
    <row r="976" spans="5:5">
      <c r="E976" s="15" t="s">
        <v>4147</v>
      </c>
    </row>
    <row r="977" spans="5:5">
      <c r="E977" s="15" t="s">
        <v>4148</v>
      </c>
    </row>
    <row r="978" spans="5:5">
      <c r="E978" s="15" t="s">
        <v>4149</v>
      </c>
    </row>
    <row r="979" spans="5:5">
      <c r="E979" s="15" t="s">
        <v>4150</v>
      </c>
    </row>
    <row r="980" spans="5:5">
      <c r="E980" s="15" t="s">
        <v>4151</v>
      </c>
    </row>
    <row r="981" spans="5:5">
      <c r="E981" s="15" t="s">
        <v>4152</v>
      </c>
    </row>
    <row r="982" spans="5:5">
      <c r="E982" s="15" t="s">
        <v>4153</v>
      </c>
    </row>
    <row r="983" spans="5:5">
      <c r="E983" s="15" t="s">
        <v>4154</v>
      </c>
    </row>
    <row r="984" spans="5:5">
      <c r="E984" s="15" t="s">
        <v>4155</v>
      </c>
    </row>
    <row r="985" spans="5:5">
      <c r="E985" s="15" t="s">
        <v>4156</v>
      </c>
    </row>
    <row r="986" spans="5:5">
      <c r="E986" s="15" t="s">
        <v>4157</v>
      </c>
    </row>
    <row r="987" spans="5:5">
      <c r="E987" s="15" t="s">
        <v>4158</v>
      </c>
    </row>
    <row r="988" spans="5:5">
      <c r="E988" s="15" t="s">
        <v>4159</v>
      </c>
    </row>
    <row r="989" spans="5:5">
      <c r="E989" s="15" t="s">
        <v>4160</v>
      </c>
    </row>
    <row r="990" spans="5:5">
      <c r="E990" s="15" t="s">
        <v>4161</v>
      </c>
    </row>
    <row r="991" spans="5:5">
      <c r="E991" s="15" t="s">
        <v>4162</v>
      </c>
    </row>
    <row r="992" spans="5:5">
      <c r="E992" s="15" t="s">
        <v>4163</v>
      </c>
    </row>
    <row r="993" spans="5:5">
      <c r="E993" s="15" t="s">
        <v>4164</v>
      </c>
    </row>
    <row r="994" spans="5:5">
      <c r="E994" s="15" t="s">
        <v>4165</v>
      </c>
    </row>
    <row r="995" spans="5:5">
      <c r="E995" s="15" t="s">
        <v>4166</v>
      </c>
    </row>
    <row r="996" spans="5:5">
      <c r="E996" s="15" t="s">
        <v>4167</v>
      </c>
    </row>
    <row r="997" spans="5:5">
      <c r="E997" s="15" t="s">
        <v>4168</v>
      </c>
    </row>
    <row r="998" spans="5:5">
      <c r="E998" s="15" t="s">
        <v>4169</v>
      </c>
    </row>
    <row r="999" spans="5:5">
      <c r="E999" s="15" t="s">
        <v>4170</v>
      </c>
    </row>
    <row r="1000" spans="5:5">
      <c r="E1000" s="15" t="s">
        <v>4171</v>
      </c>
    </row>
    <row r="1001" spans="5:5">
      <c r="E1001" s="15" t="s">
        <v>4172</v>
      </c>
    </row>
    <row r="1002" spans="5:5">
      <c r="E1002" s="15" t="s">
        <v>4173</v>
      </c>
    </row>
    <row r="1003" spans="5:5">
      <c r="E1003" s="15" t="s">
        <v>4174</v>
      </c>
    </row>
    <row r="1004" spans="5:5">
      <c r="E1004" s="15" t="s">
        <v>4175</v>
      </c>
    </row>
    <row r="1005" spans="5:5">
      <c r="E1005" s="15" t="s">
        <v>4176</v>
      </c>
    </row>
    <row r="1006" spans="5:5">
      <c r="E1006" s="15" t="s">
        <v>4177</v>
      </c>
    </row>
    <row r="1007" spans="5:5">
      <c r="E1007" s="15" t="s">
        <v>4178</v>
      </c>
    </row>
    <row r="1008" spans="5:5">
      <c r="E1008" s="15" t="s">
        <v>4179</v>
      </c>
    </row>
    <row r="1009" spans="5:5">
      <c r="E1009" s="15" t="s">
        <v>4180</v>
      </c>
    </row>
    <row r="1010" spans="5:5">
      <c r="E1010" s="15" t="s">
        <v>4181</v>
      </c>
    </row>
    <row r="1011" spans="5:5">
      <c r="E1011" s="15" t="s">
        <v>4182</v>
      </c>
    </row>
    <row r="1012" spans="5:5">
      <c r="E1012" s="15" t="s">
        <v>4183</v>
      </c>
    </row>
    <row r="1013" spans="5:5">
      <c r="E1013" s="15" t="s">
        <v>4184</v>
      </c>
    </row>
    <row r="1014" spans="5:5">
      <c r="E1014" s="15" t="s">
        <v>4185</v>
      </c>
    </row>
    <row r="1015" spans="5:5">
      <c r="E1015" s="15" t="s">
        <v>4186</v>
      </c>
    </row>
    <row r="1016" spans="5:5">
      <c r="E1016" s="15" t="s">
        <v>4187</v>
      </c>
    </row>
    <row r="1017" spans="5:5">
      <c r="E1017" s="15" t="s">
        <v>4188</v>
      </c>
    </row>
    <row r="1018" spans="5:5">
      <c r="E1018" s="15" t="s">
        <v>4189</v>
      </c>
    </row>
    <row r="1019" spans="5:5">
      <c r="E1019" s="15" t="s">
        <v>4190</v>
      </c>
    </row>
    <row r="1020" spans="5:5">
      <c r="E1020" s="15" t="s">
        <v>4191</v>
      </c>
    </row>
    <row r="1021" spans="5:5">
      <c r="E1021" s="15" t="s">
        <v>4192</v>
      </c>
    </row>
    <row r="1022" spans="5:5">
      <c r="E1022" s="15" t="s">
        <v>4193</v>
      </c>
    </row>
    <row r="1023" spans="5:5">
      <c r="E1023" s="15" t="s">
        <v>4194</v>
      </c>
    </row>
    <row r="1024" spans="5:5">
      <c r="E1024" s="15" t="s">
        <v>4195</v>
      </c>
    </row>
    <row r="1025" spans="5:5">
      <c r="E1025" s="15" t="s">
        <v>4196</v>
      </c>
    </row>
    <row r="1026" spans="5:5">
      <c r="E1026" s="15" t="s">
        <v>4197</v>
      </c>
    </row>
    <row r="1027" spans="5:5">
      <c r="E1027" s="15" t="s">
        <v>4198</v>
      </c>
    </row>
    <row r="1028" spans="5:5">
      <c r="E1028" s="15" t="s">
        <v>4199</v>
      </c>
    </row>
    <row r="1029" spans="5:5">
      <c r="E1029" s="15" t="s">
        <v>4200</v>
      </c>
    </row>
    <row r="1030" spans="5:5">
      <c r="E1030" s="15" t="s">
        <v>4201</v>
      </c>
    </row>
    <row r="1031" spans="5:5">
      <c r="E1031" s="15" t="s">
        <v>4202</v>
      </c>
    </row>
    <row r="1032" spans="5:5">
      <c r="E1032" s="15" t="s">
        <v>4203</v>
      </c>
    </row>
    <row r="1033" spans="5:5">
      <c r="E1033" s="15" t="s">
        <v>4204</v>
      </c>
    </row>
    <row r="1034" spans="5:5">
      <c r="E1034" s="15" t="s">
        <v>4205</v>
      </c>
    </row>
    <row r="1035" spans="5:5">
      <c r="E1035" s="15" t="s">
        <v>4206</v>
      </c>
    </row>
    <row r="1036" spans="5:5">
      <c r="E1036" s="15" t="s">
        <v>4207</v>
      </c>
    </row>
    <row r="1037" spans="5:5">
      <c r="E1037" s="15" t="s">
        <v>4208</v>
      </c>
    </row>
    <row r="1038" spans="5:5">
      <c r="E1038" s="15" t="s">
        <v>4209</v>
      </c>
    </row>
    <row r="1039" spans="5:5">
      <c r="E1039" s="15" t="s">
        <v>4210</v>
      </c>
    </row>
    <row r="1040" spans="5:5">
      <c r="E1040" s="15" t="s">
        <v>4211</v>
      </c>
    </row>
    <row r="1041" spans="5:5">
      <c r="E1041" s="15" t="s">
        <v>4212</v>
      </c>
    </row>
    <row r="1042" spans="5:5">
      <c r="E1042" s="15" t="s">
        <v>4213</v>
      </c>
    </row>
    <row r="1043" spans="5:5">
      <c r="E1043" s="15" t="s">
        <v>4214</v>
      </c>
    </row>
    <row r="1044" spans="5:5">
      <c r="E1044" s="15" t="s">
        <v>4215</v>
      </c>
    </row>
    <row r="1045" spans="5:5">
      <c r="E1045" s="15" t="s">
        <v>4216</v>
      </c>
    </row>
    <row r="1046" spans="5:5">
      <c r="E1046" s="15" t="s">
        <v>4217</v>
      </c>
    </row>
    <row r="1047" spans="5:5">
      <c r="E1047" s="15" t="s">
        <v>4218</v>
      </c>
    </row>
    <row r="1048" spans="5:5">
      <c r="E1048" s="15" t="s">
        <v>4219</v>
      </c>
    </row>
    <row r="1049" spans="5:5">
      <c r="E1049" s="15" t="s">
        <v>4220</v>
      </c>
    </row>
    <row r="1050" spans="5:5">
      <c r="E1050" s="15" t="s">
        <v>4221</v>
      </c>
    </row>
    <row r="1051" spans="5:5">
      <c r="E1051" s="15" t="s">
        <v>4222</v>
      </c>
    </row>
    <row r="1052" spans="5:5">
      <c r="E1052" s="15" t="s">
        <v>4223</v>
      </c>
    </row>
    <row r="1053" spans="5:5">
      <c r="E1053" s="15" t="s">
        <v>4224</v>
      </c>
    </row>
    <row r="1054" spans="5:5">
      <c r="E1054" s="15" t="s">
        <v>4225</v>
      </c>
    </row>
    <row r="1055" spans="5:5">
      <c r="E1055" s="15" t="s">
        <v>4226</v>
      </c>
    </row>
    <row r="1056" spans="5:5">
      <c r="E1056" s="15" t="s">
        <v>4227</v>
      </c>
    </row>
    <row r="1057" spans="5:5">
      <c r="E1057" s="15" t="s">
        <v>4228</v>
      </c>
    </row>
    <row r="1058" spans="5:5">
      <c r="E1058" s="15" t="s">
        <v>4229</v>
      </c>
    </row>
    <row r="1059" spans="5:5">
      <c r="E1059" s="15" t="s">
        <v>4230</v>
      </c>
    </row>
    <row r="1060" spans="5:5">
      <c r="E1060" s="15" t="s">
        <v>4231</v>
      </c>
    </row>
    <row r="1061" spans="5:5">
      <c r="E1061" s="15" t="s">
        <v>4232</v>
      </c>
    </row>
    <row r="1062" spans="5:5">
      <c r="E1062" s="15" t="s">
        <v>4233</v>
      </c>
    </row>
    <row r="1063" spans="5:5">
      <c r="E1063" s="15" t="s">
        <v>4234</v>
      </c>
    </row>
    <row r="1064" spans="5:5">
      <c r="E1064" s="15" t="s">
        <v>4235</v>
      </c>
    </row>
    <row r="1065" spans="5:5">
      <c r="E1065" s="15" t="s">
        <v>4236</v>
      </c>
    </row>
    <row r="1066" spans="5:5">
      <c r="E1066" s="15" t="s">
        <v>4237</v>
      </c>
    </row>
    <row r="1067" spans="5:5">
      <c r="E1067" s="15" t="s">
        <v>4238</v>
      </c>
    </row>
    <row r="1068" spans="5:5">
      <c r="E1068" s="15" t="s">
        <v>4239</v>
      </c>
    </row>
    <row r="1069" spans="5:5">
      <c r="E1069" s="15" t="s">
        <v>4240</v>
      </c>
    </row>
    <row r="1070" spans="5:5">
      <c r="E1070" s="15" t="s">
        <v>4241</v>
      </c>
    </row>
    <row r="1071" spans="5:5">
      <c r="E1071" s="15" t="s">
        <v>4242</v>
      </c>
    </row>
    <row r="1072" spans="5:5">
      <c r="E1072" s="15" t="s">
        <v>4243</v>
      </c>
    </row>
    <row r="1073" spans="5:5">
      <c r="E1073" s="15" t="s">
        <v>4244</v>
      </c>
    </row>
    <row r="1074" spans="5:5">
      <c r="E1074" s="15" t="s">
        <v>4245</v>
      </c>
    </row>
    <row r="1075" spans="5:5">
      <c r="E1075" s="15" t="s">
        <v>4246</v>
      </c>
    </row>
    <row r="1076" spans="5:5">
      <c r="E1076" s="15" t="s">
        <v>4247</v>
      </c>
    </row>
    <row r="1077" spans="5:5">
      <c r="E1077" s="15" t="s">
        <v>4248</v>
      </c>
    </row>
    <row r="1078" spans="5:5">
      <c r="E1078" s="15" t="s">
        <v>4249</v>
      </c>
    </row>
    <row r="1079" spans="5:5">
      <c r="E1079" s="15" t="s">
        <v>4250</v>
      </c>
    </row>
    <row r="1080" spans="5:5">
      <c r="E1080" s="15" t="s">
        <v>4251</v>
      </c>
    </row>
    <row r="1081" spans="5:5">
      <c r="E1081" s="15" t="s">
        <v>4252</v>
      </c>
    </row>
    <row r="1082" spans="5:5">
      <c r="E1082" s="15" t="s">
        <v>4253</v>
      </c>
    </row>
    <row r="1083" spans="5:5">
      <c r="E1083" s="15" t="s">
        <v>4254</v>
      </c>
    </row>
    <row r="1084" spans="5:5">
      <c r="E1084" s="15" t="s">
        <v>4255</v>
      </c>
    </row>
    <row r="1085" spans="5:5">
      <c r="E1085" s="15" t="s">
        <v>4256</v>
      </c>
    </row>
    <row r="1086" spans="5:5">
      <c r="E1086" s="15" t="s">
        <v>4257</v>
      </c>
    </row>
    <row r="1087" spans="5:5">
      <c r="E1087" s="15" t="s">
        <v>4258</v>
      </c>
    </row>
    <row r="1088" spans="5:5">
      <c r="E1088" s="15" t="s">
        <v>4259</v>
      </c>
    </row>
    <row r="1089" spans="5:5">
      <c r="E1089" s="15" t="s">
        <v>4260</v>
      </c>
    </row>
    <row r="1090" spans="5:5">
      <c r="E1090" s="15" t="s">
        <v>4261</v>
      </c>
    </row>
    <row r="1091" spans="5:5">
      <c r="E1091" s="15" t="s">
        <v>4262</v>
      </c>
    </row>
    <row r="1092" spans="5:5">
      <c r="E1092" s="15" t="s">
        <v>4263</v>
      </c>
    </row>
    <row r="1093" spans="5:5">
      <c r="E1093" s="15" t="s">
        <v>4264</v>
      </c>
    </row>
    <row r="1094" spans="5:5">
      <c r="E1094" s="15" t="s">
        <v>4265</v>
      </c>
    </row>
    <row r="1095" spans="5:5">
      <c r="E1095" s="15" t="s">
        <v>4266</v>
      </c>
    </row>
    <row r="1096" spans="5:5">
      <c r="E1096" s="15" t="s">
        <v>4267</v>
      </c>
    </row>
    <row r="1097" spans="5:5">
      <c r="E1097" s="15" t="s">
        <v>4268</v>
      </c>
    </row>
    <row r="1098" spans="5:5">
      <c r="E1098" s="15" t="s">
        <v>4269</v>
      </c>
    </row>
    <row r="1099" spans="5:5">
      <c r="E1099" s="15" t="s">
        <v>4270</v>
      </c>
    </row>
    <row r="1100" spans="5:5">
      <c r="E1100" s="15" t="s">
        <v>4271</v>
      </c>
    </row>
    <row r="1101" spans="5:5">
      <c r="E1101" s="15" t="s">
        <v>4272</v>
      </c>
    </row>
    <row r="1102" spans="5:5">
      <c r="E1102" s="15" t="s">
        <v>4273</v>
      </c>
    </row>
    <row r="1103" spans="5:5">
      <c r="E1103" s="15" t="s">
        <v>4274</v>
      </c>
    </row>
    <row r="1104" spans="5:5">
      <c r="E1104" s="15" t="s">
        <v>4275</v>
      </c>
    </row>
    <row r="1105" spans="5:5">
      <c r="E1105" s="15" t="s">
        <v>4276</v>
      </c>
    </row>
    <row r="1106" spans="5:5">
      <c r="E1106" s="15" t="s">
        <v>4277</v>
      </c>
    </row>
    <row r="1107" spans="5:5">
      <c r="E1107" s="15" t="s">
        <v>4278</v>
      </c>
    </row>
    <row r="1108" spans="5:5">
      <c r="E1108" s="15" t="s">
        <v>4279</v>
      </c>
    </row>
    <row r="1109" spans="5:5">
      <c r="E1109" s="15" t="s">
        <v>4280</v>
      </c>
    </row>
    <row r="1110" spans="5:5">
      <c r="E1110" s="15" t="s">
        <v>4281</v>
      </c>
    </row>
    <row r="1111" spans="5:5">
      <c r="E1111" s="15" t="s">
        <v>4282</v>
      </c>
    </row>
    <row r="1112" spans="5:5">
      <c r="E1112" s="15" t="s">
        <v>4283</v>
      </c>
    </row>
    <row r="1113" spans="5:5">
      <c r="E1113" s="15" t="s">
        <v>4284</v>
      </c>
    </row>
    <row r="1114" spans="5:5">
      <c r="E1114" s="15" t="s">
        <v>4285</v>
      </c>
    </row>
    <row r="1115" spans="5:5">
      <c r="E1115" s="15" t="s">
        <v>4286</v>
      </c>
    </row>
    <row r="1116" spans="5:5">
      <c r="E1116" s="15" t="s">
        <v>4287</v>
      </c>
    </row>
    <row r="1117" spans="5:5">
      <c r="E1117" s="15" t="s">
        <v>4288</v>
      </c>
    </row>
    <row r="1118" spans="5:5">
      <c r="E1118" s="15" t="s">
        <v>4289</v>
      </c>
    </row>
    <row r="1119" spans="5:5">
      <c r="E1119" s="15" t="s">
        <v>4290</v>
      </c>
    </row>
    <row r="1120" spans="5:5">
      <c r="E1120" s="15" t="s">
        <v>4291</v>
      </c>
    </row>
    <row r="1121" spans="5:5">
      <c r="E1121" s="15" t="s">
        <v>4292</v>
      </c>
    </row>
    <row r="1122" spans="5:5">
      <c r="E1122" s="15" t="s">
        <v>4293</v>
      </c>
    </row>
    <row r="1123" spans="5:5">
      <c r="E1123" s="15" t="s">
        <v>4294</v>
      </c>
    </row>
    <row r="1124" spans="5:5">
      <c r="E1124" s="15" t="s">
        <v>4295</v>
      </c>
    </row>
    <row r="1125" spans="5:5">
      <c r="E1125" s="15" t="s">
        <v>4296</v>
      </c>
    </row>
    <row r="1126" spans="5:5">
      <c r="E1126" s="15" t="s">
        <v>4297</v>
      </c>
    </row>
    <row r="1127" spans="5:5">
      <c r="E1127" s="15" t="s">
        <v>4298</v>
      </c>
    </row>
    <row r="1128" spans="5:5">
      <c r="E1128" s="15" t="s">
        <v>4299</v>
      </c>
    </row>
    <row r="1129" spans="5:5">
      <c r="E1129" s="15" t="s">
        <v>4300</v>
      </c>
    </row>
    <row r="1130" spans="5:5">
      <c r="E1130" s="15" t="s">
        <v>4301</v>
      </c>
    </row>
    <row r="1131" spans="5:5">
      <c r="E1131" s="15" t="s">
        <v>4302</v>
      </c>
    </row>
    <row r="1132" spans="5:5">
      <c r="E1132" s="15" t="s">
        <v>4303</v>
      </c>
    </row>
    <row r="1133" spans="5:5">
      <c r="E1133" s="15" t="s">
        <v>4304</v>
      </c>
    </row>
    <row r="1134" spans="5:5">
      <c r="E1134" s="15" t="s">
        <v>4305</v>
      </c>
    </row>
    <row r="1135" spans="5:5">
      <c r="E1135" s="15" t="s">
        <v>4306</v>
      </c>
    </row>
    <row r="1136" spans="5:5">
      <c r="E1136" s="15" t="s">
        <v>4307</v>
      </c>
    </row>
    <row r="1137" spans="5:5">
      <c r="E1137" s="15" t="s">
        <v>4308</v>
      </c>
    </row>
    <row r="1138" spans="5:5">
      <c r="E1138" s="15" t="s">
        <v>4309</v>
      </c>
    </row>
    <row r="1139" spans="5:5">
      <c r="E1139" s="15" t="s">
        <v>4310</v>
      </c>
    </row>
    <row r="1140" spans="5:5">
      <c r="E1140" s="15" t="s">
        <v>4311</v>
      </c>
    </row>
    <row r="1141" spans="5:5">
      <c r="E1141" s="15" t="s">
        <v>4312</v>
      </c>
    </row>
    <row r="1142" spans="5:5">
      <c r="E1142" s="15" t="s">
        <v>4313</v>
      </c>
    </row>
    <row r="1143" spans="5:5">
      <c r="E1143" s="15" t="s">
        <v>4314</v>
      </c>
    </row>
    <row r="1144" spans="5:5">
      <c r="E1144" s="15" t="s">
        <v>4315</v>
      </c>
    </row>
    <row r="1145" spans="5:5">
      <c r="E1145" s="15" t="s">
        <v>4316</v>
      </c>
    </row>
    <row r="1146" spans="5:5">
      <c r="E1146" s="15" t="s">
        <v>4317</v>
      </c>
    </row>
    <row r="1147" spans="5:5">
      <c r="E1147" s="15" t="s">
        <v>4318</v>
      </c>
    </row>
    <row r="1148" spans="5:5">
      <c r="E1148" s="15" t="s">
        <v>4319</v>
      </c>
    </row>
    <row r="1149" spans="5:5">
      <c r="E1149" s="15" t="s">
        <v>4320</v>
      </c>
    </row>
    <row r="1150" spans="5:5">
      <c r="E1150" s="15" t="s">
        <v>4321</v>
      </c>
    </row>
    <row r="1151" spans="5:5">
      <c r="E1151" s="15" t="s">
        <v>4322</v>
      </c>
    </row>
    <row r="1152" spans="5:5">
      <c r="E1152" s="15" t="s">
        <v>4323</v>
      </c>
    </row>
  </sheetData>
  <phoneticPr fontId="3" type="noConversion"/>
  <hyperlinks>
    <hyperlink ref="B13" r:id="rId1" display="tperry@westcongress.com"/>
  </hyperlinks>
  <pageMargins left="0.75" right="0.75" top="1" bottom="1" header="0.5" footer="0.5"/>
  <pageSetup orientation="portrait"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V4242"/>
  <sheetViews>
    <sheetView showGridLines="0" topLeftCell="A568" zoomScale="90" zoomScaleNormal="90" workbookViewId="0"/>
  </sheetViews>
  <sheetFormatPr defaultRowHeight="12.75"/>
  <cols>
    <col min="1" max="1" width="60.140625" style="73" bestFit="1" customWidth="1"/>
    <col min="2" max="2" width="70.28515625" style="73" bestFit="1" customWidth="1"/>
    <col min="3" max="5" width="9.140625" style="73"/>
    <col min="6" max="6" width="72.85546875" style="73" bestFit="1" customWidth="1"/>
    <col min="7" max="7" width="16.42578125" style="73" customWidth="1"/>
    <col min="8" max="8" width="9.140625" style="73"/>
    <col min="9" max="9" width="70.7109375" style="73" bestFit="1" customWidth="1"/>
    <col min="10" max="10" width="27.42578125" style="73" bestFit="1" customWidth="1"/>
    <col min="11" max="11" width="72" style="73" bestFit="1" customWidth="1"/>
    <col min="12" max="12" width="69.85546875" style="73" bestFit="1" customWidth="1"/>
    <col min="13" max="13" width="70.28515625" style="73" bestFit="1" customWidth="1"/>
    <col min="14" max="14" width="72" style="73" bestFit="1" customWidth="1"/>
    <col min="15" max="15" width="71.85546875" style="73" bestFit="1" customWidth="1"/>
    <col min="16" max="16" width="82.7109375" style="73" customWidth="1"/>
    <col min="17" max="17" width="71.85546875" style="73" bestFit="1" customWidth="1"/>
    <col min="18" max="18" width="9.140625" style="73"/>
    <col min="19" max="19" width="16.42578125" style="73" bestFit="1" customWidth="1"/>
    <col min="20" max="20" width="9.140625" style="73"/>
    <col min="21" max="21" width="19.140625" style="73" bestFit="1" customWidth="1"/>
    <col min="22" max="22" width="17" style="73" bestFit="1" customWidth="1"/>
    <col min="23" max="23" width="9.140625" style="73"/>
    <col min="24" max="24" width="16.42578125" style="73" bestFit="1" customWidth="1"/>
    <col min="25" max="41" width="55.85546875" style="73" customWidth="1"/>
    <col min="42" max="68" width="55.28515625" style="73" customWidth="1"/>
    <col min="69" max="69" width="55.85546875" style="73" customWidth="1"/>
    <col min="70" max="87" width="55.28515625" style="73" customWidth="1"/>
    <col min="88" max="16384" width="9.140625" style="73"/>
  </cols>
  <sheetData>
    <row r="1" spans="1:74">
      <c r="A1" s="75" t="s">
        <v>1985</v>
      </c>
      <c r="B1" s="75" t="s">
        <v>1986</v>
      </c>
      <c r="S1" s="74"/>
      <c r="X1" s="74"/>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75"/>
      <c r="AY1" s="75"/>
      <c r="AZ1" s="75"/>
      <c r="BA1" s="75"/>
      <c r="BB1" s="75"/>
      <c r="BC1" s="75"/>
      <c r="BD1" s="75"/>
      <c r="BE1" s="75"/>
      <c r="BF1" s="75"/>
      <c r="BG1" s="75"/>
      <c r="BH1" s="75"/>
      <c r="BI1" s="75"/>
      <c r="BJ1" s="75"/>
      <c r="BK1" s="75"/>
      <c r="BL1" s="75"/>
      <c r="BM1" s="75"/>
      <c r="BN1" s="75"/>
      <c r="BO1" s="75"/>
      <c r="BP1" s="75"/>
      <c r="BQ1" s="75"/>
      <c r="BR1" s="75"/>
      <c r="BS1" s="75"/>
      <c r="BT1" s="75"/>
      <c r="BU1" s="75"/>
      <c r="BV1" s="75"/>
    </row>
    <row r="2" spans="1:74">
      <c r="A2" t="s">
        <v>3108</v>
      </c>
      <c r="B2" t="s">
        <v>2883</v>
      </c>
      <c r="G2" s="74"/>
      <c r="AP2" s="85"/>
      <c r="AT2" s="86"/>
      <c r="AU2" s="86"/>
      <c r="BE2" s="86"/>
      <c r="BG2" s="18"/>
      <c r="BH2" s="18"/>
      <c r="BI2" s="18"/>
      <c r="BJ2" s="18"/>
      <c r="BK2" s="18"/>
      <c r="BL2" s="18"/>
      <c r="BM2" s="18"/>
      <c r="BN2" s="18"/>
      <c r="BO2" s="18"/>
      <c r="BP2" s="18"/>
      <c r="BQ2" s="18"/>
      <c r="BR2" s="18"/>
      <c r="BS2" s="18"/>
      <c r="BT2" s="18"/>
      <c r="BU2" s="18"/>
      <c r="BV2" s="18"/>
    </row>
    <row r="3" spans="1:74">
      <c r="A3" t="s">
        <v>3109</v>
      </c>
      <c r="B3" t="s">
        <v>2884</v>
      </c>
      <c r="G3" s="74"/>
      <c r="AC3" s="18"/>
      <c r="AE3" s="86"/>
      <c r="AF3" s="86"/>
      <c r="AK3" s="86"/>
      <c r="AP3" s="85"/>
      <c r="AS3" s="86"/>
      <c r="AT3" s="86"/>
      <c r="AU3" s="86"/>
      <c r="BB3" s="86"/>
      <c r="BC3" s="86"/>
      <c r="BG3" s="18"/>
      <c r="BH3" s="18"/>
      <c r="BI3" s="86"/>
      <c r="BJ3" s="18"/>
      <c r="BK3" s="18"/>
      <c r="BL3" s="18"/>
      <c r="BM3" s="18"/>
      <c r="BN3" s="18"/>
      <c r="BO3" s="18"/>
      <c r="BP3" s="18"/>
      <c r="BQ3" s="18"/>
      <c r="BR3" s="18"/>
      <c r="BS3" s="18"/>
      <c r="BT3" s="18"/>
      <c r="BU3" s="18"/>
      <c r="BV3" s="18"/>
    </row>
    <row r="4" spans="1:74">
      <c r="A4" t="s">
        <v>3110</v>
      </c>
      <c r="B4" t="s">
        <v>2885</v>
      </c>
      <c r="G4" s="74"/>
      <c r="AC4" s="18"/>
      <c r="AE4" s="86"/>
      <c r="AF4" s="86"/>
      <c r="AK4" s="86"/>
      <c r="AP4" s="85"/>
      <c r="AS4" s="86"/>
      <c r="AT4" s="86"/>
      <c r="AU4" s="86"/>
      <c r="BB4" s="86"/>
      <c r="BC4" s="86"/>
      <c r="BG4" s="18"/>
      <c r="BH4" s="18"/>
      <c r="BI4" s="86"/>
      <c r="BJ4" s="18"/>
      <c r="BK4" s="18"/>
      <c r="BL4" s="18"/>
      <c r="BM4" s="18"/>
      <c r="BN4" s="18"/>
      <c r="BO4" s="18"/>
      <c r="BP4" s="18"/>
      <c r="BQ4" s="18"/>
      <c r="BR4" s="18"/>
      <c r="BS4" s="18"/>
      <c r="BT4" s="18"/>
      <c r="BU4" s="18"/>
      <c r="BV4" s="18"/>
    </row>
    <row r="5" spans="1:74">
      <c r="A5" t="s">
        <v>2862</v>
      </c>
      <c r="B5" t="s">
        <v>2886</v>
      </c>
      <c r="G5" s="74"/>
      <c r="AC5" s="18"/>
      <c r="AN5" s="86"/>
      <c r="AP5" s="85"/>
      <c r="AS5" s="86"/>
      <c r="AT5" s="86"/>
      <c r="AY5" s="86"/>
      <c r="AZ5" s="86"/>
      <c r="BB5" s="86"/>
      <c r="BG5" s="18"/>
      <c r="BH5" s="18"/>
      <c r="BI5" s="18"/>
      <c r="BJ5" s="18"/>
      <c r="BK5" s="18"/>
      <c r="BL5" s="18"/>
      <c r="BM5" s="18"/>
      <c r="BN5" s="18"/>
      <c r="BO5" s="18"/>
      <c r="BP5" s="18"/>
      <c r="BQ5" s="18"/>
      <c r="BR5" s="18"/>
      <c r="BS5" s="18"/>
      <c r="BT5" s="18"/>
      <c r="BU5" s="18"/>
      <c r="BV5" s="18"/>
    </row>
    <row r="6" spans="1:74">
      <c r="A6" t="s">
        <v>2862</v>
      </c>
      <c r="B6" t="s">
        <v>2839</v>
      </c>
      <c r="G6" s="74"/>
      <c r="AC6" s="18"/>
      <c r="AP6" s="85"/>
      <c r="BC6" s="18"/>
      <c r="BG6" s="18"/>
      <c r="BH6" s="18"/>
      <c r="BI6" s="18"/>
      <c r="BJ6" s="18"/>
      <c r="BK6" s="18"/>
      <c r="BL6" s="18"/>
      <c r="BM6" s="18"/>
      <c r="BN6" s="18"/>
      <c r="BO6" s="18"/>
      <c r="BP6" s="18"/>
      <c r="BQ6" s="18"/>
      <c r="BR6" s="18"/>
      <c r="BS6" s="18"/>
      <c r="BT6" s="18"/>
      <c r="BU6" s="18"/>
      <c r="BV6" s="18"/>
    </row>
    <row r="7" spans="1:74">
      <c r="A7" t="s">
        <v>2077</v>
      </c>
      <c r="B7" t="s">
        <v>2568</v>
      </c>
      <c r="G7" s="74"/>
      <c r="AC7" s="18"/>
      <c r="AE7" s="18"/>
      <c r="AG7" s="18"/>
      <c r="AK7" s="18"/>
      <c r="AP7" s="85"/>
      <c r="AU7" s="18"/>
      <c r="BF7" s="86"/>
      <c r="BG7" s="18"/>
      <c r="BH7" s="18"/>
      <c r="BI7" s="18"/>
      <c r="BJ7" s="18"/>
      <c r="BK7" s="18"/>
      <c r="BL7" s="18"/>
      <c r="BM7" s="18"/>
      <c r="BN7" s="18"/>
      <c r="BO7" s="18"/>
      <c r="BP7" s="18"/>
      <c r="BQ7" s="18"/>
      <c r="BR7" s="18"/>
      <c r="BS7" s="18"/>
      <c r="BT7" s="18"/>
      <c r="BU7" s="18"/>
      <c r="BV7" s="18"/>
    </row>
    <row r="8" spans="1:74">
      <c r="A8" t="s">
        <v>2077</v>
      </c>
      <c r="B8" t="s">
        <v>2569</v>
      </c>
      <c r="G8" s="74"/>
      <c r="AC8" s="86"/>
      <c r="AP8" s="85"/>
      <c r="BG8" s="18"/>
      <c r="BH8" s="18"/>
      <c r="BI8" s="18"/>
      <c r="BJ8" s="18"/>
      <c r="BK8" s="18"/>
      <c r="BL8" s="18"/>
      <c r="BM8" s="18"/>
      <c r="BN8" s="18"/>
      <c r="BO8" s="18"/>
      <c r="BP8" s="18"/>
      <c r="BQ8" s="18"/>
      <c r="BR8" s="18"/>
      <c r="BS8" s="18"/>
      <c r="BT8" s="18"/>
      <c r="BU8" s="18"/>
      <c r="BV8" s="18"/>
    </row>
    <row r="9" spans="1:74">
      <c r="A9" t="s">
        <v>2077</v>
      </c>
      <c r="B9" t="s">
        <v>2570</v>
      </c>
      <c r="G9" s="74"/>
      <c r="AC9" s="86"/>
      <c r="AP9" s="85"/>
      <c r="AR9" s="18"/>
      <c r="BG9" s="18"/>
      <c r="BH9" s="18"/>
      <c r="BI9" s="18"/>
      <c r="BJ9" s="18"/>
      <c r="BK9" s="18"/>
      <c r="BL9" s="18"/>
      <c r="BM9" s="18"/>
      <c r="BN9" s="18"/>
      <c r="BO9" s="18"/>
      <c r="BP9" s="18"/>
      <c r="BQ9" s="18"/>
      <c r="BR9" s="18"/>
      <c r="BS9" s="18"/>
      <c r="BT9" s="18"/>
      <c r="BU9" s="18"/>
      <c r="BV9" s="18"/>
    </row>
    <row r="10" spans="1:74">
      <c r="A10" t="s">
        <v>2077</v>
      </c>
      <c r="B10" t="s">
        <v>2672</v>
      </c>
      <c r="G10" s="74"/>
      <c r="AP10" s="85"/>
      <c r="BA10" s="18"/>
      <c r="BG10" s="18"/>
      <c r="BH10" s="18"/>
      <c r="BI10" s="18"/>
      <c r="BJ10" s="18"/>
      <c r="BK10" s="18"/>
      <c r="BL10" s="18"/>
      <c r="BM10" s="18"/>
      <c r="BN10" s="18"/>
      <c r="BO10" s="18"/>
      <c r="BP10" s="18"/>
      <c r="BQ10" s="18"/>
      <c r="BR10" s="18"/>
      <c r="BS10" s="18"/>
      <c r="BT10" s="18"/>
      <c r="BU10" s="18"/>
      <c r="BV10" s="18"/>
    </row>
    <row r="11" spans="1:74">
      <c r="A11" t="s">
        <v>2077</v>
      </c>
      <c r="B11" t="s">
        <v>2574</v>
      </c>
      <c r="G11" s="74"/>
      <c r="AC11" s="18"/>
      <c r="AP11" s="85"/>
      <c r="AW11" s="18"/>
      <c r="BA11" s="18"/>
      <c r="BG11" s="18"/>
      <c r="BH11" s="18"/>
      <c r="BI11" s="18"/>
      <c r="BK11" s="18"/>
      <c r="BL11" s="18"/>
      <c r="BM11" s="18"/>
      <c r="BN11" s="18"/>
      <c r="BO11" s="18"/>
      <c r="BP11" s="18"/>
      <c r="BQ11" s="18"/>
      <c r="BR11" s="18"/>
      <c r="BS11" s="18"/>
      <c r="BT11" s="18"/>
      <c r="BU11" s="18"/>
      <c r="BV11" s="18"/>
    </row>
    <row r="12" spans="1:74">
      <c r="A12" t="s">
        <v>2077</v>
      </c>
      <c r="B12" t="s">
        <v>2099</v>
      </c>
      <c r="G12" s="74"/>
      <c r="AP12" s="85"/>
      <c r="BA12" s="18"/>
      <c r="BG12" s="18"/>
      <c r="BH12" s="18"/>
      <c r="BI12" s="18"/>
      <c r="BJ12" s="18"/>
      <c r="BK12" s="18"/>
      <c r="BL12" s="18"/>
      <c r="BM12" s="18"/>
      <c r="BN12" s="18"/>
      <c r="BO12" s="18"/>
      <c r="BP12" s="18"/>
      <c r="BQ12" s="18"/>
      <c r="BR12" s="18"/>
      <c r="BS12" s="18"/>
      <c r="BT12" s="18"/>
      <c r="BU12" s="18"/>
      <c r="BV12" s="18"/>
    </row>
    <row r="13" spans="1:74">
      <c r="A13" t="s">
        <v>2077</v>
      </c>
      <c r="B13" t="s">
        <v>2571</v>
      </c>
      <c r="G13" s="74"/>
      <c r="AC13" s="18"/>
      <c r="AO13" s="18"/>
      <c r="AP13" s="85"/>
      <c r="AR13" s="18"/>
      <c r="BA13" s="18"/>
      <c r="BG13" s="18"/>
      <c r="BH13" s="18"/>
      <c r="BI13" s="18"/>
      <c r="BJ13" s="18"/>
      <c r="BK13" s="18"/>
      <c r="BL13" s="18"/>
      <c r="BM13" s="18"/>
      <c r="BN13" s="18"/>
      <c r="BO13" s="18"/>
      <c r="BP13" s="18"/>
      <c r="BQ13" s="18"/>
      <c r="BR13" s="18"/>
      <c r="BS13" s="18"/>
      <c r="BT13" s="18"/>
      <c r="BU13" s="18"/>
      <c r="BV13" s="18"/>
    </row>
    <row r="14" spans="1:74">
      <c r="A14" t="s">
        <v>2077</v>
      </c>
      <c r="B14" t="s">
        <v>2572</v>
      </c>
      <c r="G14" s="74"/>
      <c r="AP14" s="85"/>
      <c r="BG14" s="18"/>
      <c r="BH14" s="18"/>
      <c r="BI14" s="18"/>
      <c r="BJ14" s="18"/>
      <c r="BK14" s="18"/>
      <c r="BL14" s="18"/>
      <c r="BM14" s="18"/>
      <c r="BN14" s="18"/>
      <c r="BO14" s="18"/>
      <c r="BP14" s="18"/>
      <c r="BQ14" s="18"/>
      <c r="BR14" s="18"/>
      <c r="BS14" s="18"/>
      <c r="BT14" s="18"/>
      <c r="BU14" s="18"/>
      <c r="BV14" s="18"/>
    </row>
    <row r="15" spans="1:74">
      <c r="A15" t="s">
        <v>2077</v>
      </c>
      <c r="B15" t="s">
        <v>2102</v>
      </c>
      <c r="G15" s="74"/>
      <c r="AP15" s="85"/>
      <c r="AR15" s="18"/>
      <c r="BG15" s="18"/>
      <c r="BH15" s="18"/>
      <c r="BI15" s="18"/>
      <c r="BJ15" s="18"/>
      <c r="BK15" s="18"/>
      <c r="BL15" s="18"/>
      <c r="BM15" s="18"/>
      <c r="BN15" s="18"/>
      <c r="BO15" s="18"/>
      <c r="BP15" s="18"/>
      <c r="BQ15" s="18"/>
      <c r="BR15" s="18"/>
      <c r="BS15" s="18"/>
      <c r="BT15" s="18"/>
      <c r="BU15" s="18"/>
      <c r="BV15" s="18"/>
    </row>
    <row r="16" spans="1:74">
      <c r="A16" t="s">
        <v>2077</v>
      </c>
      <c r="B16" t="s">
        <v>2840</v>
      </c>
      <c r="G16" s="74"/>
      <c r="AP16" s="18"/>
      <c r="BG16" s="18"/>
      <c r="BH16" s="18"/>
      <c r="BI16" s="18"/>
      <c r="BJ16" s="18"/>
      <c r="BK16" s="18"/>
      <c r="BL16" s="18"/>
      <c r="BM16" s="18"/>
      <c r="BN16" s="18"/>
      <c r="BO16" s="18"/>
      <c r="BP16" s="18"/>
      <c r="BQ16" s="18"/>
      <c r="BR16" s="18"/>
      <c r="BS16" s="18"/>
      <c r="BT16" s="18"/>
      <c r="BU16" s="18"/>
      <c r="BV16" s="18"/>
    </row>
    <row r="17" spans="1:74">
      <c r="A17" t="s">
        <v>2077</v>
      </c>
      <c r="B17" t="s">
        <v>2573</v>
      </c>
      <c r="G17" s="74"/>
      <c r="AC17" s="18"/>
      <c r="AP17" s="85"/>
      <c r="BG17" s="18"/>
      <c r="BH17" s="18"/>
      <c r="BI17" s="18"/>
      <c r="BJ17" s="18"/>
      <c r="BK17" s="18"/>
      <c r="BL17" s="18"/>
      <c r="BM17" s="18"/>
      <c r="BN17" s="18"/>
      <c r="BO17" s="18"/>
      <c r="BP17" s="18"/>
      <c r="BQ17" s="18"/>
      <c r="BR17" s="18"/>
      <c r="BS17" s="18"/>
      <c r="BT17" s="18"/>
      <c r="BU17" s="18"/>
      <c r="BV17" s="18"/>
    </row>
    <row r="18" spans="1:74">
      <c r="A18" t="s">
        <v>2077</v>
      </c>
      <c r="B18" t="s">
        <v>2575</v>
      </c>
      <c r="G18" s="74"/>
      <c r="AP18" s="85"/>
      <c r="BG18" s="18"/>
      <c r="BI18" s="18"/>
      <c r="BJ18" s="18"/>
      <c r="BK18" s="18"/>
      <c r="BL18" s="18"/>
      <c r="BM18" s="18"/>
      <c r="BN18" s="18"/>
      <c r="BO18" s="18"/>
      <c r="BP18" s="18"/>
      <c r="BQ18" s="18"/>
      <c r="BR18" s="18"/>
      <c r="BS18" s="18"/>
      <c r="BT18" s="18"/>
      <c r="BU18" s="18"/>
      <c r="BV18" s="18"/>
    </row>
    <row r="19" spans="1:74">
      <c r="A19" t="s">
        <v>2077</v>
      </c>
      <c r="B19" t="s">
        <v>2100</v>
      </c>
      <c r="G19" s="74"/>
      <c r="AM19" s="18"/>
      <c r="AP19" s="85"/>
      <c r="AQ19" s="18"/>
      <c r="AX19" s="18"/>
      <c r="BG19" s="18"/>
      <c r="BH19" s="18"/>
      <c r="BJ19" s="18"/>
      <c r="BK19" s="18"/>
      <c r="BL19" s="18"/>
      <c r="BM19" s="18"/>
      <c r="BN19" s="18"/>
      <c r="BO19" s="18"/>
      <c r="BP19" s="18"/>
      <c r="BQ19" s="18"/>
      <c r="BR19" s="18"/>
      <c r="BS19" s="18"/>
      <c r="BT19" s="18"/>
      <c r="BU19" s="18"/>
      <c r="BV19" s="18"/>
    </row>
    <row r="20" spans="1:74">
      <c r="A20" t="s">
        <v>2077</v>
      </c>
      <c r="B20" t="s">
        <v>2564</v>
      </c>
      <c r="G20" s="74"/>
      <c r="AC20" s="18"/>
      <c r="AP20" s="85"/>
      <c r="BA20" s="18"/>
      <c r="BG20" s="18"/>
      <c r="BH20" s="18"/>
      <c r="BI20" s="18"/>
      <c r="BJ20" s="18"/>
      <c r="BK20" s="18"/>
      <c r="BL20" s="18"/>
      <c r="BM20" s="18"/>
      <c r="BN20" s="18"/>
      <c r="BO20" s="18"/>
      <c r="BP20" s="18"/>
      <c r="BQ20" s="18"/>
      <c r="BR20" s="18"/>
      <c r="BS20" s="18"/>
      <c r="BT20" s="18"/>
      <c r="BU20" s="18"/>
      <c r="BV20" s="18"/>
    </row>
    <row r="21" spans="1:74">
      <c r="A21" t="s">
        <v>2077</v>
      </c>
      <c r="B21" t="s">
        <v>2887</v>
      </c>
      <c r="G21" s="74"/>
      <c r="AB21" s="18"/>
      <c r="AG21" s="18"/>
      <c r="AP21" s="85"/>
      <c r="BG21" s="18"/>
      <c r="BH21" s="18"/>
      <c r="BI21" s="18"/>
      <c r="BJ21" s="18"/>
      <c r="BK21" s="18"/>
      <c r="BL21" s="18"/>
      <c r="BM21" s="18"/>
      <c r="BN21" s="18"/>
      <c r="BO21" s="18"/>
      <c r="BP21" s="18"/>
      <c r="BQ21" s="18"/>
      <c r="BR21" s="18"/>
      <c r="BS21" s="18"/>
      <c r="BT21" s="18"/>
      <c r="BU21" s="18"/>
      <c r="BV21" s="18"/>
    </row>
    <row r="22" spans="1:74">
      <c r="A22" t="s">
        <v>2077</v>
      </c>
      <c r="B22" t="s">
        <v>2566</v>
      </c>
      <c r="G22" s="74"/>
      <c r="AP22" s="85"/>
      <c r="BA22" s="18"/>
      <c r="BG22" s="18"/>
      <c r="BH22" s="18"/>
      <c r="BI22" s="18"/>
      <c r="BJ22" s="18"/>
      <c r="BK22" s="18"/>
      <c r="BL22" s="18"/>
      <c r="BM22" s="18"/>
      <c r="BN22" s="18"/>
      <c r="BO22" s="18"/>
      <c r="BP22" s="18"/>
      <c r="BQ22" s="18"/>
      <c r="BR22" s="18"/>
      <c r="BS22" s="18"/>
      <c r="BT22" s="18"/>
      <c r="BU22" s="18"/>
      <c r="BV22" s="18"/>
    </row>
    <row r="23" spans="1:74">
      <c r="A23" t="s">
        <v>2077</v>
      </c>
      <c r="B23" t="s">
        <v>2567</v>
      </c>
      <c r="G23" s="74"/>
      <c r="AC23" s="18"/>
      <c r="AP23" s="85"/>
      <c r="BA23" s="18"/>
      <c r="BH23" s="18"/>
      <c r="BI23" s="18"/>
      <c r="BJ23" s="18"/>
      <c r="BK23" s="18"/>
      <c r="BL23" s="18"/>
      <c r="BM23" s="18"/>
      <c r="BN23" s="18"/>
      <c r="BO23" s="18"/>
      <c r="BP23" s="18"/>
      <c r="BQ23" s="18"/>
      <c r="BR23" s="18"/>
      <c r="BS23" s="18"/>
      <c r="BT23" s="18"/>
      <c r="BU23" s="18"/>
      <c r="BV23" s="18"/>
    </row>
    <row r="24" spans="1:74">
      <c r="A24" t="s">
        <v>2077</v>
      </c>
      <c r="B24" t="s">
        <v>2103</v>
      </c>
      <c r="G24" s="74"/>
      <c r="AP24" s="85"/>
      <c r="BG24" s="18"/>
      <c r="BH24" s="18"/>
      <c r="BI24" s="18"/>
      <c r="BJ24" s="18"/>
      <c r="BL24" s="18"/>
      <c r="BM24" s="18"/>
      <c r="BN24" s="18"/>
      <c r="BO24" s="18"/>
      <c r="BP24" s="18"/>
      <c r="BQ24" s="18"/>
      <c r="BR24" s="18"/>
      <c r="BS24" s="18"/>
      <c r="BT24" s="18"/>
      <c r="BU24" s="18"/>
      <c r="BV24" s="18"/>
    </row>
    <row r="25" spans="1:74">
      <c r="A25" t="s">
        <v>2077</v>
      </c>
      <c r="B25" t="s">
        <v>2565</v>
      </c>
      <c r="G25" s="74"/>
      <c r="AP25" s="85"/>
      <c r="BA25" s="18"/>
      <c r="BG25" s="18"/>
      <c r="BH25" s="18"/>
      <c r="BI25" s="18"/>
      <c r="BJ25" s="18"/>
      <c r="BK25" s="18"/>
      <c r="BL25" s="18"/>
      <c r="BM25" s="18"/>
      <c r="BN25" s="18"/>
      <c r="BO25" s="18"/>
      <c r="BP25" s="18"/>
      <c r="BQ25" s="18"/>
      <c r="BR25" s="18"/>
      <c r="BS25" s="18"/>
      <c r="BT25" s="18"/>
      <c r="BU25" s="18"/>
      <c r="BV25" s="18"/>
    </row>
    <row r="26" spans="1:74">
      <c r="A26" t="s">
        <v>2077</v>
      </c>
      <c r="B26" t="s">
        <v>2567</v>
      </c>
      <c r="G26" s="74"/>
      <c r="BG26" s="18"/>
      <c r="BH26" s="18"/>
      <c r="BI26" s="18"/>
      <c r="BJ26" s="18"/>
      <c r="BK26" s="18"/>
      <c r="BL26" s="18"/>
      <c r="BM26" s="18"/>
      <c r="BN26" s="18"/>
      <c r="BO26" s="18"/>
      <c r="BP26" s="18"/>
      <c r="BQ26" s="18"/>
      <c r="BR26" s="18"/>
      <c r="BS26" s="18"/>
      <c r="BT26" s="18"/>
      <c r="BU26" s="18"/>
      <c r="BV26" s="18"/>
    </row>
    <row r="27" spans="1:74">
      <c r="A27" t="s">
        <v>2077</v>
      </c>
      <c r="B27" t="s">
        <v>2101</v>
      </c>
      <c r="G27" s="74"/>
      <c r="BA27" s="18"/>
      <c r="BG27" s="18"/>
      <c r="BH27" s="18"/>
      <c r="BI27" s="18"/>
      <c r="BJ27" s="18"/>
      <c r="BK27" s="18"/>
      <c r="BL27" s="18"/>
      <c r="BM27" s="18"/>
      <c r="BN27" s="18"/>
      <c r="BO27" s="18"/>
      <c r="BP27" s="18"/>
      <c r="BQ27" s="18"/>
      <c r="BR27" s="18"/>
      <c r="BS27" s="18"/>
      <c r="BT27" s="18"/>
      <c r="BU27" s="18"/>
      <c r="BV27" s="18"/>
    </row>
    <row r="28" spans="1:74">
      <c r="A28" t="s">
        <v>4334</v>
      </c>
      <c r="B28" t="s">
        <v>4335</v>
      </c>
      <c r="G28" s="74"/>
      <c r="AC28" s="18"/>
      <c r="BG28" s="18"/>
      <c r="BH28" s="18"/>
      <c r="BI28" s="18"/>
      <c r="BJ28" s="18"/>
      <c r="BK28" s="18"/>
      <c r="BL28" s="18"/>
      <c r="BM28" s="18"/>
      <c r="BN28" s="18"/>
      <c r="BO28" s="18"/>
      <c r="BP28" s="18"/>
      <c r="BQ28" s="18"/>
      <c r="BR28" s="18"/>
      <c r="BS28" s="18"/>
      <c r="BT28" s="18"/>
      <c r="BU28" s="18"/>
      <c r="BV28" s="18"/>
    </row>
    <row r="29" spans="1:74">
      <c r="A29" t="s">
        <v>4334</v>
      </c>
      <c r="B29" t="s">
        <v>4336</v>
      </c>
      <c r="G29" s="74"/>
      <c r="AC29" s="18"/>
      <c r="BG29" s="18"/>
      <c r="BH29" s="18"/>
      <c r="BI29" s="18"/>
      <c r="BJ29" s="18"/>
      <c r="BK29" s="18"/>
      <c r="BL29" s="18"/>
      <c r="BM29" s="18"/>
      <c r="BN29" s="18"/>
      <c r="BO29" s="18"/>
      <c r="BP29" s="18"/>
      <c r="BQ29" s="18"/>
      <c r="BR29" s="18"/>
      <c r="BS29" s="18"/>
      <c r="BT29" s="18"/>
      <c r="BU29" s="18"/>
      <c r="BV29" s="18"/>
    </row>
    <row r="30" spans="1:74">
      <c r="A30" t="s">
        <v>3111</v>
      </c>
      <c r="B30" t="s">
        <v>2888</v>
      </c>
      <c r="G30" s="74"/>
      <c r="BG30" s="18"/>
      <c r="BH30" s="18"/>
      <c r="BI30" s="18"/>
      <c r="BJ30" s="18"/>
      <c r="BK30" s="18"/>
      <c r="BL30" s="18"/>
      <c r="BM30" s="18"/>
      <c r="BN30" s="18"/>
      <c r="BO30" s="18"/>
      <c r="BP30" s="18"/>
      <c r="BQ30" s="18"/>
      <c r="BR30" s="18"/>
      <c r="BS30" s="18"/>
      <c r="BT30" s="18"/>
      <c r="BU30" s="18"/>
      <c r="BV30" s="18"/>
    </row>
    <row r="31" spans="1:74">
      <c r="A31" t="s">
        <v>4337</v>
      </c>
      <c r="B31" t="s">
        <v>4338</v>
      </c>
      <c r="G31" s="74"/>
      <c r="BG31" s="18"/>
      <c r="BH31" s="18"/>
      <c r="BI31" s="18"/>
      <c r="BJ31" s="18"/>
      <c r="BK31" s="18"/>
      <c r="BL31" s="18"/>
      <c r="BM31" s="18"/>
      <c r="BN31" s="18"/>
      <c r="BO31" s="18"/>
      <c r="BP31" s="18"/>
      <c r="BQ31" s="18"/>
      <c r="BR31" s="18"/>
      <c r="BS31" s="18"/>
      <c r="BT31" s="18"/>
      <c r="BU31" s="18"/>
      <c r="BV31" s="18"/>
    </row>
    <row r="32" spans="1:74">
      <c r="A32" t="s">
        <v>2539</v>
      </c>
      <c r="B32" t="s">
        <v>4339</v>
      </c>
      <c r="G32" s="74"/>
      <c r="AC32" s="18"/>
      <c r="BG32" s="18"/>
      <c r="BH32" s="18"/>
      <c r="BI32" s="18"/>
      <c r="BJ32" s="18"/>
      <c r="BK32" s="18"/>
      <c r="BL32" s="18"/>
      <c r="BM32" s="18"/>
      <c r="BN32" s="18"/>
      <c r="BO32" s="18"/>
      <c r="BP32" s="18"/>
      <c r="BQ32" s="18"/>
      <c r="BR32" s="18"/>
      <c r="BS32" s="18"/>
      <c r="BT32" s="18"/>
      <c r="BU32" s="18"/>
      <c r="BV32" s="18"/>
    </row>
    <row r="33" spans="1:74">
      <c r="A33" t="s">
        <v>2539</v>
      </c>
      <c r="B33" t="s">
        <v>2890</v>
      </c>
      <c r="G33" s="74"/>
      <c r="AC33" s="18"/>
      <c r="BG33" s="18"/>
      <c r="BH33" s="18"/>
      <c r="BI33" s="18"/>
      <c r="BJ33" s="18"/>
      <c r="BK33" s="18"/>
      <c r="BL33" s="18"/>
      <c r="BM33" s="18"/>
      <c r="BN33" s="18"/>
      <c r="BO33" s="18"/>
      <c r="BP33" s="18"/>
      <c r="BQ33" s="18"/>
      <c r="BR33" s="18"/>
      <c r="BS33" s="18"/>
      <c r="BT33" s="18"/>
      <c r="BU33" s="18"/>
      <c r="BV33" s="18"/>
    </row>
    <row r="34" spans="1:74">
      <c r="A34" t="s">
        <v>2539</v>
      </c>
      <c r="B34" t="s">
        <v>2889</v>
      </c>
      <c r="G34" s="74"/>
      <c r="AC34" s="18"/>
      <c r="BG34" s="18"/>
      <c r="BH34" s="18"/>
      <c r="BI34" s="18"/>
      <c r="BJ34" s="18"/>
      <c r="BK34" s="18"/>
      <c r="BL34" s="18"/>
      <c r="BM34" s="18"/>
      <c r="BN34" s="18"/>
      <c r="BO34" s="18"/>
      <c r="BP34" s="18"/>
      <c r="BQ34" s="18"/>
      <c r="BR34" s="18"/>
      <c r="BS34" s="18"/>
      <c r="BT34" s="18"/>
      <c r="BU34" s="18"/>
      <c r="BV34" s="18"/>
    </row>
    <row r="35" spans="1:74">
      <c r="A35" t="s">
        <v>2539</v>
      </c>
      <c r="B35" t="s">
        <v>2841</v>
      </c>
      <c r="G35" s="74"/>
      <c r="AC35" s="18"/>
      <c r="BG35" s="18"/>
      <c r="BH35" s="18"/>
      <c r="BI35" s="18"/>
      <c r="BJ35" s="18"/>
      <c r="BK35" s="18"/>
      <c r="BL35" s="18"/>
      <c r="BM35" s="18"/>
      <c r="BN35" s="18"/>
      <c r="BO35" s="18"/>
      <c r="BP35" s="18"/>
      <c r="BQ35" s="18"/>
      <c r="BR35" s="18"/>
      <c r="BS35" s="18"/>
      <c r="BT35" s="18"/>
      <c r="BU35" s="18"/>
      <c r="BV35" s="18"/>
    </row>
    <row r="36" spans="1:74">
      <c r="A36" t="s">
        <v>2539</v>
      </c>
      <c r="B36" t="s">
        <v>4340</v>
      </c>
      <c r="G36" s="74"/>
      <c r="BG36" s="18"/>
      <c r="BH36" s="18"/>
      <c r="BI36" s="18"/>
      <c r="BJ36" s="18"/>
      <c r="BK36" s="18"/>
      <c r="BL36" s="18"/>
      <c r="BM36" s="18"/>
      <c r="BN36" s="18"/>
      <c r="BO36" s="18"/>
      <c r="BP36" s="18"/>
      <c r="BQ36" s="18"/>
      <c r="BR36" s="18"/>
      <c r="BS36" s="18"/>
      <c r="BT36" s="18"/>
      <c r="BU36" s="18"/>
      <c r="BV36" s="18"/>
    </row>
    <row r="37" spans="1:74">
      <c r="A37" t="s">
        <v>4341</v>
      </c>
      <c r="B37" t="s">
        <v>4459</v>
      </c>
      <c r="G37" s="74"/>
      <c r="BG37" s="18"/>
      <c r="BH37" s="18"/>
      <c r="BI37" s="18"/>
      <c r="BJ37" s="18"/>
      <c r="BK37" s="18"/>
      <c r="BL37" s="18"/>
      <c r="BM37" s="18"/>
      <c r="BN37" s="18"/>
      <c r="BO37" s="18"/>
      <c r="BP37" s="18"/>
      <c r="BQ37" s="18"/>
      <c r="BR37" s="18"/>
      <c r="BS37" s="18"/>
      <c r="BT37" s="18"/>
      <c r="BU37" s="18"/>
      <c r="BV37" s="18"/>
    </row>
    <row r="38" spans="1:74">
      <c r="A38" t="s">
        <v>2539</v>
      </c>
      <c r="B38" t="s">
        <v>2104</v>
      </c>
      <c r="G38" s="74"/>
      <c r="BG38" s="18"/>
      <c r="BH38" s="18"/>
      <c r="BI38" s="18"/>
      <c r="BJ38" s="18"/>
      <c r="BK38" s="18"/>
      <c r="BL38" s="18"/>
      <c r="BM38" s="18"/>
      <c r="BN38" s="18"/>
      <c r="BO38" s="18"/>
      <c r="BP38" s="18"/>
      <c r="BQ38" s="18"/>
      <c r="BR38" s="18"/>
      <c r="BS38" s="18"/>
      <c r="BT38" s="18"/>
      <c r="BU38" s="18"/>
      <c r="BV38" s="18"/>
    </row>
    <row r="39" spans="1:74">
      <c r="A39" t="s">
        <v>2539</v>
      </c>
      <c r="B39" t="s">
        <v>2673</v>
      </c>
      <c r="G39" s="74"/>
      <c r="BG39" s="18"/>
      <c r="BH39" s="18"/>
      <c r="BI39" s="18"/>
      <c r="BJ39" s="18"/>
      <c r="BK39" s="18"/>
      <c r="BL39" s="18"/>
      <c r="BM39" s="18"/>
      <c r="BN39" s="18"/>
      <c r="BO39" s="18"/>
      <c r="BP39" s="18"/>
      <c r="BQ39" s="18"/>
      <c r="BR39" s="18"/>
      <c r="BS39" s="18"/>
      <c r="BT39" s="18"/>
      <c r="BU39" s="18"/>
      <c r="BV39" s="18"/>
    </row>
    <row r="40" spans="1:74">
      <c r="A40" t="s">
        <v>4341</v>
      </c>
      <c r="B40" t="s">
        <v>4342</v>
      </c>
      <c r="G40" s="74"/>
      <c r="BG40" s="18"/>
      <c r="BH40" s="18"/>
      <c r="BI40" s="18"/>
      <c r="BJ40" s="18"/>
      <c r="BK40" s="18"/>
      <c r="BL40" s="18"/>
      <c r="BM40" s="18"/>
      <c r="BN40" s="18"/>
      <c r="BO40" s="18"/>
      <c r="BP40" s="18"/>
      <c r="BQ40" s="18"/>
      <c r="BR40" s="18"/>
      <c r="BS40" s="18"/>
      <c r="BT40" s="18"/>
      <c r="BU40" s="18"/>
      <c r="BV40" s="18"/>
    </row>
    <row r="41" spans="1:74">
      <c r="A41" t="s">
        <v>3112</v>
      </c>
      <c r="B41" t="s">
        <v>2891</v>
      </c>
      <c r="G41" s="74"/>
      <c r="BG41" s="18"/>
      <c r="BH41" s="18"/>
      <c r="BI41" s="18"/>
      <c r="BJ41" s="18"/>
      <c r="BK41" s="18"/>
      <c r="BL41" s="18"/>
      <c r="BM41" s="18"/>
      <c r="BN41" s="18"/>
      <c r="BO41" s="18"/>
      <c r="BP41" s="18"/>
      <c r="BQ41" s="18"/>
      <c r="BR41" s="18"/>
      <c r="BS41" s="18"/>
      <c r="BT41" s="18"/>
      <c r="BU41" s="18"/>
      <c r="BV41" s="18"/>
    </row>
    <row r="42" spans="1:74">
      <c r="A42" t="s">
        <v>2674</v>
      </c>
      <c r="B42" t="s">
        <v>2675</v>
      </c>
      <c r="G42" s="74"/>
      <c r="BG42" s="18"/>
      <c r="BH42" s="18"/>
      <c r="BI42" s="18"/>
      <c r="BJ42" s="18"/>
      <c r="BK42" s="18"/>
      <c r="BL42" s="18"/>
      <c r="BM42" s="18"/>
      <c r="BN42" s="18"/>
      <c r="BO42" s="18"/>
      <c r="BP42" s="18"/>
      <c r="BQ42" s="18"/>
      <c r="BR42" s="18"/>
      <c r="BS42" s="18"/>
      <c r="BT42" s="18"/>
      <c r="BU42" s="18"/>
      <c r="BV42" s="18"/>
    </row>
    <row r="43" spans="1:74">
      <c r="A43" t="s">
        <v>3113</v>
      </c>
      <c r="B43" t="s">
        <v>2892</v>
      </c>
      <c r="G43" s="74"/>
      <c r="BG43" s="18"/>
      <c r="BH43" s="18"/>
      <c r="BI43" s="18"/>
      <c r="BJ43" s="18"/>
      <c r="BK43" s="18"/>
      <c r="BL43" s="18"/>
      <c r="BM43" s="18"/>
      <c r="BN43" s="18"/>
      <c r="BO43" s="18"/>
      <c r="BP43" s="18"/>
      <c r="BQ43" s="18"/>
      <c r="BR43" s="18"/>
      <c r="BS43" s="18"/>
      <c r="BT43" s="18"/>
      <c r="BU43" s="18"/>
      <c r="BV43" s="18"/>
    </row>
    <row r="44" spans="1:74">
      <c r="A44" t="s">
        <v>2540</v>
      </c>
      <c r="B44" t="s">
        <v>2676</v>
      </c>
      <c r="G44" s="74"/>
      <c r="S44" s="74"/>
      <c r="X44" s="74"/>
      <c r="BG44" s="18"/>
      <c r="BH44" s="18"/>
      <c r="BI44" s="18"/>
      <c r="BJ44" s="18"/>
      <c r="BK44" s="18"/>
      <c r="BL44" s="18"/>
      <c r="BM44" s="18"/>
      <c r="BN44" s="18"/>
      <c r="BO44" s="18"/>
      <c r="BP44" s="18"/>
      <c r="BQ44" s="18"/>
      <c r="BR44" s="18"/>
      <c r="BS44" s="18"/>
      <c r="BT44" s="18"/>
      <c r="BU44" s="18"/>
      <c r="BV44" s="18"/>
    </row>
    <row r="45" spans="1:74">
      <c r="A45" t="s">
        <v>2540</v>
      </c>
      <c r="B45" t="s">
        <v>2576</v>
      </c>
      <c r="G45" s="74"/>
      <c r="BG45" s="18"/>
      <c r="BH45" s="18"/>
      <c r="BI45" s="18"/>
      <c r="BJ45" s="18"/>
      <c r="BK45" s="18"/>
      <c r="BL45" s="18"/>
      <c r="BM45" s="18"/>
      <c r="BN45" s="18"/>
      <c r="BO45" s="18"/>
      <c r="BP45" s="18"/>
      <c r="BQ45" s="18"/>
      <c r="BR45" s="18"/>
      <c r="BS45" s="18"/>
      <c r="BT45" s="18"/>
      <c r="BU45" s="18"/>
      <c r="BV45" s="18"/>
    </row>
    <row r="46" spans="1:74">
      <c r="A46" t="s">
        <v>2540</v>
      </c>
      <c r="B46" t="s">
        <v>2893</v>
      </c>
      <c r="G46" s="74"/>
      <c r="BG46" s="18"/>
      <c r="BH46" s="18"/>
      <c r="BI46" s="18"/>
      <c r="BJ46" s="18"/>
      <c r="BK46" s="18"/>
      <c r="BL46" s="18"/>
      <c r="BM46" s="18"/>
      <c r="BN46" s="18"/>
      <c r="BO46" s="18"/>
      <c r="BP46" s="18"/>
      <c r="BQ46" s="18"/>
      <c r="BR46" s="18"/>
      <c r="BS46" s="18"/>
      <c r="BT46" s="18"/>
      <c r="BU46" s="18"/>
      <c r="BV46" s="18"/>
    </row>
    <row r="47" spans="1:74">
      <c r="A47" t="s">
        <v>2540</v>
      </c>
      <c r="B47" t="s">
        <v>2677</v>
      </c>
      <c r="G47" s="74"/>
      <c r="S47" s="74"/>
      <c r="BG47" s="18"/>
      <c r="BH47" s="18"/>
      <c r="BI47" s="18"/>
      <c r="BJ47" s="18"/>
      <c r="BK47" s="18"/>
      <c r="BL47" s="18"/>
      <c r="BM47" s="18"/>
      <c r="BN47" s="18"/>
      <c r="BO47" s="18"/>
      <c r="BP47" s="18"/>
      <c r="BQ47" s="18"/>
      <c r="BR47" s="18"/>
      <c r="BS47" s="18"/>
      <c r="BT47" s="18"/>
      <c r="BU47" s="18"/>
      <c r="BV47" s="18"/>
    </row>
    <row r="48" spans="1:74">
      <c r="A48" t="s">
        <v>2678</v>
      </c>
      <c r="B48" t="s">
        <v>2680</v>
      </c>
      <c r="G48" s="74"/>
      <c r="X48" s="74"/>
      <c r="BG48" s="18"/>
      <c r="BH48" s="18"/>
      <c r="BI48" s="18"/>
      <c r="BJ48" s="18"/>
      <c r="BK48" s="18"/>
      <c r="BL48" s="18"/>
      <c r="BM48" s="18"/>
      <c r="BN48" s="18"/>
      <c r="BO48" s="18"/>
      <c r="BP48" s="18"/>
      <c r="BQ48" s="18"/>
      <c r="BR48" s="18"/>
      <c r="BS48" s="18"/>
      <c r="BT48" s="18"/>
      <c r="BU48" s="18"/>
      <c r="BV48" s="18"/>
    </row>
    <row r="49" spans="1:74">
      <c r="A49" t="s">
        <v>2678</v>
      </c>
      <c r="B49" t="s">
        <v>2679</v>
      </c>
      <c r="G49" s="74"/>
      <c r="BG49" s="18"/>
      <c r="BH49" s="18"/>
      <c r="BI49" s="18"/>
      <c r="BJ49" s="18"/>
      <c r="BK49" s="18"/>
      <c r="BL49" s="18"/>
      <c r="BM49" s="18"/>
      <c r="BN49" s="18"/>
      <c r="BO49" s="18"/>
      <c r="BP49" s="18"/>
      <c r="BQ49" s="18"/>
      <c r="BR49" s="18"/>
      <c r="BS49" s="18"/>
      <c r="BT49" s="18"/>
      <c r="BU49" s="18"/>
      <c r="BV49" s="18"/>
    </row>
    <row r="50" spans="1:74">
      <c r="A50" t="s">
        <v>2078</v>
      </c>
      <c r="B50" t="s">
        <v>2577</v>
      </c>
      <c r="G50" s="74"/>
      <c r="BG50" s="18"/>
      <c r="BH50" s="18"/>
      <c r="BI50" s="18"/>
      <c r="BJ50" s="18"/>
      <c r="BK50" s="18"/>
      <c r="BL50" s="18"/>
      <c r="BM50" s="18"/>
      <c r="BN50" s="18"/>
      <c r="BO50" s="18"/>
      <c r="BP50" s="18"/>
      <c r="BQ50" s="18"/>
      <c r="BR50" s="18"/>
      <c r="BS50" s="18"/>
      <c r="BT50" s="18"/>
      <c r="BU50" s="18"/>
      <c r="BV50" s="18"/>
    </row>
    <row r="51" spans="1:74">
      <c r="A51" t="s">
        <v>2078</v>
      </c>
      <c r="B51" t="s">
        <v>2894</v>
      </c>
      <c r="G51" s="74"/>
      <c r="BG51" s="18"/>
      <c r="BH51" s="18"/>
      <c r="BI51" s="18"/>
      <c r="BJ51" s="18"/>
      <c r="BK51" s="18"/>
      <c r="BL51" s="18"/>
      <c r="BM51" s="18"/>
      <c r="BN51" s="18"/>
      <c r="BO51" s="18"/>
      <c r="BP51" s="18"/>
      <c r="BQ51" s="18"/>
      <c r="BR51" s="18"/>
      <c r="BS51" s="18"/>
      <c r="BT51" s="18"/>
      <c r="BU51" s="18"/>
      <c r="BV51" s="18"/>
    </row>
    <row r="52" spans="1:74">
      <c r="A52" t="s">
        <v>2541</v>
      </c>
      <c r="B52" t="s">
        <v>2895</v>
      </c>
      <c r="G52" s="74"/>
      <c r="BG52" s="18"/>
      <c r="BH52" s="18"/>
      <c r="BI52" s="18"/>
      <c r="BJ52" s="18"/>
      <c r="BK52" s="18"/>
      <c r="BL52" s="18"/>
      <c r="BM52" s="18"/>
      <c r="BN52" s="18"/>
      <c r="BO52" s="18"/>
      <c r="BP52" s="18"/>
      <c r="BQ52" s="18"/>
      <c r="BR52" s="18"/>
      <c r="BS52" s="18"/>
      <c r="BT52" s="18"/>
      <c r="BU52" s="18"/>
      <c r="BV52" s="18"/>
    </row>
    <row r="53" spans="1:74">
      <c r="A53" t="s">
        <v>2541</v>
      </c>
      <c r="B53" t="s">
        <v>2578</v>
      </c>
      <c r="G53" s="74"/>
      <c r="BG53" s="18"/>
      <c r="BH53" s="18"/>
      <c r="BI53" s="18"/>
      <c r="BJ53" s="18"/>
      <c r="BK53" s="18"/>
      <c r="BL53" s="18"/>
      <c r="BM53" s="18"/>
      <c r="BN53" s="18"/>
      <c r="BO53" s="18"/>
      <c r="BP53" s="18"/>
      <c r="BQ53" s="18"/>
      <c r="BR53" s="18"/>
      <c r="BS53" s="18"/>
      <c r="BT53" s="18"/>
      <c r="BU53" s="18"/>
      <c r="BV53" s="18"/>
    </row>
    <row r="54" spans="1:74">
      <c r="A54" t="s">
        <v>2542</v>
      </c>
      <c r="B54" t="s">
        <v>2842</v>
      </c>
      <c r="G54" s="74"/>
      <c r="BG54" s="18"/>
      <c r="BH54" s="18"/>
      <c r="BI54" s="18"/>
      <c r="BJ54" s="18"/>
      <c r="BK54" s="18"/>
      <c r="BL54" s="18"/>
      <c r="BM54" s="18"/>
      <c r="BN54" s="18"/>
      <c r="BO54" s="18"/>
      <c r="BP54" s="18"/>
      <c r="BQ54" s="18"/>
      <c r="BR54" s="18"/>
      <c r="BS54" s="18"/>
      <c r="BT54" s="18"/>
      <c r="BU54" s="18"/>
      <c r="BV54" s="18"/>
    </row>
    <row r="55" spans="1:74">
      <c r="A55" t="s">
        <v>2542</v>
      </c>
      <c r="B55" t="s">
        <v>2579</v>
      </c>
      <c r="G55" s="74"/>
      <c r="BG55" s="18"/>
      <c r="BH55" s="18"/>
      <c r="BI55" s="18"/>
      <c r="BJ55" s="18"/>
      <c r="BK55" s="18"/>
      <c r="BL55" s="18"/>
      <c r="BM55" s="18"/>
      <c r="BN55" s="18"/>
      <c r="BO55" s="18"/>
      <c r="BP55" s="18"/>
      <c r="BQ55" s="18"/>
      <c r="BR55" s="18"/>
      <c r="BS55" s="18"/>
      <c r="BT55" s="18"/>
      <c r="BU55" s="18"/>
      <c r="BV55" s="18"/>
    </row>
    <row r="56" spans="1:74">
      <c r="A56" t="s">
        <v>2542</v>
      </c>
      <c r="B56" t="s">
        <v>2579</v>
      </c>
      <c r="G56" s="74"/>
      <c r="BG56" s="18"/>
      <c r="BH56" s="18"/>
      <c r="BI56" s="18"/>
      <c r="BJ56" s="18"/>
      <c r="BK56" s="18"/>
      <c r="BL56" s="18"/>
      <c r="BM56" s="18"/>
      <c r="BN56" s="18"/>
      <c r="BO56" s="18"/>
      <c r="BP56" s="18"/>
      <c r="BQ56" s="18"/>
      <c r="BR56" s="18"/>
      <c r="BS56" s="18"/>
      <c r="BT56" s="18"/>
      <c r="BU56" s="18"/>
      <c r="BV56" s="18"/>
    </row>
    <row r="57" spans="1:74">
      <c r="A57" t="s">
        <v>2542</v>
      </c>
      <c r="B57" t="s">
        <v>2896</v>
      </c>
      <c r="G57" s="74"/>
      <c r="BG57" s="18"/>
      <c r="BH57" s="18"/>
      <c r="BI57" s="18"/>
      <c r="BJ57" s="18"/>
      <c r="BK57" s="18"/>
      <c r="BL57" s="18"/>
      <c r="BM57" s="18"/>
      <c r="BN57" s="18"/>
      <c r="BO57" s="18"/>
      <c r="BP57" s="18"/>
      <c r="BQ57" s="18"/>
      <c r="BR57" s="18"/>
      <c r="BS57" s="18"/>
      <c r="BT57" s="18"/>
      <c r="BU57" s="18"/>
      <c r="BV57" s="18"/>
    </row>
    <row r="58" spans="1:74">
      <c r="A58" t="s">
        <v>3114</v>
      </c>
      <c r="B58" t="s">
        <v>2897</v>
      </c>
      <c r="G58" s="74"/>
      <c r="BG58" s="18"/>
      <c r="BH58" s="18"/>
      <c r="BI58" s="18"/>
      <c r="BJ58" s="18"/>
      <c r="BK58" s="18"/>
      <c r="BL58" s="18"/>
      <c r="BM58" s="18"/>
      <c r="BN58" s="18"/>
      <c r="BO58" s="18"/>
      <c r="BP58" s="18"/>
      <c r="BQ58" s="18"/>
      <c r="BR58" s="18"/>
      <c r="BS58" s="18"/>
      <c r="BT58" s="18"/>
      <c r="BU58" s="18"/>
      <c r="BV58" s="18"/>
    </row>
    <row r="59" spans="1:74">
      <c r="A59" t="s">
        <v>2543</v>
      </c>
      <c r="B59" t="s">
        <v>2681</v>
      </c>
      <c r="G59" s="74"/>
      <c r="BG59" s="18"/>
      <c r="BH59" s="18"/>
      <c r="BI59" s="18"/>
      <c r="BJ59" s="18"/>
      <c r="BK59" s="18"/>
      <c r="BL59" s="18"/>
      <c r="BM59" s="18"/>
      <c r="BN59" s="18"/>
      <c r="BO59" s="18"/>
      <c r="BP59" s="18"/>
      <c r="BQ59" s="18"/>
      <c r="BR59" s="18"/>
      <c r="BS59" s="18"/>
      <c r="BT59" s="18"/>
      <c r="BU59" s="18"/>
      <c r="BV59" s="18"/>
    </row>
    <row r="60" spans="1:74">
      <c r="A60" t="s">
        <v>2544</v>
      </c>
      <c r="B60" t="s">
        <v>2105</v>
      </c>
      <c r="G60" s="74"/>
      <c r="BG60" s="18"/>
      <c r="BH60" s="18"/>
      <c r="BI60" s="18"/>
      <c r="BJ60" s="18"/>
      <c r="BK60" s="18"/>
      <c r="BL60" s="18"/>
      <c r="BM60" s="18"/>
      <c r="BN60" s="18"/>
      <c r="BO60" s="18"/>
      <c r="BP60" s="18"/>
      <c r="BQ60" s="18"/>
      <c r="BR60" s="18"/>
      <c r="BS60" s="18"/>
      <c r="BT60" s="18"/>
      <c r="BU60" s="18"/>
      <c r="BV60" s="18"/>
    </row>
    <row r="61" spans="1:74">
      <c r="A61" t="s">
        <v>2079</v>
      </c>
      <c r="B61" t="s">
        <v>2682</v>
      </c>
      <c r="G61" s="74"/>
      <c r="BG61" s="18"/>
      <c r="BH61" s="18"/>
      <c r="BI61" s="18"/>
      <c r="BJ61" s="18"/>
      <c r="BK61" s="18"/>
      <c r="BL61" s="18"/>
      <c r="BM61" s="18"/>
      <c r="BN61" s="18"/>
      <c r="BO61" s="18"/>
      <c r="BP61" s="18"/>
      <c r="BQ61" s="18"/>
      <c r="BR61" s="18"/>
      <c r="BS61" s="18"/>
      <c r="BT61" s="18"/>
      <c r="BU61" s="18"/>
      <c r="BV61" s="18"/>
    </row>
    <row r="62" spans="1:74">
      <c r="A62" t="s">
        <v>3115</v>
      </c>
      <c r="B62" t="s">
        <v>2898</v>
      </c>
      <c r="G62" s="74"/>
      <c r="BG62" s="18"/>
      <c r="BH62" s="18"/>
      <c r="BI62" s="18"/>
      <c r="BJ62" s="18"/>
      <c r="BK62" s="18"/>
      <c r="BL62" s="18"/>
      <c r="BM62" s="18"/>
      <c r="BN62" s="18"/>
      <c r="BO62" s="18"/>
      <c r="BP62" s="18"/>
      <c r="BQ62" s="18"/>
      <c r="BR62" s="18"/>
      <c r="BS62" s="18"/>
      <c r="BT62" s="18"/>
      <c r="BU62" s="18"/>
      <c r="BV62" s="18"/>
    </row>
    <row r="63" spans="1:74">
      <c r="A63" t="s">
        <v>2545</v>
      </c>
      <c r="B63" t="s">
        <v>2899</v>
      </c>
      <c r="G63" s="74"/>
      <c r="BG63" s="18"/>
      <c r="BH63" s="18"/>
      <c r="BI63" s="18"/>
      <c r="BJ63" s="18"/>
      <c r="BK63" s="18"/>
      <c r="BL63" s="18"/>
      <c r="BM63" s="18"/>
      <c r="BN63" s="18"/>
      <c r="BO63" s="18"/>
      <c r="BP63" s="18"/>
      <c r="BQ63" s="18"/>
      <c r="BR63" s="18"/>
      <c r="BS63" s="18"/>
      <c r="BT63" s="18"/>
      <c r="BU63" s="18"/>
      <c r="BV63" s="18"/>
    </row>
    <row r="64" spans="1:74">
      <c r="A64" t="s">
        <v>2545</v>
      </c>
      <c r="B64" t="s">
        <v>2901</v>
      </c>
      <c r="G64" s="74"/>
      <c r="BG64" s="18"/>
      <c r="BH64" s="18"/>
      <c r="BI64" s="18"/>
      <c r="BJ64" s="18"/>
      <c r="BK64" s="18"/>
      <c r="BL64" s="18"/>
      <c r="BM64" s="18"/>
      <c r="BN64" s="18"/>
      <c r="BO64" s="18"/>
      <c r="BP64" s="18"/>
      <c r="BQ64" s="18"/>
      <c r="BR64" s="18"/>
      <c r="BS64" s="18"/>
      <c r="BT64" s="18"/>
      <c r="BU64" s="18"/>
      <c r="BV64" s="18"/>
    </row>
    <row r="65" spans="1:74">
      <c r="A65" t="s">
        <v>2545</v>
      </c>
      <c r="B65" t="s">
        <v>2900</v>
      </c>
      <c r="G65" s="74"/>
      <c r="BG65" s="18"/>
      <c r="BH65" s="18"/>
      <c r="BI65" s="18"/>
      <c r="BJ65" s="18"/>
      <c r="BK65" s="18"/>
      <c r="BL65" s="18"/>
      <c r="BM65" s="18"/>
      <c r="BN65" s="18"/>
      <c r="BO65" s="18"/>
      <c r="BP65" s="18"/>
      <c r="BQ65" s="18"/>
      <c r="BR65" s="18"/>
      <c r="BS65" s="18"/>
      <c r="BT65" s="18"/>
      <c r="BU65" s="18"/>
      <c r="BV65" s="18"/>
    </row>
    <row r="66" spans="1:74">
      <c r="A66" t="s">
        <v>2545</v>
      </c>
      <c r="B66" t="s">
        <v>2684</v>
      </c>
      <c r="G66" s="74"/>
      <c r="BG66" s="18"/>
      <c r="BH66" s="18"/>
      <c r="BI66" s="18"/>
      <c r="BJ66" s="18"/>
      <c r="BK66" s="18"/>
      <c r="BL66" s="18"/>
      <c r="BM66" s="18"/>
      <c r="BN66" s="18"/>
      <c r="BO66" s="18"/>
      <c r="BP66" s="18"/>
      <c r="BQ66" s="18"/>
      <c r="BR66" s="18"/>
      <c r="BS66" s="18"/>
      <c r="BT66" s="18"/>
      <c r="BU66" s="18"/>
      <c r="BV66" s="18"/>
    </row>
    <row r="67" spans="1:74">
      <c r="A67" t="s">
        <v>2545</v>
      </c>
      <c r="B67" t="s">
        <v>2581</v>
      </c>
      <c r="G67" s="74"/>
      <c r="BG67" s="18"/>
      <c r="BH67" s="18"/>
      <c r="BI67" s="18"/>
      <c r="BJ67" s="18"/>
      <c r="BK67" s="18"/>
      <c r="BL67" s="18"/>
      <c r="BM67" s="18"/>
      <c r="BN67" s="18"/>
      <c r="BO67" s="18"/>
      <c r="BP67" s="18"/>
      <c r="BQ67" s="18"/>
      <c r="BR67" s="18"/>
      <c r="BS67" s="18"/>
      <c r="BT67" s="18"/>
      <c r="BU67" s="18"/>
      <c r="BV67" s="18"/>
    </row>
    <row r="68" spans="1:74">
      <c r="A68" t="s">
        <v>2545</v>
      </c>
      <c r="B68" t="s">
        <v>2683</v>
      </c>
      <c r="G68" s="74"/>
      <c r="BG68" s="18"/>
      <c r="BH68" s="18"/>
      <c r="BI68" s="18"/>
      <c r="BJ68" s="18"/>
      <c r="BK68" s="18"/>
      <c r="BL68" s="18"/>
      <c r="BM68" s="18"/>
      <c r="BN68" s="18"/>
      <c r="BO68" s="18"/>
      <c r="BP68" s="18"/>
      <c r="BQ68" s="18"/>
      <c r="BR68" s="18"/>
      <c r="BS68" s="18"/>
      <c r="BT68" s="18"/>
      <c r="BU68" s="18"/>
      <c r="BV68" s="18"/>
    </row>
    <row r="69" spans="1:74">
      <c r="A69" t="s">
        <v>2545</v>
      </c>
      <c r="B69" t="s">
        <v>2902</v>
      </c>
      <c r="G69" s="74"/>
      <c r="BG69" s="18"/>
      <c r="BH69" s="18"/>
      <c r="BI69" s="18"/>
      <c r="BJ69" s="18"/>
      <c r="BK69" s="18"/>
      <c r="BL69" s="18"/>
      <c r="BM69" s="18"/>
      <c r="BN69" s="18"/>
      <c r="BO69" s="18"/>
      <c r="BP69" s="18"/>
      <c r="BQ69" s="18"/>
      <c r="BR69" s="18"/>
      <c r="BS69" s="18"/>
      <c r="BT69" s="18"/>
      <c r="BU69" s="18"/>
      <c r="BV69" s="18"/>
    </row>
    <row r="70" spans="1:74">
      <c r="A70" t="s">
        <v>2545</v>
      </c>
      <c r="B70" t="s">
        <v>2580</v>
      </c>
      <c r="G70" s="74"/>
      <c r="BG70" s="18"/>
      <c r="BH70" s="18"/>
      <c r="BI70" s="18"/>
      <c r="BJ70" s="18"/>
      <c r="BK70" s="18"/>
      <c r="BL70" s="18"/>
      <c r="BM70" s="18"/>
      <c r="BN70" s="18"/>
      <c r="BO70" s="18"/>
      <c r="BP70" s="18"/>
      <c r="BQ70" s="18"/>
      <c r="BR70" s="18"/>
      <c r="BS70" s="18"/>
      <c r="BT70" s="18"/>
      <c r="BU70" s="18"/>
      <c r="BV70" s="18"/>
    </row>
    <row r="71" spans="1:74">
      <c r="A71" t="s">
        <v>2546</v>
      </c>
      <c r="B71" t="s">
        <v>2106</v>
      </c>
      <c r="G71" s="74"/>
      <c r="BG71" s="18"/>
      <c r="BH71" s="18"/>
      <c r="BI71" s="18"/>
      <c r="BJ71" s="18"/>
      <c r="BK71" s="18"/>
      <c r="BL71" s="18"/>
      <c r="BM71" s="18"/>
      <c r="BN71" s="18"/>
      <c r="BO71" s="18"/>
      <c r="BP71" s="18"/>
      <c r="BQ71" s="18"/>
      <c r="BR71" s="18"/>
      <c r="BS71" s="18"/>
      <c r="BT71" s="18"/>
      <c r="BU71" s="18"/>
      <c r="BV71" s="18"/>
    </row>
    <row r="72" spans="1:74">
      <c r="A72" t="s">
        <v>2547</v>
      </c>
      <c r="B72" t="s">
        <v>2583</v>
      </c>
      <c r="G72" s="74"/>
      <c r="BG72" s="18"/>
      <c r="BH72" s="18"/>
      <c r="BI72" s="18"/>
      <c r="BJ72" s="18"/>
      <c r="BK72" s="18"/>
      <c r="BL72" s="18"/>
      <c r="BM72" s="18"/>
      <c r="BN72" s="18"/>
      <c r="BO72" s="18"/>
      <c r="BP72" s="18"/>
      <c r="BQ72" s="18"/>
      <c r="BR72" s="18"/>
      <c r="BS72" s="18"/>
      <c r="BT72" s="18"/>
      <c r="BU72" s="18"/>
      <c r="BV72" s="18"/>
    </row>
    <row r="73" spans="1:74">
      <c r="A73" t="s">
        <v>2547</v>
      </c>
      <c r="B73" t="s">
        <v>2582</v>
      </c>
      <c r="G73" s="74"/>
      <c r="BG73" s="18"/>
      <c r="BH73" s="18"/>
      <c r="BI73" s="18"/>
      <c r="BJ73" s="18"/>
      <c r="BK73" s="18"/>
      <c r="BL73" s="18"/>
      <c r="BM73" s="18"/>
      <c r="BN73" s="18"/>
      <c r="BO73" s="18"/>
      <c r="BP73" s="18"/>
      <c r="BQ73" s="18"/>
      <c r="BR73" s="18"/>
      <c r="BS73" s="18"/>
      <c r="BT73" s="18"/>
      <c r="BU73" s="18"/>
      <c r="BV73" s="18"/>
    </row>
    <row r="74" spans="1:74">
      <c r="A74" t="s">
        <v>2547</v>
      </c>
      <c r="B74" t="s">
        <v>2107</v>
      </c>
      <c r="G74" s="74"/>
      <c r="BG74" s="18"/>
      <c r="BH74" s="18"/>
      <c r="BI74" s="18"/>
      <c r="BJ74" s="18"/>
      <c r="BK74" s="18"/>
      <c r="BL74" s="18"/>
      <c r="BM74" s="18"/>
      <c r="BN74" s="18"/>
      <c r="BO74" s="18"/>
      <c r="BP74" s="18"/>
      <c r="BQ74" s="18"/>
      <c r="BR74" s="18"/>
      <c r="BS74" s="18"/>
      <c r="BT74" s="18"/>
      <c r="BU74" s="18"/>
      <c r="BV74" s="18"/>
    </row>
    <row r="75" spans="1:74">
      <c r="A75" t="s">
        <v>2547</v>
      </c>
      <c r="B75" t="s">
        <v>2108</v>
      </c>
      <c r="G75" s="74"/>
      <c r="BG75" s="18"/>
      <c r="BH75" s="18"/>
      <c r="BI75" s="18"/>
      <c r="BJ75" s="18"/>
      <c r="BK75" s="18"/>
      <c r="BL75" s="18"/>
      <c r="BM75" s="18"/>
      <c r="BN75" s="18"/>
      <c r="BO75" s="18"/>
      <c r="BP75" s="18"/>
      <c r="BQ75" s="18"/>
      <c r="BR75" s="18"/>
      <c r="BS75" s="18"/>
      <c r="BT75" s="18"/>
      <c r="BU75" s="18"/>
      <c r="BV75" s="18"/>
    </row>
    <row r="76" spans="1:74">
      <c r="A76" t="s">
        <v>2547</v>
      </c>
      <c r="B76" t="s">
        <v>2109</v>
      </c>
      <c r="G76" s="74"/>
      <c r="BG76" s="18"/>
      <c r="BH76" s="18"/>
      <c r="BI76" s="18"/>
      <c r="BJ76" s="18"/>
      <c r="BK76" s="18"/>
      <c r="BL76" s="18"/>
      <c r="BM76" s="18"/>
      <c r="BN76" s="18"/>
      <c r="BO76" s="18"/>
      <c r="BP76" s="18"/>
      <c r="BQ76" s="18"/>
      <c r="BR76" s="18"/>
      <c r="BS76" s="18"/>
      <c r="BT76" s="18"/>
      <c r="BU76" s="18"/>
      <c r="BV76" s="18"/>
    </row>
    <row r="77" spans="1:74">
      <c r="A77" t="s">
        <v>2547</v>
      </c>
      <c r="B77" t="s">
        <v>2685</v>
      </c>
      <c r="G77" s="74"/>
      <c r="BG77" s="18"/>
      <c r="BH77" s="18"/>
      <c r="BI77" s="18"/>
      <c r="BJ77" s="18"/>
      <c r="BK77" s="18"/>
      <c r="BL77" s="18"/>
      <c r="BM77" s="18"/>
      <c r="BN77" s="18"/>
      <c r="BO77" s="18"/>
      <c r="BP77" s="18"/>
      <c r="BQ77" s="18"/>
      <c r="BR77" s="18"/>
      <c r="BS77" s="18"/>
      <c r="BT77" s="18"/>
      <c r="BU77" s="18"/>
      <c r="BV77" s="18"/>
    </row>
    <row r="78" spans="1:74">
      <c r="A78" t="s">
        <v>2547</v>
      </c>
      <c r="B78" t="s">
        <v>4343</v>
      </c>
      <c r="G78" s="74"/>
      <c r="BG78" s="18"/>
      <c r="BH78" s="18"/>
      <c r="BI78" s="18"/>
      <c r="BJ78" s="18"/>
      <c r="BK78" s="18"/>
      <c r="BL78" s="18"/>
      <c r="BM78" s="18"/>
      <c r="BN78" s="18"/>
      <c r="BO78" s="18"/>
      <c r="BP78" s="18"/>
      <c r="BQ78" s="18"/>
      <c r="BR78" s="18"/>
      <c r="BS78" s="18"/>
      <c r="BT78" s="18"/>
      <c r="BU78" s="18"/>
      <c r="BV78" s="18"/>
    </row>
    <row r="79" spans="1:74">
      <c r="A79" t="s">
        <v>4344</v>
      </c>
      <c r="B79" t="s">
        <v>4345</v>
      </c>
      <c r="G79" s="74"/>
      <c r="BG79" s="18"/>
      <c r="BH79" s="18"/>
      <c r="BI79" s="18"/>
      <c r="BJ79" s="18"/>
      <c r="BK79" s="18"/>
      <c r="BL79" s="18"/>
      <c r="BM79" s="18"/>
      <c r="BN79" s="18"/>
      <c r="BO79" s="18"/>
      <c r="BP79" s="18"/>
      <c r="BQ79" s="18"/>
      <c r="BR79" s="18"/>
      <c r="BS79" s="18"/>
      <c r="BT79" s="18"/>
      <c r="BU79" s="18"/>
      <c r="BV79" s="18"/>
    </row>
    <row r="80" spans="1:74">
      <c r="A80" t="s">
        <v>4344</v>
      </c>
      <c r="B80" t="s">
        <v>4460</v>
      </c>
      <c r="G80" s="74"/>
      <c r="BG80" s="18"/>
      <c r="BH80" s="18"/>
      <c r="BI80" s="18"/>
      <c r="BJ80" s="18"/>
      <c r="BK80" s="18"/>
      <c r="BL80" s="18"/>
      <c r="BM80" s="18"/>
      <c r="BN80" s="18"/>
      <c r="BO80" s="18"/>
      <c r="BP80" s="18"/>
      <c r="BQ80" s="18"/>
      <c r="BR80" s="18"/>
      <c r="BS80" s="18"/>
      <c r="BT80" s="18"/>
      <c r="BU80" s="18"/>
      <c r="BV80" s="18"/>
    </row>
    <row r="81" spans="1:74">
      <c r="A81" t="s">
        <v>4346</v>
      </c>
      <c r="B81" t="s">
        <v>4347</v>
      </c>
      <c r="G81" s="74"/>
      <c r="BG81" s="18"/>
      <c r="BH81" s="18"/>
      <c r="BI81" s="18"/>
      <c r="BJ81" s="18"/>
      <c r="BK81" s="18"/>
      <c r="BL81" s="18"/>
      <c r="BM81" s="18"/>
      <c r="BN81" s="18"/>
      <c r="BO81" s="18"/>
      <c r="BP81" s="18"/>
      <c r="BQ81" s="18"/>
      <c r="BR81" s="18"/>
      <c r="BS81" s="18"/>
      <c r="BT81" s="18"/>
      <c r="BU81" s="18"/>
      <c r="BV81" s="18"/>
    </row>
    <row r="82" spans="1:74">
      <c r="A82" t="s">
        <v>4346</v>
      </c>
      <c r="B82" t="s">
        <v>4348</v>
      </c>
      <c r="G82" s="74"/>
      <c r="BG82" s="18"/>
      <c r="BH82" s="18"/>
      <c r="BI82" s="18"/>
      <c r="BJ82" s="18"/>
      <c r="BK82" s="18"/>
      <c r="BL82" s="18"/>
      <c r="BM82" s="18"/>
      <c r="BN82" s="18"/>
      <c r="BO82" s="18"/>
      <c r="BP82" s="18"/>
      <c r="BQ82" s="18"/>
      <c r="BR82" s="18"/>
      <c r="BS82" s="18"/>
      <c r="BT82" s="18"/>
      <c r="BU82" s="18"/>
      <c r="BV82" s="18"/>
    </row>
    <row r="83" spans="1:74">
      <c r="A83" t="s">
        <v>3116</v>
      </c>
      <c r="B83" t="s">
        <v>2903</v>
      </c>
      <c r="G83" s="74"/>
      <c r="BG83" s="18"/>
      <c r="BH83" s="18"/>
      <c r="BI83" s="18"/>
      <c r="BJ83" s="18"/>
      <c r="BK83" s="18"/>
      <c r="BL83" s="18"/>
      <c r="BM83" s="18"/>
      <c r="BN83" s="18"/>
      <c r="BO83" s="18"/>
      <c r="BP83" s="18"/>
      <c r="BQ83" s="18"/>
      <c r="BR83" s="18"/>
      <c r="BS83" s="18"/>
      <c r="BT83" s="18"/>
      <c r="BU83" s="18"/>
      <c r="BV83" s="18"/>
    </row>
    <row r="84" spans="1:74">
      <c r="A84" t="s">
        <v>3117</v>
      </c>
      <c r="B84" t="s">
        <v>2904</v>
      </c>
      <c r="G84" s="74"/>
      <c r="BG84" s="18"/>
      <c r="BH84" s="18"/>
      <c r="BI84" s="18"/>
      <c r="BJ84" s="18"/>
      <c r="BK84" s="18"/>
      <c r="BL84" s="18"/>
      <c r="BM84" s="18"/>
      <c r="BN84" s="18"/>
      <c r="BO84" s="18"/>
      <c r="BP84" s="18"/>
      <c r="BQ84" s="18"/>
      <c r="BR84" s="18"/>
      <c r="BS84" s="18"/>
      <c r="BT84" s="18"/>
      <c r="BU84" s="18"/>
      <c r="BV84" s="18"/>
    </row>
    <row r="85" spans="1:74">
      <c r="A85" t="s">
        <v>2080</v>
      </c>
      <c r="B85" t="s">
        <v>2110</v>
      </c>
      <c r="G85" s="74"/>
      <c r="BG85" s="18"/>
      <c r="BH85" s="18"/>
      <c r="BI85" s="18"/>
      <c r="BJ85" s="18"/>
      <c r="BK85" s="18"/>
      <c r="BL85" s="18"/>
      <c r="BM85" s="18"/>
      <c r="BN85" s="18"/>
      <c r="BO85" s="18"/>
      <c r="BP85" s="18"/>
      <c r="BQ85" s="18"/>
      <c r="BR85" s="18"/>
      <c r="BS85" s="18"/>
      <c r="BT85" s="18"/>
      <c r="BU85" s="18"/>
      <c r="BV85" s="18"/>
    </row>
    <row r="86" spans="1:74">
      <c r="A86" t="s">
        <v>3118</v>
      </c>
      <c r="B86" t="s">
        <v>2905</v>
      </c>
      <c r="G86" s="74"/>
      <c r="BG86" s="18"/>
      <c r="BH86" s="18"/>
      <c r="BI86" s="18"/>
      <c r="BJ86" s="18"/>
      <c r="BK86" s="18"/>
      <c r="BL86" s="18"/>
      <c r="BM86" s="18"/>
      <c r="BN86" s="18"/>
      <c r="BO86" s="18"/>
      <c r="BP86" s="18"/>
      <c r="BQ86" s="18"/>
      <c r="BR86" s="18"/>
      <c r="BS86" s="18"/>
      <c r="BT86" s="18"/>
      <c r="BU86" s="18"/>
      <c r="BV86" s="18"/>
    </row>
    <row r="87" spans="1:74">
      <c r="A87" t="s">
        <v>3119</v>
      </c>
      <c r="B87" t="s">
        <v>2906</v>
      </c>
      <c r="G87" s="74"/>
      <c r="BG87" s="18"/>
      <c r="BH87" s="18"/>
      <c r="BI87" s="18"/>
      <c r="BJ87" s="18"/>
      <c r="BK87" s="18"/>
      <c r="BL87" s="18"/>
      <c r="BM87" s="18"/>
      <c r="BN87" s="18"/>
      <c r="BO87" s="18"/>
      <c r="BP87" s="18"/>
      <c r="BQ87" s="18"/>
      <c r="BR87" s="18"/>
      <c r="BS87" s="18"/>
      <c r="BT87" s="18"/>
      <c r="BU87" s="18"/>
      <c r="BV87" s="18"/>
    </row>
    <row r="88" spans="1:74">
      <c r="A88" t="s">
        <v>2863</v>
      </c>
      <c r="B88" t="s">
        <v>2843</v>
      </c>
      <c r="G88" s="74"/>
      <c r="BG88" s="18"/>
      <c r="BH88" s="18"/>
      <c r="BI88" s="18"/>
      <c r="BJ88" s="18"/>
      <c r="BK88" s="18"/>
      <c r="BL88" s="18"/>
      <c r="BM88" s="18"/>
      <c r="BN88" s="18"/>
      <c r="BO88" s="18"/>
      <c r="BP88" s="18"/>
      <c r="BQ88" s="18"/>
      <c r="BR88" s="18"/>
      <c r="BS88" s="18"/>
      <c r="BT88" s="18"/>
      <c r="BU88" s="18"/>
      <c r="BV88" s="18"/>
    </row>
    <row r="89" spans="1:74">
      <c r="A89" t="s">
        <v>2081</v>
      </c>
      <c r="B89" t="s">
        <v>2907</v>
      </c>
      <c r="G89" s="74"/>
      <c r="BG89" s="18"/>
      <c r="BH89" s="18"/>
      <c r="BI89" s="18"/>
      <c r="BJ89" s="18"/>
      <c r="BK89" s="18"/>
      <c r="BL89" s="18"/>
      <c r="BM89" s="18"/>
      <c r="BN89" s="18"/>
      <c r="BO89" s="18"/>
      <c r="BP89" s="18"/>
      <c r="BQ89" s="18"/>
      <c r="BR89" s="18"/>
      <c r="BS89" s="18"/>
      <c r="BT89" s="18"/>
      <c r="BU89" s="18"/>
      <c r="BV89" s="18"/>
    </row>
    <row r="90" spans="1:74">
      <c r="A90" t="s">
        <v>2081</v>
      </c>
      <c r="B90" t="s">
        <v>2585</v>
      </c>
      <c r="G90" s="74"/>
      <c r="BG90" s="18"/>
      <c r="BH90" s="18"/>
      <c r="BI90" s="18"/>
      <c r="BJ90" s="18"/>
      <c r="BK90" s="18"/>
      <c r="BL90" s="18"/>
      <c r="BM90" s="18"/>
      <c r="BN90" s="18"/>
      <c r="BO90" s="18"/>
      <c r="BP90" s="18"/>
      <c r="BQ90" s="18"/>
      <c r="BR90" s="18"/>
      <c r="BS90" s="18"/>
      <c r="BT90" s="18"/>
      <c r="BU90" s="18"/>
      <c r="BV90" s="18"/>
    </row>
    <row r="91" spans="1:74">
      <c r="A91" t="s">
        <v>2081</v>
      </c>
      <c r="B91" t="s">
        <v>2910</v>
      </c>
      <c r="G91" s="74"/>
      <c r="BG91" s="18"/>
      <c r="BH91" s="18"/>
      <c r="BI91" s="18"/>
      <c r="BJ91" s="18"/>
      <c r="BK91" s="18"/>
      <c r="BL91" s="18"/>
      <c r="BM91" s="18"/>
      <c r="BN91" s="18"/>
      <c r="BO91" s="18"/>
      <c r="BP91" s="18"/>
      <c r="BQ91" s="18"/>
      <c r="BR91" s="18"/>
      <c r="BS91" s="18"/>
      <c r="BT91" s="18"/>
      <c r="BU91" s="18"/>
      <c r="BV91" s="18"/>
    </row>
    <row r="92" spans="1:74">
      <c r="A92" t="s">
        <v>2081</v>
      </c>
      <c r="B92" t="s">
        <v>2686</v>
      </c>
      <c r="G92" s="74"/>
      <c r="BG92" s="18"/>
      <c r="BH92" s="18"/>
      <c r="BI92" s="18"/>
      <c r="BJ92" s="18"/>
      <c r="BK92" s="18"/>
      <c r="BL92" s="18"/>
      <c r="BM92" s="18"/>
      <c r="BN92" s="18"/>
      <c r="BO92" s="18"/>
      <c r="BP92" s="18"/>
      <c r="BQ92" s="18"/>
      <c r="BR92" s="18"/>
      <c r="BS92" s="18"/>
      <c r="BT92" s="18"/>
      <c r="BU92" s="18"/>
      <c r="BV92" s="18"/>
    </row>
    <row r="93" spans="1:74">
      <c r="A93" t="s">
        <v>2081</v>
      </c>
      <c r="B93" t="s">
        <v>2113</v>
      </c>
      <c r="G93" s="74"/>
      <c r="BG93" s="18"/>
      <c r="BH93" s="18"/>
      <c r="BI93" s="18"/>
      <c r="BJ93" s="18"/>
      <c r="BK93" s="18"/>
      <c r="BL93" s="18"/>
      <c r="BM93" s="18"/>
      <c r="BN93" s="18"/>
      <c r="BO93" s="18"/>
      <c r="BP93" s="18"/>
      <c r="BQ93" s="18"/>
      <c r="BR93" s="18"/>
      <c r="BS93" s="18"/>
      <c r="BT93" s="18"/>
      <c r="BU93" s="18"/>
      <c r="BV93" s="18"/>
    </row>
    <row r="94" spans="1:74">
      <c r="A94" t="s">
        <v>2081</v>
      </c>
      <c r="B94" t="s">
        <v>2112</v>
      </c>
      <c r="G94" s="74"/>
      <c r="BG94" s="18"/>
      <c r="BH94" s="18"/>
      <c r="BI94" s="18"/>
      <c r="BJ94" s="18"/>
      <c r="BK94" s="18"/>
      <c r="BL94" s="18"/>
      <c r="BM94" s="18"/>
      <c r="BN94" s="18"/>
      <c r="BO94" s="18"/>
      <c r="BP94" s="18"/>
      <c r="BQ94" s="18"/>
      <c r="BR94" s="18"/>
      <c r="BS94" s="18"/>
      <c r="BT94" s="18"/>
      <c r="BU94" s="18"/>
      <c r="BV94" s="18"/>
    </row>
    <row r="95" spans="1:74">
      <c r="A95" t="s">
        <v>2081</v>
      </c>
      <c r="B95" t="s">
        <v>2111</v>
      </c>
      <c r="G95" s="74"/>
      <c r="BG95" s="18"/>
      <c r="BH95" s="18"/>
      <c r="BI95" s="18"/>
      <c r="BJ95" s="18"/>
      <c r="BK95" s="18"/>
      <c r="BL95" s="18"/>
      <c r="BM95" s="18"/>
      <c r="BN95" s="18"/>
      <c r="BO95" s="18"/>
      <c r="BP95" s="18"/>
      <c r="BQ95" s="18"/>
      <c r="BR95" s="18"/>
      <c r="BS95" s="18"/>
      <c r="BT95" s="18"/>
      <c r="BU95" s="18"/>
      <c r="BV95" s="18"/>
    </row>
    <row r="96" spans="1:74">
      <c r="A96" t="s">
        <v>2081</v>
      </c>
      <c r="B96" t="s">
        <v>2584</v>
      </c>
      <c r="G96" s="74"/>
      <c r="BG96" s="18"/>
      <c r="BH96" s="18"/>
      <c r="BI96" s="18"/>
      <c r="BJ96" s="18"/>
      <c r="BK96" s="18"/>
      <c r="BL96" s="18"/>
      <c r="BM96" s="18"/>
      <c r="BN96" s="18"/>
      <c r="BO96" s="18"/>
      <c r="BP96" s="18"/>
      <c r="BQ96" s="18"/>
      <c r="BR96" s="18"/>
      <c r="BS96" s="18"/>
      <c r="BT96" s="18"/>
      <c r="BU96" s="18"/>
      <c r="BV96" s="18"/>
    </row>
    <row r="97" spans="1:74">
      <c r="A97" t="s">
        <v>2081</v>
      </c>
      <c r="B97" t="s">
        <v>2911</v>
      </c>
      <c r="G97" s="74"/>
      <c r="BG97" s="18"/>
      <c r="BH97" s="18"/>
      <c r="BI97" s="18"/>
      <c r="BJ97" s="18"/>
      <c r="BK97" s="18"/>
      <c r="BL97" s="18"/>
      <c r="BM97" s="18"/>
      <c r="BN97" s="18"/>
      <c r="BO97" s="18"/>
      <c r="BP97" s="18"/>
      <c r="BQ97" s="18"/>
      <c r="BR97" s="18"/>
      <c r="BS97" s="18"/>
      <c r="BT97" s="18"/>
      <c r="BU97" s="18"/>
      <c r="BV97" s="18"/>
    </row>
    <row r="98" spans="1:74">
      <c r="A98" t="s">
        <v>2081</v>
      </c>
      <c r="B98" t="s">
        <v>2909</v>
      </c>
      <c r="G98" s="74"/>
      <c r="BG98" s="18"/>
      <c r="BH98" s="18"/>
      <c r="BI98" s="18"/>
      <c r="BJ98" s="18"/>
      <c r="BK98" s="18"/>
      <c r="BL98" s="18"/>
      <c r="BM98" s="18"/>
      <c r="BN98" s="18"/>
      <c r="BO98" s="18"/>
      <c r="BP98" s="18"/>
      <c r="BQ98" s="18"/>
      <c r="BR98" s="18"/>
      <c r="BS98" s="18"/>
      <c r="BT98" s="18"/>
      <c r="BU98" s="18"/>
      <c r="BV98" s="18"/>
    </row>
    <row r="99" spans="1:74">
      <c r="A99" t="s">
        <v>2081</v>
      </c>
      <c r="B99" t="s">
        <v>2912</v>
      </c>
      <c r="G99" s="74"/>
      <c r="BG99" s="18"/>
      <c r="BH99" s="18"/>
      <c r="BI99" s="18"/>
      <c r="BJ99" s="18"/>
      <c r="BK99" s="18"/>
      <c r="BL99" s="18"/>
      <c r="BM99" s="18"/>
      <c r="BN99" s="18"/>
      <c r="BO99" s="18"/>
      <c r="BP99" s="18"/>
      <c r="BQ99" s="18"/>
      <c r="BR99" s="18"/>
      <c r="BS99" s="18"/>
      <c r="BT99" s="18"/>
      <c r="BU99" s="18"/>
      <c r="BV99" s="18"/>
    </row>
    <row r="100" spans="1:74">
      <c r="A100" t="s">
        <v>2081</v>
      </c>
      <c r="B100" t="s">
        <v>2908</v>
      </c>
      <c r="G100" s="74"/>
      <c r="BG100" s="18"/>
      <c r="BH100" s="18"/>
      <c r="BI100" s="18"/>
      <c r="BJ100" s="18"/>
      <c r="BK100" s="18"/>
      <c r="BL100" s="18"/>
      <c r="BM100" s="18"/>
      <c r="BN100" s="18"/>
      <c r="BO100" s="18"/>
      <c r="BP100" s="18"/>
      <c r="BQ100" s="18"/>
      <c r="BR100" s="18"/>
      <c r="BS100" s="18"/>
      <c r="BT100" s="18"/>
      <c r="BU100" s="18"/>
      <c r="BV100" s="18"/>
    </row>
    <row r="101" spans="1:74">
      <c r="A101" t="s">
        <v>2081</v>
      </c>
      <c r="B101" t="s">
        <v>2586</v>
      </c>
      <c r="G101" s="74"/>
      <c r="BG101" s="18"/>
      <c r="BH101" s="18"/>
      <c r="BI101" s="18"/>
      <c r="BJ101" s="18"/>
      <c r="BK101" s="18"/>
      <c r="BL101" s="18"/>
      <c r="BM101" s="18"/>
      <c r="BN101" s="18"/>
      <c r="BO101" s="18"/>
      <c r="BP101" s="18"/>
      <c r="BQ101" s="18"/>
      <c r="BR101" s="18"/>
      <c r="BS101" s="18"/>
      <c r="BT101" s="18"/>
      <c r="BU101" s="18"/>
      <c r="BV101" s="18"/>
    </row>
    <row r="102" spans="1:74">
      <c r="A102" t="s">
        <v>2081</v>
      </c>
      <c r="B102" t="s">
        <v>2587</v>
      </c>
      <c r="G102" s="74"/>
      <c r="BG102" s="18"/>
      <c r="BH102" s="18"/>
      <c r="BI102" s="18"/>
      <c r="BJ102" s="18"/>
      <c r="BK102" s="18"/>
      <c r="BL102" s="18"/>
      <c r="BM102" s="18"/>
      <c r="BN102" s="18"/>
      <c r="BO102" s="18"/>
      <c r="BP102" s="18"/>
      <c r="BQ102" s="18"/>
      <c r="BR102" s="18"/>
      <c r="BS102" s="18"/>
      <c r="BT102" s="18"/>
      <c r="BU102" s="18"/>
      <c r="BV102" s="18"/>
    </row>
    <row r="103" spans="1:74">
      <c r="A103" t="s">
        <v>2081</v>
      </c>
      <c r="B103" t="s">
        <v>2588</v>
      </c>
      <c r="G103" s="74"/>
      <c r="BG103" s="18"/>
      <c r="BH103" s="18"/>
      <c r="BI103" s="18"/>
      <c r="BJ103" s="18"/>
      <c r="BK103" s="18"/>
      <c r="BL103" s="18"/>
      <c r="BM103" s="18"/>
      <c r="BN103" s="18"/>
      <c r="BO103" s="18"/>
      <c r="BP103" s="18"/>
      <c r="BQ103" s="18"/>
      <c r="BR103" s="18"/>
      <c r="BS103" s="18"/>
      <c r="BT103" s="18"/>
      <c r="BU103" s="18"/>
      <c r="BV103" s="18"/>
    </row>
    <row r="104" spans="1:74">
      <c r="A104" t="s">
        <v>3120</v>
      </c>
      <c r="B104" t="s">
        <v>2913</v>
      </c>
      <c r="G104" s="74"/>
      <c r="BG104" s="18"/>
      <c r="BH104" s="18"/>
      <c r="BI104" s="18"/>
      <c r="BJ104" s="18"/>
      <c r="BK104" s="18"/>
      <c r="BL104" s="18"/>
      <c r="BM104" s="18"/>
      <c r="BN104" s="18"/>
      <c r="BO104" s="18"/>
      <c r="BP104" s="18"/>
      <c r="BQ104" s="18"/>
      <c r="BR104" s="18"/>
      <c r="BS104" s="18"/>
      <c r="BT104" s="18"/>
      <c r="BU104" s="18"/>
      <c r="BV104" s="18"/>
    </row>
    <row r="105" spans="1:74">
      <c r="A105" t="s">
        <v>2864</v>
      </c>
      <c r="B105" t="s">
        <v>2844</v>
      </c>
      <c r="G105" s="74"/>
      <c r="BG105" s="18"/>
      <c r="BH105" s="18"/>
      <c r="BI105" s="18"/>
      <c r="BJ105" s="18"/>
      <c r="BK105" s="18"/>
      <c r="BL105" s="18"/>
      <c r="BM105" s="18"/>
      <c r="BN105" s="18"/>
      <c r="BO105" s="18"/>
      <c r="BP105" s="18"/>
      <c r="BQ105" s="18"/>
      <c r="BR105" s="18"/>
      <c r="BS105" s="18"/>
      <c r="BT105" s="18"/>
      <c r="BU105" s="18"/>
      <c r="BV105" s="18"/>
    </row>
    <row r="106" spans="1:74">
      <c r="A106" t="s">
        <v>2687</v>
      </c>
      <c r="B106" t="s">
        <v>2688</v>
      </c>
      <c r="G106" s="74"/>
      <c r="BG106" s="18"/>
      <c r="BH106" s="18"/>
      <c r="BI106" s="18"/>
      <c r="BJ106" s="18"/>
      <c r="BK106" s="18"/>
      <c r="BL106" s="18"/>
      <c r="BM106" s="18"/>
      <c r="BN106" s="18"/>
      <c r="BO106" s="18"/>
      <c r="BP106" s="18"/>
      <c r="BQ106" s="18"/>
      <c r="BR106" s="18"/>
      <c r="BS106" s="18"/>
      <c r="BT106" s="18"/>
      <c r="BU106" s="18"/>
      <c r="BV106" s="18"/>
    </row>
    <row r="107" spans="1:74">
      <c r="A107" t="s">
        <v>2687</v>
      </c>
      <c r="B107" t="s">
        <v>2688</v>
      </c>
      <c r="G107" s="74"/>
      <c r="BG107" s="18"/>
      <c r="BH107" s="18"/>
      <c r="BI107" s="18"/>
      <c r="BJ107" s="18"/>
      <c r="BK107" s="18"/>
      <c r="BL107" s="18"/>
      <c r="BM107" s="18"/>
      <c r="BN107" s="18"/>
      <c r="BO107" s="18"/>
      <c r="BP107" s="18"/>
      <c r="BQ107" s="18"/>
      <c r="BR107" s="18"/>
      <c r="BS107" s="18"/>
      <c r="BT107" s="18"/>
      <c r="BU107" s="18"/>
      <c r="BV107" s="18"/>
    </row>
    <row r="108" spans="1:74">
      <c r="A108" t="s">
        <v>2082</v>
      </c>
      <c r="B108" t="s">
        <v>4349</v>
      </c>
      <c r="G108" s="74"/>
      <c r="BG108" s="18"/>
      <c r="BH108" s="18"/>
      <c r="BI108" s="18"/>
      <c r="BJ108" s="18"/>
      <c r="BK108" s="18"/>
      <c r="BL108" s="18"/>
      <c r="BM108" s="18"/>
      <c r="BN108" s="18"/>
      <c r="BO108" s="18"/>
      <c r="BP108" s="18"/>
      <c r="BQ108" s="18"/>
      <c r="BR108" s="18"/>
      <c r="BS108" s="18"/>
      <c r="BT108" s="18"/>
      <c r="BU108" s="18"/>
      <c r="BV108" s="18"/>
    </row>
    <row r="109" spans="1:74">
      <c r="A109" t="s">
        <v>2082</v>
      </c>
      <c r="B109" t="s">
        <v>2916</v>
      </c>
      <c r="G109" s="74"/>
      <c r="BG109" s="18"/>
      <c r="BH109" s="18"/>
      <c r="BI109" s="18"/>
      <c r="BJ109" s="18"/>
      <c r="BK109" s="18"/>
      <c r="BL109" s="18"/>
      <c r="BM109" s="18"/>
      <c r="BN109" s="18"/>
      <c r="BO109" s="18"/>
      <c r="BP109" s="18"/>
      <c r="BQ109" s="18"/>
      <c r="BR109" s="18"/>
      <c r="BS109" s="18"/>
      <c r="BT109" s="18"/>
      <c r="BU109" s="18"/>
      <c r="BV109" s="18"/>
    </row>
    <row r="110" spans="1:74">
      <c r="A110" t="s">
        <v>2082</v>
      </c>
      <c r="B110" t="s">
        <v>2914</v>
      </c>
      <c r="G110" s="74"/>
      <c r="BG110" s="18"/>
      <c r="BH110" s="18"/>
      <c r="BI110" s="18"/>
      <c r="BJ110" s="18"/>
      <c r="BK110" s="18"/>
      <c r="BL110" s="18"/>
      <c r="BM110" s="18"/>
      <c r="BN110" s="18"/>
      <c r="BO110" s="18"/>
      <c r="BP110" s="18"/>
      <c r="BQ110" s="18"/>
      <c r="BR110" s="18"/>
      <c r="BS110" s="18"/>
      <c r="BT110" s="18"/>
      <c r="BU110" s="18"/>
      <c r="BV110" s="18"/>
    </row>
    <row r="111" spans="1:74">
      <c r="A111" t="s">
        <v>2082</v>
      </c>
      <c r="B111" t="s">
        <v>2915</v>
      </c>
      <c r="G111" s="74"/>
      <c r="BG111" s="18"/>
      <c r="BH111" s="18"/>
      <c r="BI111" s="18"/>
      <c r="BJ111" s="18"/>
      <c r="BK111" s="18"/>
      <c r="BL111" s="18"/>
      <c r="BM111" s="18"/>
      <c r="BN111" s="18"/>
      <c r="BO111" s="18"/>
      <c r="BP111" s="18"/>
      <c r="BQ111" s="18"/>
      <c r="BR111" s="18"/>
      <c r="BS111" s="18"/>
      <c r="BT111" s="18"/>
      <c r="BU111" s="18"/>
      <c r="BV111" s="18"/>
    </row>
    <row r="112" spans="1:74">
      <c r="A112" t="s">
        <v>2082</v>
      </c>
      <c r="B112" t="s">
        <v>2114</v>
      </c>
      <c r="G112" s="74"/>
      <c r="BG112" s="18"/>
      <c r="BH112" s="18"/>
      <c r="BI112" s="18"/>
      <c r="BJ112" s="18"/>
      <c r="BK112" s="18"/>
      <c r="BL112" s="18"/>
      <c r="BM112" s="18"/>
      <c r="BN112" s="18"/>
      <c r="BO112" s="18"/>
      <c r="BP112" s="18"/>
      <c r="BQ112" s="18"/>
      <c r="BR112" s="18"/>
      <c r="BS112" s="18"/>
      <c r="BT112" s="18"/>
      <c r="BU112" s="18"/>
      <c r="BV112" s="18"/>
    </row>
    <row r="113" spans="1:74">
      <c r="A113" t="s">
        <v>2082</v>
      </c>
      <c r="B113" t="s">
        <v>2917</v>
      </c>
      <c r="G113" s="74"/>
      <c r="BG113" s="18"/>
      <c r="BH113" s="18"/>
      <c r="BI113" s="18"/>
      <c r="BJ113" s="18"/>
      <c r="BK113" s="18"/>
      <c r="BL113" s="18"/>
      <c r="BM113" s="18"/>
      <c r="BN113" s="18"/>
      <c r="BO113" s="18"/>
      <c r="BP113" s="18"/>
      <c r="BQ113" s="18"/>
      <c r="BR113" s="18"/>
      <c r="BS113" s="18"/>
      <c r="BT113" s="18"/>
      <c r="BU113" s="18"/>
      <c r="BV113" s="18"/>
    </row>
    <row r="114" spans="1:74">
      <c r="A114" t="s">
        <v>3121</v>
      </c>
      <c r="B114" t="s">
        <v>2918</v>
      </c>
      <c r="G114" s="74"/>
      <c r="BG114" s="18"/>
      <c r="BH114" s="18"/>
      <c r="BI114" s="18"/>
      <c r="BJ114" s="18"/>
      <c r="BK114" s="18"/>
      <c r="BL114" s="18"/>
      <c r="BM114" s="18"/>
      <c r="BN114" s="18"/>
      <c r="BO114" s="18"/>
      <c r="BP114" s="18"/>
      <c r="BQ114" s="18"/>
      <c r="BR114" s="18"/>
      <c r="BS114" s="18"/>
      <c r="BT114" s="18"/>
      <c r="BU114" s="18"/>
      <c r="BV114" s="18"/>
    </row>
    <row r="115" spans="1:74">
      <c r="A115" t="s">
        <v>2083</v>
      </c>
      <c r="B115" t="s">
        <v>2115</v>
      </c>
      <c r="G115" s="74"/>
      <c r="BG115" s="18"/>
      <c r="BH115" s="18"/>
      <c r="BI115" s="18"/>
      <c r="BJ115" s="18"/>
      <c r="BK115" s="18"/>
      <c r="BL115" s="18"/>
      <c r="BM115" s="18"/>
      <c r="BN115" s="18"/>
      <c r="BO115" s="18"/>
      <c r="BP115" s="18"/>
      <c r="BQ115" s="18"/>
      <c r="BR115" s="18"/>
      <c r="BS115" s="18"/>
      <c r="BT115" s="18"/>
      <c r="BU115" s="18"/>
      <c r="BV115" s="18"/>
    </row>
    <row r="116" spans="1:74">
      <c r="A116" t="s">
        <v>2083</v>
      </c>
      <c r="B116" t="s">
        <v>2589</v>
      </c>
      <c r="G116" s="74"/>
      <c r="BG116" s="18"/>
      <c r="BH116" s="18"/>
      <c r="BI116" s="18"/>
      <c r="BJ116" s="18"/>
      <c r="BK116" s="18"/>
      <c r="BL116" s="18"/>
      <c r="BM116" s="18"/>
      <c r="BN116" s="18"/>
      <c r="BO116" s="18"/>
      <c r="BP116" s="18"/>
      <c r="BQ116" s="18"/>
      <c r="BR116" s="18"/>
      <c r="BS116" s="18"/>
      <c r="BT116" s="18"/>
      <c r="BU116" s="18"/>
      <c r="BV116" s="18"/>
    </row>
    <row r="117" spans="1:74">
      <c r="A117" t="s">
        <v>2083</v>
      </c>
      <c r="B117" t="s">
        <v>2689</v>
      </c>
      <c r="G117" s="74"/>
      <c r="BG117" s="18"/>
      <c r="BH117" s="18"/>
      <c r="BI117" s="18"/>
      <c r="BJ117" s="18"/>
      <c r="BK117" s="18"/>
      <c r="BL117" s="18"/>
      <c r="BM117" s="18"/>
      <c r="BN117" s="18"/>
      <c r="BO117" s="18"/>
      <c r="BP117" s="18"/>
      <c r="BQ117" s="18"/>
      <c r="BR117" s="18"/>
      <c r="BS117" s="18"/>
      <c r="BT117" s="18"/>
      <c r="BU117" s="18"/>
      <c r="BV117" s="18"/>
    </row>
    <row r="118" spans="1:74">
      <c r="A118" t="s">
        <v>2083</v>
      </c>
      <c r="B118" t="s">
        <v>2592</v>
      </c>
      <c r="G118" s="74"/>
      <c r="BG118" s="18"/>
      <c r="BH118" s="18"/>
      <c r="BI118" s="18"/>
      <c r="BJ118" s="18"/>
      <c r="BK118" s="18"/>
      <c r="BL118" s="18"/>
      <c r="BM118" s="18"/>
      <c r="BN118" s="18"/>
      <c r="BO118" s="18"/>
      <c r="BP118" s="18"/>
      <c r="BQ118" s="18"/>
      <c r="BR118" s="18"/>
      <c r="BS118" s="18"/>
      <c r="BT118" s="18"/>
      <c r="BU118" s="18"/>
      <c r="BV118" s="18"/>
    </row>
    <row r="119" spans="1:74">
      <c r="A119" t="s">
        <v>2083</v>
      </c>
      <c r="B119" t="s">
        <v>2590</v>
      </c>
      <c r="G119" s="74"/>
      <c r="BG119" s="18"/>
      <c r="BH119" s="18"/>
      <c r="BI119" s="18"/>
      <c r="BJ119" s="18"/>
      <c r="BK119" s="18"/>
      <c r="BL119" s="18"/>
      <c r="BM119" s="18"/>
      <c r="BN119" s="18"/>
      <c r="BO119" s="18"/>
      <c r="BP119" s="18"/>
      <c r="BQ119" s="18"/>
      <c r="BR119" s="18"/>
      <c r="BS119" s="18"/>
      <c r="BT119" s="18"/>
      <c r="BU119" s="18"/>
      <c r="BV119" s="18"/>
    </row>
    <row r="120" spans="1:74">
      <c r="A120" t="s">
        <v>2083</v>
      </c>
      <c r="B120" t="s">
        <v>2920</v>
      </c>
      <c r="G120" s="74"/>
      <c r="BG120" s="18"/>
      <c r="BH120" s="18"/>
      <c r="BI120" s="18"/>
      <c r="BJ120" s="18"/>
      <c r="BK120" s="18"/>
      <c r="BL120" s="18"/>
      <c r="BM120" s="18"/>
      <c r="BN120" s="18"/>
      <c r="BO120" s="18"/>
      <c r="BP120" s="18"/>
      <c r="BQ120" s="18"/>
      <c r="BR120" s="18"/>
      <c r="BS120" s="18"/>
      <c r="BT120" s="18"/>
      <c r="BU120" s="18"/>
      <c r="BV120" s="18"/>
    </row>
    <row r="121" spans="1:74">
      <c r="A121" t="s">
        <v>2083</v>
      </c>
      <c r="B121" t="s">
        <v>2919</v>
      </c>
      <c r="G121" s="74"/>
      <c r="BG121" s="18"/>
      <c r="BH121" s="18"/>
      <c r="BI121" s="18"/>
      <c r="BJ121" s="18"/>
      <c r="BK121" s="18"/>
      <c r="BL121" s="18"/>
      <c r="BM121" s="18"/>
      <c r="BN121" s="18"/>
      <c r="BO121" s="18"/>
      <c r="BP121" s="18"/>
      <c r="BQ121" s="18"/>
      <c r="BR121" s="18"/>
      <c r="BS121" s="18"/>
      <c r="BT121" s="18"/>
      <c r="BU121" s="18"/>
      <c r="BV121" s="18"/>
    </row>
    <row r="122" spans="1:74">
      <c r="A122" t="s">
        <v>2083</v>
      </c>
      <c r="B122" t="s">
        <v>2921</v>
      </c>
      <c r="G122" s="74"/>
      <c r="BG122" s="18"/>
      <c r="BH122" s="18"/>
      <c r="BI122" s="18"/>
      <c r="BJ122" s="18"/>
      <c r="BK122" s="18"/>
      <c r="BL122" s="18"/>
      <c r="BM122" s="18"/>
      <c r="BN122" s="18"/>
      <c r="BO122" s="18"/>
      <c r="BP122" s="18"/>
      <c r="BQ122" s="18"/>
      <c r="BR122" s="18"/>
      <c r="BS122" s="18"/>
      <c r="BT122" s="18"/>
      <c r="BU122" s="18"/>
      <c r="BV122" s="18"/>
    </row>
    <row r="123" spans="1:74">
      <c r="A123" t="s">
        <v>2083</v>
      </c>
      <c r="B123" t="s">
        <v>4350</v>
      </c>
      <c r="G123" s="74"/>
      <c r="BG123" s="18"/>
      <c r="BH123" s="18"/>
      <c r="BI123" s="18"/>
      <c r="BJ123" s="18"/>
      <c r="BK123" s="18"/>
      <c r="BL123" s="18"/>
      <c r="BM123" s="18"/>
      <c r="BN123" s="18"/>
      <c r="BO123" s="18"/>
      <c r="BP123" s="18"/>
      <c r="BQ123" s="18"/>
      <c r="BR123" s="18"/>
      <c r="BS123" s="18"/>
      <c r="BT123" s="18"/>
      <c r="BU123" s="18"/>
      <c r="BV123" s="18"/>
    </row>
    <row r="124" spans="1:74">
      <c r="A124" t="s">
        <v>2083</v>
      </c>
      <c r="B124" t="s">
        <v>2690</v>
      </c>
      <c r="G124" s="74"/>
      <c r="BG124" s="18"/>
      <c r="BH124" s="18"/>
      <c r="BI124" s="18"/>
      <c r="BJ124" s="18"/>
      <c r="BK124" s="18"/>
      <c r="BL124" s="18"/>
      <c r="BM124" s="18"/>
      <c r="BN124" s="18"/>
      <c r="BO124" s="18"/>
      <c r="BP124" s="18"/>
      <c r="BQ124" s="18"/>
      <c r="BR124" s="18"/>
      <c r="BS124" s="18"/>
      <c r="BT124" s="18"/>
      <c r="BU124" s="18"/>
      <c r="BV124" s="18"/>
    </row>
    <row r="125" spans="1:74">
      <c r="A125" t="s">
        <v>2083</v>
      </c>
      <c r="B125" t="s">
        <v>2591</v>
      </c>
      <c r="G125" s="74"/>
      <c r="BG125" s="18"/>
      <c r="BH125" s="18"/>
      <c r="BI125" s="18"/>
      <c r="BJ125" s="18"/>
      <c r="BK125" s="18"/>
      <c r="BL125" s="18"/>
      <c r="BM125" s="18"/>
      <c r="BN125" s="18"/>
      <c r="BO125" s="18"/>
      <c r="BP125" s="18"/>
      <c r="BQ125" s="18"/>
      <c r="BR125" s="18"/>
      <c r="BS125" s="18"/>
      <c r="BT125" s="18"/>
      <c r="BU125" s="18"/>
      <c r="BV125" s="18"/>
    </row>
    <row r="126" spans="1:74">
      <c r="A126" t="s">
        <v>2083</v>
      </c>
      <c r="B126" t="s">
        <v>2691</v>
      </c>
      <c r="G126" s="74"/>
      <c r="BG126" s="18"/>
      <c r="BH126" s="18"/>
      <c r="BI126" s="18"/>
      <c r="BJ126" s="18"/>
      <c r="BK126" s="18"/>
      <c r="BL126" s="18"/>
      <c r="BM126" s="18"/>
      <c r="BN126" s="18"/>
      <c r="BO126" s="18"/>
      <c r="BP126" s="18"/>
      <c r="BQ126" s="18"/>
      <c r="BR126" s="18"/>
      <c r="BS126" s="18"/>
      <c r="BT126" s="18"/>
      <c r="BU126" s="18"/>
      <c r="BV126" s="18"/>
    </row>
    <row r="127" spans="1:74">
      <c r="A127" t="s">
        <v>2084</v>
      </c>
      <c r="B127" t="s">
        <v>2697</v>
      </c>
      <c r="G127" s="74"/>
      <c r="BG127" s="18"/>
      <c r="BH127" s="18"/>
      <c r="BI127" s="18"/>
      <c r="BJ127" s="18"/>
      <c r="BK127" s="18"/>
      <c r="BL127" s="18"/>
      <c r="BM127" s="18"/>
      <c r="BN127" s="18"/>
      <c r="BO127" s="18"/>
      <c r="BP127" s="18"/>
      <c r="BQ127" s="18"/>
      <c r="BR127" s="18"/>
      <c r="BS127" s="18"/>
      <c r="BT127" s="18"/>
      <c r="BU127" s="18"/>
      <c r="BV127" s="18"/>
    </row>
    <row r="128" spans="1:74">
      <c r="A128" t="s">
        <v>2084</v>
      </c>
      <c r="B128" t="s">
        <v>2926</v>
      </c>
      <c r="G128" s="74"/>
      <c r="BG128" s="18"/>
      <c r="BH128" s="18"/>
      <c r="BI128" s="18"/>
      <c r="BJ128" s="18"/>
      <c r="BK128" s="18"/>
      <c r="BL128" s="18"/>
      <c r="BM128" s="18"/>
      <c r="BN128" s="18"/>
      <c r="BO128" s="18"/>
      <c r="BP128" s="18"/>
      <c r="BQ128" s="18"/>
      <c r="BR128" s="18"/>
      <c r="BS128" s="18"/>
      <c r="BT128" s="18"/>
      <c r="BU128" s="18"/>
      <c r="BV128" s="18"/>
    </row>
    <row r="129" spans="1:74">
      <c r="A129" t="s">
        <v>2084</v>
      </c>
      <c r="B129" t="s">
        <v>2696</v>
      </c>
      <c r="G129" s="74"/>
      <c r="BG129" s="18"/>
      <c r="BH129" s="18"/>
      <c r="BI129" s="18"/>
      <c r="BJ129" s="18"/>
      <c r="BK129" s="18"/>
      <c r="BL129" s="18"/>
      <c r="BM129" s="18"/>
      <c r="BN129" s="18"/>
      <c r="BO129" s="18"/>
      <c r="BP129" s="18"/>
      <c r="BQ129" s="18"/>
      <c r="BR129" s="18"/>
      <c r="BS129" s="18"/>
      <c r="BT129" s="18"/>
      <c r="BU129" s="18"/>
      <c r="BV129" s="18"/>
    </row>
    <row r="130" spans="1:74">
      <c r="A130" t="s">
        <v>2084</v>
      </c>
      <c r="B130" t="s">
        <v>2596</v>
      </c>
      <c r="G130" s="74"/>
      <c r="BG130" s="18"/>
      <c r="BH130" s="18"/>
      <c r="BI130" s="18"/>
      <c r="BJ130" s="18"/>
      <c r="BK130" s="18"/>
      <c r="BL130" s="18"/>
      <c r="BM130" s="18"/>
      <c r="BN130" s="18"/>
      <c r="BO130" s="18"/>
      <c r="BP130" s="18"/>
      <c r="BQ130" s="18"/>
      <c r="BR130" s="18"/>
      <c r="BS130" s="18"/>
      <c r="BT130" s="18"/>
      <c r="BU130" s="18"/>
      <c r="BV130" s="18"/>
    </row>
    <row r="131" spans="1:74">
      <c r="A131" t="s">
        <v>2084</v>
      </c>
      <c r="B131" t="s">
        <v>2930</v>
      </c>
      <c r="G131" s="74"/>
      <c r="BG131" s="18"/>
      <c r="BH131" s="18"/>
      <c r="BI131" s="18"/>
      <c r="BJ131" s="18"/>
      <c r="BK131" s="18"/>
      <c r="BL131" s="18"/>
      <c r="BM131" s="18"/>
      <c r="BN131" s="18"/>
      <c r="BO131" s="18"/>
      <c r="BP131" s="18"/>
      <c r="BQ131" s="18"/>
      <c r="BR131" s="18"/>
      <c r="BS131" s="18"/>
      <c r="BT131" s="18"/>
      <c r="BU131" s="18"/>
      <c r="BV131" s="18"/>
    </row>
    <row r="132" spans="1:74">
      <c r="A132" t="s">
        <v>2084</v>
      </c>
      <c r="B132" t="s">
        <v>2594</v>
      </c>
      <c r="G132" s="74"/>
      <c r="BG132" s="18"/>
      <c r="BH132" s="18"/>
      <c r="BI132" s="18"/>
      <c r="BJ132" s="18"/>
      <c r="BK132" s="18"/>
      <c r="BL132" s="18"/>
      <c r="BM132" s="18"/>
      <c r="BN132" s="18"/>
      <c r="BO132" s="18"/>
      <c r="BP132" s="18"/>
      <c r="BQ132" s="18"/>
      <c r="BR132" s="18"/>
      <c r="BS132" s="18"/>
      <c r="BT132" s="18"/>
      <c r="BU132" s="18"/>
      <c r="BV132" s="18"/>
    </row>
    <row r="133" spans="1:74">
      <c r="A133" t="s">
        <v>2084</v>
      </c>
      <c r="B133" t="s">
        <v>2595</v>
      </c>
      <c r="G133" s="74"/>
      <c r="BG133" s="18"/>
      <c r="BH133" s="18"/>
      <c r="BI133" s="18"/>
      <c r="BJ133" s="18"/>
      <c r="BK133" s="18"/>
      <c r="BL133" s="18"/>
      <c r="BM133" s="18"/>
      <c r="BN133" s="18"/>
      <c r="BO133" s="18"/>
      <c r="BP133" s="18"/>
      <c r="BQ133" s="18"/>
      <c r="BR133" s="18"/>
      <c r="BS133" s="18"/>
      <c r="BT133" s="18"/>
      <c r="BU133" s="18"/>
      <c r="BV133" s="18"/>
    </row>
    <row r="134" spans="1:74">
      <c r="A134" t="s">
        <v>2084</v>
      </c>
      <c r="B134" t="s">
        <v>2698</v>
      </c>
      <c r="BG134" s="18"/>
      <c r="BH134" s="18"/>
      <c r="BI134" s="18"/>
      <c r="BJ134" s="18"/>
      <c r="BK134" s="18"/>
      <c r="BL134" s="18"/>
      <c r="BM134" s="18"/>
      <c r="BN134" s="18"/>
      <c r="BO134" s="18"/>
      <c r="BP134" s="18"/>
      <c r="BQ134" s="18"/>
      <c r="BR134" s="18"/>
      <c r="BS134" s="18"/>
      <c r="BT134" s="18"/>
      <c r="BU134" s="18"/>
      <c r="BV134" s="18"/>
    </row>
    <row r="135" spans="1:74">
      <c r="A135" t="s">
        <v>2084</v>
      </c>
      <c r="B135" t="s">
        <v>2925</v>
      </c>
      <c r="BG135" s="18"/>
      <c r="BH135" s="18"/>
      <c r="BI135" s="18"/>
      <c r="BJ135" s="18"/>
      <c r="BK135" s="18"/>
      <c r="BL135" s="18"/>
      <c r="BM135" s="18"/>
      <c r="BN135" s="18"/>
      <c r="BO135" s="18"/>
      <c r="BP135" s="18"/>
      <c r="BQ135" s="18"/>
      <c r="BR135" s="18"/>
      <c r="BS135" s="18"/>
      <c r="BT135" s="18"/>
      <c r="BU135" s="18"/>
      <c r="BV135" s="18"/>
    </row>
    <row r="136" spans="1:74">
      <c r="A136" t="s">
        <v>2084</v>
      </c>
      <c r="B136" t="s">
        <v>2927</v>
      </c>
      <c r="BG136" s="18"/>
      <c r="BH136" s="18"/>
      <c r="BI136" s="18"/>
      <c r="BJ136" s="18"/>
      <c r="BK136" s="18"/>
      <c r="BL136" s="18"/>
      <c r="BM136" s="18"/>
      <c r="BN136" s="18"/>
      <c r="BO136" s="18"/>
      <c r="BP136" s="18"/>
      <c r="BQ136" s="18"/>
      <c r="BR136" s="18"/>
      <c r="BS136" s="18"/>
      <c r="BT136" s="18"/>
      <c r="BU136" s="18"/>
      <c r="BV136" s="18"/>
    </row>
    <row r="137" spans="1:74">
      <c r="A137" t="s">
        <v>2084</v>
      </c>
      <c r="B137" t="s">
        <v>4351</v>
      </c>
      <c r="BG137" s="18"/>
      <c r="BH137" s="18"/>
      <c r="BI137" s="18"/>
      <c r="BJ137" s="18"/>
      <c r="BK137" s="18"/>
      <c r="BL137" s="18"/>
      <c r="BM137" s="18"/>
      <c r="BN137" s="18"/>
      <c r="BO137" s="18"/>
      <c r="BP137" s="18"/>
      <c r="BQ137" s="18"/>
      <c r="BR137" s="18"/>
      <c r="BS137" s="18"/>
      <c r="BT137" s="18"/>
      <c r="BU137" s="18"/>
      <c r="BV137" s="18"/>
    </row>
    <row r="138" spans="1:74">
      <c r="A138" t="s">
        <v>2084</v>
      </c>
      <c r="B138" t="s">
        <v>2922</v>
      </c>
      <c r="BG138" s="18"/>
      <c r="BH138" s="18"/>
      <c r="BI138" s="18"/>
      <c r="BJ138" s="18"/>
      <c r="BK138" s="18"/>
      <c r="BL138" s="18"/>
      <c r="BM138" s="18"/>
      <c r="BN138" s="18"/>
      <c r="BO138" s="18"/>
      <c r="BP138" s="18"/>
      <c r="BQ138" s="18"/>
      <c r="BR138" s="18"/>
      <c r="BS138" s="18"/>
      <c r="BT138" s="18"/>
      <c r="BU138" s="18"/>
      <c r="BV138" s="18"/>
    </row>
    <row r="139" spans="1:74">
      <c r="A139" t="s">
        <v>2084</v>
      </c>
      <c r="B139" t="s">
        <v>2928</v>
      </c>
      <c r="BG139" s="18"/>
      <c r="BH139" s="18"/>
      <c r="BI139" s="18"/>
      <c r="BJ139" s="18"/>
      <c r="BK139" s="18"/>
      <c r="BL139" s="18"/>
      <c r="BM139" s="18"/>
      <c r="BN139" s="18"/>
      <c r="BO139" s="18"/>
      <c r="BP139" s="18"/>
      <c r="BQ139" s="18"/>
      <c r="BR139" s="18"/>
      <c r="BS139" s="18"/>
      <c r="BT139" s="18"/>
      <c r="BU139" s="18"/>
      <c r="BV139" s="18"/>
    </row>
    <row r="140" spans="1:74">
      <c r="A140" t="s">
        <v>2084</v>
      </c>
      <c r="B140" t="s">
        <v>2929</v>
      </c>
      <c r="BG140" s="18"/>
      <c r="BH140" s="18"/>
      <c r="BI140" s="18"/>
      <c r="BJ140" s="18"/>
      <c r="BK140" s="18"/>
      <c r="BL140" s="18"/>
      <c r="BM140" s="18"/>
      <c r="BN140" s="18"/>
      <c r="BO140" s="18"/>
      <c r="BP140" s="18"/>
      <c r="BQ140" s="18"/>
      <c r="BR140" s="18"/>
      <c r="BS140" s="18"/>
      <c r="BT140" s="18"/>
      <c r="BU140" s="18"/>
      <c r="BV140" s="18"/>
    </row>
    <row r="141" spans="1:74">
      <c r="A141" t="s">
        <v>2084</v>
      </c>
      <c r="B141" t="s">
        <v>2117</v>
      </c>
      <c r="BG141" s="18"/>
      <c r="BH141" s="18"/>
      <c r="BI141" s="18"/>
      <c r="BJ141" s="18"/>
      <c r="BK141" s="18"/>
      <c r="BL141" s="18"/>
      <c r="BM141" s="18"/>
      <c r="BN141" s="18"/>
      <c r="BO141" s="18"/>
      <c r="BP141" s="18"/>
      <c r="BQ141" s="18"/>
      <c r="BR141" s="18"/>
      <c r="BS141" s="18"/>
      <c r="BT141" s="18"/>
      <c r="BU141" s="18"/>
      <c r="BV141" s="18"/>
    </row>
    <row r="142" spans="1:74">
      <c r="A142" t="s">
        <v>2084</v>
      </c>
      <c r="B142" t="s">
        <v>2923</v>
      </c>
      <c r="BG142" s="18"/>
      <c r="BH142" s="18"/>
      <c r="BI142" s="18"/>
      <c r="BJ142" s="18"/>
      <c r="BK142" s="18"/>
      <c r="BL142" s="18"/>
      <c r="BM142" s="18"/>
      <c r="BN142" s="18"/>
      <c r="BO142" s="18"/>
      <c r="BP142" s="18"/>
      <c r="BQ142" s="18"/>
      <c r="BR142" s="18"/>
      <c r="BS142" s="18"/>
      <c r="BT142" s="18"/>
      <c r="BU142" s="18"/>
      <c r="BV142" s="18"/>
    </row>
    <row r="143" spans="1:74">
      <c r="A143" t="s">
        <v>2084</v>
      </c>
      <c r="B143" t="s">
        <v>2924</v>
      </c>
      <c r="BG143" s="18"/>
      <c r="BH143" s="18"/>
      <c r="BI143" s="18"/>
      <c r="BJ143" s="18"/>
      <c r="BK143" s="18"/>
      <c r="BL143" s="18"/>
      <c r="BM143" s="18"/>
      <c r="BN143" s="18"/>
      <c r="BO143" s="18"/>
      <c r="BP143" s="18"/>
      <c r="BQ143" s="18"/>
      <c r="BR143" s="18"/>
      <c r="BS143" s="18"/>
      <c r="BT143" s="18"/>
      <c r="BU143" s="18"/>
      <c r="BV143" s="18"/>
    </row>
    <row r="144" spans="1:74">
      <c r="A144" t="s">
        <v>2084</v>
      </c>
      <c r="B144" t="s">
        <v>4352</v>
      </c>
      <c r="BG144" s="18"/>
      <c r="BH144" s="18"/>
      <c r="BI144" s="18"/>
      <c r="BJ144" s="18"/>
      <c r="BK144" s="18"/>
      <c r="BL144" s="18"/>
      <c r="BM144" s="18"/>
      <c r="BN144" s="18"/>
      <c r="BO144" s="18"/>
      <c r="BP144" s="18"/>
      <c r="BQ144" s="18"/>
      <c r="BR144" s="18"/>
      <c r="BS144" s="18"/>
      <c r="BT144" s="18"/>
      <c r="BU144" s="18"/>
      <c r="BV144" s="18"/>
    </row>
    <row r="145" spans="1:74">
      <c r="A145" t="s">
        <v>2084</v>
      </c>
      <c r="B145" t="s">
        <v>2929</v>
      </c>
      <c r="BG145" s="18"/>
      <c r="BH145" s="18"/>
      <c r="BI145" s="18"/>
      <c r="BJ145" s="18"/>
      <c r="BK145" s="18"/>
      <c r="BL145" s="18"/>
      <c r="BM145" s="18"/>
      <c r="BN145" s="18"/>
      <c r="BO145" s="18"/>
      <c r="BP145" s="18"/>
      <c r="BQ145" s="18"/>
      <c r="BR145" s="18"/>
      <c r="BS145" s="18"/>
      <c r="BT145" s="18"/>
      <c r="BU145" s="18"/>
      <c r="BV145" s="18"/>
    </row>
    <row r="146" spans="1:74">
      <c r="A146" t="s">
        <v>2084</v>
      </c>
      <c r="B146" t="s">
        <v>2593</v>
      </c>
      <c r="BG146" s="18"/>
      <c r="BH146" s="18"/>
      <c r="BI146" s="18"/>
      <c r="BJ146" s="18"/>
      <c r="BK146" s="18"/>
      <c r="BL146" s="18"/>
      <c r="BM146" s="18"/>
      <c r="BN146" s="18"/>
      <c r="BO146" s="18"/>
      <c r="BP146" s="18"/>
      <c r="BQ146" s="18"/>
      <c r="BR146" s="18"/>
      <c r="BS146" s="18"/>
      <c r="BT146" s="18"/>
      <c r="BU146" s="18"/>
      <c r="BV146" s="18"/>
    </row>
    <row r="147" spans="1:74">
      <c r="A147" t="s">
        <v>2084</v>
      </c>
      <c r="B147" t="s">
        <v>2116</v>
      </c>
      <c r="BG147" s="18"/>
      <c r="BH147" s="18"/>
      <c r="BI147" s="18"/>
      <c r="BJ147" s="18"/>
      <c r="BK147" s="18"/>
      <c r="BL147" s="18"/>
      <c r="BM147" s="18"/>
      <c r="BN147" s="18"/>
      <c r="BO147" s="18"/>
      <c r="BP147" s="18"/>
      <c r="BQ147" s="18"/>
      <c r="BR147" s="18"/>
      <c r="BS147" s="18"/>
      <c r="BT147" s="18"/>
      <c r="BU147" s="18"/>
      <c r="BV147" s="18"/>
    </row>
    <row r="148" spans="1:74">
      <c r="A148" t="s">
        <v>2084</v>
      </c>
      <c r="B148" t="s">
        <v>2692</v>
      </c>
      <c r="BG148" s="18"/>
      <c r="BH148" s="18"/>
      <c r="BI148" s="18"/>
      <c r="BJ148" s="18"/>
      <c r="BK148" s="18"/>
      <c r="BL148" s="18"/>
      <c r="BM148" s="18"/>
      <c r="BN148" s="18"/>
      <c r="BO148" s="18"/>
      <c r="BP148" s="18"/>
      <c r="BQ148" s="18"/>
      <c r="BR148" s="18"/>
      <c r="BS148" s="18"/>
      <c r="BT148" s="18"/>
      <c r="BU148" s="18"/>
      <c r="BV148" s="18"/>
    </row>
    <row r="149" spans="1:74">
      <c r="A149" t="s">
        <v>2084</v>
      </c>
      <c r="B149" t="s">
        <v>2693</v>
      </c>
      <c r="BG149" s="18"/>
      <c r="BH149" s="18"/>
      <c r="BI149" s="18"/>
      <c r="BJ149" s="18"/>
      <c r="BK149" s="18"/>
      <c r="BL149" s="18"/>
      <c r="BM149" s="18"/>
      <c r="BN149" s="18"/>
      <c r="BO149" s="18"/>
      <c r="BP149" s="18"/>
      <c r="BQ149" s="18"/>
      <c r="BR149" s="18"/>
      <c r="BS149" s="18"/>
      <c r="BT149" s="18"/>
      <c r="BU149" s="18"/>
      <c r="BV149" s="18"/>
    </row>
    <row r="150" spans="1:74">
      <c r="A150" t="s">
        <v>2084</v>
      </c>
      <c r="B150" t="s">
        <v>2695</v>
      </c>
      <c r="BG150" s="18"/>
      <c r="BH150" s="18"/>
      <c r="BI150" s="18"/>
      <c r="BJ150" s="18"/>
      <c r="BK150" s="18"/>
      <c r="BL150" s="18"/>
      <c r="BM150" s="18"/>
      <c r="BN150" s="18"/>
      <c r="BO150" s="18"/>
      <c r="BP150" s="18"/>
      <c r="BQ150" s="18"/>
      <c r="BR150" s="18"/>
      <c r="BS150" s="18"/>
      <c r="BT150" s="18"/>
      <c r="BU150" s="18"/>
      <c r="BV150" s="18"/>
    </row>
    <row r="151" spans="1:74">
      <c r="A151" t="s">
        <v>2084</v>
      </c>
      <c r="B151" t="s">
        <v>2694</v>
      </c>
      <c r="BG151" s="18"/>
      <c r="BH151" s="18"/>
      <c r="BI151" s="18"/>
      <c r="BJ151" s="18"/>
      <c r="BK151" s="18"/>
      <c r="BL151" s="18"/>
      <c r="BM151" s="18"/>
      <c r="BN151" s="18"/>
      <c r="BO151" s="18"/>
      <c r="BP151" s="18"/>
      <c r="BQ151" s="18"/>
      <c r="BR151" s="18"/>
      <c r="BS151" s="18"/>
      <c r="BT151" s="18"/>
      <c r="BU151" s="18"/>
      <c r="BV151" s="18"/>
    </row>
    <row r="152" spans="1:74">
      <c r="A152" t="s">
        <v>1987</v>
      </c>
      <c r="B152" t="s">
        <v>2699</v>
      </c>
      <c r="BG152" s="18"/>
      <c r="BH152" s="18"/>
      <c r="BI152" s="18"/>
      <c r="BJ152" s="18"/>
      <c r="BK152" s="18"/>
      <c r="BL152" s="18"/>
      <c r="BM152" s="18"/>
      <c r="BN152" s="18"/>
      <c r="BO152" s="18"/>
      <c r="BP152" s="18"/>
      <c r="BQ152" s="18"/>
      <c r="BR152" s="18"/>
      <c r="BS152" s="18"/>
      <c r="BT152" s="18"/>
      <c r="BU152" s="18"/>
      <c r="BV152" s="18"/>
    </row>
    <row r="153" spans="1:74">
      <c r="A153" t="s">
        <v>1987</v>
      </c>
      <c r="B153" t="s">
        <v>2119</v>
      </c>
      <c r="BG153" s="18"/>
      <c r="BH153" s="18"/>
      <c r="BI153" s="18"/>
      <c r="BJ153" s="18"/>
      <c r="BK153" s="18"/>
      <c r="BL153" s="18"/>
      <c r="BM153" s="18"/>
      <c r="BN153" s="18"/>
      <c r="BO153" s="18"/>
      <c r="BP153" s="18"/>
      <c r="BQ153" s="18"/>
      <c r="BR153" s="18"/>
      <c r="BS153" s="18"/>
      <c r="BT153" s="18"/>
      <c r="BU153" s="18"/>
      <c r="BV153" s="18"/>
    </row>
    <row r="154" spans="1:74">
      <c r="A154" t="s">
        <v>1987</v>
      </c>
      <c r="B154" t="s">
        <v>2845</v>
      </c>
      <c r="BG154" s="18"/>
      <c r="BH154" s="18"/>
      <c r="BI154" s="18"/>
      <c r="BJ154" s="18"/>
      <c r="BK154" s="18"/>
      <c r="BL154" s="18"/>
      <c r="BM154" s="18"/>
      <c r="BN154" s="18"/>
      <c r="BO154" s="18"/>
      <c r="BP154" s="18"/>
      <c r="BQ154" s="18"/>
      <c r="BR154" s="18"/>
      <c r="BS154" s="18"/>
      <c r="BT154" s="18"/>
      <c r="BU154" s="18"/>
      <c r="BV154" s="18"/>
    </row>
    <row r="155" spans="1:74">
      <c r="A155" t="s">
        <v>1987</v>
      </c>
      <c r="B155" t="s">
        <v>2931</v>
      </c>
      <c r="BG155" s="18"/>
      <c r="BH155" s="18"/>
      <c r="BI155" s="18"/>
      <c r="BJ155" s="18"/>
      <c r="BK155" s="18"/>
      <c r="BL155" s="18"/>
      <c r="BM155" s="18"/>
      <c r="BN155" s="18"/>
      <c r="BO155" s="18"/>
      <c r="BP155" s="18"/>
      <c r="BQ155" s="18"/>
      <c r="BR155" s="18"/>
      <c r="BS155" s="18"/>
      <c r="BT155" s="18"/>
      <c r="BU155" s="18"/>
      <c r="BV155" s="18"/>
    </row>
    <row r="156" spans="1:74">
      <c r="A156" t="s">
        <v>1987</v>
      </c>
      <c r="B156" t="s">
        <v>2118</v>
      </c>
      <c r="BG156" s="18"/>
      <c r="BH156" s="18"/>
      <c r="BI156" s="18"/>
      <c r="BJ156" s="18"/>
      <c r="BK156" s="18"/>
      <c r="BL156" s="18"/>
      <c r="BM156" s="18"/>
      <c r="BN156" s="18"/>
      <c r="BO156" s="18"/>
      <c r="BP156" s="18"/>
      <c r="BQ156" s="18"/>
      <c r="BR156" s="18"/>
      <c r="BS156" s="18"/>
      <c r="BT156" s="18"/>
      <c r="BU156" s="18"/>
      <c r="BV156" s="18"/>
    </row>
    <row r="157" spans="1:74">
      <c r="A157" t="s">
        <v>1987</v>
      </c>
      <c r="B157" t="s">
        <v>2597</v>
      </c>
      <c r="BG157" s="18"/>
      <c r="BH157" s="18"/>
      <c r="BI157" s="18"/>
      <c r="BJ157" s="18"/>
      <c r="BK157" s="18"/>
      <c r="BL157" s="18"/>
      <c r="BM157" s="18"/>
      <c r="BN157" s="18"/>
      <c r="BO157" s="18"/>
      <c r="BP157" s="18"/>
      <c r="BQ157" s="18"/>
      <c r="BR157" s="18"/>
      <c r="BS157" s="18"/>
      <c r="BT157" s="18"/>
      <c r="BU157" s="18"/>
      <c r="BV157" s="18"/>
    </row>
    <row r="158" spans="1:74">
      <c r="A158" t="s">
        <v>1987</v>
      </c>
      <c r="B158" t="s">
        <v>2932</v>
      </c>
      <c r="BG158" s="18"/>
      <c r="BH158" s="18"/>
      <c r="BI158" s="18"/>
      <c r="BJ158" s="18"/>
      <c r="BK158" s="18"/>
      <c r="BL158" s="18"/>
      <c r="BM158" s="18"/>
      <c r="BN158" s="18"/>
      <c r="BO158" s="18"/>
      <c r="BP158" s="18"/>
      <c r="BQ158" s="18"/>
      <c r="BR158" s="18"/>
      <c r="BS158" s="18"/>
      <c r="BT158" s="18"/>
      <c r="BU158" s="18"/>
      <c r="BV158" s="18"/>
    </row>
    <row r="159" spans="1:74">
      <c r="A159" t="s">
        <v>3122</v>
      </c>
      <c r="B159" t="s">
        <v>2933</v>
      </c>
      <c r="BG159" s="18"/>
      <c r="BH159" s="18"/>
      <c r="BI159" s="18"/>
      <c r="BJ159" s="18"/>
      <c r="BK159" s="18"/>
      <c r="BL159" s="18"/>
      <c r="BM159" s="18"/>
      <c r="BN159" s="18"/>
      <c r="BO159" s="18"/>
      <c r="BP159" s="18"/>
      <c r="BQ159" s="18"/>
      <c r="BR159" s="18"/>
      <c r="BS159" s="18"/>
      <c r="BT159" s="18"/>
      <c r="BU159" s="18"/>
      <c r="BV159" s="18"/>
    </row>
    <row r="160" spans="1:74">
      <c r="A160" t="s">
        <v>2548</v>
      </c>
      <c r="B160" t="s">
        <v>2598</v>
      </c>
      <c r="BG160" s="18"/>
      <c r="BH160" s="18"/>
      <c r="BI160" s="18"/>
      <c r="BJ160" s="18"/>
      <c r="BK160" s="18"/>
      <c r="BL160" s="18"/>
      <c r="BM160" s="18"/>
      <c r="BN160" s="18"/>
      <c r="BO160" s="18"/>
      <c r="BP160" s="18"/>
      <c r="BQ160" s="18"/>
      <c r="BR160" s="18"/>
      <c r="BS160" s="18"/>
      <c r="BT160" s="18"/>
      <c r="BU160" s="18"/>
      <c r="BV160" s="18"/>
    </row>
    <row r="161" spans="1:74">
      <c r="A161" t="s">
        <v>3123</v>
      </c>
      <c r="B161" t="s">
        <v>2934</v>
      </c>
      <c r="BG161" s="18"/>
      <c r="BH161" s="18"/>
      <c r="BI161" s="18"/>
      <c r="BJ161" s="18"/>
      <c r="BK161" s="18"/>
      <c r="BL161" s="18"/>
      <c r="BM161" s="18"/>
      <c r="BN161" s="18"/>
      <c r="BO161" s="18"/>
      <c r="BP161" s="18"/>
      <c r="BQ161" s="18"/>
      <c r="BR161" s="18"/>
      <c r="BS161" s="18"/>
      <c r="BT161" s="18"/>
      <c r="BU161" s="18"/>
      <c r="BV161" s="18"/>
    </row>
    <row r="162" spans="1:74">
      <c r="A162" t="s">
        <v>2865</v>
      </c>
      <c r="B162" t="s">
        <v>2846</v>
      </c>
      <c r="BG162" s="18"/>
      <c r="BH162" s="18"/>
      <c r="BI162" s="18"/>
      <c r="BJ162" s="18"/>
      <c r="BK162" s="18"/>
      <c r="BL162" s="18"/>
      <c r="BM162" s="18"/>
      <c r="BN162" s="18"/>
      <c r="BO162" s="18"/>
      <c r="BP162" s="18"/>
      <c r="BQ162" s="18"/>
      <c r="BR162" s="18"/>
      <c r="BS162" s="18"/>
      <c r="BT162" s="18"/>
      <c r="BU162" s="18"/>
      <c r="BV162" s="18"/>
    </row>
    <row r="163" spans="1:74">
      <c r="A163" t="s">
        <v>3124</v>
      </c>
      <c r="B163" t="s">
        <v>2935</v>
      </c>
      <c r="BG163" s="18"/>
      <c r="BH163" s="18"/>
      <c r="BI163" s="18"/>
      <c r="BJ163" s="18"/>
      <c r="BK163" s="18"/>
      <c r="BL163" s="18"/>
      <c r="BM163" s="18"/>
      <c r="BN163" s="18"/>
      <c r="BO163" s="18"/>
      <c r="BP163" s="18"/>
      <c r="BQ163" s="18"/>
      <c r="BR163" s="18"/>
      <c r="BS163" s="18"/>
      <c r="BT163" s="18"/>
      <c r="BU163" s="18"/>
      <c r="BV163" s="18"/>
    </row>
    <row r="164" spans="1:74">
      <c r="A164" t="s">
        <v>2866</v>
      </c>
      <c r="B164" t="s">
        <v>2847</v>
      </c>
      <c r="BG164" s="18"/>
      <c r="BH164" s="18"/>
      <c r="BI164" s="18"/>
      <c r="BJ164" s="18"/>
      <c r="BK164" s="18"/>
      <c r="BL164" s="18"/>
      <c r="BM164" s="18"/>
      <c r="BN164" s="18"/>
      <c r="BO164" s="18"/>
      <c r="BP164" s="18"/>
      <c r="BQ164" s="18"/>
      <c r="BR164" s="18"/>
      <c r="BS164" s="18"/>
      <c r="BT164" s="18"/>
      <c r="BU164" s="18"/>
      <c r="BV164" s="18"/>
    </row>
    <row r="165" spans="1:74">
      <c r="A165" t="s">
        <v>2867</v>
      </c>
      <c r="B165" t="s">
        <v>2849</v>
      </c>
      <c r="BG165" s="18"/>
      <c r="BH165" s="18"/>
      <c r="BI165" s="18"/>
      <c r="BJ165" s="18"/>
      <c r="BK165" s="18"/>
      <c r="BL165" s="18"/>
      <c r="BM165" s="18"/>
      <c r="BN165" s="18"/>
      <c r="BO165" s="18"/>
      <c r="BP165" s="18"/>
      <c r="BQ165" s="18"/>
      <c r="BR165" s="18"/>
      <c r="BS165" s="18"/>
      <c r="BT165" s="18"/>
      <c r="BU165" s="18"/>
      <c r="BV165" s="18"/>
    </row>
    <row r="166" spans="1:74">
      <c r="A166" t="s">
        <v>2867</v>
      </c>
      <c r="B166" t="s">
        <v>2936</v>
      </c>
      <c r="BG166" s="18"/>
      <c r="BH166" s="18"/>
      <c r="BI166" s="18"/>
      <c r="BJ166" s="18"/>
      <c r="BK166" s="18"/>
      <c r="BL166" s="18"/>
      <c r="BM166" s="18"/>
      <c r="BN166" s="18"/>
      <c r="BO166" s="18"/>
      <c r="BP166" s="18"/>
      <c r="BQ166" s="18"/>
      <c r="BR166" s="18"/>
      <c r="BS166" s="18"/>
      <c r="BT166" s="18"/>
      <c r="BU166" s="18"/>
      <c r="BV166" s="18"/>
    </row>
    <row r="167" spans="1:74">
      <c r="A167" t="s">
        <v>2867</v>
      </c>
      <c r="B167" t="s">
        <v>2848</v>
      </c>
      <c r="BG167" s="18"/>
      <c r="BH167" s="18"/>
      <c r="BI167" s="18"/>
      <c r="BJ167" s="18"/>
      <c r="BK167" s="18"/>
      <c r="BL167" s="18"/>
      <c r="BM167" s="18"/>
      <c r="BN167" s="18"/>
      <c r="BO167" s="18"/>
      <c r="BP167" s="18"/>
      <c r="BQ167" s="18"/>
      <c r="BR167" s="18"/>
      <c r="BS167" s="18"/>
      <c r="BT167" s="18"/>
      <c r="BU167" s="18"/>
      <c r="BV167" s="18"/>
    </row>
    <row r="168" spans="1:74">
      <c r="A168" t="s">
        <v>2867</v>
      </c>
      <c r="B168" t="s">
        <v>2937</v>
      </c>
      <c r="BG168" s="18"/>
      <c r="BH168" s="18"/>
      <c r="BI168" s="18"/>
      <c r="BJ168" s="18"/>
      <c r="BK168" s="18"/>
      <c r="BL168" s="18"/>
      <c r="BM168" s="18"/>
      <c r="BN168" s="18"/>
      <c r="BO168" s="18"/>
      <c r="BP168" s="18"/>
      <c r="BQ168" s="18"/>
      <c r="BR168" s="18"/>
      <c r="BS168" s="18"/>
      <c r="BT168" s="18"/>
      <c r="BU168" s="18"/>
      <c r="BV168" s="18"/>
    </row>
    <row r="169" spans="1:74">
      <c r="A169" t="s">
        <v>2868</v>
      </c>
      <c r="B169" t="s">
        <v>2850</v>
      </c>
      <c r="BG169" s="18"/>
      <c r="BH169" s="18"/>
      <c r="BI169" s="18"/>
      <c r="BJ169" s="18"/>
      <c r="BK169" s="18"/>
      <c r="BL169" s="18"/>
      <c r="BM169" s="18"/>
      <c r="BN169" s="18"/>
      <c r="BO169" s="18"/>
      <c r="BP169" s="18"/>
      <c r="BQ169" s="18"/>
      <c r="BR169" s="18"/>
      <c r="BS169" s="18"/>
      <c r="BT169" s="18"/>
      <c r="BU169" s="18"/>
      <c r="BV169" s="18"/>
    </row>
    <row r="170" spans="1:74">
      <c r="A170" t="s">
        <v>3125</v>
      </c>
      <c r="B170" t="s">
        <v>2938</v>
      </c>
      <c r="BG170" s="18"/>
      <c r="BH170" s="18"/>
      <c r="BI170" s="18"/>
      <c r="BJ170" s="18"/>
      <c r="BK170" s="18"/>
      <c r="BL170" s="18"/>
      <c r="BM170" s="18"/>
      <c r="BN170" s="18"/>
      <c r="BO170" s="18"/>
      <c r="BP170" s="18"/>
      <c r="BQ170" s="18"/>
      <c r="BR170" s="18"/>
      <c r="BS170" s="18"/>
      <c r="BT170" s="18"/>
      <c r="BU170" s="18"/>
      <c r="BV170" s="18"/>
    </row>
    <row r="171" spans="1:74">
      <c r="A171" t="s">
        <v>2549</v>
      </c>
      <c r="B171" t="s">
        <v>2599</v>
      </c>
      <c r="BG171" s="18"/>
      <c r="BH171" s="18"/>
      <c r="BI171" s="18"/>
      <c r="BJ171" s="18"/>
      <c r="BK171" s="18"/>
      <c r="BL171" s="18"/>
      <c r="BM171" s="18"/>
      <c r="BN171" s="18"/>
      <c r="BO171" s="18"/>
      <c r="BP171" s="18"/>
      <c r="BQ171" s="18"/>
      <c r="BR171" s="18"/>
      <c r="BS171" s="18"/>
      <c r="BT171" s="18"/>
      <c r="BU171" s="18"/>
      <c r="BV171" s="18"/>
    </row>
    <row r="172" spans="1:74">
      <c r="A172" t="s">
        <v>3126</v>
      </c>
      <c r="B172" t="s">
        <v>2939</v>
      </c>
      <c r="BG172" s="18"/>
      <c r="BH172" s="18"/>
      <c r="BI172" s="18"/>
      <c r="BJ172" s="18"/>
      <c r="BK172" s="18"/>
      <c r="BL172" s="18"/>
      <c r="BM172" s="18"/>
      <c r="BN172" s="18"/>
      <c r="BO172" s="18"/>
      <c r="BP172" s="18"/>
      <c r="BQ172" s="18"/>
      <c r="BR172" s="18"/>
      <c r="BS172" s="18"/>
      <c r="BT172" s="18"/>
      <c r="BU172" s="18"/>
      <c r="BV172" s="18"/>
    </row>
    <row r="173" spans="1:74">
      <c r="A173" t="s">
        <v>2085</v>
      </c>
      <c r="B173" t="s">
        <v>2701</v>
      </c>
      <c r="BG173" s="18"/>
      <c r="BH173" s="18"/>
      <c r="BI173" s="18"/>
      <c r="BJ173" s="18"/>
      <c r="BK173" s="18"/>
      <c r="BL173" s="18"/>
      <c r="BM173" s="18"/>
      <c r="BN173" s="18"/>
      <c r="BO173" s="18"/>
      <c r="BP173" s="18"/>
      <c r="BQ173" s="18"/>
      <c r="BR173" s="18"/>
      <c r="BS173" s="18"/>
      <c r="BT173" s="18"/>
      <c r="BU173" s="18"/>
      <c r="BV173" s="18"/>
    </row>
    <row r="174" spans="1:74">
      <c r="A174" t="s">
        <v>2085</v>
      </c>
      <c r="B174" t="s">
        <v>2605</v>
      </c>
      <c r="BG174" s="18"/>
      <c r="BH174" s="18"/>
      <c r="BI174" s="18"/>
      <c r="BJ174" s="18"/>
      <c r="BK174" s="18"/>
      <c r="BL174" s="18"/>
      <c r="BM174" s="18"/>
      <c r="BN174" s="18"/>
      <c r="BO174" s="18"/>
      <c r="BP174" s="18"/>
      <c r="BQ174" s="18"/>
      <c r="BR174" s="18"/>
      <c r="BS174" s="18"/>
      <c r="BT174" s="18"/>
      <c r="BU174" s="18"/>
      <c r="BV174" s="18"/>
    </row>
    <row r="175" spans="1:74">
      <c r="A175" t="s">
        <v>2085</v>
      </c>
      <c r="B175" t="s">
        <v>2124</v>
      </c>
      <c r="BG175" s="18"/>
      <c r="BH175" s="18"/>
      <c r="BI175" s="18"/>
      <c r="BJ175" s="18"/>
      <c r="BK175" s="18"/>
      <c r="BL175" s="18"/>
      <c r="BM175" s="18"/>
      <c r="BN175" s="18"/>
      <c r="BO175" s="18"/>
      <c r="BP175" s="18"/>
      <c r="BQ175" s="18"/>
      <c r="BR175" s="18"/>
      <c r="BS175" s="18"/>
      <c r="BT175" s="18"/>
      <c r="BU175" s="18"/>
      <c r="BV175" s="18"/>
    </row>
    <row r="176" spans="1:74">
      <c r="A176" t="s">
        <v>2085</v>
      </c>
      <c r="B176" t="s">
        <v>2123</v>
      </c>
      <c r="BG176" s="18"/>
      <c r="BH176" s="18"/>
      <c r="BI176" s="18"/>
      <c r="BJ176" s="18"/>
      <c r="BK176" s="18"/>
      <c r="BL176" s="18"/>
      <c r="BM176" s="18"/>
      <c r="BN176" s="18"/>
      <c r="BO176" s="18"/>
      <c r="BP176" s="18"/>
      <c r="BQ176" s="18"/>
      <c r="BR176" s="18"/>
      <c r="BS176" s="18"/>
      <c r="BT176" s="18"/>
      <c r="BU176" s="18"/>
      <c r="BV176" s="18"/>
    </row>
    <row r="177" spans="1:74">
      <c r="A177" t="s">
        <v>2085</v>
      </c>
      <c r="B177" t="s">
        <v>2125</v>
      </c>
      <c r="BG177" s="18"/>
      <c r="BH177" s="18"/>
      <c r="BI177" s="18"/>
      <c r="BJ177" s="18"/>
      <c r="BK177" s="18"/>
      <c r="BL177" s="18"/>
      <c r="BM177" s="18"/>
      <c r="BN177" s="18"/>
      <c r="BO177" s="18"/>
      <c r="BP177" s="18"/>
      <c r="BQ177" s="18"/>
      <c r="BR177" s="18"/>
      <c r="BS177" s="18"/>
      <c r="BT177" s="18"/>
      <c r="BU177" s="18"/>
      <c r="BV177" s="18"/>
    </row>
    <row r="178" spans="1:74">
      <c r="A178" t="s">
        <v>2085</v>
      </c>
      <c r="B178" t="s">
        <v>2121</v>
      </c>
      <c r="BG178" s="18"/>
      <c r="BH178" s="18"/>
      <c r="BI178" s="18"/>
      <c r="BJ178" s="18"/>
      <c r="BK178" s="18"/>
      <c r="BL178" s="18"/>
      <c r="BM178" s="18"/>
      <c r="BN178" s="18"/>
      <c r="BO178" s="18"/>
      <c r="BP178" s="18"/>
      <c r="BQ178" s="18"/>
      <c r="BR178" s="18"/>
      <c r="BS178" s="18"/>
      <c r="BT178" s="18"/>
      <c r="BU178" s="18"/>
      <c r="BV178" s="18"/>
    </row>
    <row r="179" spans="1:74">
      <c r="A179" t="s">
        <v>2085</v>
      </c>
      <c r="B179" t="s">
        <v>2603</v>
      </c>
      <c r="BG179" s="18"/>
      <c r="BH179" s="18"/>
      <c r="BI179" s="18"/>
      <c r="BJ179" s="18"/>
      <c r="BK179" s="18"/>
      <c r="BL179" s="18"/>
      <c r="BM179" s="18"/>
      <c r="BN179" s="18"/>
      <c r="BO179" s="18"/>
      <c r="BP179" s="18"/>
      <c r="BQ179" s="18"/>
      <c r="BR179" s="18"/>
      <c r="BS179" s="18"/>
      <c r="BT179" s="18"/>
      <c r="BU179" s="18"/>
      <c r="BV179" s="18"/>
    </row>
    <row r="180" spans="1:74">
      <c r="A180" t="s">
        <v>2085</v>
      </c>
      <c r="B180" t="s">
        <v>2604</v>
      </c>
      <c r="BG180" s="18"/>
      <c r="BH180" s="18"/>
      <c r="BI180" s="18"/>
      <c r="BJ180" s="18"/>
      <c r="BK180" s="18"/>
      <c r="BL180" s="18"/>
      <c r="BM180" s="18"/>
      <c r="BN180" s="18"/>
      <c r="BO180" s="18"/>
      <c r="BP180" s="18"/>
      <c r="BQ180" s="18"/>
      <c r="BR180" s="18"/>
      <c r="BS180" s="18"/>
      <c r="BT180" s="18"/>
      <c r="BU180" s="18"/>
      <c r="BV180" s="18"/>
    </row>
    <row r="181" spans="1:74">
      <c r="A181" t="s">
        <v>2085</v>
      </c>
      <c r="B181" t="s">
        <v>2601</v>
      </c>
      <c r="BG181" s="18"/>
      <c r="BH181" s="18"/>
      <c r="BI181" s="18"/>
      <c r="BJ181" s="18"/>
      <c r="BK181" s="18"/>
      <c r="BL181" s="18"/>
      <c r="BM181" s="18"/>
      <c r="BN181" s="18"/>
      <c r="BO181" s="18"/>
      <c r="BP181" s="18"/>
      <c r="BQ181" s="18"/>
      <c r="BR181" s="18"/>
      <c r="BS181" s="18"/>
      <c r="BT181" s="18"/>
      <c r="BU181" s="18"/>
      <c r="BV181" s="18"/>
    </row>
    <row r="182" spans="1:74">
      <c r="A182" t="s">
        <v>2085</v>
      </c>
      <c r="B182" t="s">
        <v>2600</v>
      </c>
      <c r="BG182" s="18"/>
      <c r="BH182" s="18"/>
      <c r="BI182" s="18"/>
      <c r="BJ182" s="18"/>
      <c r="BK182" s="18"/>
      <c r="BL182" s="18"/>
      <c r="BM182" s="18"/>
      <c r="BN182" s="18"/>
      <c r="BO182" s="18"/>
      <c r="BP182" s="18"/>
      <c r="BQ182" s="18"/>
      <c r="BR182" s="18"/>
      <c r="BS182" s="18"/>
      <c r="BT182" s="18"/>
      <c r="BU182" s="18"/>
      <c r="BV182" s="18"/>
    </row>
    <row r="183" spans="1:74">
      <c r="A183" t="s">
        <v>2085</v>
      </c>
      <c r="B183" t="s">
        <v>2121</v>
      </c>
      <c r="BG183" s="18"/>
      <c r="BH183" s="18"/>
      <c r="BI183" s="18"/>
      <c r="BJ183" s="18"/>
      <c r="BK183" s="18"/>
      <c r="BL183" s="18"/>
      <c r="BM183" s="18"/>
      <c r="BN183" s="18"/>
      <c r="BO183" s="18"/>
      <c r="BP183" s="18"/>
      <c r="BQ183" s="18"/>
      <c r="BR183" s="18"/>
      <c r="BS183" s="18"/>
      <c r="BT183" s="18"/>
      <c r="BU183" s="18"/>
      <c r="BV183" s="18"/>
    </row>
    <row r="184" spans="1:74">
      <c r="A184" t="s">
        <v>2085</v>
      </c>
      <c r="B184" t="s">
        <v>2941</v>
      </c>
      <c r="BG184" s="18"/>
      <c r="BH184" s="18"/>
      <c r="BI184" s="18"/>
      <c r="BJ184" s="18"/>
      <c r="BK184" s="18"/>
      <c r="BL184" s="18"/>
      <c r="BM184" s="18"/>
      <c r="BN184" s="18"/>
      <c r="BO184" s="18"/>
      <c r="BP184" s="18"/>
      <c r="BQ184" s="18"/>
      <c r="BR184" s="18"/>
      <c r="BS184" s="18"/>
      <c r="BT184" s="18"/>
      <c r="BU184" s="18"/>
      <c r="BV184" s="18"/>
    </row>
    <row r="185" spans="1:74">
      <c r="A185" t="s">
        <v>2085</v>
      </c>
      <c r="B185" t="s">
        <v>2942</v>
      </c>
      <c r="BG185" s="18"/>
      <c r="BH185" s="18"/>
      <c r="BI185" s="18"/>
      <c r="BJ185" s="18"/>
      <c r="BK185" s="18"/>
      <c r="BL185" s="18"/>
      <c r="BM185" s="18"/>
      <c r="BN185" s="18"/>
      <c r="BO185" s="18"/>
      <c r="BP185" s="18"/>
      <c r="BQ185" s="18"/>
      <c r="BR185" s="18"/>
      <c r="BS185" s="18"/>
      <c r="BT185" s="18"/>
      <c r="BU185" s="18"/>
      <c r="BV185" s="18"/>
    </row>
    <row r="186" spans="1:74">
      <c r="A186" t="s">
        <v>2085</v>
      </c>
      <c r="B186" t="s">
        <v>2122</v>
      </c>
      <c r="S186" s="74"/>
      <c r="BG186" s="18"/>
      <c r="BH186" s="18"/>
      <c r="BI186" s="18"/>
      <c r="BJ186" s="18"/>
      <c r="BK186" s="18"/>
      <c r="BL186" s="18"/>
      <c r="BM186" s="18"/>
      <c r="BN186" s="18"/>
      <c r="BO186" s="18"/>
      <c r="BP186" s="18"/>
      <c r="BQ186" s="18"/>
      <c r="BR186" s="18"/>
      <c r="BS186" s="18"/>
      <c r="BT186" s="18"/>
      <c r="BU186" s="18"/>
      <c r="BV186" s="18"/>
    </row>
    <row r="187" spans="1:74">
      <c r="A187" t="s">
        <v>2085</v>
      </c>
      <c r="B187" t="s">
        <v>2120</v>
      </c>
      <c r="S187" s="74"/>
      <c r="BG187" s="18"/>
      <c r="BH187" s="18"/>
      <c r="BI187" s="18"/>
      <c r="BJ187" s="18"/>
      <c r="BK187" s="18"/>
      <c r="BL187" s="18"/>
      <c r="BM187" s="18"/>
      <c r="BN187" s="18"/>
      <c r="BO187" s="18"/>
      <c r="BP187" s="18"/>
      <c r="BQ187" s="18"/>
      <c r="BR187" s="18"/>
      <c r="BS187" s="18"/>
      <c r="BT187" s="18"/>
      <c r="BU187" s="18"/>
      <c r="BV187" s="18"/>
    </row>
    <row r="188" spans="1:74">
      <c r="A188" t="s">
        <v>2085</v>
      </c>
      <c r="B188" t="s">
        <v>2602</v>
      </c>
      <c r="S188" s="74"/>
      <c r="BG188" s="18"/>
      <c r="BH188" s="18"/>
      <c r="BI188" s="18"/>
      <c r="BJ188" s="18"/>
      <c r="BK188" s="18"/>
      <c r="BL188" s="18"/>
      <c r="BM188" s="18"/>
      <c r="BN188" s="18"/>
      <c r="BO188" s="18"/>
      <c r="BP188" s="18"/>
      <c r="BQ188" s="18"/>
      <c r="BR188" s="18"/>
      <c r="BS188" s="18"/>
      <c r="BT188" s="18"/>
      <c r="BU188" s="18"/>
      <c r="BV188" s="18"/>
    </row>
    <row r="189" spans="1:74">
      <c r="A189" t="s">
        <v>2085</v>
      </c>
      <c r="B189" t="s">
        <v>2700</v>
      </c>
      <c r="S189" s="74"/>
      <c r="BG189" s="18"/>
      <c r="BH189" s="18"/>
      <c r="BI189" s="18"/>
      <c r="BJ189" s="18"/>
      <c r="BK189" s="18"/>
      <c r="BL189" s="18"/>
      <c r="BM189" s="18"/>
      <c r="BN189" s="18"/>
      <c r="BO189" s="18"/>
      <c r="BP189" s="18"/>
      <c r="BQ189" s="18"/>
      <c r="BR189" s="18"/>
      <c r="BS189" s="18"/>
      <c r="BT189" s="18"/>
      <c r="BU189" s="18"/>
      <c r="BV189" s="18"/>
    </row>
    <row r="190" spans="1:74">
      <c r="A190" t="s">
        <v>2085</v>
      </c>
      <c r="B190" t="s">
        <v>2940</v>
      </c>
      <c r="S190" s="74"/>
      <c r="BG190" s="18"/>
      <c r="BH190" s="18"/>
      <c r="BI190" s="18"/>
      <c r="BJ190" s="18"/>
      <c r="BK190" s="18"/>
      <c r="BL190" s="18"/>
      <c r="BM190" s="18"/>
      <c r="BN190" s="18"/>
      <c r="BO190" s="18"/>
      <c r="BP190" s="18"/>
      <c r="BQ190" s="18"/>
      <c r="BR190" s="18"/>
      <c r="BS190" s="18"/>
      <c r="BT190" s="18"/>
      <c r="BU190" s="18"/>
      <c r="BV190" s="18"/>
    </row>
    <row r="191" spans="1:74">
      <c r="A191" t="s">
        <v>3127</v>
      </c>
      <c r="B191" t="s">
        <v>2943</v>
      </c>
      <c r="S191" s="74"/>
      <c r="BG191" s="18"/>
      <c r="BH191" s="18"/>
      <c r="BI191" s="18"/>
      <c r="BJ191" s="18"/>
      <c r="BK191" s="18"/>
      <c r="BL191" s="18"/>
      <c r="BM191" s="18"/>
      <c r="BN191" s="18"/>
      <c r="BO191" s="18"/>
      <c r="BP191" s="18"/>
      <c r="BQ191" s="18"/>
      <c r="BR191" s="18"/>
      <c r="BS191" s="18"/>
      <c r="BT191" s="18"/>
      <c r="BU191" s="18"/>
      <c r="BV191" s="18"/>
    </row>
    <row r="192" spans="1:74">
      <c r="A192" t="s">
        <v>3128</v>
      </c>
      <c r="B192" t="s">
        <v>2944</v>
      </c>
      <c r="S192" s="74"/>
      <c r="BG192" s="18"/>
      <c r="BH192" s="18"/>
      <c r="BI192" s="18"/>
      <c r="BJ192" s="18"/>
      <c r="BK192" s="18"/>
      <c r="BL192" s="18"/>
      <c r="BM192" s="18"/>
      <c r="BN192" s="18"/>
      <c r="BO192" s="18"/>
      <c r="BP192" s="18"/>
      <c r="BQ192" s="18"/>
      <c r="BR192" s="18"/>
      <c r="BS192" s="18"/>
      <c r="BT192" s="18"/>
      <c r="BU192" s="18"/>
      <c r="BV192" s="18"/>
    </row>
    <row r="193" spans="1:74">
      <c r="A193" t="s">
        <v>2702</v>
      </c>
      <c r="B193" t="s">
        <v>2851</v>
      </c>
      <c r="S193" s="74"/>
      <c r="BG193" s="18"/>
      <c r="BH193" s="18"/>
      <c r="BI193" s="18"/>
      <c r="BJ193" s="18"/>
      <c r="BK193" s="18"/>
      <c r="BL193" s="18"/>
      <c r="BM193" s="18"/>
      <c r="BN193" s="18"/>
      <c r="BO193" s="18"/>
      <c r="BP193" s="18"/>
      <c r="BQ193" s="18"/>
      <c r="BR193" s="18"/>
      <c r="BS193" s="18"/>
      <c r="BT193" s="18"/>
      <c r="BU193" s="18"/>
      <c r="BV193" s="18"/>
    </row>
    <row r="194" spans="1:74">
      <c r="A194" t="s">
        <v>2702</v>
      </c>
      <c r="B194" t="s">
        <v>2949</v>
      </c>
      <c r="S194" s="74"/>
      <c r="BG194" s="18"/>
      <c r="BH194" s="18"/>
      <c r="BI194" s="18"/>
      <c r="BJ194" s="18"/>
      <c r="BK194" s="18"/>
      <c r="BL194" s="18"/>
      <c r="BM194" s="18"/>
      <c r="BN194" s="18"/>
      <c r="BO194" s="18"/>
      <c r="BP194" s="18"/>
      <c r="BQ194" s="18"/>
      <c r="BR194" s="18"/>
      <c r="BS194" s="18"/>
      <c r="BT194" s="18"/>
      <c r="BU194" s="18"/>
      <c r="BV194" s="18"/>
    </row>
    <row r="195" spans="1:74">
      <c r="A195" t="s">
        <v>2702</v>
      </c>
      <c r="B195" t="s">
        <v>4353</v>
      </c>
      <c r="S195" s="74"/>
      <c r="BG195" s="18"/>
      <c r="BH195" s="18"/>
      <c r="BI195" s="18"/>
      <c r="BJ195" s="18"/>
      <c r="BK195" s="18"/>
      <c r="BL195" s="18"/>
      <c r="BM195" s="18"/>
      <c r="BN195" s="18"/>
      <c r="BO195" s="18"/>
      <c r="BP195" s="18"/>
      <c r="BQ195" s="18"/>
      <c r="BR195" s="18"/>
      <c r="BS195" s="18"/>
      <c r="BT195" s="18"/>
      <c r="BU195" s="18"/>
      <c r="BV195" s="18"/>
    </row>
    <row r="196" spans="1:74">
      <c r="A196" t="s">
        <v>2702</v>
      </c>
      <c r="B196" t="s">
        <v>2947</v>
      </c>
      <c r="S196" s="74"/>
      <c r="BG196" s="18"/>
      <c r="BH196" s="18"/>
      <c r="BI196" s="18"/>
      <c r="BJ196" s="18"/>
      <c r="BK196" s="18"/>
      <c r="BL196" s="18"/>
      <c r="BM196" s="18"/>
      <c r="BN196" s="18"/>
      <c r="BO196" s="18"/>
      <c r="BP196" s="18"/>
      <c r="BQ196" s="18"/>
      <c r="BR196" s="18"/>
      <c r="BS196" s="18"/>
      <c r="BT196" s="18"/>
      <c r="BU196" s="18"/>
      <c r="BV196" s="18"/>
    </row>
    <row r="197" spans="1:74">
      <c r="A197" t="s">
        <v>2702</v>
      </c>
      <c r="B197" t="s">
        <v>2952</v>
      </c>
      <c r="S197" s="74"/>
      <c r="BG197" s="18"/>
      <c r="BH197" s="18"/>
      <c r="BI197" s="18"/>
      <c r="BJ197" s="18"/>
      <c r="BK197" s="18"/>
      <c r="BL197" s="18"/>
      <c r="BM197" s="18"/>
      <c r="BN197" s="18"/>
      <c r="BO197" s="18"/>
      <c r="BP197" s="18"/>
      <c r="BQ197" s="18"/>
      <c r="BR197" s="18"/>
      <c r="BS197" s="18"/>
      <c r="BT197" s="18"/>
      <c r="BU197" s="18"/>
      <c r="BV197" s="18"/>
    </row>
    <row r="198" spans="1:74">
      <c r="A198" t="s">
        <v>2702</v>
      </c>
      <c r="B198" t="s">
        <v>2950</v>
      </c>
      <c r="S198" s="74"/>
      <c r="BG198" s="18"/>
      <c r="BH198" s="18"/>
      <c r="BI198" s="18"/>
      <c r="BJ198" s="18"/>
      <c r="BK198" s="18"/>
      <c r="BL198" s="18"/>
      <c r="BM198" s="18"/>
      <c r="BN198" s="18"/>
      <c r="BO198" s="18"/>
      <c r="BP198" s="18"/>
      <c r="BQ198" s="18"/>
      <c r="BR198" s="18"/>
      <c r="BS198" s="18"/>
      <c r="BT198" s="18"/>
      <c r="BU198" s="18"/>
      <c r="BV198" s="18"/>
    </row>
    <row r="199" spans="1:74">
      <c r="A199" t="s">
        <v>2702</v>
      </c>
      <c r="B199" t="s">
        <v>2703</v>
      </c>
      <c r="S199" s="74"/>
      <c r="BG199" s="18"/>
      <c r="BH199" s="18"/>
      <c r="BI199" s="18"/>
      <c r="BJ199" s="18"/>
      <c r="BK199" s="18"/>
      <c r="BL199" s="18"/>
      <c r="BM199" s="18"/>
      <c r="BN199" s="18"/>
      <c r="BO199" s="18"/>
      <c r="BP199" s="18"/>
      <c r="BQ199" s="18"/>
      <c r="BR199" s="18"/>
      <c r="BS199" s="18"/>
      <c r="BT199" s="18"/>
      <c r="BU199" s="18"/>
      <c r="BV199" s="18"/>
    </row>
    <row r="200" spans="1:74">
      <c r="A200" t="s">
        <v>2702</v>
      </c>
      <c r="B200" t="s">
        <v>2951</v>
      </c>
      <c r="S200" s="74"/>
      <c r="BG200" s="18"/>
      <c r="BH200" s="18"/>
      <c r="BI200" s="18"/>
      <c r="BJ200" s="18"/>
      <c r="BK200" s="18"/>
      <c r="BL200" s="18"/>
      <c r="BM200" s="18"/>
      <c r="BN200" s="18"/>
      <c r="BO200" s="18"/>
      <c r="BP200" s="18"/>
      <c r="BQ200" s="18"/>
      <c r="BR200" s="18"/>
      <c r="BS200" s="18"/>
      <c r="BT200" s="18"/>
      <c r="BU200" s="18"/>
      <c r="BV200" s="18"/>
    </row>
    <row r="201" spans="1:74">
      <c r="A201" t="s">
        <v>2702</v>
      </c>
      <c r="B201" t="s">
        <v>2953</v>
      </c>
      <c r="S201" s="74"/>
      <c r="BG201" s="18"/>
      <c r="BH201" s="18"/>
      <c r="BI201" s="18"/>
      <c r="BJ201" s="18"/>
      <c r="BK201" s="18"/>
      <c r="BL201" s="18"/>
      <c r="BM201" s="18"/>
      <c r="BN201" s="18"/>
      <c r="BO201" s="18"/>
      <c r="BP201" s="18"/>
      <c r="BQ201" s="18"/>
      <c r="BR201" s="18"/>
      <c r="BS201" s="18"/>
      <c r="BT201" s="18"/>
      <c r="BU201" s="18"/>
      <c r="BV201" s="18"/>
    </row>
    <row r="202" spans="1:74">
      <c r="A202" t="s">
        <v>2702</v>
      </c>
      <c r="B202" t="s">
        <v>2945</v>
      </c>
      <c r="S202" s="74"/>
      <c r="BG202" s="18"/>
      <c r="BH202" s="18"/>
      <c r="BI202" s="18"/>
      <c r="BJ202" s="18"/>
      <c r="BK202" s="18"/>
      <c r="BL202" s="18"/>
      <c r="BM202" s="18"/>
      <c r="BN202" s="18"/>
      <c r="BO202" s="18"/>
      <c r="BP202" s="18"/>
      <c r="BQ202" s="18"/>
      <c r="BR202" s="18"/>
      <c r="BS202" s="18"/>
      <c r="BT202" s="18"/>
      <c r="BU202" s="18"/>
      <c r="BV202" s="18"/>
    </row>
    <row r="203" spans="1:74">
      <c r="A203" t="s">
        <v>2702</v>
      </c>
      <c r="B203" t="s">
        <v>2946</v>
      </c>
      <c r="S203" s="74"/>
      <c r="BG203" s="18"/>
      <c r="BH203" s="18"/>
      <c r="BI203" s="18"/>
      <c r="BJ203" s="18"/>
      <c r="BK203" s="18"/>
      <c r="BL203" s="18"/>
      <c r="BM203" s="18"/>
      <c r="BN203" s="18"/>
      <c r="BO203" s="18"/>
      <c r="BP203" s="18"/>
      <c r="BQ203" s="18"/>
      <c r="BR203" s="18"/>
      <c r="BS203" s="18"/>
      <c r="BT203" s="18"/>
      <c r="BU203" s="18"/>
      <c r="BV203" s="18"/>
    </row>
    <row r="204" spans="1:74">
      <c r="A204" t="s">
        <v>2702</v>
      </c>
      <c r="B204" t="s">
        <v>2948</v>
      </c>
      <c r="S204" s="74"/>
      <c r="BG204" s="18"/>
      <c r="BH204" s="18"/>
      <c r="BI204" s="18"/>
      <c r="BJ204" s="18"/>
      <c r="BK204" s="18"/>
      <c r="BL204" s="18"/>
      <c r="BM204" s="18"/>
      <c r="BN204" s="18"/>
      <c r="BO204" s="18"/>
      <c r="BP204" s="18"/>
      <c r="BQ204" s="18"/>
      <c r="BR204" s="18"/>
      <c r="BS204" s="18"/>
      <c r="BT204" s="18"/>
      <c r="BU204" s="18"/>
      <c r="BV204" s="18"/>
    </row>
    <row r="205" spans="1:74">
      <c r="A205" t="s">
        <v>2869</v>
      </c>
      <c r="B205" t="s">
        <v>2852</v>
      </c>
      <c r="S205" s="74"/>
      <c r="BG205" s="18"/>
      <c r="BH205" s="18"/>
      <c r="BI205" s="18"/>
      <c r="BJ205" s="18"/>
      <c r="BK205" s="18"/>
      <c r="BL205" s="18"/>
      <c r="BM205" s="18"/>
      <c r="BN205" s="18"/>
      <c r="BO205" s="18"/>
      <c r="BP205" s="18"/>
      <c r="BQ205" s="18"/>
      <c r="BR205" s="18"/>
      <c r="BS205" s="18"/>
      <c r="BT205" s="18"/>
      <c r="BU205" s="18"/>
      <c r="BV205" s="18"/>
    </row>
    <row r="206" spans="1:74">
      <c r="A206" t="s">
        <v>2550</v>
      </c>
      <c r="B206" t="s">
        <v>2612</v>
      </c>
      <c r="S206" s="74"/>
      <c r="BG206" s="18"/>
      <c r="BH206" s="18"/>
      <c r="BI206" s="18"/>
      <c r="BJ206" s="18"/>
      <c r="BK206" s="18"/>
      <c r="BL206" s="18"/>
      <c r="BM206" s="18"/>
      <c r="BN206" s="18"/>
      <c r="BO206" s="18"/>
      <c r="BP206" s="18"/>
      <c r="BQ206" s="18"/>
      <c r="BR206" s="18"/>
      <c r="BS206" s="18"/>
      <c r="BT206" s="18"/>
      <c r="BU206" s="18"/>
      <c r="BV206" s="18"/>
    </row>
    <row r="207" spans="1:74">
      <c r="A207" t="s">
        <v>2550</v>
      </c>
      <c r="B207" t="s">
        <v>2615</v>
      </c>
      <c r="S207" s="74"/>
      <c r="BG207" s="18"/>
      <c r="BH207" s="18"/>
      <c r="BI207" s="18"/>
      <c r="BJ207" s="18"/>
      <c r="BK207" s="18"/>
      <c r="BL207" s="18"/>
      <c r="BM207" s="18"/>
      <c r="BN207" s="18"/>
      <c r="BO207" s="18"/>
      <c r="BP207" s="18"/>
      <c r="BQ207" s="18"/>
      <c r="BR207" s="18"/>
      <c r="BS207" s="18"/>
      <c r="BT207" s="18"/>
      <c r="BU207" s="18"/>
      <c r="BV207" s="18"/>
    </row>
    <row r="208" spans="1:74">
      <c r="A208" t="s">
        <v>2550</v>
      </c>
      <c r="B208" t="s">
        <v>2616</v>
      </c>
      <c r="S208" s="74"/>
      <c r="BG208" s="18"/>
      <c r="BH208" s="18"/>
      <c r="BI208" s="18"/>
      <c r="BJ208" s="18"/>
      <c r="BK208" s="18"/>
      <c r="BL208" s="18"/>
      <c r="BM208" s="18"/>
      <c r="BN208" s="18"/>
      <c r="BO208" s="18"/>
      <c r="BP208" s="18"/>
      <c r="BQ208" s="18"/>
      <c r="BR208" s="18"/>
      <c r="BS208" s="18"/>
      <c r="BT208" s="18"/>
      <c r="BU208" s="18"/>
      <c r="BV208" s="18"/>
    </row>
    <row r="209" spans="1:74">
      <c r="A209" t="s">
        <v>2550</v>
      </c>
      <c r="B209" t="s">
        <v>2954</v>
      </c>
      <c r="S209" s="74"/>
      <c r="BG209" s="18"/>
      <c r="BH209" s="18"/>
      <c r="BI209" s="18"/>
      <c r="BJ209" s="18"/>
      <c r="BK209" s="18"/>
      <c r="BL209" s="18"/>
      <c r="BM209" s="18"/>
      <c r="BN209" s="18"/>
      <c r="BO209" s="18"/>
      <c r="BP209" s="18"/>
      <c r="BQ209" s="18"/>
      <c r="BR209" s="18"/>
      <c r="BS209" s="18"/>
      <c r="BT209" s="18"/>
      <c r="BU209" s="18"/>
      <c r="BV209" s="18"/>
    </row>
    <row r="210" spans="1:74">
      <c r="A210" t="s">
        <v>2550</v>
      </c>
      <c r="B210" t="s">
        <v>2610</v>
      </c>
      <c r="S210" s="74"/>
      <c r="BG210" s="18"/>
      <c r="BH210" s="18"/>
      <c r="BI210" s="18"/>
      <c r="BJ210" s="18"/>
      <c r="BK210" s="18"/>
      <c r="BL210" s="18"/>
      <c r="BM210" s="18"/>
      <c r="BN210" s="18"/>
      <c r="BO210" s="18"/>
      <c r="BP210" s="18"/>
      <c r="BQ210" s="18"/>
      <c r="BR210" s="18"/>
      <c r="BS210" s="18"/>
      <c r="BT210" s="18"/>
      <c r="BU210" s="18"/>
      <c r="BV210" s="18"/>
    </row>
    <row r="211" spans="1:74">
      <c r="A211" t="s">
        <v>2550</v>
      </c>
      <c r="B211" t="s">
        <v>2607</v>
      </c>
      <c r="S211" s="74"/>
      <c r="BG211" s="18"/>
      <c r="BH211" s="18"/>
      <c r="BI211" s="18"/>
      <c r="BJ211" s="18"/>
      <c r="BK211" s="18"/>
      <c r="BL211" s="18"/>
      <c r="BM211" s="18"/>
      <c r="BN211" s="18"/>
      <c r="BO211" s="18"/>
      <c r="BP211" s="18"/>
      <c r="BQ211" s="18"/>
      <c r="BR211" s="18"/>
      <c r="BS211" s="18"/>
      <c r="BT211" s="18"/>
      <c r="BU211" s="18"/>
      <c r="BV211" s="18"/>
    </row>
    <row r="212" spans="1:74">
      <c r="A212" t="s">
        <v>2550</v>
      </c>
      <c r="B212" t="s">
        <v>2957</v>
      </c>
      <c r="S212" s="74"/>
      <c r="BG212" s="18"/>
      <c r="BH212" s="18"/>
      <c r="BI212" s="18"/>
      <c r="BJ212" s="18"/>
      <c r="BK212" s="18"/>
      <c r="BL212" s="18"/>
      <c r="BM212" s="18"/>
      <c r="BN212" s="18"/>
      <c r="BO212" s="18"/>
      <c r="BP212" s="18"/>
      <c r="BQ212" s="18"/>
      <c r="BR212" s="18"/>
      <c r="BS212" s="18"/>
      <c r="BT212" s="18"/>
      <c r="BU212" s="18"/>
      <c r="BV212" s="18"/>
    </row>
    <row r="213" spans="1:74">
      <c r="A213" t="s">
        <v>2550</v>
      </c>
      <c r="B213" t="s">
        <v>2958</v>
      </c>
      <c r="S213" s="74"/>
      <c r="BG213" s="18"/>
      <c r="BH213" s="18"/>
      <c r="BI213" s="18"/>
      <c r="BJ213" s="18"/>
      <c r="BK213" s="18"/>
      <c r="BL213" s="18"/>
      <c r="BM213" s="18"/>
      <c r="BN213" s="18"/>
      <c r="BO213" s="18"/>
      <c r="BP213" s="18"/>
      <c r="BQ213" s="18"/>
      <c r="BR213" s="18"/>
      <c r="BS213" s="18"/>
      <c r="BT213" s="18"/>
      <c r="BU213" s="18"/>
      <c r="BV213" s="18"/>
    </row>
    <row r="214" spans="1:74">
      <c r="A214" t="s">
        <v>2550</v>
      </c>
      <c r="B214" t="s">
        <v>2614</v>
      </c>
      <c r="S214" s="74"/>
      <c r="BG214" s="18"/>
      <c r="BH214" s="18"/>
      <c r="BI214" s="18"/>
      <c r="BJ214" s="18"/>
      <c r="BK214" s="18"/>
      <c r="BL214" s="18"/>
      <c r="BM214" s="18"/>
      <c r="BN214" s="18"/>
      <c r="BO214" s="18"/>
      <c r="BP214" s="18"/>
      <c r="BQ214" s="18"/>
      <c r="BR214" s="18"/>
      <c r="BS214" s="18"/>
      <c r="BT214" s="18"/>
      <c r="BU214" s="18"/>
      <c r="BV214" s="18"/>
    </row>
    <row r="215" spans="1:74">
      <c r="A215" t="s">
        <v>2550</v>
      </c>
      <c r="B215" t="s">
        <v>2613</v>
      </c>
      <c r="S215" s="74"/>
      <c r="BG215" s="18"/>
      <c r="BH215" s="18"/>
      <c r="BI215" s="18"/>
      <c r="BJ215" s="18"/>
      <c r="BK215" s="18"/>
      <c r="BL215" s="18"/>
      <c r="BM215" s="18"/>
      <c r="BN215" s="18"/>
      <c r="BO215" s="18"/>
      <c r="BP215" s="18"/>
      <c r="BQ215" s="18"/>
      <c r="BR215" s="18"/>
      <c r="BS215" s="18"/>
      <c r="BT215" s="18"/>
      <c r="BU215" s="18"/>
      <c r="BV215" s="18"/>
    </row>
    <row r="216" spans="1:74">
      <c r="A216" t="s">
        <v>2550</v>
      </c>
      <c r="B216" t="s">
        <v>2611</v>
      </c>
      <c r="S216" s="74"/>
      <c r="BG216" s="18"/>
      <c r="BH216" s="18"/>
      <c r="BI216" s="18"/>
      <c r="BJ216" s="18"/>
      <c r="BK216" s="18"/>
      <c r="BL216" s="18"/>
      <c r="BM216" s="18"/>
      <c r="BN216" s="18"/>
      <c r="BO216" s="18"/>
      <c r="BP216" s="18"/>
      <c r="BQ216" s="18"/>
      <c r="BR216" s="18"/>
      <c r="BS216" s="18"/>
      <c r="BT216" s="18"/>
      <c r="BU216" s="18"/>
      <c r="BV216" s="18"/>
    </row>
    <row r="217" spans="1:74">
      <c r="A217" t="s">
        <v>2550</v>
      </c>
      <c r="B217" t="s">
        <v>2955</v>
      </c>
      <c r="S217" s="74"/>
      <c r="BG217" s="18"/>
      <c r="BH217" s="18"/>
      <c r="BI217" s="18"/>
      <c r="BJ217" s="18"/>
      <c r="BK217" s="18"/>
      <c r="BL217" s="18"/>
      <c r="BM217" s="18"/>
      <c r="BN217" s="18"/>
      <c r="BO217" s="18"/>
      <c r="BP217" s="18"/>
      <c r="BQ217" s="18"/>
      <c r="BR217" s="18"/>
      <c r="BS217" s="18"/>
      <c r="BT217" s="18"/>
      <c r="BU217" s="18"/>
      <c r="BV217" s="18"/>
    </row>
    <row r="218" spans="1:74">
      <c r="A218" t="s">
        <v>2550</v>
      </c>
      <c r="B218" t="s">
        <v>2956</v>
      </c>
      <c r="S218" s="74"/>
      <c r="BG218" s="18"/>
      <c r="BH218" s="18"/>
      <c r="BI218" s="18"/>
      <c r="BJ218" s="18"/>
      <c r="BK218" s="18"/>
      <c r="BL218" s="18"/>
      <c r="BM218" s="18"/>
      <c r="BN218" s="18"/>
      <c r="BO218" s="18"/>
      <c r="BP218" s="18"/>
      <c r="BQ218" s="18"/>
      <c r="BR218" s="18"/>
      <c r="BS218" s="18"/>
      <c r="BT218" s="18"/>
      <c r="BU218" s="18"/>
      <c r="BV218" s="18"/>
    </row>
    <row r="219" spans="1:74">
      <c r="A219" t="s">
        <v>2550</v>
      </c>
      <c r="B219" t="s">
        <v>2606</v>
      </c>
      <c r="S219" s="74"/>
      <c r="BG219" s="18"/>
      <c r="BH219" s="18"/>
      <c r="BI219" s="18"/>
      <c r="BJ219" s="18"/>
      <c r="BK219" s="18"/>
      <c r="BL219" s="18"/>
      <c r="BM219" s="18"/>
      <c r="BN219" s="18"/>
      <c r="BO219" s="18"/>
      <c r="BP219" s="18"/>
      <c r="BQ219" s="18"/>
      <c r="BR219" s="18"/>
      <c r="BS219" s="18"/>
      <c r="BT219" s="18"/>
      <c r="BU219" s="18"/>
      <c r="BV219" s="18"/>
    </row>
    <row r="220" spans="1:74">
      <c r="A220" t="s">
        <v>2550</v>
      </c>
      <c r="B220" t="s">
        <v>2608</v>
      </c>
      <c r="S220" s="74"/>
      <c r="BG220" s="18"/>
      <c r="BH220" s="18"/>
      <c r="BI220" s="18"/>
      <c r="BJ220" s="18"/>
      <c r="BK220" s="18"/>
      <c r="BL220" s="18"/>
      <c r="BM220" s="18"/>
      <c r="BN220" s="18"/>
      <c r="BO220" s="18"/>
      <c r="BP220" s="18"/>
      <c r="BQ220" s="18"/>
      <c r="BR220" s="18"/>
      <c r="BS220" s="18"/>
      <c r="BT220" s="18"/>
      <c r="BU220" s="18"/>
      <c r="BV220" s="18"/>
    </row>
    <row r="221" spans="1:74">
      <c r="A221" t="s">
        <v>2550</v>
      </c>
      <c r="B221" t="s">
        <v>2609</v>
      </c>
      <c r="S221" s="74"/>
      <c r="BG221" s="18"/>
      <c r="BH221" s="18"/>
      <c r="BI221" s="18"/>
      <c r="BJ221" s="18"/>
      <c r="BK221" s="18"/>
      <c r="BL221" s="18"/>
      <c r="BM221" s="18"/>
      <c r="BN221" s="18"/>
      <c r="BO221" s="18"/>
      <c r="BP221" s="18"/>
      <c r="BQ221" s="18"/>
      <c r="BR221" s="18"/>
      <c r="BS221" s="18"/>
      <c r="BT221" s="18"/>
      <c r="BU221" s="18"/>
      <c r="BV221" s="18"/>
    </row>
    <row r="222" spans="1:74">
      <c r="A222" t="s">
        <v>2551</v>
      </c>
      <c r="B222" t="s">
        <v>2618</v>
      </c>
      <c r="S222" s="74"/>
      <c r="BG222" s="18"/>
      <c r="BH222" s="18"/>
      <c r="BI222" s="18"/>
      <c r="BJ222" s="18"/>
      <c r="BK222" s="18"/>
      <c r="BL222" s="18"/>
      <c r="BM222" s="18"/>
      <c r="BN222" s="18"/>
      <c r="BO222" s="18"/>
      <c r="BP222" s="18"/>
      <c r="BQ222" s="18"/>
      <c r="BR222" s="18"/>
      <c r="BS222" s="18"/>
      <c r="BT222" s="18"/>
      <c r="BU222" s="18"/>
      <c r="BV222" s="18"/>
    </row>
    <row r="223" spans="1:74">
      <c r="A223" t="s">
        <v>2551</v>
      </c>
      <c r="B223" t="s">
        <v>2959</v>
      </c>
      <c r="S223" s="74"/>
      <c r="BG223" s="18"/>
      <c r="BH223" s="18"/>
      <c r="BI223" s="18"/>
      <c r="BJ223" s="18"/>
      <c r="BK223" s="18"/>
      <c r="BL223" s="18"/>
      <c r="BM223" s="18"/>
      <c r="BN223" s="18"/>
      <c r="BO223" s="18"/>
      <c r="BP223" s="18"/>
      <c r="BQ223" s="18"/>
      <c r="BR223" s="18"/>
      <c r="BS223" s="18"/>
      <c r="BT223" s="18"/>
      <c r="BU223" s="18"/>
      <c r="BV223" s="18"/>
    </row>
    <row r="224" spans="1:74">
      <c r="A224" t="s">
        <v>2551</v>
      </c>
      <c r="B224" t="s">
        <v>2617</v>
      </c>
      <c r="S224" s="74"/>
      <c r="BG224" s="18"/>
      <c r="BH224" s="18"/>
      <c r="BI224" s="18"/>
      <c r="BJ224" s="18"/>
      <c r="BK224" s="18"/>
      <c r="BL224" s="18"/>
      <c r="BM224" s="18"/>
      <c r="BN224" s="18"/>
      <c r="BO224" s="18"/>
      <c r="BP224" s="18"/>
      <c r="BQ224" s="18"/>
      <c r="BR224" s="18"/>
      <c r="BS224" s="18"/>
      <c r="BT224" s="18"/>
      <c r="BU224" s="18"/>
      <c r="BV224" s="18"/>
    </row>
    <row r="225" spans="1:74">
      <c r="A225" t="s">
        <v>3129</v>
      </c>
      <c r="B225" t="s">
        <v>2960</v>
      </c>
      <c r="S225" s="74"/>
      <c r="BG225" s="18"/>
      <c r="BH225" s="18"/>
      <c r="BI225" s="18"/>
      <c r="BJ225" s="18"/>
      <c r="BK225" s="18"/>
      <c r="BL225" s="18"/>
      <c r="BM225" s="18"/>
      <c r="BN225" s="18"/>
      <c r="BO225" s="18"/>
      <c r="BP225" s="18"/>
      <c r="BQ225" s="18"/>
      <c r="BR225" s="18"/>
      <c r="BS225" s="18"/>
      <c r="BT225" s="18"/>
      <c r="BU225" s="18"/>
      <c r="BV225" s="18"/>
    </row>
    <row r="226" spans="1:74">
      <c r="A226" t="s">
        <v>2086</v>
      </c>
      <c r="B226" t="s">
        <v>2961</v>
      </c>
      <c r="S226" s="74"/>
      <c r="BG226" s="18"/>
      <c r="BH226" s="18"/>
      <c r="BI226" s="18"/>
      <c r="BJ226" s="18"/>
      <c r="BK226" s="18"/>
      <c r="BL226" s="18"/>
      <c r="BM226" s="18"/>
      <c r="BN226" s="18"/>
      <c r="BO226" s="18"/>
      <c r="BP226" s="18"/>
      <c r="BQ226" s="18"/>
      <c r="BR226" s="18"/>
      <c r="BS226" s="18"/>
      <c r="BT226" s="18"/>
      <c r="BU226" s="18"/>
      <c r="BV226" s="18"/>
    </row>
    <row r="227" spans="1:74">
      <c r="A227" t="s">
        <v>2086</v>
      </c>
      <c r="B227" t="s">
        <v>2126</v>
      </c>
      <c r="S227" s="74"/>
      <c r="BG227" s="18"/>
      <c r="BH227" s="18"/>
      <c r="BI227" s="18"/>
      <c r="BJ227" s="18"/>
      <c r="BK227" s="18"/>
      <c r="BL227" s="18"/>
      <c r="BM227" s="18"/>
      <c r="BN227" s="18"/>
      <c r="BO227" s="18"/>
      <c r="BP227" s="18"/>
      <c r="BQ227" s="18"/>
      <c r="BR227" s="18"/>
      <c r="BS227" s="18"/>
      <c r="BT227" s="18"/>
      <c r="BU227" s="18"/>
      <c r="BV227" s="18"/>
    </row>
    <row r="228" spans="1:74">
      <c r="A228" t="s">
        <v>3130</v>
      </c>
      <c r="B228" t="s">
        <v>2962</v>
      </c>
      <c r="S228" s="74"/>
      <c r="BG228" s="18"/>
      <c r="BH228" s="18"/>
      <c r="BI228" s="18"/>
      <c r="BJ228" s="18"/>
      <c r="BK228" s="18"/>
      <c r="BL228" s="18"/>
      <c r="BM228" s="18"/>
      <c r="BN228" s="18"/>
      <c r="BO228" s="18"/>
      <c r="BP228" s="18"/>
      <c r="BQ228" s="18"/>
      <c r="BR228" s="18"/>
      <c r="BS228" s="18"/>
      <c r="BT228" s="18"/>
      <c r="BU228" s="18"/>
      <c r="BV228" s="18"/>
    </row>
    <row r="229" spans="1:74">
      <c r="A229" t="s">
        <v>2704</v>
      </c>
      <c r="B229" t="s">
        <v>2705</v>
      </c>
      <c r="S229" s="74"/>
      <c r="BG229" s="18"/>
      <c r="BH229" s="18"/>
      <c r="BI229" s="18"/>
      <c r="BJ229" s="18"/>
      <c r="BK229" s="18"/>
      <c r="BL229" s="18"/>
      <c r="BM229" s="18"/>
      <c r="BN229" s="18"/>
      <c r="BO229" s="18"/>
      <c r="BP229" s="18"/>
      <c r="BQ229" s="18"/>
      <c r="BR229" s="18"/>
      <c r="BS229" s="18"/>
      <c r="BT229" s="18"/>
      <c r="BU229" s="18"/>
      <c r="BV229" s="18"/>
    </row>
    <row r="230" spans="1:74">
      <c r="A230" t="s">
        <v>3131</v>
      </c>
      <c r="B230" t="s">
        <v>2963</v>
      </c>
      <c r="S230" s="74"/>
      <c r="BG230" s="18"/>
      <c r="BH230" s="18"/>
      <c r="BI230" s="18"/>
      <c r="BJ230" s="18"/>
      <c r="BK230" s="18"/>
      <c r="BL230" s="18"/>
      <c r="BM230" s="18"/>
      <c r="BN230" s="18"/>
      <c r="BO230" s="18"/>
      <c r="BP230" s="18"/>
      <c r="BQ230" s="18"/>
      <c r="BR230" s="18"/>
      <c r="BS230" s="18"/>
      <c r="BT230" s="18"/>
      <c r="BU230" s="18"/>
      <c r="BV230" s="18"/>
    </row>
    <row r="231" spans="1:74">
      <c r="A231" t="s">
        <v>3132</v>
      </c>
      <c r="B231" t="s">
        <v>2964</v>
      </c>
      <c r="S231" s="74"/>
      <c r="BG231" s="18"/>
      <c r="BH231" s="18"/>
      <c r="BI231" s="18"/>
      <c r="BJ231" s="18"/>
      <c r="BK231" s="18"/>
      <c r="BL231" s="18"/>
      <c r="BM231" s="18"/>
      <c r="BN231" s="18"/>
      <c r="BO231" s="18"/>
      <c r="BP231" s="18"/>
      <c r="BQ231" s="18"/>
      <c r="BR231" s="18"/>
      <c r="BS231" s="18"/>
      <c r="BT231" s="18"/>
      <c r="BU231" s="18"/>
      <c r="BV231" s="18"/>
    </row>
    <row r="232" spans="1:74">
      <c r="A232" t="s">
        <v>2087</v>
      </c>
      <c r="B232" t="s">
        <v>2127</v>
      </c>
      <c r="S232" s="74"/>
      <c r="BG232" s="18"/>
      <c r="BH232" s="18"/>
      <c r="BI232" s="18"/>
      <c r="BJ232" s="18"/>
      <c r="BK232" s="18"/>
      <c r="BL232" s="18"/>
      <c r="BM232" s="18"/>
      <c r="BN232" s="18"/>
      <c r="BO232" s="18"/>
      <c r="BP232" s="18"/>
      <c r="BQ232" s="18"/>
      <c r="BR232" s="18"/>
      <c r="BS232" s="18"/>
      <c r="BT232" s="18"/>
      <c r="BU232" s="18"/>
      <c r="BV232" s="18"/>
    </row>
    <row r="233" spans="1:74">
      <c r="A233" t="s">
        <v>3133</v>
      </c>
      <c r="B233" t="s">
        <v>2965</v>
      </c>
      <c r="S233" s="74"/>
      <c r="BG233" s="18"/>
      <c r="BH233" s="18"/>
      <c r="BI233" s="18"/>
      <c r="BJ233" s="18"/>
      <c r="BK233" s="18"/>
      <c r="BL233" s="18"/>
      <c r="BM233" s="18"/>
      <c r="BN233" s="18"/>
      <c r="BO233" s="18"/>
      <c r="BP233" s="18"/>
      <c r="BQ233" s="18"/>
      <c r="BR233" s="18"/>
      <c r="BS233" s="18"/>
      <c r="BT233" s="18"/>
      <c r="BU233" s="18"/>
      <c r="BV233" s="18"/>
    </row>
    <row r="234" spans="1:74">
      <c r="A234" t="s">
        <v>3134</v>
      </c>
      <c r="B234" t="s">
        <v>2966</v>
      </c>
      <c r="S234" s="74"/>
      <c r="BG234" s="18"/>
      <c r="BH234" s="18"/>
      <c r="BI234" s="18"/>
      <c r="BJ234" s="18"/>
      <c r="BK234" s="18"/>
      <c r="BL234" s="18"/>
      <c r="BM234" s="18"/>
      <c r="BN234" s="18"/>
      <c r="BO234" s="18"/>
      <c r="BP234" s="18"/>
      <c r="BQ234" s="18"/>
      <c r="BR234" s="18"/>
      <c r="BS234" s="18"/>
      <c r="BT234" s="18"/>
      <c r="BU234" s="18"/>
      <c r="BV234" s="18"/>
    </row>
    <row r="235" spans="1:74">
      <c r="A235" t="s">
        <v>3134</v>
      </c>
      <c r="B235" t="s">
        <v>2967</v>
      </c>
      <c r="S235" s="74"/>
      <c r="BG235" s="18"/>
      <c r="BH235" s="18"/>
      <c r="BI235" s="18"/>
      <c r="BJ235" s="18"/>
      <c r="BK235" s="18"/>
      <c r="BL235" s="18"/>
      <c r="BM235" s="18"/>
      <c r="BN235" s="18"/>
      <c r="BO235" s="18"/>
      <c r="BP235" s="18"/>
      <c r="BQ235" s="18"/>
      <c r="BR235" s="18"/>
      <c r="BS235" s="18"/>
      <c r="BT235" s="18"/>
      <c r="BU235" s="18"/>
      <c r="BV235" s="18"/>
    </row>
    <row r="236" spans="1:74">
      <c r="A236" t="s">
        <v>2870</v>
      </c>
      <c r="B236" t="s">
        <v>2853</v>
      </c>
      <c r="S236" s="74"/>
      <c r="BG236" s="18"/>
      <c r="BH236" s="18"/>
      <c r="BI236" s="18"/>
      <c r="BJ236" s="18"/>
      <c r="BK236" s="18"/>
      <c r="BL236" s="18"/>
      <c r="BM236" s="18"/>
      <c r="BN236" s="18"/>
      <c r="BO236" s="18"/>
      <c r="BP236" s="18"/>
      <c r="BQ236" s="18"/>
      <c r="BR236" s="18"/>
      <c r="BS236" s="18"/>
      <c r="BT236" s="18"/>
      <c r="BU236" s="18"/>
      <c r="BV236" s="18"/>
    </row>
    <row r="237" spans="1:74">
      <c r="A237" t="s">
        <v>2088</v>
      </c>
      <c r="B237" t="s">
        <v>2619</v>
      </c>
      <c r="S237" s="74"/>
      <c r="BG237" s="18"/>
      <c r="BH237" s="18"/>
      <c r="BI237" s="18"/>
      <c r="BJ237" s="18"/>
      <c r="BK237" s="18"/>
      <c r="BL237" s="18"/>
      <c r="BM237" s="18"/>
      <c r="BN237" s="18"/>
      <c r="BO237" s="18"/>
      <c r="BP237" s="18"/>
      <c r="BQ237" s="18"/>
      <c r="BR237" s="18"/>
      <c r="BS237" s="18"/>
      <c r="BT237" s="18"/>
      <c r="BU237" s="18"/>
      <c r="BV237" s="18"/>
    </row>
    <row r="238" spans="1:74">
      <c r="A238" t="s">
        <v>4354</v>
      </c>
      <c r="B238" t="s">
        <v>4355</v>
      </c>
      <c r="S238" s="74"/>
      <c r="BG238" s="18"/>
      <c r="BH238" s="18"/>
      <c r="BI238" s="18"/>
      <c r="BJ238" s="18"/>
      <c r="BK238" s="18"/>
      <c r="BL238" s="18"/>
      <c r="BM238" s="18"/>
      <c r="BN238" s="18"/>
      <c r="BO238" s="18"/>
      <c r="BP238" s="18"/>
      <c r="BQ238" s="18"/>
      <c r="BR238" s="18"/>
      <c r="BS238" s="18"/>
      <c r="BT238" s="18"/>
      <c r="BU238" s="18"/>
      <c r="BV238" s="18"/>
    </row>
    <row r="239" spans="1:74">
      <c r="A239" t="s">
        <v>2089</v>
      </c>
      <c r="B239" t="s">
        <v>2129</v>
      </c>
      <c r="S239" s="74"/>
      <c r="BG239" s="18"/>
      <c r="BH239" s="18"/>
      <c r="BI239" s="18"/>
      <c r="BJ239" s="18"/>
      <c r="BK239" s="18"/>
      <c r="BL239" s="18"/>
      <c r="BM239" s="18"/>
      <c r="BN239" s="18"/>
      <c r="BO239" s="18"/>
      <c r="BP239" s="18"/>
      <c r="BQ239" s="18"/>
      <c r="BR239" s="18"/>
      <c r="BS239" s="18"/>
      <c r="BT239" s="18"/>
      <c r="BU239" s="18"/>
      <c r="BV239" s="18"/>
    </row>
    <row r="240" spans="1:74">
      <c r="A240" t="s">
        <v>2089</v>
      </c>
      <c r="B240" t="s">
        <v>2128</v>
      </c>
      <c r="S240" s="74"/>
      <c r="BG240" s="18"/>
      <c r="BH240" s="18"/>
      <c r="BI240" s="18"/>
      <c r="BJ240" s="18"/>
      <c r="BK240" s="18"/>
      <c r="BL240" s="18"/>
      <c r="BM240" s="18"/>
      <c r="BN240" s="18"/>
      <c r="BO240" s="18"/>
      <c r="BP240" s="18"/>
      <c r="BQ240" s="18"/>
      <c r="BR240" s="18"/>
      <c r="BS240" s="18"/>
      <c r="BT240" s="18"/>
      <c r="BU240" s="18"/>
      <c r="BV240" s="18"/>
    </row>
    <row r="241" spans="1:74">
      <c r="A241" t="s">
        <v>3135</v>
      </c>
      <c r="B241" t="s">
        <v>2968</v>
      </c>
      <c r="S241" s="74"/>
      <c r="BG241" s="18"/>
      <c r="BH241" s="18"/>
      <c r="BI241" s="18"/>
      <c r="BJ241" s="18"/>
      <c r="BK241" s="18"/>
      <c r="BL241" s="18"/>
      <c r="BM241" s="18"/>
      <c r="BN241" s="18"/>
      <c r="BO241" s="18"/>
      <c r="BP241" s="18"/>
      <c r="BQ241" s="18"/>
      <c r="BR241" s="18"/>
      <c r="BS241" s="18"/>
      <c r="BT241" s="18"/>
      <c r="BU241" s="18"/>
      <c r="BV241" s="18"/>
    </row>
    <row r="242" spans="1:74">
      <c r="A242" t="s">
        <v>3136</v>
      </c>
      <c r="B242" t="s">
        <v>2969</v>
      </c>
      <c r="S242" s="74"/>
      <c r="BG242" s="18"/>
      <c r="BH242" s="18"/>
      <c r="BI242" s="18"/>
      <c r="BJ242" s="18"/>
      <c r="BK242" s="18"/>
      <c r="BL242" s="18"/>
      <c r="BM242" s="18"/>
      <c r="BN242" s="18"/>
      <c r="BO242" s="18"/>
      <c r="BP242" s="18"/>
      <c r="BQ242" s="18"/>
      <c r="BR242" s="18"/>
      <c r="BS242" s="18"/>
      <c r="BT242" s="18"/>
      <c r="BU242" s="18"/>
      <c r="BV242" s="18"/>
    </row>
    <row r="243" spans="1:74">
      <c r="A243" t="s">
        <v>4356</v>
      </c>
      <c r="B243" t="s">
        <v>4357</v>
      </c>
      <c r="S243" s="74"/>
      <c r="BG243" s="18"/>
      <c r="BH243" s="18"/>
      <c r="BI243" s="18"/>
      <c r="BJ243" s="18"/>
      <c r="BK243" s="18"/>
      <c r="BL243" s="18"/>
      <c r="BM243" s="18"/>
      <c r="BN243" s="18"/>
      <c r="BO243" s="18"/>
      <c r="BP243" s="18"/>
      <c r="BQ243" s="18"/>
      <c r="BR243" s="18"/>
      <c r="BS243" s="18"/>
      <c r="BT243" s="18"/>
      <c r="BU243" s="18"/>
      <c r="BV243" s="18"/>
    </row>
    <row r="244" spans="1:74">
      <c r="A244" t="s">
        <v>2706</v>
      </c>
      <c r="B244" t="s">
        <v>2707</v>
      </c>
      <c r="S244" s="74"/>
      <c r="BG244" s="18"/>
      <c r="BH244" s="18"/>
      <c r="BI244" s="18"/>
      <c r="BJ244" s="18"/>
      <c r="BK244" s="18"/>
      <c r="BL244" s="18"/>
      <c r="BM244" s="18"/>
      <c r="BN244" s="18"/>
      <c r="BO244" s="18"/>
      <c r="BP244" s="18"/>
      <c r="BQ244" s="18"/>
      <c r="BR244" s="18"/>
      <c r="BS244" s="18"/>
      <c r="BT244" s="18"/>
      <c r="BU244" s="18"/>
      <c r="BV244" s="18"/>
    </row>
    <row r="245" spans="1:74">
      <c r="A245" t="s">
        <v>2706</v>
      </c>
      <c r="B245" t="s">
        <v>2970</v>
      </c>
      <c r="S245" s="74"/>
      <c r="BG245" s="18"/>
      <c r="BH245" s="18"/>
      <c r="BI245" s="18"/>
      <c r="BJ245" s="18"/>
      <c r="BK245" s="18"/>
      <c r="BL245" s="18"/>
      <c r="BM245" s="18"/>
      <c r="BN245" s="18"/>
      <c r="BO245" s="18"/>
      <c r="BP245" s="18"/>
      <c r="BQ245" s="18"/>
      <c r="BR245" s="18"/>
      <c r="BS245" s="18"/>
      <c r="BT245" s="18"/>
      <c r="BU245" s="18"/>
      <c r="BV245" s="18"/>
    </row>
    <row r="246" spans="1:74">
      <c r="A246" t="s">
        <v>3137</v>
      </c>
      <c r="B246" t="s">
        <v>2971</v>
      </c>
      <c r="S246" s="74"/>
      <c r="BG246" s="18"/>
      <c r="BH246" s="18"/>
      <c r="BI246" s="18"/>
      <c r="BJ246" s="18"/>
      <c r="BK246" s="18"/>
      <c r="BL246" s="18"/>
      <c r="BM246" s="18"/>
      <c r="BN246" s="18"/>
      <c r="BO246" s="18"/>
      <c r="BP246" s="18"/>
      <c r="BQ246" s="18"/>
      <c r="BR246" s="18"/>
      <c r="BS246" s="18"/>
      <c r="BT246" s="18"/>
      <c r="BU246" s="18"/>
      <c r="BV246" s="18"/>
    </row>
    <row r="247" spans="1:74">
      <c r="A247" t="s">
        <v>3138</v>
      </c>
      <c r="B247" t="s">
        <v>2972</v>
      </c>
      <c r="S247" s="74"/>
      <c r="BG247" s="18"/>
      <c r="BH247" s="18"/>
      <c r="BI247" s="18"/>
      <c r="BJ247" s="18"/>
      <c r="BK247" s="18"/>
      <c r="BL247" s="18"/>
      <c r="BM247" s="18"/>
      <c r="BN247" s="18"/>
      <c r="BO247" s="18"/>
      <c r="BP247" s="18"/>
      <c r="BQ247" s="18"/>
      <c r="BR247" s="18"/>
      <c r="BS247" s="18"/>
      <c r="BT247" s="18"/>
      <c r="BU247" s="18"/>
      <c r="BV247" s="18"/>
    </row>
    <row r="248" spans="1:74">
      <c r="A248" t="s">
        <v>3138</v>
      </c>
      <c r="B248" t="s">
        <v>2973</v>
      </c>
      <c r="S248" s="74"/>
      <c r="BG248" s="18"/>
      <c r="BH248" s="18"/>
      <c r="BI248" s="18"/>
      <c r="BJ248" s="18"/>
      <c r="BK248" s="18"/>
      <c r="BL248" s="18"/>
      <c r="BM248" s="18"/>
      <c r="BN248" s="18"/>
      <c r="BO248" s="18"/>
      <c r="BP248" s="18"/>
      <c r="BQ248" s="18"/>
      <c r="BR248" s="18"/>
      <c r="BS248" s="18"/>
      <c r="BT248" s="18"/>
      <c r="BU248" s="18"/>
      <c r="BV248" s="18"/>
    </row>
    <row r="249" spans="1:74">
      <c r="A249" t="s">
        <v>3138</v>
      </c>
      <c r="B249" t="s">
        <v>2974</v>
      </c>
      <c r="S249" s="74"/>
      <c r="BG249" s="18"/>
      <c r="BH249" s="18"/>
      <c r="BI249" s="18"/>
      <c r="BJ249" s="18"/>
      <c r="BK249" s="18"/>
      <c r="BL249" s="18"/>
      <c r="BM249" s="18"/>
      <c r="BN249" s="18"/>
      <c r="BO249" s="18"/>
      <c r="BP249" s="18"/>
      <c r="BQ249" s="18"/>
      <c r="BR249" s="18"/>
      <c r="BS249" s="18"/>
      <c r="BT249" s="18"/>
      <c r="BU249" s="18"/>
      <c r="BV249" s="18"/>
    </row>
    <row r="250" spans="1:74">
      <c r="A250" t="s">
        <v>3138</v>
      </c>
      <c r="B250" t="s">
        <v>2975</v>
      </c>
      <c r="S250" s="74"/>
      <c r="BG250" s="18"/>
      <c r="BH250" s="18"/>
      <c r="BI250" s="18"/>
      <c r="BJ250" s="18"/>
      <c r="BK250" s="18"/>
      <c r="BL250" s="18"/>
      <c r="BM250" s="18"/>
      <c r="BN250" s="18"/>
      <c r="BO250" s="18"/>
      <c r="BP250" s="18"/>
      <c r="BQ250" s="18"/>
      <c r="BR250" s="18"/>
      <c r="BS250" s="18"/>
      <c r="BT250" s="18"/>
      <c r="BU250" s="18"/>
      <c r="BV250" s="18"/>
    </row>
    <row r="251" spans="1:74">
      <c r="A251" t="s">
        <v>3138</v>
      </c>
      <c r="B251" t="s">
        <v>2976</v>
      </c>
      <c r="S251" s="74"/>
      <c r="BG251" s="18"/>
      <c r="BH251" s="18"/>
      <c r="BI251" s="18"/>
      <c r="BJ251" s="18"/>
      <c r="BK251" s="18"/>
      <c r="BL251" s="18"/>
      <c r="BM251" s="18"/>
      <c r="BN251" s="18"/>
      <c r="BO251" s="18"/>
      <c r="BP251" s="18"/>
      <c r="BQ251" s="18"/>
      <c r="BR251" s="18"/>
      <c r="BS251" s="18"/>
      <c r="BT251" s="18"/>
      <c r="BU251" s="18"/>
      <c r="BV251" s="18"/>
    </row>
    <row r="252" spans="1:74">
      <c r="A252" t="s">
        <v>3138</v>
      </c>
      <c r="B252" t="s">
        <v>2977</v>
      </c>
      <c r="S252" s="74"/>
      <c r="BG252" s="18"/>
      <c r="BH252" s="18"/>
      <c r="BI252" s="18"/>
      <c r="BJ252" s="18"/>
      <c r="BK252" s="18"/>
      <c r="BL252" s="18"/>
      <c r="BM252" s="18"/>
      <c r="BN252" s="18"/>
      <c r="BO252" s="18"/>
      <c r="BP252" s="18"/>
      <c r="BQ252" s="18"/>
      <c r="BR252" s="18"/>
      <c r="BS252" s="18"/>
      <c r="BT252" s="18"/>
      <c r="BU252" s="18"/>
      <c r="BV252" s="18"/>
    </row>
    <row r="253" spans="1:74">
      <c r="A253" t="s">
        <v>3138</v>
      </c>
      <c r="B253" t="s">
        <v>2978</v>
      </c>
      <c r="S253" s="74"/>
      <c r="BG253" s="18"/>
      <c r="BH253" s="18"/>
      <c r="BI253" s="18"/>
      <c r="BJ253" s="18"/>
      <c r="BK253" s="18"/>
      <c r="BL253" s="18"/>
      <c r="BM253" s="18"/>
      <c r="BN253" s="18"/>
      <c r="BO253" s="18"/>
      <c r="BP253" s="18"/>
      <c r="BQ253" s="18"/>
      <c r="BR253" s="18"/>
      <c r="BS253" s="18"/>
      <c r="BT253" s="18"/>
      <c r="BU253" s="18"/>
      <c r="BV253" s="18"/>
    </row>
    <row r="254" spans="1:74">
      <c r="A254" t="s">
        <v>3138</v>
      </c>
      <c r="B254" t="s">
        <v>2979</v>
      </c>
      <c r="S254" s="74"/>
      <c r="BG254" s="18"/>
      <c r="BH254" s="18"/>
      <c r="BI254" s="18"/>
      <c r="BJ254" s="18"/>
      <c r="BK254" s="18"/>
      <c r="BL254" s="18"/>
      <c r="BM254" s="18"/>
      <c r="BN254" s="18"/>
      <c r="BO254" s="18"/>
      <c r="BP254" s="18"/>
      <c r="BQ254" s="18"/>
      <c r="BR254" s="18"/>
      <c r="BS254" s="18"/>
      <c r="BT254" s="18"/>
      <c r="BU254" s="18"/>
      <c r="BV254" s="18"/>
    </row>
    <row r="255" spans="1:74">
      <c r="A255" t="s">
        <v>3138</v>
      </c>
      <c r="B255" t="s">
        <v>2980</v>
      </c>
      <c r="S255" s="74"/>
      <c r="BG255" s="18"/>
      <c r="BH255" s="18"/>
      <c r="BI255" s="18"/>
      <c r="BJ255" s="18"/>
      <c r="BK255" s="18"/>
      <c r="BL255" s="18"/>
      <c r="BM255" s="18"/>
      <c r="BN255" s="18"/>
      <c r="BO255" s="18"/>
      <c r="BP255" s="18"/>
      <c r="BQ255" s="18"/>
      <c r="BR255" s="18"/>
      <c r="BS255" s="18"/>
      <c r="BT255" s="18"/>
      <c r="BU255" s="18"/>
      <c r="BV255" s="18"/>
    </row>
    <row r="256" spans="1:74">
      <c r="A256" t="s">
        <v>3138</v>
      </c>
      <c r="B256" t="s">
        <v>2981</v>
      </c>
      <c r="S256" s="74"/>
      <c r="BG256" s="18"/>
      <c r="BH256" s="18"/>
      <c r="BI256" s="18"/>
      <c r="BJ256" s="18"/>
      <c r="BK256" s="18"/>
      <c r="BL256" s="18"/>
      <c r="BM256" s="18"/>
      <c r="BN256" s="18"/>
      <c r="BO256" s="18"/>
      <c r="BP256" s="18"/>
      <c r="BQ256" s="18"/>
      <c r="BR256" s="18"/>
      <c r="BS256" s="18"/>
      <c r="BT256" s="18"/>
      <c r="BU256" s="18"/>
      <c r="BV256" s="18"/>
    </row>
    <row r="257" spans="1:74">
      <c r="A257" t="s">
        <v>3138</v>
      </c>
      <c r="B257" t="s">
        <v>2982</v>
      </c>
      <c r="S257" s="74"/>
      <c r="BG257" s="18"/>
      <c r="BH257" s="18"/>
      <c r="BI257" s="18"/>
      <c r="BJ257" s="18"/>
      <c r="BK257" s="18"/>
      <c r="BL257" s="18"/>
      <c r="BM257" s="18"/>
      <c r="BN257" s="18"/>
      <c r="BO257" s="18"/>
      <c r="BP257" s="18"/>
      <c r="BQ257" s="18"/>
      <c r="BR257" s="18"/>
      <c r="BS257" s="18"/>
      <c r="BT257" s="18"/>
      <c r="BU257" s="18"/>
      <c r="BV257" s="18"/>
    </row>
    <row r="258" spans="1:74">
      <c r="A258" t="s">
        <v>2552</v>
      </c>
      <c r="B258" t="s">
        <v>2984</v>
      </c>
      <c r="S258" s="74"/>
      <c r="BG258" s="18"/>
      <c r="BH258" s="18"/>
      <c r="BI258" s="18"/>
      <c r="BJ258" s="18"/>
      <c r="BK258" s="18"/>
      <c r="BL258" s="18"/>
      <c r="BM258" s="18"/>
      <c r="BN258" s="18"/>
      <c r="BO258" s="18"/>
      <c r="BP258" s="18"/>
      <c r="BQ258" s="18"/>
      <c r="BR258" s="18"/>
      <c r="BS258" s="18"/>
      <c r="BT258" s="18"/>
      <c r="BU258" s="18"/>
      <c r="BV258" s="18"/>
    </row>
    <row r="259" spans="1:74">
      <c r="A259" t="s">
        <v>2552</v>
      </c>
      <c r="B259" t="s">
        <v>2985</v>
      </c>
      <c r="S259" s="74"/>
      <c r="BG259" s="18"/>
      <c r="BH259" s="18"/>
      <c r="BI259" s="18"/>
      <c r="BJ259" s="18"/>
      <c r="BK259" s="18"/>
      <c r="BL259" s="18"/>
      <c r="BM259" s="18"/>
      <c r="BN259" s="18"/>
      <c r="BO259" s="18"/>
      <c r="BP259" s="18"/>
      <c r="BQ259" s="18"/>
      <c r="BR259" s="18"/>
      <c r="BS259" s="18"/>
      <c r="BT259" s="18"/>
      <c r="BU259" s="18"/>
      <c r="BV259" s="18"/>
    </row>
    <row r="260" spans="1:74">
      <c r="A260" t="s">
        <v>2552</v>
      </c>
      <c r="B260" t="s">
        <v>2622</v>
      </c>
      <c r="S260" s="74"/>
      <c r="BG260" s="18"/>
      <c r="BH260" s="18"/>
      <c r="BI260" s="18"/>
      <c r="BJ260" s="18"/>
      <c r="BK260" s="18"/>
      <c r="BL260" s="18"/>
      <c r="BM260" s="18"/>
      <c r="BN260" s="18"/>
      <c r="BO260" s="18"/>
      <c r="BP260" s="18"/>
      <c r="BQ260" s="18"/>
      <c r="BR260" s="18"/>
      <c r="BS260" s="18"/>
      <c r="BT260" s="18"/>
      <c r="BU260" s="18"/>
      <c r="BV260" s="18"/>
    </row>
    <row r="261" spans="1:74">
      <c r="A261" t="s">
        <v>2552</v>
      </c>
      <c r="B261" t="s">
        <v>2710</v>
      </c>
      <c r="S261" s="74"/>
      <c r="BG261" s="18"/>
      <c r="BH261" s="18"/>
      <c r="BI261" s="18"/>
      <c r="BJ261" s="18"/>
      <c r="BK261" s="18"/>
      <c r="BL261" s="18"/>
      <c r="BM261" s="18"/>
      <c r="BN261" s="18"/>
      <c r="BO261" s="18"/>
      <c r="BP261" s="18"/>
      <c r="BQ261" s="18"/>
      <c r="BR261" s="18"/>
      <c r="BS261" s="18"/>
      <c r="BT261" s="18"/>
      <c r="BU261" s="18"/>
      <c r="BV261" s="18"/>
    </row>
    <row r="262" spans="1:74">
      <c r="A262" t="s">
        <v>2552</v>
      </c>
      <c r="B262" t="s">
        <v>2709</v>
      </c>
      <c r="S262" s="74"/>
      <c r="BG262" s="18"/>
      <c r="BH262" s="18"/>
      <c r="BI262" s="18"/>
      <c r="BJ262" s="18"/>
      <c r="BK262" s="18"/>
      <c r="BL262" s="18"/>
      <c r="BM262" s="18"/>
      <c r="BN262" s="18"/>
      <c r="BO262" s="18"/>
      <c r="BP262" s="18"/>
      <c r="BQ262" s="18"/>
      <c r="BR262" s="18"/>
      <c r="BS262" s="18"/>
      <c r="BT262" s="18"/>
      <c r="BU262" s="18"/>
      <c r="BV262" s="18"/>
    </row>
    <row r="263" spans="1:74">
      <c r="A263" t="s">
        <v>2552</v>
      </c>
      <c r="B263" t="s">
        <v>2854</v>
      </c>
      <c r="S263" s="74"/>
      <c r="BG263" s="18"/>
      <c r="BH263" s="18"/>
      <c r="BI263" s="18"/>
      <c r="BJ263" s="18"/>
      <c r="BK263" s="18"/>
      <c r="BL263" s="18"/>
      <c r="BM263" s="18"/>
      <c r="BN263" s="18"/>
      <c r="BO263" s="18"/>
      <c r="BP263" s="18"/>
      <c r="BQ263" s="18"/>
      <c r="BR263" s="18"/>
      <c r="BS263" s="18"/>
      <c r="BT263" s="18"/>
      <c r="BU263" s="18"/>
      <c r="BV263" s="18"/>
    </row>
    <row r="264" spans="1:74">
      <c r="A264" t="s">
        <v>2552</v>
      </c>
      <c r="B264" t="s">
        <v>2131</v>
      </c>
      <c r="S264" s="74"/>
      <c r="BG264" s="18"/>
      <c r="BH264" s="18"/>
      <c r="BI264" s="18"/>
      <c r="BJ264" s="18"/>
      <c r="BK264" s="18"/>
      <c r="BL264" s="18"/>
      <c r="BM264" s="18"/>
      <c r="BN264" s="18"/>
      <c r="BO264" s="18"/>
      <c r="BP264" s="18"/>
      <c r="BQ264" s="18"/>
      <c r="BR264" s="18"/>
      <c r="BS264" s="18"/>
      <c r="BT264" s="18"/>
      <c r="BU264" s="18"/>
      <c r="BV264" s="18"/>
    </row>
    <row r="265" spans="1:74">
      <c r="A265" t="s">
        <v>2552</v>
      </c>
      <c r="B265" t="s">
        <v>2983</v>
      </c>
      <c r="S265" s="74"/>
      <c r="BG265" s="18"/>
      <c r="BH265" s="18"/>
      <c r="BI265" s="18"/>
      <c r="BJ265" s="18"/>
      <c r="BK265" s="18"/>
      <c r="BL265" s="18"/>
      <c r="BM265" s="18"/>
      <c r="BN265" s="18"/>
      <c r="BO265" s="18"/>
      <c r="BP265" s="18"/>
      <c r="BQ265" s="18"/>
      <c r="BR265" s="18"/>
      <c r="BS265" s="18"/>
      <c r="BT265" s="18"/>
      <c r="BU265" s="18"/>
      <c r="BV265" s="18"/>
    </row>
    <row r="266" spans="1:74">
      <c r="A266" t="s">
        <v>2552</v>
      </c>
      <c r="B266" t="s">
        <v>2620</v>
      </c>
      <c r="S266" s="74"/>
      <c r="BG266" s="18"/>
      <c r="BH266" s="18"/>
      <c r="BI266" s="18"/>
      <c r="BJ266" s="18"/>
      <c r="BK266" s="18"/>
      <c r="BL266" s="18"/>
      <c r="BM266" s="18"/>
      <c r="BN266" s="18"/>
      <c r="BO266" s="18"/>
      <c r="BP266" s="18"/>
      <c r="BQ266" s="18"/>
      <c r="BR266" s="18"/>
      <c r="BS266" s="18"/>
      <c r="BT266" s="18"/>
      <c r="BU266" s="18"/>
      <c r="BV266" s="18"/>
    </row>
    <row r="267" spans="1:74">
      <c r="A267" t="s">
        <v>2552</v>
      </c>
      <c r="B267" t="s">
        <v>2621</v>
      </c>
      <c r="S267" s="74"/>
      <c r="BG267" s="18"/>
      <c r="BH267" s="18"/>
      <c r="BI267" s="18"/>
      <c r="BJ267" s="18"/>
      <c r="BK267" s="18"/>
      <c r="BL267" s="18"/>
      <c r="BM267" s="18"/>
      <c r="BN267" s="18"/>
      <c r="BO267" s="18"/>
      <c r="BP267" s="18"/>
      <c r="BQ267" s="18"/>
      <c r="BR267" s="18"/>
      <c r="BS267" s="18"/>
      <c r="BT267" s="18"/>
      <c r="BU267" s="18"/>
      <c r="BV267" s="18"/>
    </row>
    <row r="268" spans="1:74">
      <c r="A268" t="s">
        <v>2552</v>
      </c>
      <c r="B268" t="s">
        <v>2623</v>
      </c>
      <c r="S268" s="74"/>
      <c r="BG268" s="18"/>
      <c r="BH268" s="18"/>
      <c r="BI268" s="18"/>
      <c r="BJ268" s="18"/>
      <c r="BK268" s="18"/>
      <c r="BL268" s="18"/>
      <c r="BM268" s="18"/>
      <c r="BN268" s="18"/>
      <c r="BO268" s="18"/>
      <c r="BP268" s="18"/>
      <c r="BQ268" s="18"/>
      <c r="BR268" s="18"/>
      <c r="BS268" s="18"/>
      <c r="BT268" s="18"/>
      <c r="BU268" s="18"/>
      <c r="BV268" s="18"/>
    </row>
    <row r="269" spans="1:74">
      <c r="A269" t="s">
        <v>2552</v>
      </c>
      <c r="B269" t="s">
        <v>2130</v>
      </c>
      <c r="S269" s="74"/>
      <c r="BG269" s="18"/>
      <c r="BH269" s="18"/>
      <c r="BI269" s="18"/>
      <c r="BJ269" s="18"/>
      <c r="BK269" s="18"/>
      <c r="BL269" s="18"/>
      <c r="BM269" s="18"/>
      <c r="BN269" s="18"/>
      <c r="BO269" s="18"/>
      <c r="BP269" s="18"/>
      <c r="BQ269" s="18"/>
      <c r="BR269" s="18"/>
      <c r="BS269" s="18"/>
      <c r="BT269" s="18"/>
      <c r="BU269" s="18"/>
      <c r="BV269" s="18"/>
    </row>
    <row r="270" spans="1:74">
      <c r="A270" t="s">
        <v>2552</v>
      </c>
      <c r="B270" t="s">
        <v>2708</v>
      </c>
      <c r="S270" s="74"/>
      <c r="BG270" s="18"/>
      <c r="BH270" s="18"/>
      <c r="BI270" s="18"/>
      <c r="BJ270" s="18"/>
      <c r="BK270" s="18"/>
      <c r="BL270" s="18"/>
      <c r="BM270" s="18"/>
      <c r="BN270" s="18"/>
      <c r="BO270" s="18"/>
      <c r="BP270" s="18"/>
      <c r="BQ270" s="18"/>
      <c r="BR270" s="18"/>
      <c r="BS270" s="18"/>
      <c r="BT270" s="18"/>
      <c r="BU270" s="18"/>
      <c r="BV270" s="18"/>
    </row>
    <row r="271" spans="1:74">
      <c r="A271" t="s">
        <v>4358</v>
      </c>
      <c r="B271" t="s">
        <v>4359</v>
      </c>
      <c r="S271" s="74"/>
      <c r="BG271" s="18"/>
      <c r="BH271" s="18"/>
      <c r="BI271" s="18"/>
      <c r="BJ271" s="18"/>
      <c r="BK271" s="18"/>
      <c r="BL271" s="18"/>
      <c r="BM271" s="18"/>
      <c r="BN271" s="18"/>
      <c r="BO271" s="18"/>
      <c r="BP271" s="18"/>
      <c r="BQ271" s="18"/>
      <c r="BR271" s="18"/>
      <c r="BS271" s="18"/>
      <c r="BT271" s="18"/>
      <c r="BU271" s="18"/>
      <c r="BV271" s="18"/>
    </row>
    <row r="272" spans="1:74">
      <c r="A272" t="s">
        <v>3139</v>
      </c>
      <c r="B272" t="s">
        <v>2986</v>
      </c>
      <c r="S272" s="74"/>
      <c r="BG272" s="18"/>
      <c r="BH272" s="18"/>
      <c r="BI272" s="18"/>
      <c r="BJ272" s="18"/>
      <c r="BK272" s="18"/>
      <c r="BL272" s="18"/>
      <c r="BM272" s="18"/>
      <c r="BN272" s="18"/>
      <c r="BO272" s="18"/>
      <c r="BP272" s="18"/>
      <c r="BQ272" s="18"/>
      <c r="BR272" s="18"/>
      <c r="BS272" s="18"/>
      <c r="BT272" s="18"/>
      <c r="BU272" s="18"/>
      <c r="BV272" s="18"/>
    </row>
    <row r="273" spans="1:74">
      <c r="A273" t="s">
        <v>2553</v>
      </c>
      <c r="B273" t="s">
        <v>2624</v>
      </c>
      <c r="S273" s="74"/>
      <c r="BG273" s="18"/>
      <c r="BH273" s="18"/>
      <c r="BI273" s="18"/>
      <c r="BJ273" s="18"/>
      <c r="BK273" s="18"/>
      <c r="BL273" s="18"/>
      <c r="BM273" s="18"/>
      <c r="BN273" s="18"/>
      <c r="BO273" s="18"/>
      <c r="BP273" s="18"/>
      <c r="BQ273" s="18"/>
      <c r="BR273" s="18"/>
      <c r="BS273" s="18"/>
      <c r="BT273" s="18"/>
      <c r="BU273" s="18"/>
      <c r="BV273" s="18"/>
    </row>
    <row r="274" spans="1:74">
      <c r="A274" t="s">
        <v>3140</v>
      </c>
      <c r="B274" t="s">
        <v>2987</v>
      </c>
      <c r="S274" s="74"/>
      <c r="BG274" s="18"/>
      <c r="BH274" s="18"/>
      <c r="BI274" s="18"/>
      <c r="BJ274" s="18"/>
      <c r="BK274" s="18"/>
      <c r="BL274" s="18"/>
      <c r="BM274" s="18"/>
      <c r="BN274" s="18"/>
      <c r="BO274" s="18"/>
      <c r="BP274" s="18"/>
      <c r="BQ274" s="18"/>
      <c r="BR274" s="18"/>
      <c r="BS274" s="18"/>
      <c r="BT274" s="18"/>
      <c r="BU274" s="18"/>
      <c r="BV274" s="18"/>
    </row>
    <row r="275" spans="1:74">
      <c r="A275" t="s">
        <v>4360</v>
      </c>
      <c r="B275" t="s">
        <v>4361</v>
      </c>
      <c r="S275" s="74"/>
      <c r="BG275" s="18"/>
      <c r="BH275" s="18"/>
      <c r="BI275" s="18"/>
      <c r="BJ275" s="18"/>
      <c r="BK275" s="18"/>
      <c r="BL275" s="18"/>
      <c r="BM275" s="18"/>
      <c r="BN275" s="18"/>
      <c r="BO275" s="18"/>
      <c r="BP275" s="18"/>
      <c r="BQ275" s="18"/>
      <c r="BR275" s="18"/>
      <c r="BS275" s="18"/>
      <c r="BT275" s="18"/>
      <c r="BU275" s="18"/>
      <c r="BV275" s="18"/>
    </row>
    <row r="276" spans="1:74">
      <c r="A276" t="s">
        <v>4362</v>
      </c>
      <c r="B276" t="s">
        <v>4363</v>
      </c>
      <c r="S276" s="74"/>
      <c r="BG276" s="18"/>
      <c r="BH276" s="18"/>
      <c r="BI276" s="18"/>
      <c r="BJ276" s="18"/>
      <c r="BK276" s="18"/>
      <c r="BL276" s="18"/>
      <c r="BM276" s="18"/>
      <c r="BN276" s="18"/>
      <c r="BO276" s="18"/>
      <c r="BP276" s="18"/>
      <c r="BQ276" s="18"/>
      <c r="BR276" s="18"/>
      <c r="BS276" s="18"/>
      <c r="BT276" s="18"/>
      <c r="BU276" s="18"/>
      <c r="BV276" s="18"/>
    </row>
    <row r="277" spans="1:74">
      <c r="A277" t="s">
        <v>4364</v>
      </c>
      <c r="B277" t="s">
        <v>4365</v>
      </c>
      <c r="S277" s="74"/>
      <c r="BG277" s="18"/>
      <c r="BH277" s="18"/>
      <c r="BI277" s="18"/>
      <c r="BJ277" s="18"/>
      <c r="BK277" s="18"/>
      <c r="BL277" s="18"/>
      <c r="BM277" s="18"/>
      <c r="BN277" s="18"/>
      <c r="BO277" s="18"/>
      <c r="BP277" s="18"/>
      <c r="BQ277" s="18"/>
      <c r="BR277" s="18"/>
      <c r="BS277" s="18"/>
      <c r="BT277" s="18"/>
      <c r="BU277" s="18"/>
      <c r="BV277" s="18"/>
    </row>
    <row r="278" spans="1:74">
      <c r="A278" t="s">
        <v>4366</v>
      </c>
      <c r="B278" t="s">
        <v>4367</v>
      </c>
      <c r="S278" s="74"/>
      <c r="BG278" s="18"/>
      <c r="BH278" s="18"/>
      <c r="BI278" s="18"/>
      <c r="BJ278" s="18"/>
      <c r="BK278" s="18"/>
      <c r="BL278" s="18"/>
      <c r="BM278" s="18"/>
      <c r="BN278" s="18"/>
      <c r="BO278" s="18"/>
      <c r="BP278" s="18"/>
      <c r="BQ278" s="18"/>
      <c r="BR278" s="18"/>
      <c r="BS278" s="18"/>
      <c r="BT278" s="18"/>
      <c r="BU278" s="18"/>
      <c r="BV278" s="18"/>
    </row>
    <row r="279" spans="1:74">
      <c r="A279" t="s">
        <v>4368</v>
      </c>
      <c r="B279" t="s">
        <v>4369</v>
      </c>
      <c r="S279" s="74"/>
      <c r="BG279" s="18"/>
      <c r="BH279" s="18"/>
      <c r="BI279" s="18"/>
      <c r="BJ279" s="18"/>
      <c r="BK279" s="18"/>
      <c r="BL279" s="18"/>
      <c r="BM279" s="18"/>
      <c r="BN279" s="18"/>
      <c r="BO279" s="18"/>
      <c r="BP279" s="18"/>
      <c r="BQ279" s="18"/>
      <c r="BR279" s="18"/>
      <c r="BS279" s="18"/>
      <c r="BT279" s="18"/>
      <c r="BU279" s="18"/>
      <c r="BV279" s="18"/>
    </row>
    <row r="280" spans="1:74">
      <c r="A280" t="s">
        <v>4370</v>
      </c>
      <c r="B280" t="s">
        <v>4371</v>
      </c>
      <c r="S280" s="74"/>
      <c r="BG280" s="18"/>
      <c r="BH280" s="18"/>
      <c r="BI280" s="18"/>
      <c r="BJ280" s="18"/>
      <c r="BK280" s="18"/>
      <c r="BL280" s="18"/>
      <c r="BM280" s="18"/>
      <c r="BN280" s="18"/>
      <c r="BO280" s="18"/>
      <c r="BP280" s="18"/>
      <c r="BQ280" s="18"/>
      <c r="BR280" s="18"/>
      <c r="BS280" s="18"/>
      <c r="BT280" s="18"/>
      <c r="BU280" s="18"/>
      <c r="BV280" s="18"/>
    </row>
    <row r="281" spans="1:74">
      <c r="A281" t="s">
        <v>4372</v>
      </c>
      <c r="B281" t="s">
        <v>4373</v>
      </c>
      <c r="S281" s="74"/>
      <c r="BG281" s="18"/>
      <c r="BH281" s="18"/>
      <c r="BI281" s="18"/>
      <c r="BJ281" s="18"/>
      <c r="BK281" s="18"/>
      <c r="BL281" s="18"/>
      <c r="BM281" s="18"/>
      <c r="BN281" s="18"/>
      <c r="BO281" s="18"/>
      <c r="BP281" s="18"/>
      <c r="BQ281" s="18"/>
      <c r="BR281" s="18"/>
      <c r="BS281" s="18"/>
      <c r="BT281" s="18"/>
      <c r="BU281" s="18"/>
      <c r="BV281" s="18"/>
    </row>
    <row r="282" spans="1:74">
      <c r="A282" t="s">
        <v>4374</v>
      </c>
      <c r="B282" t="s">
        <v>4375</v>
      </c>
      <c r="S282" s="74"/>
      <c r="BG282" s="18"/>
      <c r="BH282" s="18"/>
      <c r="BI282" s="18"/>
      <c r="BJ282" s="18"/>
      <c r="BK282" s="18"/>
      <c r="BL282" s="18"/>
      <c r="BM282" s="18"/>
      <c r="BN282" s="18"/>
      <c r="BO282" s="18"/>
      <c r="BP282" s="18"/>
      <c r="BQ282" s="18"/>
      <c r="BR282" s="18"/>
      <c r="BS282" s="18"/>
      <c r="BT282" s="18"/>
      <c r="BU282" s="18"/>
      <c r="BV282" s="18"/>
    </row>
    <row r="283" spans="1:74">
      <c r="A283" t="s">
        <v>4376</v>
      </c>
      <c r="B283" t="s">
        <v>4377</v>
      </c>
      <c r="S283" s="74"/>
      <c r="BG283" s="18"/>
      <c r="BH283" s="18"/>
      <c r="BI283" s="18"/>
      <c r="BJ283" s="18"/>
      <c r="BK283" s="18"/>
      <c r="BL283" s="18"/>
      <c r="BM283" s="18"/>
      <c r="BN283" s="18"/>
      <c r="BO283" s="18"/>
      <c r="BP283" s="18"/>
      <c r="BQ283" s="18"/>
      <c r="BR283" s="18"/>
      <c r="BS283" s="18"/>
      <c r="BT283" s="18"/>
      <c r="BU283" s="18"/>
      <c r="BV283" s="18"/>
    </row>
    <row r="284" spans="1:74">
      <c r="A284" t="s">
        <v>4378</v>
      </c>
      <c r="B284" t="s">
        <v>4379</v>
      </c>
      <c r="S284" s="74"/>
      <c r="BG284" s="18"/>
      <c r="BH284" s="18"/>
      <c r="BI284" s="18"/>
      <c r="BJ284" s="18"/>
      <c r="BK284" s="18"/>
      <c r="BL284" s="18"/>
      <c r="BM284" s="18"/>
      <c r="BN284" s="18"/>
      <c r="BO284" s="18"/>
      <c r="BP284" s="18"/>
      <c r="BQ284" s="18"/>
      <c r="BR284" s="18"/>
      <c r="BS284" s="18"/>
      <c r="BT284" s="18"/>
      <c r="BU284" s="18"/>
      <c r="BV284" s="18"/>
    </row>
    <row r="285" spans="1:74">
      <c r="A285" t="s">
        <v>4380</v>
      </c>
      <c r="B285" t="s">
        <v>4381</v>
      </c>
      <c r="S285" s="74"/>
      <c r="BG285" s="18"/>
      <c r="BH285" s="18"/>
      <c r="BI285" s="18"/>
      <c r="BJ285" s="18"/>
      <c r="BK285" s="18"/>
      <c r="BL285" s="18"/>
      <c r="BM285" s="18"/>
      <c r="BN285" s="18"/>
      <c r="BO285" s="18"/>
      <c r="BP285" s="18"/>
      <c r="BQ285" s="18"/>
      <c r="BR285" s="18"/>
      <c r="BS285" s="18"/>
      <c r="BT285" s="18"/>
      <c r="BU285" s="18"/>
      <c r="BV285" s="18"/>
    </row>
    <row r="286" spans="1:74">
      <c r="A286" t="s">
        <v>4382</v>
      </c>
      <c r="B286" t="s">
        <v>4383</v>
      </c>
      <c r="S286" s="74"/>
      <c r="BG286" s="18"/>
      <c r="BH286" s="18"/>
      <c r="BI286" s="18"/>
      <c r="BJ286" s="18"/>
      <c r="BK286" s="18"/>
      <c r="BL286" s="18"/>
      <c r="BM286" s="18"/>
      <c r="BN286" s="18"/>
      <c r="BO286" s="18"/>
      <c r="BP286" s="18"/>
      <c r="BQ286" s="18"/>
      <c r="BR286" s="18"/>
      <c r="BS286" s="18"/>
      <c r="BT286" s="18"/>
      <c r="BU286" s="18"/>
      <c r="BV286" s="18"/>
    </row>
    <row r="287" spans="1:74">
      <c r="A287" t="s">
        <v>4384</v>
      </c>
      <c r="B287" t="s">
        <v>4385</v>
      </c>
      <c r="S287" s="74"/>
      <c r="BG287" s="18"/>
      <c r="BH287" s="18"/>
      <c r="BI287" s="18"/>
      <c r="BJ287" s="18"/>
      <c r="BK287" s="18"/>
      <c r="BL287" s="18"/>
      <c r="BM287" s="18"/>
      <c r="BN287" s="18"/>
      <c r="BO287" s="18"/>
      <c r="BP287" s="18"/>
      <c r="BQ287" s="18"/>
      <c r="BR287" s="18"/>
      <c r="BS287" s="18"/>
      <c r="BT287" s="18"/>
      <c r="BU287" s="18"/>
      <c r="BV287" s="18"/>
    </row>
    <row r="288" spans="1:74">
      <c r="A288" t="s">
        <v>4386</v>
      </c>
      <c r="B288" t="s">
        <v>4387</v>
      </c>
      <c r="S288" s="74"/>
      <c r="BG288" s="18"/>
      <c r="BH288" s="18"/>
      <c r="BI288" s="18"/>
      <c r="BJ288" s="18"/>
      <c r="BK288" s="18"/>
      <c r="BL288" s="18"/>
      <c r="BM288" s="18"/>
      <c r="BN288" s="18"/>
      <c r="BO288" s="18"/>
      <c r="BP288" s="18"/>
      <c r="BQ288" s="18"/>
      <c r="BR288" s="18"/>
      <c r="BS288" s="18"/>
      <c r="BT288" s="18"/>
      <c r="BU288" s="18"/>
      <c r="BV288" s="18"/>
    </row>
    <row r="289" spans="1:74">
      <c r="A289" t="s">
        <v>4388</v>
      </c>
      <c r="B289" t="s">
        <v>4389</v>
      </c>
      <c r="S289" s="74"/>
      <c r="BG289" s="18"/>
      <c r="BH289" s="18"/>
      <c r="BI289" s="18"/>
      <c r="BJ289" s="18"/>
      <c r="BK289" s="18"/>
      <c r="BL289" s="18"/>
      <c r="BM289" s="18"/>
      <c r="BN289" s="18"/>
      <c r="BO289" s="18"/>
      <c r="BP289" s="18"/>
      <c r="BQ289" s="18"/>
      <c r="BR289" s="18"/>
      <c r="BS289" s="18"/>
      <c r="BT289" s="18"/>
      <c r="BU289" s="18"/>
      <c r="BV289" s="18"/>
    </row>
    <row r="290" spans="1:74">
      <c r="A290" t="s">
        <v>4390</v>
      </c>
      <c r="B290" t="s">
        <v>4391</v>
      </c>
      <c r="S290" s="74"/>
      <c r="BG290" s="18"/>
      <c r="BH290" s="18"/>
      <c r="BI290" s="18"/>
      <c r="BJ290" s="18"/>
      <c r="BK290" s="18"/>
      <c r="BL290" s="18"/>
      <c r="BM290" s="18"/>
      <c r="BN290" s="18"/>
      <c r="BO290" s="18"/>
      <c r="BP290" s="18"/>
      <c r="BQ290" s="18"/>
      <c r="BR290" s="18"/>
      <c r="BS290" s="18"/>
      <c r="BT290" s="18"/>
      <c r="BU290" s="18"/>
      <c r="BV290" s="18"/>
    </row>
    <row r="291" spans="1:74">
      <c r="A291" t="s">
        <v>4392</v>
      </c>
      <c r="B291" t="s">
        <v>4393</v>
      </c>
      <c r="S291" s="74"/>
      <c r="BG291" s="18"/>
      <c r="BH291" s="18"/>
      <c r="BI291" s="18"/>
      <c r="BJ291" s="18"/>
      <c r="BK291" s="18"/>
      <c r="BL291" s="18"/>
      <c r="BM291" s="18"/>
      <c r="BN291" s="18"/>
      <c r="BO291" s="18"/>
      <c r="BP291" s="18"/>
      <c r="BQ291" s="18"/>
      <c r="BR291" s="18"/>
      <c r="BS291" s="18"/>
      <c r="BT291" s="18"/>
      <c r="BU291" s="18"/>
      <c r="BV291" s="18"/>
    </row>
    <row r="292" spans="1:74">
      <c r="A292" t="s">
        <v>4394</v>
      </c>
      <c r="B292" t="s">
        <v>4395</v>
      </c>
      <c r="S292" s="74"/>
      <c r="BG292" s="18"/>
      <c r="BH292" s="18"/>
      <c r="BI292" s="18"/>
      <c r="BJ292" s="18"/>
      <c r="BK292" s="18"/>
      <c r="BL292" s="18"/>
      <c r="BM292" s="18"/>
      <c r="BN292" s="18"/>
      <c r="BO292" s="18"/>
      <c r="BP292" s="18"/>
      <c r="BQ292" s="18"/>
      <c r="BR292" s="18"/>
      <c r="BS292" s="18"/>
      <c r="BT292" s="18"/>
      <c r="BU292" s="18"/>
      <c r="BV292" s="18"/>
    </row>
    <row r="293" spans="1:74">
      <c r="A293" t="s">
        <v>4396</v>
      </c>
      <c r="B293" t="s">
        <v>4397</v>
      </c>
      <c r="S293" s="74"/>
      <c r="BG293" s="18"/>
      <c r="BH293" s="18"/>
      <c r="BI293" s="18"/>
      <c r="BJ293" s="18"/>
      <c r="BK293" s="18"/>
      <c r="BL293" s="18"/>
      <c r="BM293" s="18"/>
      <c r="BN293" s="18"/>
      <c r="BO293" s="18"/>
      <c r="BP293" s="18"/>
      <c r="BQ293" s="18"/>
      <c r="BR293" s="18"/>
      <c r="BS293" s="18"/>
      <c r="BT293" s="18"/>
      <c r="BU293" s="18"/>
      <c r="BV293" s="18"/>
    </row>
    <row r="294" spans="1:74">
      <c r="A294" t="s">
        <v>4398</v>
      </c>
      <c r="B294" t="s">
        <v>4399</v>
      </c>
      <c r="S294" s="74"/>
      <c r="BG294" s="18"/>
      <c r="BH294" s="18"/>
      <c r="BI294" s="18"/>
      <c r="BJ294" s="18"/>
      <c r="BK294" s="18"/>
      <c r="BL294" s="18"/>
      <c r="BM294" s="18"/>
      <c r="BN294" s="18"/>
      <c r="BO294" s="18"/>
      <c r="BP294" s="18"/>
      <c r="BQ294" s="18"/>
      <c r="BR294" s="18"/>
      <c r="BS294" s="18"/>
      <c r="BT294" s="18"/>
      <c r="BU294" s="18"/>
      <c r="BV294" s="18"/>
    </row>
    <row r="295" spans="1:74">
      <c r="A295" t="s">
        <v>4400</v>
      </c>
      <c r="B295" t="s">
        <v>4401</v>
      </c>
      <c r="S295" s="74"/>
      <c r="BG295" s="18"/>
      <c r="BH295" s="18"/>
      <c r="BI295" s="18"/>
      <c r="BJ295" s="18"/>
      <c r="BK295" s="18"/>
      <c r="BL295" s="18"/>
      <c r="BM295" s="18"/>
      <c r="BN295" s="18"/>
      <c r="BO295" s="18"/>
      <c r="BP295" s="18"/>
      <c r="BQ295" s="18"/>
      <c r="BR295" s="18"/>
      <c r="BS295" s="18"/>
      <c r="BT295" s="18"/>
      <c r="BU295" s="18"/>
      <c r="BV295" s="18"/>
    </row>
    <row r="296" spans="1:74">
      <c r="A296" t="s">
        <v>4402</v>
      </c>
      <c r="B296" t="s">
        <v>4403</v>
      </c>
      <c r="S296" s="74"/>
      <c r="BG296" s="18"/>
      <c r="BH296" s="18"/>
      <c r="BI296" s="18"/>
      <c r="BJ296" s="18"/>
      <c r="BK296" s="18"/>
      <c r="BL296" s="18"/>
      <c r="BM296" s="18"/>
      <c r="BN296" s="18"/>
      <c r="BO296" s="18"/>
      <c r="BP296" s="18"/>
      <c r="BQ296" s="18"/>
      <c r="BR296" s="18"/>
      <c r="BS296" s="18"/>
      <c r="BT296" s="18"/>
      <c r="BU296" s="18"/>
      <c r="BV296" s="18"/>
    </row>
    <row r="297" spans="1:74">
      <c r="A297" t="s">
        <v>4404</v>
      </c>
      <c r="B297" t="s">
        <v>4405</v>
      </c>
      <c r="S297" s="74"/>
      <c r="BG297" s="18"/>
      <c r="BH297" s="18"/>
      <c r="BI297" s="18"/>
      <c r="BJ297" s="18"/>
      <c r="BK297" s="18"/>
      <c r="BL297" s="18"/>
      <c r="BM297" s="18"/>
      <c r="BN297" s="18"/>
      <c r="BO297" s="18"/>
      <c r="BP297" s="18"/>
      <c r="BQ297" s="18"/>
      <c r="BR297" s="18"/>
      <c r="BS297" s="18"/>
      <c r="BT297" s="18"/>
      <c r="BU297" s="18"/>
      <c r="BV297" s="18"/>
    </row>
    <row r="298" spans="1:74">
      <c r="A298" t="s">
        <v>4406</v>
      </c>
      <c r="B298" t="s">
        <v>4407</v>
      </c>
      <c r="S298" s="74"/>
      <c r="BG298" s="18"/>
      <c r="BH298" s="18"/>
      <c r="BI298" s="18"/>
      <c r="BJ298" s="18"/>
      <c r="BK298" s="18"/>
      <c r="BL298" s="18"/>
      <c r="BM298" s="18"/>
      <c r="BN298" s="18"/>
      <c r="BO298" s="18"/>
      <c r="BP298" s="18"/>
      <c r="BQ298" s="18"/>
      <c r="BR298" s="18"/>
      <c r="BS298" s="18"/>
      <c r="BT298" s="18"/>
      <c r="BU298" s="18"/>
      <c r="BV298" s="18"/>
    </row>
    <row r="299" spans="1:74">
      <c r="A299" t="s">
        <v>4408</v>
      </c>
      <c r="B299" t="s">
        <v>4409</v>
      </c>
      <c r="S299" s="74"/>
      <c r="BG299" s="18"/>
      <c r="BH299" s="18"/>
      <c r="BI299" s="18"/>
      <c r="BJ299" s="18"/>
      <c r="BK299" s="18"/>
      <c r="BL299" s="18"/>
      <c r="BM299" s="18"/>
      <c r="BN299" s="18"/>
      <c r="BO299" s="18"/>
      <c r="BP299" s="18"/>
      <c r="BQ299" s="18"/>
      <c r="BR299" s="18"/>
      <c r="BS299" s="18"/>
      <c r="BT299" s="18"/>
      <c r="BU299" s="18"/>
      <c r="BV299" s="18"/>
    </row>
    <row r="300" spans="1:74">
      <c r="A300" t="s">
        <v>4410</v>
      </c>
      <c r="B300" t="s">
        <v>4411</v>
      </c>
      <c r="S300" s="74"/>
      <c r="BG300" s="18"/>
      <c r="BH300" s="18"/>
      <c r="BI300" s="18"/>
      <c r="BJ300" s="18"/>
      <c r="BK300" s="18"/>
      <c r="BL300" s="18"/>
      <c r="BM300" s="18"/>
      <c r="BN300" s="18"/>
      <c r="BO300" s="18"/>
      <c r="BP300" s="18"/>
      <c r="BQ300" s="18"/>
      <c r="BR300" s="18"/>
      <c r="BS300" s="18"/>
      <c r="BT300" s="18"/>
      <c r="BU300" s="18"/>
      <c r="BV300" s="18"/>
    </row>
    <row r="301" spans="1:74">
      <c r="A301" t="s">
        <v>2554</v>
      </c>
      <c r="B301" t="s">
        <v>2625</v>
      </c>
      <c r="S301" s="74"/>
      <c r="BG301" s="18"/>
      <c r="BH301" s="18"/>
      <c r="BI301" s="18"/>
      <c r="BJ301" s="18"/>
      <c r="BK301" s="18"/>
      <c r="BL301" s="18"/>
      <c r="BM301" s="18"/>
      <c r="BN301" s="18"/>
      <c r="BO301" s="18"/>
      <c r="BP301" s="18"/>
      <c r="BQ301" s="18"/>
      <c r="BR301" s="18"/>
      <c r="BS301" s="18"/>
      <c r="BT301" s="18"/>
      <c r="BU301" s="18"/>
      <c r="BV301" s="18"/>
    </row>
    <row r="302" spans="1:74">
      <c r="A302" t="s">
        <v>2554</v>
      </c>
      <c r="B302" t="s">
        <v>2712</v>
      </c>
      <c r="S302" s="74"/>
      <c r="BG302" s="18"/>
      <c r="BH302" s="18"/>
      <c r="BI302" s="18"/>
      <c r="BJ302" s="18"/>
      <c r="BK302" s="18"/>
      <c r="BL302" s="18"/>
      <c r="BM302" s="18"/>
      <c r="BN302" s="18"/>
      <c r="BO302" s="18"/>
      <c r="BP302" s="18"/>
      <c r="BQ302" s="18"/>
      <c r="BR302" s="18"/>
      <c r="BS302" s="18"/>
      <c r="BT302" s="18"/>
      <c r="BU302" s="18"/>
      <c r="BV302" s="18"/>
    </row>
    <row r="303" spans="1:74">
      <c r="A303" t="s">
        <v>2554</v>
      </c>
      <c r="B303" t="s">
        <v>2626</v>
      </c>
      <c r="S303" s="74"/>
      <c r="BG303" s="18"/>
      <c r="BH303" s="18"/>
      <c r="BI303" s="18"/>
      <c r="BJ303" s="18"/>
      <c r="BK303" s="18"/>
      <c r="BL303" s="18"/>
      <c r="BM303" s="18"/>
      <c r="BN303" s="18"/>
      <c r="BO303" s="18"/>
      <c r="BP303" s="18"/>
      <c r="BQ303" s="18"/>
      <c r="BR303" s="18"/>
      <c r="BS303" s="18"/>
      <c r="BT303" s="18"/>
      <c r="BU303" s="18"/>
      <c r="BV303" s="18"/>
    </row>
    <row r="304" spans="1:74">
      <c r="A304" t="s">
        <v>2554</v>
      </c>
      <c r="B304" t="s">
        <v>2711</v>
      </c>
      <c r="S304" s="74"/>
      <c r="BG304" s="18"/>
      <c r="BH304" s="18"/>
      <c r="BI304" s="18"/>
      <c r="BJ304" s="18"/>
      <c r="BK304" s="18"/>
      <c r="BL304" s="18"/>
      <c r="BM304" s="18"/>
      <c r="BN304" s="18"/>
      <c r="BO304" s="18"/>
      <c r="BP304" s="18"/>
      <c r="BQ304" s="18"/>
      <c r="BR304" s="18"/>
      <c r="BS304" s="18"/>
      <c r="BT304" s="18"/>
      <c r="BU304" s="18"/>
      <c r="BV304" s="18"/>
    </row>
    <row r="305" spans="1:74">
      <c r="A305" t="s">
        <v>2555</v>
      </c>
      <c r="B305" t="s">
        <v>2989</v>
      </c>
      <c r="S305" s="74"/>
      <c r="BG305" s="18"/>
      <c r="BH305" s="18"/>
      <c r="BI305" s="18"/>
      <c r="BJ305" s="18"/>
      <c r="BK305" s="18"/>
      <c r="BL305" s="18"/>
      <c r="BM305" s="18"/>
      <c r="BN305" s="18"/>
      <c r="BO305" s="18"/>
      <c r="BP305" s="18"/>
      <c r="BQ305" s="18"/>
      <c r="BR305" s="18"/>
      <c r="BS305" s="18"/>
      <c r="BT305" s="18"/>
      <c r="BU305" s="18"/>
      <c r="BV305" s="18"/>
    </row>
    <row r="306" spans="1:74">
      <c r="A306" t="s">
        <v>2555</v>
      </c>
      <c r="B306" t="s">
        <v>2992</v>
      </c>
      <c r="S306" s="74"/>
      <c r="BG306" s="18"/>
      <c r="BH306" s="18"/>
      <c r="BI306" s="18"/>
      <c r="BJ306" s="18"/>
      <c r="BK306" s="18"/>
      <c r="BL306" s="18"/>
      <c r="BM306" s="18"/>
      <c r="BN306" s="18"/>
      <c r="BO306" s="18"/>
      <c r="BP306" s="18"/>
      <c r="BQ306" s="18"/>
      <c r="BR306" s="18"/>
      <c r="BS306" s="18"/>
      <c r="BT306" s="18"/>
      <c r="BU306" s="18"/>
      <c r="BV306" s="18"/>
    </row>
    <row r="307" spans="1:74">
      <c r="A307" t="s">
        <v>2555</v>
      </c>
      <c r="B307" t="s">
        <v>2628</v>
      </c>
      <c r="S307" s="74"/>
      <c r="BG307" s="18"/>
      <c r="BH307" s="18"/>
      <c r="BI307" s="18"/>
      <c r="BJ307" s="18"/>
      <c r="BK307" s="18"/>
      <c r="BL307" s="18"/>
      <c r="BM307" s="18"/>
      <c r="BN307" s="18"/>
      <c r="BO307" s="18"/>
      <c r="BP307" s="18"/>
      <c r="BQ307" s="18"/>
      <c r="BR307" s="18"/>
      <c r="BS307" s="18"/>
      <c r="BT307" s="18"/>
      <c r="BU307" s="18"/>
      <c r="BV307" s="18"/>
    </row>
    <row r="308" spans="1:74">
      <c r="A308" t="s">
        <v>2555</v>
      </c>
      <c r="B308" t="s">
        <v>2627</v>
      </c>
      <c r="S308" s="74"/>
      <c r="BG308" s="18"/>
      <c r="BH308" s="18"/>
      <c r="BI308" s="18"/>
      <c r="BJ308" s="18"/>
      <c r="BK308" s="18"/>
      <c r="BL308" s="18"/>
      <c r="BM308" s="18"/>
      <c r="BN308" s="18"/>
      <c r="BO308" s="18"/>
      <c r="BP308" s="18"/>
      <c r="BQ308" s="18"/>
      <c r="BR308" s="18"/>
      <c r="BS308" s="18"/>
      <c r="BT308" s="18"/>
      <c r="BU308" s="18"/>
      <c r="BV308" s="18"/>
    </row>
    <row r="309" spans="1:74">
      <c r="A309" t="s">
        <v>2555</v>
      </c>
      <c r="B309" t="s">
        <v>2990</v>
      </c>
      <c r="S309" s="74"/>
      <c r="BG309" s="18"/>
      <c r="BH309" s="18"/>
      <c r="BI309" s="18"/>
      <c r="BJ309" s="18"/>
      <c r="BK309" s="18"/>
      <c r="BL309" s="18"/>
      <c r="BM309" s="18"/>
      <c r="BN309" s="18"/>
      <c r="BO309" s="18"/>
      <c r="BP309" s="18"/>
      <c r="BQ309" s="18"/>
      <c r="BR309" s="18"/>
      <c r="BS309" s="18"/>
      <c r="BT309" s="18"/>
      <c r="BU309" s="18"/>
      <c r="BV309" s="18"/>
    </row>
    <row r="310" spans="1:74">
      <c r="A310" t="s">
        <v>2555</v>
      </c>
      <c r="B310" t="s">
        <v>2988</v>
      </c>
      <c r="BG310" s="18"/>
      <c r="BH310" s="18"/>
      <c r="BI310" s="18"/>
      <c r="BJ310" s="18"/>
      <c r="BK310" s="18"/>
      <c r="BL310" s="18"/>
      <c r="BM310" s="18"/>
      <c r="BN310" s="18"/>
      <c r="BO310" s="18"/>
      <c r="BP310" s="18"/>
      <c r="BQ310" s="18"/>
      <c r="BR310" s="18"/>
      <c r="BS310" s="18"/>
      <c r="BT310" s="18"/>
      <c r="BU310" s="18"/>
      <c r="BV310" s="18"/>
    </row>
    <row r="311" spans="1:74">
      <c r="A311" t="s">
        <v>2555</v>
      </c>
      <c r="B311" t="s">
        <v>2713</v>
      </c>
      <c r="BG311" s="18"/>
      <c r="BH311" s="18"/>
      <c r="BI311" s="18"/>
      <c r="BJ311" s="18"/>
      <c r="BK311" s="18"/>
      <c r="BL311" s="18"/>
      <c r="BM311" s="18"/>
      <c r="BN311" s="18"/>
      <c r="BO311" s="18"/>
      <c r="BP311" s="18"/>
      <c r="BQ311" s="18"/>
      <c r="BR311" s="18"/>
      <c r="BS311" s="18"/>
      <c r="BT311" s="18"/>
      <c r="BU311" s="18"/>
      <c r="BV311" s="18"/>
    </row>
    <row r="312" spans="1:74">
      <c r="A312" t="s">
        <v>2555</v>
      </c>
      <c r="B312" t="s">
        <v>2991</v>
      </c>
      <c r="BG312" s="18"/>
      <c r="BH312" s="18"/>
      <c r="BI312" s="18"/>
      <c r="BJ312" s="18"/>
      <c r="BK312" s="18"/>
      <c r="BL312" s="18"/>
      <c r="BM312" s="18"/>
      <c r="BN312" s="18"/>
      <c r="BO312" s="18"/>
      <c r="BP312" s="18"/>
      <c r="BQ312" s="18"/>
      <c r="BR312" s="18"/>
      <c r="BS312" s="18"/>
      <c r="BT312" s="18"/>
      <c r="BU312" s="18"/>
      <c r="BV312" s="18"/>
    </row>
    <row r="313" spans="1:74">
      <c r="A313" t="s">
        <v>3141</v>
      </c>
      <c r="B313" t="s">
        <v>2993</v>
      </c>
      <c r="BG313" s="18"/>
      <c r="BH313" s="18"/>
      <c r="BI313" s="18"/>
      <c r="BJ313" s="18"/>
      <c r="BK313" s="18"/>
      <c r="BL313" s="18"/>
      <c r="BM313" s="18"/>
      <c r="BN313" s="18"/>
      <c r="BO313" s="18"/>
      <c r="BP313" s="18"/>
      <c r="BQ313" s="18"/>
      <c r="BR313" s="18"/>
      <c r="BS313" s="18"/>
      <c r="BT313" s="18"/>
      <c r="BU313" s="18"/>
      <c r="BV313" s="18"/>
    </row>
    <row r="314" spans="1:74">
      <c r="A314" t="s">
        <v>4461</v>
      </c>
      <c r="B314" t="s">
        <v>4462</v>
      </c>
      <c r="BG314" s="18"/>
      <c r="BH314" s="18"/>
      <c r="BI314" s="18"/>
      <c r="BJ314" s="18"/>
      <c r="BK314" s="18"/>
      <c r="BL314" s="18"/>
      <c r="BM314" s="18"/>
      <c r="BN314" s="18"/>
      <c r="BO314" s="18"/>
      <c r="BP314" s="18"/>
      <c r="BQ314" s="18"/>
      <c r="BR314" s="18"/>
      <c r="BS314" s="18"/>
      <c r="BT314" s="18"/>
      <c r="BU314" s="18"/>
      <c r="BV314" s="18"/>
    </row>
    <row r="315" spans="1:74">
      <c r="A315" t="s">
        <v>3142</v>
      </c>
      <c r="B315" t="s">
        <v>2994</v>
      </c>
      <c r="BG315" s="18"/>
      <c r="BH315" s="18"/>
      <c r="BI315" s="18"/>
      <c r="BJ315" s="18"/>
      <c r="BK315" s="18"/>
      <c r="BL315" s="18"/>
      <c r="BM315" s="18"/>
      <c r="BN315" s="18"/>
      <c r="BO315" s="18"/>
      <c r="BP315" s="18"/>
      <c r="BQ315" s="18"/>
      <c r="BR315" s="18"/>
      <c r="BS315" s="18"/>
      <c r="BT315" s="18"/>
      <c r="BU315" s="18"/>
      <c r="BV315" s="18"/>
    </row>
    <row r="316" spans="1:74">
      <c r="A316" t="s">
        <v>3142</v>
      </c>
      <c r="B316" t="s">
        <v>2996</v>
      </c>
      <c r="BG316" s="18"/>
      <c r="BH316" s="18"/>
      <c r="BI316" s="18"/>
      <c r="BJ316" s="18"/>
      <c r="BK316" s="18"/>
      <c r="BL316" s="18"/>
      <c r="BM316" s="18"/>
      <c r="BN316" s="18"/>
      <c r="BO316" s="18"/>
      <c r="BP316" s="18"/>
      <c r="BQ316" s="18"/>
      <c r="BR316" s="18"/>
      <c r="BS316" s="18"/>
      <c r="BT316" s="18"/>
      <c r="BU316" s="18"/>
      <c r="BV316" s="18"/>
    </row>
    <row r="317" spans="1:74">
      <c r="A317" t="s">
        <v>3142</v>
      </c>
      <c r="B317" t="s">
        <v>2995</v>
      </c>
      <c r="BG317" s="18"/>
      <c r="BH317" s="18"/>
      <c r="BI317" s="18"/>
      <c r="BJ317" s="18"/>
      <c r="BK317" s="18"/>
      <c r="BL317" s="18"/>
      <c r="BM317" s="18"/>
      <c r="BN317" s="18"/>
      <c r="BO317" s="18"/>
      <c r="BP317" s="18"/>
      <c r="BQ317" s="18"/>
      <c r="BR317" s="18"/>
      <c r="BS317" s="18"/>
      <c r="BT317" s="18"/>
      <c r="BU317" s="18"/>
      <c r="BV317" s="18"/>
    </row>
    <row r="318" spans="1:74">
      <c r="A318" t="s">
        <v>2556</v>
      </c>
      <c r="B318" t="s">
        <v>2629</v>
      </c>
      <c r="BG318" s="18"/>
      <c r="BH318" s="18"/>
      <c r="BI318" s="18"/>
      <c r="BJ318" s="18"/>
      <c r="BK318" s="18"/>
      <c r="BL318" s="18"/>
      <c r="BM318" s="18"/>
      <c r="BN318" s="18"/>
      <c r="BO318" s="18"/>
      <c r="BP318" s="18"/>
      <c r="BQ318" s="18"/>
      <c r="BR318" s="18"/>
      <c r="BS318" s="18"/>
      <c r="BT318" s="18"/>
      <c r="BU318" s="18"/>
      <c r="BV318" s="18"/>
    </row>
    <row r="319" spans="1:74">
      <c r="A319" t="s">
        <v>3143</v>
      </c>
      <c r="B319" t="s">
        <v>2997</v>
      </c>
      <c r="BG319" s="18"/>
      <c r="BH319" s="18"/>
      <c r="BI319" s="18"/>
      <c r="BJ319" s="18"/>
      <c r="BK319" s="18"/>
      <c r="BL319" s="18"/>
      <c r="BM319" s="18"/>
      <c r="BN319" s="18"/>
      <c r="BO319" s="18"/>
      <c r="BP319" s="18"/>
      <c r="BQ319" s="18"/>
      <c r="BR319" s="18"/>
      <c r="BS319" s="18"/>
      <c r="BT319" s="18"/>
      <c r="BU319" s="18"/>
      <c r="BV319" s="18"/>
    </row>
    <row r="320" spans="1:74">
      <c r="A320" t="s">
        <v>3144</v>
      </c>
      <c r="B320" t="s">
        <v>2998</v>
      </c>
      <c r="BG320" s="18"/>
      <c r="BH320" s="18"/>
      <c r="BI320" s="18"/>
      <c r="BJ320" s="18"/>
      <c r="BK320" s="18"/>
      <c r="BL320" s="18"/>
      <c r="BM320" s="18"/>
      <c r="BN320" s="18"/>
      <c r="BO320" s="18"/>
      <c r="BP320" s="18"/>
      <c r="BQ320" s="18"/>
      <c r="BR320" s="18"/>
      <c r="BS320" s="18"/>
      <c r="BT320" s="18"/>
      <c r="BU320" s="18"/>
      <c r="BV320" s="18"/>
    </row>
    <row r="321" spans="1:74">
      <c r="A321" t="s">
        <v>4412</v>
      </c>
      <c r="B321" t="s">
        <v>4413</v>
      </c>
      <c r="BG321" s="18"/>
      <c r="BH321" s="18"/>
      <c r="BI321" s="18"/>
      <c r="BJ321" s="18"/>
      <c r="BK321" s="18"/>
      <c r="BL321" s="18"/>
      <c r="BM321" s="18"/>
      <c r="BN321" s="18"/>
      <c r="BO321" s="18"/>
      <c r="BP321" s="18"/>
      <c r="BQ321" s="18"/>
      <c r="BR321" s="18"/>
      <c r="BS321" s="18"/>
      <c r="BT321" s="18"/>
      <c r="BU321" s="18"/>
      <c r="BV321" s="18"/>
    </row>
    <row r="322" spans="1:74">
      <c r="A322" t="s">
        <v>4414</v>
      </c>
      <c r="B322" t="s">
        <v>4415</v>
      </c>
      <c r="BG322" s="18"/>
      <c r="BH322" s="18"/>
      <c r="BI322" s="18"/>
      <c r="BK322" s="18"/>
      <c r="BL322" s="18"/>
      <c r="BM322" s="18"/>
      <c r="BN322" s="18"/>
      <c r="BO322" s="18"/>
      <c r="BP322" s="18"/>
      <c r="BQ322" s="18"/>
      <c r="BR322" s="18"/>
      <c r="BS322" s="18"/>
      <c r="BT322" s="18"/>
      <c r="BU322" s="18"/>
      <c r="BV322" s="18"/>
    </row>
    <row r="323" spans="1:74">
      <c r="A323" t="s">
        <v>2714</v>
      </c>
      <c r="B323" t="s">
        <v>2715</v>
      </c>
      <c r="BG323" s="18"/>
      <c r="BH323" s="18"/>
      <c r="BI323" s="18"/>
      <c r="BJ323" s="18"/>
      <c r="BK323" s="18"/>
      <c r="BL323" s="18"/>
      <c r="BM323" s="18"/>
      <c r="BN323" s="18"/>
      <c r="BO323" s="18"/>
      <c r="BP323" s="18"/>
      <c r="BQ323" s="18"/>
      <c r="BR323" s="18"/>
      <c r="BS323" s="18"/>
      <c r="BT323" s="18"/>
      <c r="BU323" s="18"/>
      <c r="BV323" s="18"/>
    </row>
    <row r="324" spans="1:74">
      <c r="A324" t="s">
        <v>2090</v>
      </c>
      <c r="B324" t="s">
        <v>2999</v>
      </c>
      <c r="BG324" s="18"/>
      <c r="BH324" s="18"/>
      <c r="BI324" s="18"/>
      <c r="BJ324" s="18"/>
      <c r="BK324" s="18"/>
      <c r="BL324" s="18"/>
      <c r="BM324" s="18"/>
      <c r="BN324" s="18"/>
      <c r="BO324" s="18"/>
      <c r="BP324" s="18"/>
      <c r="BQ324" s="18"/>
      <c r="BR324" s="18"/>
      <c r="BS324" s="18"/>
      <c r="BT324" s="18"/>
      <c r="BU324" s="18"/>
      <c r="BV324" s="18"/>
    </row>
    <row r="325" spans="1:74">
      <c r="A325" t="s">
        <v>2090</v>
      </c>
      <c r="B325" t="s">
        <v>2132</v>
      </c>
      <c r="BG325" s="18"/>
      <c r="BH325" s="18"/>
      <c r="BI325" s="18"/>
      <c r="BJ325" s="18"/>
      <c r="BK325" s="18"/>
      <c r="BL325" s="18"/>
      <c r="BM325" s="18"/>
      <c r="BN325" s="18"/>
      <c r="BO325" s="18"/>
      <c r="BP325" s="18"/>
      <c r="BQ325" s="18"/>
      <c r="BR325" s="18"/>
      <c r="BS325" s="18"/>
      <c r="BT325" s="18"/>
      <c r="BU325" s="18"/>
      <c r="BV325" s="18"/>
    </row>
    <row r="326" spans="1:74">
      <c r="A326" t="s">
        <v>2091</v>
      </c>
      <c r="B326" t="s">
        <v>3001</v>
      </c>
      <c r="BG326" s="18"/>
      <c r="BH326" s="18"/>
      <c r="BI326" s="18"/>
      <c r="BJ326" s="18"/>
      <c r="BK326" s="18"/>
      <c r="BL326" s="18"/>
      <c r="BM326" s="18"/>
      <c r="BN326" s="18"/>
      <c r="BO326" s="18"/>
      <c r="BP326" s="18"/>
      <c r="BQ326" s="18"/>
      <c r="BR326" s="18"/>
      <c r="BS326" s="18"/>
      <c r="BT326" s="18"/>
      <c r="BU326" s="18"/>
      <c r="BV326" s="18"/>
    </row>
    <row r="327" spans="1:74">
      <c r="A327" t="s">
        <v>2091</v>
      </c>
      <c r="B327" t="s">
        <v>3000</v>
      </c>
      <c r="BG327" s="18"/>
      <c r="BH327" s="18"/>
      <c r="BI327" s="18"/>
      <c r="BJ327" s="18"/>
      <c r="BK327" s="18"/>
      <c r="BL327" s="18"/>
      <c r="BM327" s="18"/>
      <c r="BN327" s="18"/>
      <c r="BO327" s="18"/>
      <c r="BP327" s="18"/>
      <c r="BQ327" s="18"/>
      <c r="BR327" s="18"/>
      <c r="BS327" s="18"/>
      <c r="BT327" s="18"/>
      <c r="BU327" s="18"/>
      <c r="BV327" s="18"/>
    </row>
    <row r="328" spans="1:74">
      <c r="A328" t="s">
        <v>2091</v>
      </c>
      <c r="B328" t="s">
        <v>3002</v>
      </c>
      <c r="BG328" s="18"/>
      <c r="BH328" s="18"/>
      <c r="BI328" s="18"/>
      <c r="BJ328" s="18"/>
      <c r="BK328" s="18"/>
      <c r="BL328" s="18"/>
      <c r="BM328" s="18"/>
      <c r="BN328" s="18"/>
      <c r="BO328" s="18"/>
      <c r="BP328" s="18"/>
      <c r="BQ328" s="18"/>
      <c r="BR328" s="18"/>
      <c r="BS328" s="18"/>
      <c r="BT328" s="18"/>
      <c r="BU328" s="18"/>
      <c r="BV328" s="18"/>
    </row>
    <row r="329" spans="1:74">
      <c r="A329" t="s">
        <v>2091</v>
      </c>
      <c r="B329" t="s">
        <v>2133</v>
      </c>
      <c r="BG329" s="18"/>
      <c r="BI329" s="18"/>
      <c r="BJ329" s="18"/>
      <c r="BK329" s="18"/>
      <c r="BL329" s="18"/>
      <c r="BM329" s="18"/>
      <c r="BN329" s="18"/>
      <c r="BO329" s="18"/>
      <c r="BP329" s="18"/>
      <c r="BQ329" s="18"/>
      <c r="BR329" s="18"/>
      <c r="BS329" s="18"/>
      <c r="BT329" s="18"/>
      <c r="BU329" s="18"/>
      <c r="BV329" s="18"/>
    </row>
    <row r="330" spans="1:74">
      <c r="A330" t="s">
        <v>3145</v>
      </c>
      <c r="B330" t="s">
        <v>3003</v>
      </c>
      <c r="BG330" s="18"/>
      <c r="BH330" s="18"/>
      <c r="BI330" s="18"/>
      <c r="BJ330" s="18"/>
      <c r="BK330" s="18"/>
      <c r="BL330" s="18"/>
      <c r="BM330" s="18"/>
      <c r="BN330" s="18"/>
      <c r="BO330" s="18"/>
      <c r="BP330" s="18"/>
      <c r="BQ330" s="18"/>
      <c r="BR330" s="18"/>
      <c r="BS330" s="18"/>
      <c r="BT330" s="18"/>
      <c r="BU330" s="18"/>
      <c r="BV330" s="18"/>
    </row>
    <row r="331" spans="1:74">
      <c r="A331" t="s">
        <v>3146</v>
      </c>
      <c r="B331" t="s">
        <v>3004</v>
      </c>
      <c r="BG331" s="18"/>
      <c r="BH331" s="18"/>
      <c r="BJ331" s="18"/>
      <c r="BK331" s="18"/>
    </row>
    <row r="332" spans="1:74">
      <c r="A332" t="s">
        <v>2092</v>
      </c>
      <c r="B332" t="s">
        <v>2134</v>
      </c>
      <c r="BG332" s="18"/>
      <c r="BH332" s="18"/>
      <c r="BI332" s="18"/>
      <c r="BJ332" s="18"/>
      <c r="BK332" s="18"/>
      <c r="BL332" s="18"/>
      <c r="BM332" s="18"/>
      <c r="BN332" s="18"/>
      <c r="BO332" s="18"/>
      <c r="BP332" s="18"/>
      <c r="BQ332" s="18"/>
      <c r="BR332" s="18"/>
      <c r="BS332" s="18"/>
      <c r="BT332" s="18"/>
      <c r="BU332" s="18"/>
      <c r="BV332" s="18"/>
    </row>
    <row r="333" spans="1:74">
      <c r="A333" t="s">
        <v>2092</v>
      </c>
      <c r="B333" t="s">
        <v>3006</v>
      </c>
      <c r="BH333" s="18"/>
      <c r="BI333" s="18"/>
      <c r="BJ333" s="18"/>
      <c r="BL333" s="18"/>
      <c r="BM333" s="18"/>
      <c r="BN333" s="18"/>
      <c r="BO333" s="18"/>
      <c r="BP333" s="18"/>
      <c r="BQ333" s="18"/>
      <c r="BR333" s="18"/>
      <c r="BS333" s="18"/>
      <c r="BT333" s="18"/>
      <c r="BU333" s="18"/>
      <c r="BV333" s="18"/>
    </row>
    <row r="334" spans="1:74">
      <c r="A334" t="s">
        <v>2092</v>
      </c>
      <c r="B334" t="s">
        <v>3007</v>
      </c>
      <c r="BG334" s="18"/>
      <c r="BH334" s="18"/>
      <c r="BI334" s="18"/>
      <c r="BJ334" s="18"/>
      <c r="BK334" s="18"/>
      <c r="BL334" s="18"/>
      <c r="BM334" s="18"/>
      <c r="BN334" s="18"/>
      <c r="BO334" s="18"/>
      <c r="BP334" s="18"/>
      <c r="BQ334" s="18"/>
      <c r="BR334" s="18"/>
      <c r="BS334" s="18"/>
      <c r="BT334" s="18"/>
      <c r="BU334" s="18"/>
      <c r="BV334" s="18"/>
    </row>
    <row r="335" spans="1:74">
      <c r="A335" t="s">
        <v>2092</v>
      </c>
      <c r="B335" t="s">
        <v>3008</v>
      </c>
      <c r="BG335" s="18"/>
      <c r="BH335" s="18"/>
      <c r="BI335" s="18"/>
      <c r="BJ335" s="18"/>
      <c r="BK335" s="18"/>
      <c r="BL335" s="18"/>
      <c r="BM335" s="18"/>
      <c r="BN335" s="18"/>
      <c r="BO335" s="18"/>
      <c r="BP335" s="18"/>
      <c r="BQ335" s="18"/>
      <c r="BR335" s="18"/>
      <c r="BS335" s="18"/>
      <c r="BT335" s="18"/>
      <c r="BU335" s="18"/>
      <c r="BV335" s="18"/>
    </row>
    <row r="336" spans="1:74">
      <c r="A336" t="s">
        <v>2092</v>
      </c>
      <c r="B336" t="s">
        <v>3005</v>
      </c>
      <c r="BG336" s="18"/>
      <c r="BH336" s="18"/>
      <c r="BI336" s="18"/>
      <c r="BJ336" s="18"/>
      <c r="BK336" s="18"/>
      <c r="BL336" s="18"/>
      <c r="BM336" s="18"/>
      <c r="BN336" s="18"/>
      <c r="BO336" s="18"/>
      <c r="BP336" s="18"/>
      <c r="BQ336" s="18"/>
      <c r="BR336" s="18"/>
      <c r="BS336" s="18"/>
      <c r="BT336" s="18"/>
      <c r="BU336" s="18"/>
      <c r="BV336" s="18"/>
    </row>
    <row r="337" spans="1:74">
      <c r="A337" t="s">
        <v>3147</v>
      </c>
      <c r="B337" t="s">
        <v>3012</v>
      </c>
      <c r="BG337" s="18"/>
      <c r="BH337" s="18"/>
      <c r="BI337" s="18"/>
      <c r="BJ337" s="18"/>
      <c r="BK337" s="18"/>
      <c r="BL337" s="18"/>
      <c r="BM337" s="18"/>
      <c r="BN337" s="18"/>
      <c r="BO337" s="18"/>
      <c r="BP337" s="18"/>
      <c r="BQ337" s="18"/>
      <c r="BR337" s="18"/>
      <c r="BS337" s="18"/>
      <c r="BT337" s="18"/>
      <c r="BU337" s="18"/>
      <c r="BV337" s="18"/>
    </row>
    <row r="338" spans="1:74">
      <c r="A338" t="s">
        <v>3147</v>
      </c>
      <c r="B338" t="s">
        <v>3011</v>
      </c>
      <c r="BG338" s="18"/>
      <c r="BH338" s="18"/>
      <c r="BI338" s="18"/>
      <c r="BJ338" s="18"/>
      <c r="BK338" s="18"/>
      <c r="BL338" s="18"/>
      <c r="BM338" s="18"/>
      <c r="BN338" s="18"/>
      <c r="BO338" s="18"/>
      <c r="BP338" s="18"/>
      <c r="BQ338" s="18"/>
      <c r="BR338" s="18"/>
      <c r="BS338" s="18"/>
      <c r="BT338" s="18"/>
      <c r="BU338" s="18"/>
      <c r="BV338" s="18"/>
    </row>
    <row r="339" spans="1:74">
      <c r="A339" t="s">
        <v>3147</v>
      </c>
      <c r="B339" t="s">
        <v>3010</v>
      </c>
      <c r="BG339" s="18"/>
      <c r="BH339" s="18"/>
      <c r="BI339" s="18"/>
      <c r="BJ339" s="18"/>
      <c r="BK339" s="18"/>
      <c r="BL339" s="18"/>
      <c r="BM339" s="18"/>
      <c r="BN339" s="18"/>
      <c r="BO339" s="18"/>
      <c r="BP339" s="18"/>
      <c r="BQ339" s="18"/>
      <c r="BR339" s="18"/>
      <c r="BS339" s="18"/>
      <c r="BT339" s="18"/>
      <c r="BU339" s="18"/>
      <c r="BV339" s="18"/>
    </row>
    <row r="340" spans="1:74">
      <c r="A340" t="s">
        <v>3147</v>
      </c>
      <c r="B340" t="s">
        <v>3009</v>
      </c>
      <c r="BG340" s="18"/>
      <c r="BH340" s="18"/>
      <c r="BI340" s="18"/>
      <c r="BJ340" s="18"/>
      <c r="BK340" s="18"/>
      <c r="BL340" s="18"/>
      <c r="BM340" s="18"/>
      <c r="BN340" s="18"/>
      <c r="BO340" s="18"/>
      <c r="BP340" s="18"/>
      <c r="BQ340" s="18"/>
      <c r="BR340" s="18"/>
      <c r="BS340" s="18"/>
      <c r="BT340" s="18"/>
      <c r="BU340" s="18"/>
      <c r="BV340" s="18"/>
    </row>
    <row r="341" spans="1:74">
      <c r="A341" t="s">
        <v>2716</v>
      </c>
      <c r="B341" t="s">
        <v>2855</v>
      </c>
      <c r="BG341" s="18"/>
      <c r="BH341" s="18"/>
      <c r="BI341" s="18"/>
      <c r="BJ341" s="18"/>
      <c r="BK341" s="18"/>
      <c r="BL341" s="18"/>
      <c r="BM341" s="18"/>
      <c r="BN341" s="18"/>
      <c r="BO341" s="18"/>
      <c r="BP341" s="18"/>
      <c r="BQ341" s="18"/>
      <c r="BR341" s="18"/>
      <c r="BS341" s="18"/>
      <c r="BT341" s="18"/>
      <c r="BU341" s="18"/>
      <c r="BV341" s="18"/>
    </row>
    <row r="342" spans="1:74">
      <c r="A342" t="s">
        <v>3148</v>
      </c>
      <c r="B342" t="s">
        <v>3013</v>
      </c>
      <c r="BG342" s="18"/>
      <c r="BH342" s="18"/>
      <c r="BI342" s="18"/>
      <c r="BJ342" s="18"/>
      <c r="BK342" s="18"/>
      <c r="BL342" s="18"/>
      <c r="BM342" s="18"/>
      <c r="BN342" s="18"/>
      <c r="BO342" s="18"/>
      <c r="BP342" s="18"/>
      <c r="BQ342" s="18"/>
      <c r="BR342" s="18"/>
      <c r="BS342" s="18"/>
      <c r="BT342" s="18"/>
      <c r="BU342" s="18"/>
      <c r="BV342" s="18"/>
    </row>
    <row r="343" spans="1:74">
      <c r="A343" t="s">
        <v>3149</v>
      </c>
      <c r="B343" t="s">
        <v>3014</v>
      </c>
      <c r="BG343" s="18"/>
      <c r="BH343" s="18"/>
      <c r="BI343" s="18"/>
      <c r="BJ343" s="18"/>
      <c r="BK343" s="18"/>
      <c r="BL343" s="18"/>
      <c r="BM343" s="18"/>
      <c r="BN343" s="18"/>
      <c r="BO343" s="18"/>
      <c r="BP343" s="18"/>
      <c r="BQ343" s="18"/>
      <c r="BR343" s="18"/>
      <c r="BS343" s="18"/>
      <c r="BT343" s="18"/>
      <c r="BU343" s="18"/>
      <c r="BV343" s="18"/>
    </row>
    <row r="344" spans="1:74">
      <c r="A344" t="s">
        <v>2717</v>
      </c>
      <c r="B344" t="s">
        <v>2718</v>
      </c>
      <c r="BG344" s="18"/>
      <c r="BH344" s="18"/>
      <c r="BI344" s="18"/>
      <c r="BJ344" s="18"/>
      <c r="BK344" s="18"/>
      <c r="BL344" s="18"/>
      <c r="BM344" s="18"/>
      <c r="BN344" s="18"/>
      <c r="BO344" s="18"/>
      <c r="BP344" s="18"/>
      <c r="BQ344" s="18"/>
      <c r="BR344" s="18"/>
      <c r="BS344" s="18"/>
      <c r="BT344" s="18"/>
      <c r="BU344" s="18"/>
      <c r="BV344" s="18"/>
    </row>
    <row r="345" spans="1:74">
      <c r="A345" t="s">
        <v>2719</v>
      </c>
      <c r="B345" t="s">
        <v>2720</v>
      </c>
      <c r="BG345" s="18"/>
      <c r="BH345" s="18"/>
      <c r="BI345" s="18"/>
      <c r="BJ345" s="18"/>
      <c r="BK345" s="18"/>
      <c r="BL345" s="18"/>
      <c r="BM345" s="18"/>
      <c r="BN345" s="18"/>
      <c r="BO345" s="18"/>
      <c r="BP345" s="18"/>
      <c r="BQ345" s="18"/>
      <c r="BR345" s="18"/>
      <c r="BS345" s="18"/>
      <c r="BT345" s="18"/>
      <c r="BU345" s="18"/>
      <c r="BV345" s="18"/>
    </row>
    <row r="346" spans="1:74">
      <c r="A346" t="s">
        <v>2557</v>
      </c>
      <c r="B346" t="s">
        <v>2630</v>
      </c>
      <c r="BG346" s="18"/>
      <c r="BH346" s="18"/>
      <c r="BI346" s="18"/>
      <c r="BJ346" s="18"/>
      <c r="BK346" s="18"/>
      <c r="BL346" s="18"/>
      <c r="BM346" s="18"/>
      <c r="BN346" s="18"/>
      <c r="BO346" s="18"/>
      <c r="BP346" s="18"/>
      <c r="BQ346" s="18"/>
      <c r="BR346" s="18"/>
      <c r="BS346" s="18"/>
      <c r="BT346" s="18"/>
      <c r="BU346" s="18"/>
      <c r="BV346" s="18"/>
    </row>
    <row r="347" spans="1:74">
      <c r="A347" t="s">
        <v>2558</v>
      </c>
      <c r="B347" t="s">
        <v>2631</v>
      </c>
      <c r="BG347" s="18"/>
      <c r="BH347" s="18"/>
      <c r="BI347" s="18"/>
      <c r="BJ347" s="18"/>
      <c r="BK347" s="18"/>
      <c r="BL347" s="18"/>
      <c r="BM347" s="18"/>
      <c r="BN347" s="18"/>
      <c r="BO347" s="18"/>
      <c r="BP347" s="18"/>
      <c r="BQ347" s="18"/>
      <c r="BR347" s="18"/>
      <c r="BS347" s="18"/>
      <c r="BT347" s="18"/>
      <c r="BU347" s="18"/>
      <c r="BV347" s="18"/>
    </row>
    <row r="348" spans="1:74">
      <c r="A348" t="s">
        <v>4463</v>
      </c>
      <c r="B348" t="s">
        <v>4464</v>
      </c>
      <c r="BG348" s="18"/>
      <c r="BH348" s="18"/>
      <c r="BI348" s="18"/>
      <c r="BJ348" s="18"/>
      <c r="BK348" s="18"/>
      <c r="BL348" s="18"/>
      <c r="BM348" s="18"/>
      <c r="BN348" s="18"/>
      <c r="BO348" s="18"/>
      <c r="BP348" s="18"/>
      <c r="BQ348" s="18"/>
      <c r="BR348" s="18"/>
      <c r="BS348" s="18"/>
      <c r="BT348" s="18"/>
      <c r="BU348" s="18"/>
      <c r="BV348" s="18"/>
    </row>
    <row r="349" spans="1:74">
      <c r="A349" t="s">
        <v>4463</v>
      </c>
      <c r="B349" t="s">
        <v>4465</v>
      </c>
      <c r="BG349" s="18"/>
      <c r="BH349" s="18"/>
      <c r="BI349" s="18"/>
      <c r="BJ349" s="18"/>
      <c r="BK349" s="18"/>
      <c r="BL349" s="18"/>
      <c r="BM349" s="18"/>
      <c r="BN349" s="18"/>
      <c r="BO349" s="18"/>
      <c r="BP349" s="18"/>
      <c r="BQ349" s="18"/>
      <c r="BR349" s="18"/>
      <c r="BS349" s="18"/>
      <c r="BT349" s="18"/>
      <c r="BU349" s="18"/>
      <c r="BV349" s="18"/>
    </row>
    <row r="350" spans="1:74">
      <c r="A350" t="s">
        <v>3150</v>
      </c>
      <c r="B350" t="s">
        <v>3015</v>
      </c>
      <c r="BG350" s="18"/>
      <c r="BH350" s="18"/>
      <c r="BI350" s="18"/>
      <c r="BJ350" s="18"/>
      <c r="BK350" s="18"/>
      <c r="BL350" s="18"/>
      <c r="BM350" s="18"/>
      <c r="BN350" s="18"/>
      <c r="BO350" s="18"/>
      <c r="BP350" s="18"/>
      <c r="BQ350" s="18"/>
      <c r="BR350" s="18"/>
      <c r="BS350" s="18"/>
      <c r="BT350" s="18"/>
      <c r="BU350" s="18"/>
      <c r="BV350" s="18"/>
    </row>
    <row r="351" spans="1:74">
      <c r="A351" t="s">
        <v>3151</v>
      </c>
      <c r="B351" t="s">
        <v>3016</v>
      </c>
      <c r="BG351" s="18"/>
      <c r="BH351" s="18"/>
      <c r="BI351" s="18"/>
      <c r="BJ351" s="18"/>
      <c r="BK351" s="18"/>
      <c r="BL351" s="18"/>
      <c r="BM351" s="18"/>
      <c r="BN351" s="18"/>
      <c r="BO351" s="18"/>
      <c r="BP351" s="18"/>
      <c r="BQ351" s="18"/>
      <c r="BR351" s="18"/>
      <c r="BS351" s="18"/>
      <c r="BT351" s="18"/>
      <c r="BU351" s="18"/>
      <c r="BV351" s="18"/>
    </row>
    <row r="352" spans="1:74">
      <c r="A352" t="s">
        <v>3152</v>
      </c>
      <c r="B352" t="s">
        <v>3017</v>
      </c>
      <c r="BG352" s="18"/>
      <c r="BH352" s="18"/>
      <c r="BI352" s="18"/>
      <c r="BJ352" s="18"/>
      <c r="BK352" s="18"/>
      <c r="BL352" s="18"/>
      <c r="BM352" s="18"/>
      <c r="BN352" s="18"/>
      <c r="BO352" s="18"/>
      <c r="BP352" s="18"/>
      <c r="BQ352" s="18"/>
      <c r="BR352" s="18"/>
      <c r="BS352" s="18"/>
      <c r="BT352" s="18"/>
      <c r="BU352" s="18"/>
      <c r="BV352" s="18"/>
    </row>
    <row r="353" spans="1:74">
      <c r="A353" t="s">
        <v>3153</v>
      </c>
      <c r="B353" t="s">
        <v>3018</v>
      </c>
      <c r="BG353" s="18"/>
      <c r="BH353" s="18"/>
      <c r="BI353" s="18"/>
      <c r="BJ353" s="18"/>
      <c r="BK353" s="18"/>
      <c r="BL353" s="18"/>
      <c r="BM353" s="18"/>
      <c r="BN353" s="18"/>
      <c r="BO353" s="18"/>
      <c r="BP353" s="18"/>
      <c r="BQ353" s="18"/>
      <c r="BR353" s="18"/>
      <c r="BS353" s="18"/>
      <c r="BT353" s="18"/>
      <c r="BU353" s="18"/>
      <c r="BV353" s="18"/>
    </row>
    <row r="354" spans="1:74">
      <c r="A354" t="s">
        <v>1988</v>
      </c>
      <c r="B354" t="s">
        <v>2135</v>
      </c>
      <c r="BG354" s="18"/>
      <c r="BH354" s="18"/>
      <c r="BI354" s="18"/>
      <c r="BJ354" s="18"/>
      <c r="BK354" s="18"/>
      <c r="BL354" s="18"/>
      <c r="BM354" s="18"/>
      <c r="BN354" s="18"/>
      <c r="BO354" s="18"/>
      <c r="BP354" s="18"/>
      <c r="BQ354" s="18"/>
      <c r="BR354" s="18"/>
      <c r="BS354" s="18"/>
      <c r="BT354" s="18"/>
      <c r="BU354" s="18"/>
      <c r="BV354" s="18"/>
    </row>
    <row r="355" spans="1:74">
      <c r="A355" t="s">
        <v>4416</v>
      </c>
      <c r="B355" t="s">
        <v>4417</v>
      </c>
      <c r="BG355" s="18"/>
      <c r="BH355" s="18"/>
      <c r="BI355" s="18"/>
      <c r="BJ355" s="18"/>
      <c r="BK355" s="18"/>
      <c r="BL355" s="18"/>
      <c r="BM355" s="18"/>
      <c r="BN355" s="18"/>
      <c r="BO355" s="18"/>
      <c r="BP355" s="18"/>
      <c r="BQ355" s="18"/>
      <c r="BR355" s="18"/>
      <c r="BS355" s="18"/>
      <c r="BT355" s="18"/>
      <c r="BU355" s="18"/>
      <c r="BV355" s="18"/>
    </row>
    <row r="356" spans="1:74">
      <c r="A356" t="s">
        <v>2093</v>
      </c>
      <c r="B356" t="s">
        <v>3019</v>
      </c>
      <c r="BG356" s="18"/>
      <c r="BH356" s="18"/>
      <c r="BI356" s="18"/>
      <c r="BJ356" s="18"/>
      <c r="BK356" s="18"/>
      <c r="BL356" s="18"/>
      <c r="BM356" s="18"/>
      <c r="BN356" s="18"/>
      <c r="BO356" s="18"/>
      <c r="BP356" s="18"/>
      <c r="BQ356" s="18"/>
      <c r="BR356" s="18"/>
      <c r="BS356" s="18"/>
      <c r="BT356" s="18"/>
      <c r="BU356" s="18"/>
      <c r="BV356" s="18"/>
    </row>
    <row r="357" spans="1:74">
      <c r="A357" t="s">
        <v>2093</v>
      </c>
      <c r="B357" t="s">
        <v>2721</v>
      </c>
      <c r="BG357" s="18"/>
      <c r="BH357" s="18"/>
      <c r="BI357" s="18"/>
      <c r="BJ357" s="18"/>
      <c r="BK357" s="18"/>
      <c r="BL357" s="18"/>
      <c r="BM357" s="18"/>
      <c r="BN357" s="18"/>
      <c r="BO357" s="18"/>
      <c r="BP357" s="18"/>
      <c r="BQ357" s="18"/>
      <c r="BR357" s="18"/>
      <c r="BS357" s="18"/>
      <c r="BT357" s="18"/>
      <c r="BU357" s="18"/>
      <c r="BV357" s="18"/>
    </row>
    <row r="358" spans="1:74">
      <c r="A358" t="s">
        <v>2093</v>
      </c>
      <c r="B358" t="s">
        <v>3020</v>
      </c>
      <c r="BG358" s="18"/>
      <c r="BH358" s="18"/>
      <c r="BI358" s="18"/>
      <c r="BJ358" s="18"/>
      <c r="BK358" s="18"/>
      <c r="BL358" s="18"/>
      <c r="BM358" s="18"/>
      <c r="BN358" s="18"/>
      <c r="BO358" s="18"/>
      <c r="BP358" s="18"/>
      <c r="BQ358" s="18"/>
      <c r="BR358" s="18"/>
      <c r="BS358" s="18"/>
      <c r="BT358" s="18"/>
      <c r="BU358" s="18"/>
      <c r="BV358" s="18"/>
    </row>
    <row r="359" spans="1:74">
      <c r="A359" t="s">
        <v>2093</v>
      </c>
      <c r="B359" t="s">
        <v>2722</v>
      </c>
      <c r="BG359" s="18"/>
      <c r="BH359" s="18"/>
      <c r="BI359" s="18"/>
      <c r="BJ359" s="18"/>
      <c r="BK359" s="18"/>
      <c r="BL359" s="18"/>
      <c r="BM359" s="18"/>
      <c r="BN359" s="18"/>
      <c r="BO359" s="18"/>
      <c r="BP359" s="18"/>
      <c r="BQ359" s="18"/>
      <c r="BR359" s="18"/>
      <c r="BS359" s="18"/>
      <c r="BT359" s="18"/>
      <c r="BU359" s="18"/>
      <c r="BV359" s="18"/>
    </row>
    <row r="360" spans="1:74">
      <c r="A360" t="s">
        <v>2093</v>
      </c>
      <c r="B360" t="s">
        <v>3021</v>
      </c>
      <c r="BG360" s="18"/>
      <c r="BH360" s="18"/>
      <c r="BI360" s="18"/>
      <c r="BJ360" s="18"/>
      <c r="BK360" s="18"/>
      <c r="BL360" s="18"/>
      <c r="BM360" s="18"/>
      <c r="BN360" s="18"/>
      <c r="BO360" s="18"/>
      <c r="BP360" s="18"/>
      <c r="BQ360" s="18"/>
      <c r="BR360" s="18"/>
      <c r="BS360" s="18"/>
      <c r="BT360" s="18"/>
      <c r="BU360" s="18"/>
      <c r="BV360" s="18"/>
    </row>
    <row r="361" spans="1:74">
      <c r="A361" t="s">
        <v>4418</v>
      </c>
      <c r="B361" t="s">
        <v>4419</v>
      </c>
      <c r="BG361" s="18"/>
      <c r="BH361" s="18"/>
      <c r="BI361" s="18"/>
      <c r="BJ361" s="18"/>
      <c r="BK361" s="18"/>
      <c r="BL361" s="18"/>
      <c r="BM361" s="18"/>
      <c r="BN361" s="18"/>
      <c r="BO361" s="18"/>
      <c r="BP361" s="18"/>
      <c r="BQ361" s="18"/>
      <c r="BR361" s="18"/>
      <c r="BS361" s="18"/>
      <c r="BT361" s="18"/>
      <c r="BU361" s="18"/>
      <c r="BV361" s="18"/>
    </row>
    <row r="362" spans="1:74">
      <c r="A362" t="s">
        <v>4420</v>
      </c>
      <c r="B362" t="s">
        <v>4421</v>
      </c>
      <c r="BG362" s="18"/>
      <c r="BH362" s="18"/>
      <c r="BI362" s="18"/>
      <c r="BJ362" s="18"/>
      <c r="BK362" s="18"/>
      <c r="BL362" s="18"/>
      <c r="BM362" s="18"/>
      <c r="BN362" s="18"/>
      <c r="BO362" s="18"/>
      <c r="BP362" s="18"/>
      <c r="BQ362" s="18"/>
      <c r="BR362" s="18"/>
      <c r="BS362" s="18"/>
      <c r="BT362" s="18"/>
      <c r="BU362" s="18"/>
      <c r="BV362" s="18"/>
    </row>
    <row r="363" spans="1:74">
      <c r="A363" t="s">
        <v>3154</v>
      </c>
      <c r="B363" t="s">
        <v>3024</v>
      </c>
      <c r="BG363" s="18"/>
      <c r="BH363" s="18"/>
      <c r="BI363" s="18"/>
      <c r="BJ363" s="18"/>
      <c r="BK363" s="18"/>
      <c r="BL363" s="18"/>
      <c r="BM363" s="18"/>
      <c r="BN363" s="18"/>
      <c r="BO363" s="18"/>
      <c r="BP363" s="18"/>
      <c r="BQ363" s="18"/>
      <c r="BR363" s="18"/>
      <c r="BS363" s="18"/>
      <c r="BT363" s="18"/>
      <c r="BU363" s="18"/>
      <c r="BV363" s="18"/>
    </row>
    <row r="364" spans="1:74">
      <c r="A364" t="s">
        <v>3154</v>
      </c>
      <c r="B364" t="s">
        <v>3022</v>
      </c>
      <c r="BG364" s="18"/>
      <c r="BH364" s="18"/>
      <c r="BI364" s="18"/>
      <c r="BJ364" s="18"/>
      <c r="BK364" s="18"/>
      <c r="BL364" s="18"/>
      <c r="BM364" s="18"/>
      <c r="BN364" s="18"/>
      <c r="BO364" s="18"/>
      <c r="BP364" s="18"/>
      <c r="BQ364" s="18"/>
      <c r="BR364" s="18"/>
      <c r="BS364" s="18"/>
      <c r="BT364" s="18"/>
      <c r="BU364" s="18"/>
      <c r="BV364" s="18"/>
    </row>
    <row r="365" spans="1:74">
      <c r="A365" t="s">
        <v>3154</v>
      </c>
      <c r="B365" t="s">
        <v>3023</v>
      </c>
      <c r="BG365" s="18"/>
      <c r="BH365" s="18"/>
      <c r="BI365" s="18"/>
      <c r="BJ365" s="18"/>
      <c r="BK365" s="18"/>
      <c r="BL365" s="18"/>
      <c r="BM365" s="18"/>
      <c r="BN365" s="18"/>
      <c r="BO365" s="18"/>
      <c r="BP365" s="18"/>
      <c r="BQ365" s="18"/>
      <c r="BR365" s="18"/>
      <c r="BS365" s="18"/>
      <c r="BT365" s="18"/>
      <c r="BU365" s="18"/>
      <c r="BV365" s="18"/>
    </row>
    <row r="366" spans="1:74">
      <c r="A366" t="s">
        <v>3155</v>
      </c>
      <c r="B366" t="s">
        <v>3025</v>
      </c>
      <c r="BG366" s="18"/>
      <c r="BH366" s="18"/>
      <c r="BI366" s="18"/>
      <c r="BJ366" s="18"/>
      <c r="BK366" s="18"/>
      <c r="BL366" s="18"/>
      <c r="BM366" s="18"/>
      <c r="BN366" s="18"/>
      <c r="BO366" s="18"/>
      <c r="BP366" s="18"/>
      <c r="BQ366" s="18"/>
      <c r="BR366" s="18"/>
      <c r="BS366" s="18"/>
      <c r="BT366" s="18"/>
      <c r="BU366" s="18"/>
      <c r="BV366" s="18"/>
    </row>
    <row r="367" spans="1:74">
      <c r="A367" t="s">
        <v>2871</v>
      </c>
      <c r="B367" t="s">
        <v>3026</v>
      </c>
      <c r="BG367" s="18"/>
      <c r="BH367" s="18"/>
      <c r="BI367" s="18"/>
      <c r="BJ367" s="18"/>
      <c r="BK367" s="18"/>
      <c r="BL367" s="18"/>
      <c r="BM367" s="18"/>
      <c r="BN367" s="18"/>
      <c r="BO367" s="18"/>
      <c r="BP367" s="18"/>
      <c r="BQ367" s="18"/>
      <c r="BR367" s="18"/>
      <c r="BS367" s="18"/>
      <c r="BT367" s="18"/>
      <c r="BU367" s="18"/>
      <c r="BV367" s="18"/>
    </row>
    <row r="368" spans="1:74">
      <c r="A368" t="s">
        <v>2871</v>
      </c>
      <c r="B368" t="s">
        <v>2856</v>
      </c>
      <c r="BG368" s="18"/>
      <c r="BH368" s="18"/>
      <c r="BI368" s="18"/>
      <c r="BJ368" s="18"/>
      <c r="BK368" s="18"/>
      <c r="BL368" s="18"/>
      <c r="BM368" s="18"/>
      <c r="BN368" s="18"/>
      <c r="BO368" s="18"/>
      <c r="BP368" s="18"/>
      <c r="BQ368" s="18"/>
      <c r="BR368" s="18"/>
      <c r="BS368" s="18"/>
      <c r="BT368" s="18"/>
      <c r="BU368" s="18"/>
      <c r="BV368" s="18"/>
    </row>
    <row r="369" spans="1:74">
      <c r="A369" t="s">
        <v>3156</v>
      </c>
      <c r="B369" t="s">
        <v>3027</v>
      </c>
      <c r="BG369" s="18"/>
      <c r="BH369" s="18"/>
      <c r="BI369" s="18"/>
      <c r="BJ369" s="18"/>
      <c r="BK369" s="18"/>
      <c r="BL369" s="18"/>
      <c r="BM369" s="18"/>
      <c r="BN369" s="18"/>
      <c r="BO369" s="18"/>
      <c r="BP369" s="18"/>
      <c r="BQ369" s="18"/>
      <c r="BR369" s="18"/>
      <c r="BS369" s="18"/>
      <c r="BT369" s="18"/>
      <c r="BU369" s="18"/>
      <c r="BV369" s="18"/>
    </row>
    <row r="370" spans="1:74">
      <c r="A370" t="s">
        <v>4422</v>
      </c>
      <c r="B370" t="s">
        <v>4423</v>
      </c>
      <c r="BG370" s="18"/>
      <c r="BH370" s="18"/>
      <c r="BI370" s="18"/>
      <c r="BJ370" s="18"/>
      <c r="BK370" s="18"/>
      <c r="BL370" s="18"/>
      <c r="BM370" s="18"/>
      <c r="BN370" s="18"/>
      <c r="BO370" s="18"/>
      <c r="BP370" s="18"/>
      <c r="BQ370" s="18"/>
      <c r="BR370" s="18"/>
      <c r="BS370" s="18"/>
      <c r="BT370" s="18"/>
      <c r="BU370" s="18"/>
      <c r="BV370" s="18"/>
    </row>
    <row r="371" spans="1:74">
      <c r="A371" t="s">
        <v>4466</v>
      </c>
      <c r="B371" t="s">
        <v>4467</v>
      </c>
      <c r="BG371" s="18"/>
      <c r="BH371" s="18"/>
      <c r="BI371" s="18"/>
      <c r="BJ371" s="18"/>
      <c r="BK371" s="18"/>
      <c r="BL371" s="18"/>
      <c r="BM371" s="18"/>
      <c r="BN371" s="18"/>
      <c r="BO371" s="18"/>
      <c r="BP371" s="18"/>
      <c r="BQ371" s="18"/>
      <c r="BR371" s="18"/>
      <c r="BS371" s="18"/>
      <c r="BT371" s="18"/>
      <c r="BU371" s="18"/>
      <c r="BV371" s="18"/>
    </row>
    <row r="372" spans="1:74">
      <c r="A372" t="s">
        <v>3157</v>
      </c>
      <c r="B372" t="s">
        <v>3028</v>
      </c>
      <c r="BG372" s="18"/>
      <c r="BH372" s="18"/>
      <c r="BI372" s="18"/>
      <c r="BJ372" s="18"/>
      <c r="BK372" s="18"/>
      <c r="BL372" s="18"/>
      <c r="BM372" s="18"/>
      <c r="BN372" s="18"/>
      <c r="BO372" s="18"/>
      <c r="BP372" s="18"/>
      <c r="BQ372" s="18"/>
      <c r="BR372" s="18"/>
      <c r="BS372" s="18"/>
      <c r="BT372" s="18"/>
      <c r="BU372" s="18"/>
      <c r="BV372" s="18"/>
    </row>
    <row r="373" spans="1:74">
      <c r="A373" t="s">
        <v>3158</v>
      </c>
      <c r="B373" t="s">
        <v>3029</v>
      </c>
      <c r="BG373" s="18"/>
      <c r="BH373" s="18"/>
      <c r="BI373" s="18"/>
      <c r="BJ373" s="18"/>
      <c r="BK373" s="18"/>
      <c r="BL373" s="18"/>
      <c r="BM373" s="18"/>
      <c r="BN373" s="18"/>
      <c r="BO373" s="18"/>
      <c r="BP373" s="18"/>
      <c r="BQ373" s="18"/>
      <c r="BR373" s="18"/>
      <c r="BS373" s="18"/>
      <c r="BT373" s="18"/>
      <c r="BU373" s="18"/>
      <c r="BV373" s="18"/>
    </row>
    <row r="374" spans="1:74">
      <c r="A374" t="s">
        <v>2094</v>
      </c>
      <c r="B374" t="s">
        <v>2636</v>
      </c>
      <c r="BG374" s="18"/>
      <c r="BH374" s="18"/>
      <c r="BI374" s="18"/>
      <c r="BJ374" s="18"/>
      <c r="BK374" s="18"/>
      <c r="BL374" s="18"/>
      <c r="BM374" s="18"/>
      <c r="BN374" s="18"/>
      <c r="BO374" s="18"/>
      <c r="BP374" s="18"/>
      <c r="BQ374" s="18"/>
      <c r="BR374" s="18"/>
      <c r="BS374" s="18"/>
      <c r="BT374" s="18"/>
      <c r="BU374" s="18"/>
      <c r="BV374" s="18"/>
    </row>
    <row r="375" spans="1:74">
      <c r="A375" t="s">
        <v>2094</v>
      </c>
      <c r="B375" t="s">
        <v>2730</v>
      </c>
      <c r="BG375" s="18"/>
      <c r="BH375" s="18"/>
      <c r="BI375" s="18"/>
      <c r="BJ375" s="18"/>
      <c r="BK375" s="18"/>
      <c r="BL375" s="18"/>
      <c r="BM375" s="18"/>
      <c r="BN375" s="18"/>
      <c r="BO375" s="18"/>
      <c r="BP375" s="18"/>
      <c r="BQ375" s="18"/>
      <c r="BR375" s="18"/>
      <c r="BS375" s="18"/>
      <c r="BT375" s="18"/>
      <c r="BU375" s="18"/>
      <c r="BV375" s="18"/>
    </row>
    <row r="376" spans="1:74">
      <c r="A376" t="s">
        <v>2094</v>
      </c>
      <c r="B376" t="s">
        <v>2635</v>
      </c>
      <c r="BG376" s="18"/>
      <c r="BH376" s="18"/>
      <c r="BI376" s="18"/>
      <c r="BJ376" s="18"/>
      <c r="BK376" s="18"/>
      <c r="BL376" s="18"/>
      <c r="BM376" s="18"/>
      <c r="BN376" s="18"/>
      <c r="BO376" s="18"/>
      <c r="BP376" s="18"/>
      <c r="BQ376" s="18"/>
      <c r="BR376" s="18"/>
      <c r="BS376" s="18"/>
      <c r="BT376" s="18"/>
      <c r="BU376" s="18"/>
      <c r="BV376" s="18"/>
    </row>
    <row r="377" spans="1:74">
      <c r="A377" t="s">
        <v>2094</v>
      </c>
      <c r="B377" t="s">
        <v>2634</v>
      </c>
      <c r="BG377" s="18"/>
      <c r="BH377" s="18"/>
      <c r="BI377" s="18"/>
      <c r="BJ377" s="18"/>
      <c r="BK377" s="18"/>
      <c r="BL377" s="18"/>
      <c r="BM377" s="18"/>
      <c r="BN377" s="18"/>
      <c r="BO377" s="18"/>
      <c r="BP377" s="18"/>
      <c r="BQ377" s="18"/>
      <c r="BR377" s="18"/>
      <c r="BS377" s="18"/>
      <c r="BT377" s="18"/>
      <c r="BU377" s="18"/>
      <c r="BV377" s="18"/>
    </row>
    <row r="378" spans="1:74">
      <c r="A378" t="s">
        <v>2094</v>
      </c>
      <c r="B378" t="s">
        <v>2729</v>
      </c>
      <c r="BG378" s="18"/>
      <c r="BH378" s="18"/>
      <c r="BI378" s="18"/>
      <c r="BJ378" s="18"/>
      <c r="BK378" s="18"/>
      <c r="BL378" s="18"/>
      <c r="BM378" s="18"/>
      <c r="BN378" s="18"/>
      <c r="BO378" s="18"/>
      <c r="BP378" s="18"/>
      <c r="BQ378" s="18"/>
      <c r="BR378" s="18"/>
      <c r="BS378" s="18"/>
      <c r="BT378" s="18"/>
      <c r="BU378" s="18"/>
      <c r="BV378" s="18"/>
    </row>
    <row r="379" spans="1:74">
      <c r="A379" t="s">
        <v>2094</v>
      </c>
      <c r="B379" t="s">
        <v>2725</v>
      </c>
      <c r="BG379" s="18"/>
      <c r="BH379" s="18"/>
      <c r="BI379" s="18"/>
      <c r="BJ379" s="18"/>
      <c r="BK379" s="18"/>
      <c r="BL379" s="18"/>
      <c r="BM379" s="18"/>
      <c r="BN379" s="18"/>
      <c r="BO379" s="18"/>
      <c r="BP379" s="18"/>
      <c r="BQ379" s="18"/>
      <c r="BR379" s="18"/>
      <c r="BS379" s="18"/>
      <c r="BT379" s="18"/>
      <c r="BU379" s="18"/>
      <c r="BV379" s="18"/>
    </row>
    <row r="380" spans="1:74">
      <c r="A380" t="s">
        <v>2094</v>
      </c>
      <c r="B380" t="s">
        <v>3037</v>
      </c>
      <c r="BG380" s="18"/>
      <c r="BH380" s="18"/>
      <c r="BI380" s="18"/>
      <c r="BJ380" s="18"/>
      <c r="BK380" s="18"/>
      <c r="BL380" s="18"/>
      <c r="BM380" s="18"/>
      <c r="BN380" s="18"/>
      <c r="BO380" s="18"/>
      <c r="BP380" s="18"/>
      <c r="BQ380" s="18"/>
      <c r="BR380" s="18"/>
      <c r="BS380" s="18"/>
      <c r="BT380" s="18"/>
      <c r="BU380" s="18"/>
      <c r="BV380" s="18"/>
    </row>
    <row r="381" spans="1:74">
      <c r="A381" t="s">
        <v>2094</v>
      </c>
      <c r="B381" t="s">
        <v>3038</v>
      </c>
      <c r="BG381" s="18"/>
      <c r="BH381" s="18"/>
      <c r="BI381" s="18"/>
      <c r="BJ381" s="18"/>
      <c r="BK381" s="18"/>
      <c r="BL381" s="18"/>
      <c r="BM381" s="18"/>
      <c r="BN381" s="18"/>
      <c r="BO381" s="18"/>
      <c r="BP381" s="18"/>
      <c r="BQ381" s="18"/>
      <c r="BR381" s="18"/>
      <c r="BS381" s="18"/>
      <c r="BT381" s="18"/>
      <c r="BU381" s="18"/>
      <c r="BV381" s="18"/>
    </row>
    <row r="382" spans="1:74">
      <c r="A382" t="s">
        <v>2094</v>
      </c>
      <c r="B382" t="s">
        <v>4425</v>
      </c>
      <c r="BG382" s="18"/>
      <c r="BH382" s="18"/>
      <c r="BI382" s="18"/>
      <c r="BJ382" s="18"/>
      <c r="BK382" s="18"/>
      <c r="BL382" s="18"/>
      <c r="BM382" s="18"/>
      <c r="BN382" s="18"/>
      <c r="BO382" s="18"/>
      <c r="BP382" s="18"/>
      <c r="BQ382" s="18"/>
      <c r="BR382" s="18"/>
      <c r="BS382" s="18"/>
      <c r="BT382" s="18"/>
      <c r="BU382" s="18"/>
      <c r="BV382" s="18"/>
    </row>
    <row r="383" spans="1:74">
      <c r="A383" t="s">
        <v>2094</v>
      </c>
      <c r="B383" t="s">
        <v>4424</v>
      </c>
      <c r="BG383" s="18"/>
      <c r="BH383" s="18"/>
      <c r="BI383" s="18"/>
      <c r="BJ383" s="18"/>
      <c r="BK383" s="18"/>
      <c r="BL383" s="18"/>
      <c r="BM383" s="18"/>
      <c r="BN383" s="18"/>
      <c r="BO383" s="18"/>
      <c r="BP383" s="18"/>
      <c r="BQ383" s="18"/>
      <c r="BR383" s="18"/>
      <c r="BS383" s="18"/>
      <c r="BT383" s="18"/>
      <c r="BU383" s="18"/>
      <c r="BV383" s="18"/>
    </row>
    <row r="384" spans="1:74">
      <c r="A384" t="s">
        <v>2094</v>
      </c>
      <c r="B384" t="s">
        <v>3043</v>
      </c>
      <c r="BG384" s="18"/>
      <c r="BH384" s="18"/>
      <c r="BI384" s="18"/>
      <c r="BJ384" s="18"/>
      <c r="BK384" s="18"/>
      <c r="BL384" s="18"/>
      <c r="BM384" s="18"/>
      <c r="BN384" s="18"/>
      <c r="BO384" s="18"/>
      <c r="BP384" s="18"/>
      <c r="BQ384" s="18"/>
      <c r="BR384" s="18"/>
      <c r="BS384" s="18"/>
      <c r="BT384" s="18"/>
      <c r="BU384" s="18"/>
      <c r="BV384" s="18"/>
    </row>
    <row r="385" spans="1:74">
      <c r="A385" t="s">
        <v>2094</v>
      </c>
      <c r="B385" t="s">
        <v>2138</v>
      </c>
      <c r="BG385" s="18"/>
      <c r="BH385" s="18"/>
      <c r="BI385" s="18"/>
      <c r="BJ385" s="18"/>
      <c r="BK385" s="18"/>
      <c r="BL385" s="18"/>
      <c r="BM385" s="18"/>
      <c r="BN385" s="18"/>
      <c r="BO385" s="18"/>
      <c r="BP385" s="18"/>
      <c r="BQ385" s="18"/>
      <c r="BR385" s="18"/>
      <c r="BS385" s="18"/>
      <c r="BT385" s="18"/>
      <c r="BU385" s="18"/>
      <c r="BV385" s="18"/>
    </row>
    <row r="386" spans="1:74">
      <c r="A386" t="s">
        <v>2094</v>
      </c>
      <c r="B386" t="s">
        <v>2137</v>
      </c>
      <c r="BG386" s="18"/>
      <c r="BH386" s="18"/>
      <c r="BI386" s="18"/>
      <c r="BJ386" s="18"/>
      <c r="BK386" s="18"/>
      <c r="BL386" s="18"/>
      <c r="BM386" s="18"/>
      <c r="BN386" s="18"/>
      <c r="BO386" s="18"/>
      <c r="BP386" s="18"/>
      <c r="BQ386" s="18"/>
      <c r="BR386" s="18"/>
      <c r="BS386" s="18"/>
      <c r="BT386" s="18"/>
      <c r="BU386" s="18"/>
      <c r="BV386" s="18"/>
    </row>
    <row r="387" spans="1:74">
      <c r="A387" t="s">
        <v>2094</v>
      </c>
      <c r="B387" t="s">
        <v>2142</v>
      </c>
      <c r="BG387" s="18"/>
      <c r="BH387" s="18"/>
      <c r="BI387" s="18"/>
      <c r="BJ387" s="18"/>
      <c r="BK387" s="18"/>
      <c r="BL387" s="18"/>
      <c r="BM387" s="18"/>
      <c r="BN387" s="18"/>
      <c r="BO387" s="18"/>
      <c r="BP387" s="18"/>
      <c r="BQ387" s="18"/>
      <c r="BR387" s="18"/>
      <c r="BS387" s="18"/>
      <c r="BT387" s="18"/>
      <c r="BU387" s="18"/>
      <c r="BV387" s="18"/>
    </row>
    <row r="388" spans="1:74">
      <c r="A388" t="s">
        <v>2094</v>
      </c>
      <c r="B388" t="s">
        <v>2638</v>
      </c>
      <c r="BG388" s="18"/>
      <c r="BH388" s="18"/>
      <c r="BI388" s="18"/>
      <c r="BJ388" s="18"/>
      <c r="BK388" s="18"/>
      <c r="BL388" s="18"/>
      <c r="BM388" s="18"/>
      <c r="BN388" s="18"/>
      <c r="BO388" s="18"/>
      <c r="BP388" s="18"/>
      <c r="BQ388" s="18"/>
      <c r="BR388" s="18"/>
      <c r="BS388" s="18"/>
      <c r="BT388" s="18"/>
      <c r="BU388" s="18"/>
      <c r="BV388" s="18"/>
    </row>
    <row r="389" spans="1:74">
      <c r="A389" t="s">
        <v>2094</v>
      </c>
      <c r="B389" t="s">
        <v>2723</v>
      </c>
      <c r="BG389" s="18"/>
      <c r="BH389" s="18"/>
      <c r="BI389" s="18"/>
      <c r="BJ389" s="18"/>
      <c r="BK389" s="18"/>
      <c r="BL389" s="18"/>
      <c r="BM389" s="18"/>
      <c r="BN389" s="18"/>
      <c r="BO389" s="18"/>
      <c r="BP389" s="18"/>
      <c r="BQ389" s="18"/>
      <c r="BR389" s="18"/>
      <c r="BS389" s="18"/>
      <c r="BT389" s="18"/>
      <c r="BU389" s="18"/>
      <c r="BV389" s="18"/>
    </row>
    <row r="390" spans="1:74">
      <c r="A390" t="s">
        <v>2094</v>
      </c>
      <c r="B390" t="s">
        <v>3042</v>
      </c>
      <c r="BG390" s="18"/>
      <c r="BH390" s="18"/>
      <c r="BI390" s="18"/>
      <c r="BJ390" s="18"/>
      <c r="BK390" s="18"/>
      <c r="BL390" s="18"/>
      <c r="BM390" s="18"/>
      <c r="BN390" s="18"/>
      <c r="BO390" s="18"/>
      <c r="BP390" s="18"/>
      <c r="BQ390" s="18"/>
      <c r="BR390" s="18"/>
      <c r="BS390" s="18"/>
      <c r="BT390" s="18"/>
      <c r="BU390" s="18"/>
      <c r="BV390" s="18"/>
    </row>
    <row r="391" spans="1:74">
      <c r="A391" t="s">
        <v>2094</v>
      </c>
      <c r="B391" t="s">
        <v>2639</v>
      </c>
      <c r="BG391" s="18"/>
      <c r="BH391" s="18"/>
      <c r="BI391" s="18"/>
      <c r="BJ391" s="18"/>
      <c r="BK391" s="18"/>
      <c r="BL391" s="18"/>
      <c r="BM391" s="18"/>
      <c r="BN391" s="18"/>
      <c r="BO391" s="18"/>
      <c r="BP391" s="18"/>
      <c r="BQ391" s="18"/>
      <c r="BR391" s="18"/>
      <c r="BS391" s="18"/>
      <c r="BT391" s="18"/>
      <c r="BU391" s="18"/>
      <c r="BV391" s="18"/>
    </row>
    <row r="392" spans="1:74">
      <c r="A392" t="s">
        <v>2094</v>
      </c>
      <c r="B392" t="s">
        <v>3044</v>
      </c>
      <c r="BG392" s="18"/>
      <c r="BH392" s="18"/>
      <c r="BI392" s="18"/>
      <c r="BJ392" s="18"/>
      <c r="BK392" s="18"/>
      <c r="BL392" s="18"/>
      <c r="BM392" s="18"/>
      <c r="BN392" s="18"/>
      <c r="BO392" s="18"/>
      <c r="BP392" s="18"/>
      <c r="BQ392" s="18"/>
      <c r="BR392" s="18"/>
      <c r="BS392" s="18"/>
      <c r="BT392" s="18"/>
      <c r="BU392" s="18"/>
      <c r="BV392" s="18"/>
    </row>
    <row r="393" spans="1:74">
      <c r="A393" t="s">
        <v>2094</v>
      </c>
      <c r="B393" t="s">
        <v>3036</v>
      </c>
      <c r="BG393" s="18"/>
      <c r="BH393" s="18"/>
      <c r="BI393" s="18"/>
      <c r="BJ393" s="18"/>
      <c r="BK393" s="18"/>
      <c r="BL393" s="18"/>
      <c r="BM393" s="18"/>
      <c r="BN393" s="18"/>
      <c r="BO393" s="18"/>
      <c r="BP393" s="18"/>
      <c r="BQ393" s="18"/>
      <c r="BR393" s="18"/>
      <c r="BS393" s="18"/>
      <c r="BT393" s="18"/>
      <c r="BU393" s="18"/>
      <c r="BV393" s="18"/>
    </row>
    <row r="394" spans="1:74">
      <c r="A394" t="s">
        <v>2094</v>
      </c>
      <c r="B394" t="s">
        <v>3034</v>
      </c>
      <c r="BG394" s="18"/>
      <c r="BH394" s="18"/>
      <c r="BI394" s="18"/>
      <c r="BJ394" s="18"/>
      <c r="BK394" s="18"/>
      <c r="BL394" s="18"/>
      <c r="BM394" s="18"/>
      <c r="BN394" s="18"/>
      <c r="BO394" s="18"/>
      <c r="BP394" s="18"/>
      <c r="BQ394" s="18"/>
      <c r="BR394" s="18"/>
      <c r="BS394" s="18"/>
      <c r="BT394" s="18"/>
      <c r="BU394" s="18"/>
      <c r="BV394" s="18"/>
    </row>
    <row r="395" spans="1:74">
      <c r="A395" t="s">
        <v>2094</v>
      </c>
      <c r="B395" t="s">
        <v>2632</v>
      </c>
      <c r="BG395" s="18"/>
      <c r="BH395" s="18"/>
      <c r="BI395" s="18"/>
      <c r="BJ395" s="18"/>
      <c r="BK395" s="18"/>
      <c r="BL395" s="18"/>
      <c r="BM395" s="18"/>
      <c r="BN395" s="18"/>
      <c r="BO395" s="18"/>
      <c r="BP395" s="18"/>
      <c r="BQ395" s="18"/>
      <c r="BR395" s="18"/>
      <c r="BS395" s="18"/>
      <c r="BT395" s="18"/>
      <c r="BU395" s="18"/>
      <c r="BV395" s="18"/>
    </row>
    <row r="396" spans="1:74">
      <c r="A396" t="s">
        <v>2094</v>
      </c>
      <c r="B396" t="s">
        <v>3031</v>
      </c>
      <c r="BG396" s="18"/>
      <c r="BH396" s="18"/>
      <c r="BI396" s="18"/>
      <c r="BJ396" s="18"/>
      <c r="BK396" s="18"/>
      <c r="BL396" s="18"/>
      <c r="BM396" s="18"/>
      <c r="BN396" s="18"/>
      <c r="BO396" s="18"/>
      <c r="BP396" s="18"/>
      <c r="BQ396" s="18"/>
      <c r="BR396" s="18"/>
      <c r="BS396" s="18"/>
      <c r="BT396" s="18"/>
      <c r="BU396" s="18"/>
      <c r="BV396" s="18"/>
    </row>
    <row r="397" spans="1:74">
      <c r="A397" t="s">
        <v>2094</v>
      </c>
      <c r="B397" t="s">
        <v>3030</v>
      </c>
      <c r="BG397" s="18"/>
      <c r="BH397" s="18"/>
      <c r="BI397" s="18"/>
      <c r="BJ397" s="18"/>
      <c r="BK397" s="18"/>
      <c r="BL397" s="18"/>
      <c r="BM397" s="18"/>
      <c r="BN397" s="18"/>
      <c r="BO397" s="18"/>
      <c r="BP397" s="18"/>
      <c r="BQ397" s="18"/>
      <c r="BR397" s="18"/>
      <c r="BS397" s="18"/>
      <c r="BT397" s="18"/>
      <c r="BU397" s="18"/>
      <c r="BV397" s="18"/>
    </row>
    <row r="398" spans="1:74">
      <c r="A398" t="s">
        <v>2726</v>
      </c>
      <c r="B398" t="s">
        <v>2727</v>
      </c>
      <c r="BG398" s="18"/>
      <c r="BH398" s="18"/>
      <c r="BI398" s="18"/>
      <c r="BJ398" s="18"/>
      <c r="BK398" s="18"/>
      <c r="BL398" s="18"/>
      <c r="BM398" s="18"/>
      <c r="BN398" s="18"/>
      <c r="BO398" s="18"/>
      <c r="BP398" s="18"/>
      <c r="BQ398" s="18"/>
      <c r="BR398" s="18"/>
      <c r="BS398" s="18"/>
      <c r="BT398" s="18"/>
      <c r="BU398" s="18"/>
      <c r="BV398" s="18"/>
    </row>
    <row r="399" spans="1:74">
      <c r="A399" t="s">
        <v>2094</v>
      </c>
      <c r="B399" t="s">
        <v>2728</v>
      </c>
      <c r="BG399" s="18"/>
      <c r="BH399" s="18"/>
      <c r="BI399" s="18"/>
      <c r="BJ399" s="18"/>
      <c r="BK399" s="18"/>
      <c r="BL399" s="18"/>
      <c r="BM399" s="18"/>
      <c r="BN399" s="18"/>
      <c r="BO399" s="18"/>
      <c r="BP399" s="18"/>
      <c r="BQ399" s="18"/>
      <c r="BR399" s="18"/>
      <c r="BS399" s="18"/>
      <c r="BT399" s="18"/>
      <c r="BU399" s="18"/>
      <c r="BV399" s="18"/>
    </row>
    <row r="400" spans="1:74">
      <c r="A400" t="s">
        <v>2094</v>
      </c>
      <c r="B400" t="s">
        <v>3033</v>
      </c>
      <c r="BG400" s="18"/>
      <c r="BH400" s="18"/>
      <c r="BI400" s="18"/>
      <c r="BJ400" s="18"/>
      <c r="BK400" s="18"/>
      <c r="BL400" s="18"/>
      <c r="BM400" s="18"/>
      <c r="BN400" s="18"/>
      <c r="BO400" s="18"/>
      <c r="BP400" s="18"/>
      <c r="BQ400" s="18"/>
      <c r="BR400" s="18"/>
      <c r="BS400" s="18"/>
      <c r="BT400" s="18"/>
      <c r="BU400" s="18"/>
      <c r="BV400" s="18"/>
    </row>
    <row r="401" spans="1:74">
      <c r="A401" t="s">
        <v>2094</v>
      </c>
      <c r="B401" t="s">
        <v>4468</v>
      </c>
      <c r="BG401" s="18"/>
      <c r="BH401" s="18"/>
      <c r="BI401" s="18"/>
      <c r="BJ401" s="18"/>
      <c r="BK401" s="18"/>
      <c r="BL401" s="18"/>
      <c r="BM401" s="18"/>
      <c r="BN401" s="18"/>
      <c r="BO401" s="18"/>
      <c r="BP401" s="18"/>
      <c r="BQ401" s="18"/>
      <c r="BR401" s="18"/>
      <c r="BS401" s="18"/>
      <c r="BT401" s="18"/>
      <c r="BU401" s="18"/>
      <c r="BV401" s="18"/>
    </row>
    <row r="402" spans="1:74">
      <c r="A402" t="s">
        <v>2094</v>
      </c>
      <c r="B402" t="s">
        <v>2143</v>
      </c>
      <c r="BG402" s="18"/>
      <c r="BH402" s="18"/>
      <c r="BI402" s="18"/>
      <c r="BJ402" s="18"/>
      <c r="BK402" s="18"/>
      <c r="BL402" s="18"/>
      <c r="BM402" s="18"/>
      <c r="BN402" s="18"/>
      <c r="BO402" s="18"/>
      <c r="BP402" s="18"/>
      <c r="BQ402" s="18"/>
      <c r="BR402" s="18"/>
      <c r="BS402" s="18"/>
      <c r="BT402" s="18"/>
      <c r="BU402" s="18"/>
      <c r="BV402" s="18"/>
    </row>
    <row r="403" spans="1:74">
      <c r="A403" t="s">
        <v>2094</v>
      </c>
      <c r="B403" t="s">
        <v>3039</v>
      </c>
      <c r="BG403" s="18"/>
      <c r="BH403" s="18"/>
      <c r="BI403" s="18"/>
      <c r="BJ403" s="18"/>
      <c r="BK403" s="18"/>
      <c r="BL403" s="18"/>
      <c r="BM403" s="18"/>
      <c r="BN403" s="18"/>
      <c r="BO403" s="18"/>
      <c r="BP403" s="18"/>
      <c r="BQ403" s="18"/>
      <c r="BR403" s="18"/>
      <c r="BS403" s="18"/>
      <c r="BT403" s="18"/>
      <c r="BU403" s="18"/>
      <c r="BV403" s="18"/>
    </row>
    <row r="404" spans="1:74">
      <c r="A404" t="s">
        <v>2094</v>
      </c>
      <c r="B404" t="s">
        <v>2139</v>
      </c>
      <c r="BG404" s="18"/>
      <c r="BH404" s="18"/>
      <c r="BI404" s="18"/>
      <c r="BJ404" s="18"/>
      <c r="BK404" s="18"/>
      <c r="BL404" s="18"/>
      <c r="BM404" s="18"/>
      <c r="BN404" s="18"/>
      <c r="BO404" s="18"/>
      <c r="BP404" s="18"/>
      <c r="BQ404" s="18"/>
      <c r="BR404" s="18"/>
      <c r="BS404" s="18"/>
      <c r="BT404" s="18"/>
      <c r="BU404" s="18"/>
      <c r="BV404" s="18"/>
    </row>
    <row r="405" spans="1:74">
      <c r="A405" t="s">
        <v>2094</v>
      </c>
      <c r="B405" t="s">
        <v>2637</v>
      </c>
      <c r="BG405" s="18"/>
      <c r="BH405" s="18"/>
      <c r="BI405" s="18"/>
      <c r="BJ405" s="18"/>
      <c r="BK405" s="18"/>
      <c r="BL405" s="18"/>
      <c r="BM405" s="18"/>
      <c r="BN405" s="18"/>
      <c r="BO405" s="18"/>
      <c r="BP405" s="18"/>
      <c r="BQ405" s="18"/>
      <c r="BR405" s="18"/>
      <c r="BS405" s="18"/>
      <c r="BT405" s="18"/>
      <c r="BU405" s="18"/>
      <c r="BV405" s="18"/>
    </row>
    <row r="406" spans="1:74">
      <c r="A406" t="s">
        <v>2094</v>
      </c>
      <c r="B406" t="s">
        <v>2136</v>
      </c>
      <c r="BG406" s="18"/>
      <c r="BH406" s="18"/>
      <c r="BI406" s="18"/>
      <c r="BJ406" s="18"/>
      <c r="BK406" s="18"/>
      <c r="BL406" s="18"/>
      <c r="BM406" s="18"/>
      <c r="BN406" s="18"/>
      <c r="BO406" s="18"/>
      <c r="BP406" s="18"/>
      <c r="BQ406" s="18"/>
      <c r="BR406" s="18"/>
      <c r="BS406" s="18"/>
      <c r="BT406" s="18"/>
      <c r="BU406" s="18"/>
      <c r="BV406" s="18"/>
    </row>
    <row r="407" spans="1:74">
      <c r="A407" t="s">
        <v>2094</v>
      </c>
      <c r="B407" t="s">
        <v>2141</v>
      </c>
      <c r="BG407" s="18"/>
      <c r="BH407" s="18"/>
      <c r="BI407" s="18"/>
      <c r="BJ407" s="18"/>
      <c r="BK407" s="18"/>
      <c r="BL407" s="18"/>
      <c r="BM407" s="18"/>
      <c r="BN407" s="18"/>
      <c r="BO407" s="18"/>
      <c r="BP407" s="18"/>
      <c r="BQ407" s="18"/>
      <c r="BR407" s="18"/>
      <c r="BS407" s="18"/>
      <c r="BT407" s="18"/>
      <c r="BU407" s="18"/>
      <c r="BV407" s="18"/>
    </row>
    <row r="408" spans="1:74">
      <c r="A408" t="s">
        <v>2094</v>
      </c>
      <c r="B408" t="s">
        <v>3032</v>
      </c>
      <c r="BG408" s="18"/>
      <c r="BH408" s="18"/>
      <c r="BI408" s="18"/>
      <c r="BJ408" s="18"/>
      <c r="BK408" s="18"/>
      <c r="BL408" s="18"/>
      <c r="BM408" s="18"/>
      <c r="BN408" s="18"/>
      <c r="BO408" s="18"/>
      <c r="BP408" s="18"/>
      <c r="BQ408" s="18"/>
      <c r="BR408" s="18"/>
      <c r="BS408" s="18"/>
      <c r="BT408" s="18"/>
      <c r="BU408" s="18"/>
      <c r="BV408" s="18"/>
    </row>
    <row r="409" spans="1:74">
      <c r="A409" t="s">
        <v>2094</v>
      </c>
      <c r="B409" t="s">
        <v>2724</v>
      </c>
      <c r="BG409" s="18"/>
      <c r="BH409" s="18"/>
      <c r="BI409" s="18"/>
      <c r="BJ409" s="18"/>
      <c r="BK409" s="18"/>
      <c r="BL409" s="18"/>
      <c r="BM409" s="18"/>
      <c r="BN409" s="18"/>
      <c r="BO409" s="18"/>
      <c r="BP409" s="18"/>
      <c r="BQ409" s="18"/>
      <c r="BR409" s="18"/>
      <c r="BS409" s="18"/>
      <c r="BT409" s="18"/>
      <c r="BU409" s="18"/>
      <c r="BV409" s="18"/>
    </row>
    <row r="410" spans="1:74">
      <c r="A410" t="s">
        <v>2094</v>
      </c>
      <c r="B410" t="s">
        <v>3035</v>
      </c>
      <c r="BG410" s="18"/>
      <c r="BH410" s="18"/>
      <c r="BI410" s="18"/>
      <c r="BJ410" s="18"/>
      <c r="BK410" s="18"/>
      <c r="BL410" s="18"/>
      <c r="BM410" s="18"/>
      <c r="BN410" s="18"/>
      <c r="BO410" s="18"/>
      <c r="BP410" s="18"/>
      <c r="BQ410" s="18"/>
      <c r="BR410" s="18"/>
      <c r="BS410" s="18"/>
      <c r="BT410" s="18"/>
      <c r="BU410" s="18"/>
      <c r="BV410" s="18"/>
    </row>
    <row r="411" spans="1:74">
      <c r="A411" t="s">
        <v>2094</v>
      </c>
      <c r="B411" t="s">
        <v>2140</v>
      </c>
      <c r="BG411" s="18"/>
      <c r="BH411" s="18"/>
      <c r="BI411" s="18"/>
      <c r="BJ411" s="18"/>
      <c r="BK411" s="18"/>
      <c r="BL411" s="18"/>
      <c r="BM411" s="18"/>
      <c r="BN411" s="18"/>
      <c r="BO411" s="18"/>
      <c r="BP411" s="18"/>
      <c r="BQ411" s="18"/>
      <c r="BR411" s="18"/>
      <c r="BS411" s="18"/>
      <c r="BT411" s="18"/>
      <c r="BU411" s="18"/>
      <c r="BV411" s="18"/>
    </row>
    <row r="412" spans="1:74">
      <c r="A412" t="s">
        <v>2094</v>
      </c>
      <c r="B412" t="s">
        <v>3040</v>
      </c>
      <c r="BG412" s="18"/>
      <c r="BH412" s="18"/>
      <c r="BI412" s="18"/>
      <c r="BJ412" s="18"/>
      <c r="BK412" s="18"/>
      <c r="BL412" s="18"/>
      <c r="BM412" s="18"/>
      <c r="BN412" s="18"/>
      <c r="BO412" s="18"/>
      <c r="BP412" s="18"/>
      <c r="BQ412" s="18"/>
      <c r="BR412" s="18"/>
      <c r="BS412" s="18"/>
      <c r="BT412" s="18"/>
      <c r="BU412" s="18"/>
      <c r="BV412" s="18"/>
    </row>
    <row r="413" spans="1:74">
      <c r="A413" t="s">
        <v>2094</v>
      </c>
      <c r="B413" t="s">
        <v>3041</v>
      </c>
      <c r="BG413" s="18"/>
      <c r="BH413" s="18"/>
      <c r="BI413" s="18"/>
      <c r="BJ413" s="18"/>
      <c r="BK413" s="18"/>
      <c r="BL413" s="18"/>
      <c r="BM413" s="18"/>
      <c r="BN413" s="18"/>
      <c r="BO413" s="18"/>
      <c r="BP413" s="18"/>
      <c r="BQ413" s="18"/>
      <c r="BR413" s="18"/>
      <c r="BS413" s="18"/>
      <c r="BT413" s="18"/>
      <c r="BU413" s="18"/>
      <c r="BV413" s="18"/>
    </row>
    <row r="414" spans="1:74">
      <c r="A414" t="s">
        <v>2094</v>
      </c>
      <c r="B414" t="s">
        <v>2633</v>
      </c>
      <c r="BG414" s="18"/>
      <c r="BH414" s="18"/>
      <c r="BI414" s="18"/>
      <c r="BJ414" s="18"/>
      <c r="BK414" s="18"/>
      <c r="BL414" s="18"/>
      <c r="BM414" s="18"/>
      <c r="BN414" s="18"/>
      <c r="BO414" s="18"/>
      <c r="BP414" s="18"/>
      <c r="BQ414" s="18"/>
      <c r="BR414" s="18"/>
      <c r="BS414" s="18"/>
      <c r="BT414" s="18"/>
      <c r="BU414" s="18"/>
      <c r="BV414" s="18"/>
    </row>
    <row r="415" spans="1:74">
      <c r="A415" t="s">
        <v>279</v>
      </c>
      <c r="B415" t="s">
        <v>2144</v>
      </c>
      <c r="BG415" s="18"/>
      <c r="BH415" s="18"/>
      <c r="BI415" s="18"/>
      <c r="BJ415" s="18"/>
      <c r="BK415" s="18"/>
      <c r="BL415" s="18"/>
      <c r="BM415" s="18"/>
      <c r="BN415" s="18"/>
      <c r="BO415" s="18"/>
      <c r="BP415" s="18"/>
      <c r="BQ415" s="18"/>
      <c r="BR415" s="18"/>
      <c r="BS415" s="18"/>
      <c r="BT415" s="18"/>
      <c r="BU415" s="18"/>
      <c r="BV415" s="18"/>
    </row>
    <row r="416" spans="1:74">
      <c r="A416" t="s">
        <v>2559</v>
      </c>
      <c r="B416" t="s">
        <v>2640</v>
      </c>
      <c r="BG416" s="18"/>
      <c r="BH416" s="18"/>
      <c r="BI416" s="18"/>
      <c r="BJ416" s="18"/>
      <c r="BK416" s="18"/>
      <c r="BL416" s="18"/>
      <c r="BM416" s="18"/>
      <c r="BN416" s="18"/>
      <c r="BO416" s="18"/>
      <c r="BP416" s="18"/>
      <c r="BQ416" s="18"/>
      <c r="BR416" s="18"/>
      <c r="BS416" s="18"/>
      <c r="BT416" s="18"/>
      <c r="BU416" s="18"/>
      <c r="BV416" s="18"/>
    </row>
    <row r="417" spans="1:74">
      <c r="A417" t="s">
        <v>2559</v>
      </c>
      <c r="B417" t="s">
        <v>3045</v>
      </c>
      <c r="BG417" s="18"/>
      <c r="BH417" s="18"/>
      <c r="BI417" s="18"/>
      <c r="BJ417" s="18"/>
      <c r="BK417" s="18"/>
      <c r="BL417" s="18"/>
      <c r="BM417" s="18"/>
      <c r="BN417" s="18"/>
      <c r="BO417" s="18"/>
      <c r="BP417" s="18"/>
      <c r="BQ417" s="18"/>
      <c r="BR417" s="18"/>
      <c r="BS417" s="18"/>
      <c r="BT417" s="18"/>
      <c r="BU417" s="18"/>
      <c r="BV417" s="18"/>
    </row>
    <row r="418" spans="1:74">
      <c r="A418" t="s">
        <v>2559</v>
      </c>
      <c r="B418" t="s">
        <v>3046</v>
      </c>
      <c r="BG418" s="18"/>
      <c r="BH418" s="18"/>
      <c r="BI418" s="18"/>
      <c r="BJ418" s="18"/>
      <c r="BK418" s="18"/>
      <c r="BL418" s="18"/>
      <c r="BM418" s="18"/>
      <c r="BN418" s="18"/>
      <c r="BO418" s="18"/>
      <c r="BP418" s="18"/>
      <c r="BQ418" s="18"/>
      <c r="BR418" s="18"/>
      <c r="BS418" s="18"/>
      <c r="BT418" s="18"/>
      <c r="BU418" s="18"/>
      <c r="BV418" s="18"/>
    </row>
    <row r="419" spans="1:74">
      <c r="A419" t="s">
        <v>2559</v>
      </c>
      <c r="B419" t="s">
        <v>3047</v>
      </c>
      <c r="BG419" s="18"/>
      <c r="BH419" s="18"/>
      <c r="BI419" s="18"/>
      <c r="BJ419" s="18"/>
      <c r="BK419" s="18"/>
      <c r="BL419" s="18"/>
      <c r="BM419" s="18"/>
      <c r="BN419" s="18"/>
      <c r="BO419" s="18"/>
      <c r="BP419" s="18"/>
      <c r="BQ419" s="18"/>
      <c r="BR419" s="18"/>
      <c r="BS419" s="18"/>
      <c r="BT419" s="18"/>
      <c r="BU419" s="18"/>
      <c r="BV419" s="18"/>
    </row>
    <row r="420" spans="1:74">
      <c r="A420" t="s">
        <v>2559</v>
      </c>
      <c r="B420" t="s">
        <v>3048</v>
      </c>
      <c r="BG420" s="18"/>
      <c r="BH420" s="18"/>
      <c r="BI420" s="18"/>
      <c r="BJ420" s="18"/>
      <c r="BK420" s="18"/>
      <c r="BL420" s="18"/>
      <c r="BM420" s="18"/>
      <c r="BN420" s="18"/>
      <c r="BO420" s="18"/>
      <c r="BP420" s="18"/>
      <c r="BQ420" s="18"/>
      <c r="BR420" s="18"/>
      <c r="BS420" s="18"/>
      <c r="BT420" s="18"/>
      <c r="BU420" s="18"/>
      <c r="BV420" s="18"/>
    </row>
    <row r="421" spans="1:74">
      <c r="A421" t="s">
        <v>2559</v>
      </c>
      <c r="B421" t="s">
        <v>2641</v>
      </c>
      <c r="BG421" s="18"/>
      <c r="BH421" s="18"/>
      <c r="BI421" s="18"/>
      <c r="BJ421" s="18"/>
      <c r="BK421" s="18"/>
      <c r="BL421" s="18"/>
      <c r="BM421" s="18"/>
      <c r="BN421" s="18"/>
      <c r="BO421" s="18"/>
      <c r="BP421" s="18"/>
      <c r="BQ421" s="18"/>
      <c r="BR421" s="18"/>
      <c r="BS421" s="18"/>
      <c r="BT421" s="18"/>
      <c r="BU421" s="18"/>
      <c r="BV421" s="18"/>
    </row>
    <row r="422" spans="1:74">
      <c r="A422" t="s">
        <v>3159</v>
      </c>
      <c r="B422" t="s">
        <v>3049</v>
      </c>
      <c r="BG422" s="18"/>
      <c r="BH422" s="18"/>
      <c r="BI422" s="18"/>
      <c r="BJ422" s="18"/>
      <c r="BK422" s="18"/>
      <c r="BL422" s="18"/>
      <c r="BM422" s="18"/>
      <c r="BN422" s="18"/>
      <c r="BO422" s="18"/>
      <c r="BP422" s="18"/>
      <c r="BQ422" s="18"/>
      <c r="BR422" s="18"/>
      <c r="BS422" s="18"/>
      <c r="BT422" s="18"/>
      <c r="BU422" s="18"/>
      <c r="BV422" s="18"/>
    </row>
    <row r="423" spans="1:74">
      <c r="A423" t="s">
        <v>4426</v>
      </c>
      <c r="B423" t="s">
        <v>4427</v>
      </c>
      <c r="BG423" s="18"/>
      <c r="BH423" s="18"/>
      <c r="BI423" s="18"/>
      <c r="BJ423" s="18"/>
      <c r="BK423" s="18"/>
      <c r="BL423" s="18"/>
      <c r="BM423" s="18"/>
      <c r="BN423" s="18"/>
      <c r="BO423" s="18"/>
      <c r="BP423" s="18"/>
      <c r="BQ423" s="18"/>
      <c r="BR423" s="18"/>
      <c r="BS423" s="18"/>
      <c r="BT423" s="18"/>
      <c r="BU423" s="18"/>
      <c r="BV423" s="18"/>
    </row>
    <row r="424" spans="1:74">
      <c r="A424" t="s">
        <v>3160</v>
      </c>
      <c r="B424" t="s">
        <v>3050</v>
      </c>
      <c r="BG424" s="18"/>
      <c r="BH424" s="18"/>
      <c r="BI424" s="18"/>
      <c r="BJ424" s="18"/>
      <c r="BK424" s="18"/>
      <c r="BL424" s="18"/>
      <c r="BM424" s="18"/>
      <c r="BN424" s="18"/>
      <c r="BO424" s="18"/>
      <c r="BP424" s="18"/>
      <c r="BQ424" s="18"/>
      <c r="BR424" s="18"/>
      <c r="BS424" s="18"/>
      <c r="BT424" s="18"/>
      <c r="BU424" s="18"/>
      <c r="BV424" s="18"/>
    </row>
    <row r="425" spans="1:74">
      <c r="A425" t="s">
        <v>2731</v>
      </c>
      <c r="B425" t="s">
        <v>2857</v>
      </c>
      <c r="BG425" s="18"/>
      <c r="BH425" s="18"/>
      <c r="BI425" s="18"/>
      <c r="BJ425" s="18"/>
      <c r="BK425" s="18"/>
      <c r="BL425" s="18"/>
      <c r="BM425" s="18"/>
      <c r="BN425" s="18"/>
      <c r="BO425" s="18"/>
      <c r="BP425" s="18"/>
      <c r="BQ425" s="18"/>
      <c r="BR425" s="18"/>
      <c r="BS425" s="18"/>
      <c r="BT425" s="18"/>
      <c r="BU425" s="18"/>
      <c r="BV425" s="18"/>
    </row>
    <row r="426" spans="1:74">
      <c r="A426" t="s">
        <v>1978</v>
      </c>
      <c r="B426" t="s">
        <v>2646</v>
      </c>
      <c r="BG426" s="18"/>
      <c r="BH426" s="18"/>
      <c r="BI426" s="18"/>
      <c r="BJ426" s="18"/>
      <c r="BK426" s="18"/>
      <c r="BL426" s="18"/>
      <c r="BM426" s="18"/>
      <c r="BN426" s="18"/>
      <c r="BO426" s="18"/>
      <c r="BP426" s="18"/>
      <c r="BQ426" s="18"/>
      <c r="BR426" s="18"/>
      <c r="BS426" s="18"/>
      <c r="BT426" s="18"/>
      <c r="BU426" s="18"/>
      <c r="BV426" s="18"/>
    </row>
    <row r="427" spans="1:74">
      <c r="A427" t="s">
        <v>1978</v>
      </c>
      <c r="B427" t="s">
        <v>2655</v>
      </c>
      <c r="BG427" s="18"/>
      <c r="BH427" s="18"/>
      <c r="BI427" s="18"/>
      <c r="BJ427" s="18"/>
      <c r="BK427" s="18"/>
      <c r="BL427" s="18"/>
      <c r="BM427" s="18"/>
      <c r="BN427" s="18"/>
      <c r="BO427" s="18"/>
      <c r="BP427" s="18"/>
      <c r="BQ427" s="18"/>
      <c r="BR427" s="18"/>
      <c r="BS427" s="18"/>
      <c r="BT427" s="18"/>
      <c r="BU427" s="18"/>
      <c r="BV427" s="18"/>
    </row>
    <row r="428" spans="1:74">
      <c r="A428" t="s">
        <v>1978</v>
      </c>
      <c r="B428" t="s">
        <v>2147</v>
      </c>
      <c r="BG428" s="18"/>
      <c r="BH428" s="18"/>
      <c r="BI428" s="18"/>
      <c r="BJ428" s="18"/>
      <c r="BK428" s="18"/>
      <c r="BL428" s="18"/>
      <c r="BM428" s="18"/>
      <c r="BN428" s="18"/>
      <c r="BO428" s="18"/>
      <c r="BP428" s="18"/>
      <c r="BQ428" s="18"/>
      <c r="BR428" s="18"/>
      <c r="BS428" s="18"/>
      <c r="BT428" s="18"/>
      <c r="BU428" s="18"/>
      <c r="BV428" s="18"/>
    </row>
    <row r="429" spans="1:74">
      <c r="A429" t="s">
        <v>1978</v>
      </c>
      <c r="B429" t="s">
        <v>2645</v>
      </c>
      <c r="BG429" s="18"/>
      <c r="BH429" s="18"/>
      <c r="BI429" s="18"/>
      <c r="BJ429" s="18"/>
      <c r="BK429" s="18"/>
      <c r="BL429" s="18"/>
      <c r="BM429" s="18"/>
      <c r="BN429" s="18"/>
      <c r="BO429" s="18"/>
      <c r="BP429" s="18"/>
      <c r="BQ429" s="18"/>
      <c r="BR429" s="18"/>
      <c r="BS429" s="18"/>
      <c r="BT429" s="18"/>
      <c r="BU429" s="18"/>
      <c r="BV429" s="18"/>
    </row>
    <row r="430" spans="1:74">
      <c r="A430" t="s">
        <v>1978</v>
      </c>
      <c r="B430" t="s">
        <v>2644</v>
      </c>
      <c r="BG430" s="18"/>
      <c r="BH430" s="18"/>
      <c r="BI430" s="18"/>
      <c r="BJ430" s="18"/>
      <c r="BK430" s="18"/>
      <c r="BL430" s="18"/>
      <c r="BM430" s="18"/>
      <c r="BN430" s="18"/>
      <c r="BO430" s="18"/>
      <c r="BP430" s="18"/>
      <c r="BQ430" s="18"/>
      <c r="BR430" s="18"/>
      <c r="BS430" s="18"/>
      <c r="BT430" s="18"/>
      <c r="BU430" s="18"/>
      <c r="BV430" s="18"/>
    </row>
    <row r="431" spans="1:74">
      <c r="A431" t="s">
        <v>1978</v>
      </c>
      <c r="B431" t="s">
        <v>2146</v>
      </c>
      <c r="BG431" s="18"/>
      <c r="BH431" s="18"/>
      <c r="BI431" s="18"/>
      <c r="BJ431" s="18"/>
      <c r="BK431" s="18"/>
      <c r="BL431" s="18"/>
      <c r="BM431" s="18"/>
      <c r="BN431" s="18"/>
      <c r="BO431" s="18"/>
      <c r="BP431" s="18"/>
      <c r="BQ431" s="18"/>
      <c r="BR431" s="18"/>
      <c r="BS431" s="18"/>
      <c r="BT431" s="18"/>
      <c r="BU431" s="18"/>
      <c r="BV431" s="18"/>
    </row>
    <row r="432" spans="1:74">
      <c r="A432" t="s">
        <v>1978</v>
      </c>
      <c r="B432" t="s">
        <v>4469</v>
      </c>
      <c r="BG432" s="18"/>
      <c r="BH432" s="18"/>
      <c r="BI432" s="18"/>
      <c r="BJ432" s="18"/>
      <c r="BK432" s="18"/>
      <c r="BL432" s="18"/>
      <c r="BM432" s="18"/>
      <c r="BN432" s="18"/>
      <c r="BO432" s="18"/>
      <c r="BP432" s="18"/>
      <c r="BQ432" s="18"/>
      <c r="BR432" s="18"/>
      <c r="BS432" s="18"/>
      <c r="BT432" s="18"/>
      <c r="BU432" s="18"/>
      <c r="BV432" s="18"/>
    </row>
    <row r="433" spans="1:74">
      <c r="A433" t="s">
        <v>1978</v>
      </c>
      <c r="B433" t="s">
        <v>2643</v>
      </c>
      <c r="BG433" s="18"/>
      <c r="BH433" s="18"/>
      <c r="BI433" s="18"/>
      <c r="BJ433" s="18"/>
      <c r="BK433" s="18"/>
      <c r="BL433" s="18"/>
      <c r="BM433" s="18"/>
      <c r="BN433" s="18"/>
      <c r="BO433" s="18"/>
      <c r="BP433" s="18"/>
      <c r="BQ433" s="18"/>
      <c r="BR433" s="18"/>
      <c r="BS433" s="18"/>
      <c r="BT433" s="18"/>
      <c r="BU433" s="18"/>
      <c r="BV433" s="18"/>
    </row>
    <row r="434" spans="1:74">
      <c r="A434" t="s">
        <v>1978</v>
      </c>
      <c r="B434" t="s">
        <v>4430</v>
      </c>
      <c r="BG434" s="18"/>
      <c r="BH434" s="18"/>
      <c r="BI434" s="18"/>
      <c r="BJ434" s="18"/>
      <c r="BK434" s="18"/>
      <c r="BL434" s="18"/>
      <c r="BM434" s="18"/>
      <c r="BN434" s="18"/>
      <c r="BO434" s="18"/>
      <c r="BP434" s="18"/>
      <c r="BQ434" s="18"/>
      <c r="BR434" s="18"/>
      <c r="BS434" s="18"/>
      <c r="BT434" s="18"/>
      <c r="BU434" s="18"/>
      <c r="BV434" s="18"/>
    </row>
    <row r="435" spans="1:74">
      <c r="A435" t="s">
        <v>1978</v>
      </c>
      <c r="B435" t="s">
        <v>4431</v>
      </c>
      <c r="BG435" s="18"/>
      <c r="BH435" s="18"/>
      <c r="BI435" s="18"/>
      <c r="BJ435" s="18"/>
      <c r="BK435" s="18"/>
      <c r="BL435" s="18"/>
      <c r="BM435" s="18"/>
      <c r="BN435" s="18"/>
      <c r="BO435" s="18"/>
      <c r="BP435" s="18"/>
      <c r="BQ435" s="18"/>
      <c r="BR435" s="18"/>
      <c r="BS435" s="18"/>
      <c r="BT435" s="18"/>
      <c r="BU435" s="18"/>
      <c r="BV435" s="18"/>
    </row>
    <row r="436" spans="1:74">
      <c r="A436" t="s">
        <v>1978</v>
      </c>
      <c r="B436" t="s">
        <v>2149</v>
      </c>
      <c r="BG436" s="18"/>
      <c r="BH436" s="18"/>
      <c r="BI436" s="18"/>
      <c r="BJ436" s="18"/>
      <c r="BK436" s="18"/>
      <c r="BL436" s="18"/>
      <c r="BM436" s="18"/>
      <c r="BN436" s="18"/>
      <c r="BO436" s="18"/>
      <c r="BP436" s="18"/>
      <c r="BQ436" s="18"/>
      <c r="BR436" s="18"/>
      <c r="BS436" s="18"/>
      <c r="BT436" s="18"/>
      <c r="BU436" s="18"/>
      <c r="BV436" s="18"/>
    </row>
    <row r="437" spans="1:74">
      <c r="A437" t="s">
        <v>1978</v>
      </c>
      <c r="B437" t="s">
        <v>2653</v>
      </c>
      <c r="BG437" s="18"/>
      <c r="BH437" s="18"/>
      <c r="BI437" s="18"/>
      <c r="BJ437" s="18"/>
      <c r="BK437" s="18"/>
      <c r="BL437" s="18"/>
      <c r="BM437" s="18"/>
      <c r="BN437" s="18"/>
      <c r="BO437" s="18"/>
      <c r="BP437" s="18"/>
      <c r="BQ437" s="18"/>
      <c r="BR437" s="18"/>
      <c r="BS437" s="18"/>
      <c r="BT437" s="18"/>
      <c r="BU437" s="18"/>
      <c r="BV437" s="18"/>
    </row>
    <row r="438" spans="1:74">
      <c r="A438" t="s">
        <v>1978</v>
      </c>
      <c r="B438" t="s">
        <v>4433</v>
      </c>
      <c r="BG438" s="18"/>
      <c r="BH438" s="18"/>
      <c r="BI438" s="18"/>
      <c r="BJ438" s="18"/>
      <c r="BK438" s="18"/>
      <c r="BL438" s="18"/>
      <c r="BM438" s="18"/>
      <c r="BN438" s="18"/>
      <c r="BO438" s="18"/>
      <c r="BP438" s="18"/>
      <c r="BQ438" s="18"/>
      <c r="BR438" s="18"/>
      <c r="BS438" s="18"/>
      <c r="BT438" s="18"/>
      <c r="BU438" s="18"/>
      <c r="BV438" s="18"/>
    </row>
    <row r="439" spans="1:74">
      <c r="A439" t="s">
        <v>1978</v>
      </c>
      <c r="B439" t="s">
        <v>2149</v>
      </c>
      <c r="BG439" s="18"/>
      <c r="BH439" s="18"/>
      <c r="BI439" s="18"/>
      <c r="BJ439" s="18"/>
      <c r="BK439" s="18"/>
      <c r="BL439" s="18"/>
      <c r="BM439" s="18"/>
      <c r="BN439" s="18"/>
      <c r="BO439" s="18"/>
      <c r="BP439" s="18"/>
      <c r="BQ439" s="18"/>
      <c r="BR439" s="18"/>
      <c r="BS439" s="18"/>
      <c r="BT439" s="18"/>
      <c r="BU439" s="18"/>
      <c r="BV439" s="18"/>
    </row>
    <row r="440" spans="1:74">
      <c r="A440" t="s">
        <v>1978</v>
      </c>
      <c r="B440" t="s">
        <v>4432</v>
      </c>
      <c r="BG440" s="18"/>
      <c r="BH440" s="18"/>
      <c r="BI440" s="18"/>
      <c r="BJ440" s="18"/>
      <c r="BK440" s="18"/>
      <c r="BL440" s="18"/>
      <c r="BM440" s="18"/>
      <c r="BN440" s="18"/>
      <c r="BO440" s="18"/>
      <c r="BP440" s="18"/>
      <c r="BQ440" s="18"/>
      <c r="BR440" s="18"/>
      <c r="BS440" s="18"/>
      <c r="BT440" s="18"/>
      <c r="BU440" s="18"/>
      <c r="BV440" s="18"/>
    </row>
    <row r="441" spans="1:74">
      <c r="A441" t="s">
        <v>1978</v>
      </c>
      <c r="B441" t="s">
        <v>2653</v>
      </c>
      <c r="BG441" s="18"/>
      <c r="BH441" s="18"/>
      <c r="BI441" s="18"/>
      <c r="BJ441" s="18"/>
      <c r="BK441" s="18"/>
      <c r="BL441" s="18"/>
      <c r="BM441" s="18"/>
      <c r="BN441" s="18"/>
      <c r="BO441" s="18"/>
      <c r="BP441" s="18"/>
      <c r="BQ441" s="18"/>
      <c r="BR441" s="18"/>
      <c r="BS441" s="18"/>
      <c r="BT441" s="18"/>
      <c r="BU441" s="18"/>
      <c r="BV441" s="18"/>
    </row>
    <row r="442" spans="1:74">
      <c r="A442" t="s">
        <v>1978</v>
      </c>
      <c r="B442" t="s">
        <v>2732</v>
      </c>
      <c r="BG442" s="18"/>
      <c r="BH442" s="18"/>
      <c r="BI442" s="18"/>
      <c r="BJ442" s="18"/>
      <c r="BK442" s="18"/>
      <c r="BL442" s="18"/>
      <c r="BM442" s="18"/>
      <c r="BN442" s="18"/>
      <c r="BO442" s="18"/>
      <c r="BP442" s="18"/>
      <c r="BQ442" s="18"/>
      <c r="BR442" s="18"/>
      <c r="BS442" s="18"/>
      <c r="BT442" s="18"/>
      <c r="BU442" s="18"/>
      <c r="BV442" s="18"/>
    </row>
    <row r="443" spans="1:74">
      <c r="A443" t="s">
        <v>1978</v>
      </c>
      <c r="B443" t="s">
        <v>2654</v>
      </c>
      <c r="BG443" s="18"/>
      <c r="BH443" s="18"/>
      <c r="BI443" s="18"/>
      <c r="BJ443" s="18"/>
      <c r="BK443" s="18"/>
      <c r="BL443" s="18"/>
      <c r="BM443" s="18"/>
      <c r="BN443" s="18"/>
      <c r="BO443" s="18"/>
      <c r="BP443" s="18"/>
      <c r="BQ443" s="18"/>
      <c r="BR443" s="18"/>
      <c r="BS443" s="18"/>
      <c r="BT443" s="18"/>
      <c r="BU443" s="18"/>
      <c r="BV443" s="18"/>
    </row>
    <row r="444" spans="1:74">
      <c r="A444" t="s">
        <v>1978</v>
      </c>
      <c r="B444" t="s">
        <v>3059</v>
      </c>
      <c r="BG444" s="18"/>
      <c r="BH444" s="18"/>
      <c r="BI444" s="18"/>
      <c r="BJ444" s="18"/>
      <c r="BK444" s="18"/>
      <c r="BL444" s="18"/>
      <c r="BM444" s="18"/>
      <c r="BN444" s="18"/>
      <c r="BO444" s="18"/>
      <c r="BP444" s="18"/>
      <c r="BQ444" s="18"/>
      <c r="BR444" s="18"/>
      <c r="BS444" s="18"/>
      <c r="BT444" s="18"/>
      <c r="BU444" s="18"/>
      <c r="BV444" s="18"/>
    </row>
    <row r="445" spans="1:74">
      <c r="A445" t="s">
        <v>1978</v>
      </c>
      <c r="B445" t="s">
        <v>2655</v>
      </c>
      <c r="BG445" s="18"/>
      <c r="BH445" s="18"/>
      <c r="BI445" s="18"/>
      <c r="BJ445" s="18"/>
      <c r="BK445" s="18"/>
      <c r="BL445" s="18"/>
      <c r="BM445" s="18"/>
      <c r="BN445" s="18"/>
      <c r="BO445" s="18"/>
      <c r="BP445" s="18"/>
      <c r="BQ445" s="18"/>
      <c r="BR445" s="18"/>
      <c r="BS445" s="18"/>
      <c r="BT445" s="18"/>
      <c r="BU445" s="18"/>
      <c r="BV445" s="18"/>
    </row>
    <row r="446" spans="1:74">
      <c r="A446" t="s">
        <v>1978</v>
      </c>
      <c r="B446" t="s">
        <v>3055</v>
      </c>
      <c r="BG446" s="18"/>
      <c r="BH446" s="18"/>
      <c r="BI446" s="18"/>
      <c r="BJ446" s="18"/>
      <c r="BK446" s="18"/>
      <c r="BL446" s="18"/>
      <c r="BM446" s="18"/>
      <c r="BN446" s="18"/>
      <c r="BO446" s="18"/>
      <c r="BP446" s="18"/>
      <c r="BQ446" s="18"/>
      <c r="BR446" s="18"/>
      <c r="BS446" s="18"/>
      <c r="BT446" s="18"/>
      <c r="BU446" s="18"/>
      <c r="BV446" s="18"/>
    </row>
    <row r="447" spans="1:74">
      <c r="A447" t="s">
        <v>1978</v>
      </c>
      <c r="B447" t="s">
        <v>4434</v>
      </c>
      <c r="BG447" s="18"/>
      <c r="BH447" s="18"/>
      <c r="BI447" s="18"/>
      <c r="BJ447" s="18"/>
      <c r="BK447" s="18"/>
      <c r="BL447" s="18"/>
      <c r="BM447" s="18"/>
      <c r="BN447" s="18"/>
      <c r="BO447" s="18"/>
      <c r="BP447" s="18"/>
      <c r="BQ447" s="18"/>
      <c r="BR447" s="18"/>
      <c r="BS447" s="18"/>
      <c r="BT447" s="18"/>
      <c r="BU447" s="18"/>
      <c r="BV447" s="18"/>
    </row>
    <row r="448" spans="1:74">
      <c r="A448" t="s">
        <v>1978</v>
      </c>
      <c r="B448" t="s">
        <v>4435</v>
      </c>
      <c r="BG448" s="18"/>
      <c r="BH448" s="18"/>
      <c r="BI448" s="18"/>
      <c r="BJ448" s="18"/>
      <c r="BK448" s="18"/>
      <c r="BL448" s="18"/>
      <c r="BM448" s="18"/>
      <c r="BN448" s="18"/>
      <c r="BO448" s="18"/>
      <c r="BP448" s="18"/>
      <c r="BQ448" s="18"/>
      <c r="BR448" s="18"/>
      <c r="BS448" s="18"/>
      <c r="BT448" s="18"/>
      <c r="BU448" s="18"/>
      <c r="BV448" s="18"/>
    </row>
    <row r="449" spans="1:74">
      <c r="A449" t="s">
        <v>1978</v>
      </c>
      <c r="B449" t="s">
        <v>3054</v>
      </c>
      <c r="BG449" s="18"/>
      <c r="BH449" s="18"/>
      <c r="BI449" s="18"/>
      <c r="BJ449" s="18"/>
      <c r="BK449" s="18"/>
      <c r="BL449" s="18"/>
      <c r="BM449" s="18"/>
      <c r="BN449" s="18"/>
      <c r="BO449" s="18"/>
      <c r="BP449" s="18"/>
      <c r="BQ449" s="18"/>
      <c r="BR449" s="18"/>
      <c r="BS449" s="18"/>
      <c r="BT449" s="18"/>
      <c r="BU449" s="18"/>
      <c r="BV449" s="18"/>
    </row>
    <row r="450" spans="1:74">
      <c r="A450" t="s">
        <v>1978</v>
      </c>
      <c r="B450" t="s">
        <v>2656</v>
      </c>
      <c r="BG450" s="18"/>
      <c r="BH450" s="18"/>
      <c r="BI450" s="18"/>
      <c r="BJ450" s="18"/>
      <c r="BK450" s="18"/>
      <c r="BL450" s="18"/>
      <c r="BM450" s="18"/>
      <c r="BN450" s="18"/>
      <c r="BO450" s="18"/>
      <c r="BP450" s="18"/>
      <c r="BQ450" s="18"/>
      <c r="BR450" s="18"/>
      <c r="BS450" s="18"/>
      <c r="BT450" s="18"/>
      <c r="BU450" s="18"/>
      <c r="BV450" s="18"/>
    </row>
    <row r="451" spans="1:74">
      <c r="A451" t="s">
        <v>1978</v>
      </c>
      <c r="B451" t="s">
        <v>2642</v>
      </c>
      <c r="BG451" s="18"/>
      <c r="BH451" s="18"/>
      <c r="BI451" s="18"/>
      <c r="BJ451" s="18"/>
      <c r="BK451" s="18"/>
      <c r="BL451" s="18"/>
      <c r="BM451" s="18"/>
      <c r="BN451" s="18"/>
      <c r="BO451" s="18"/>
      <c r="BP451" s="18"/>
      <c r="BQ451" s="18"/>
      <c r="BR451" s="18"/>
      <c r="BS451" s="18"/>
      <c r="BT451" s="18"/>
      <c r="BU451" s="18"/>
      <c r="BV451" s="18"/>
    </row>
    <row r="452" spans="1:74">
      <c r="A452" t="s">
        <v>1978</v>
      </c>
      <c r="B452" t="s">
        <v>2145</v>
      </c>
      <c r="BG452" s="18"/>
      <c r="BH452" s="18"/>
      <c r="BI452" s="18"/>
      <c r="BJ452" s="18"/>
      <c r="BK452" s="18"/>
      <c r="BL452" s="18"/>
      <c r="BM452" s="18"/>
      <c r="BN452" s="18"/>
      <c r="BO452" s="18"/>
      <c r="BP452" s="18"/>
      <c r="BQ452" s="18"/>
      <c r="BR452" s="18"/>
      <c r="BS452" s="18"/>
      <c r="BT452" s="18"/>
      <c r="BU452" s="18"/>
      <c r="BV452" s="18"/>
    </row>
    <row r="453" spans="1:74">
      <c r="A453" t="s">
        <v>1978</v>
      </c>
      <c r="B453" t="s">
        <v>4436</v>
      </c>
      <c r="BG453" s="18"/>
      <c r="BH453" s="18"/>
      <c r="BI453" s="18"/>
      <c r="BJ453" s="18"/>
      <c r="BK453" s="18"/>
      <c r="BL453" s="18"/>
      <c r="BM453" s="18"/>
      <c r="BN453" s="18"/>
      <c r="BO453" s="18"/>
      <c r="BP453" s="18"/>
      <c r="BQ453" s="18"/>
      <c r="BR453" s="18"/>
      <c r="BS453" s="18"/>
      <c r="BT453" s="18"/>
      <c r="BU453" s="18"/>
      <c r="BV453" s="18"/>
    </row>
    <row r="454" spans="1:74">
      <c r="A454" t="s">
        <v>1978</v>
      </c>
      <c r="B454" t="s">
        <v>2148</v>
      </c>
      <c r="BG454" s="18"/>
      <c r="BH454" s="18"/>
      <c r="BI454" s="18"/>
      <c r="BJ454" s="18"/>
      <c r="BK454" s="18"/>
      <c r="BL454" s="18"/>
      <c r="BM454" s="18"/>
      <c r="BN454" s="18"/>
      <c r="BO454" s="18"/>
      <c r="BP454" s="18"/>
      <c r="BQ454" s="18"/>
      <c r="BR454" s="18"/>
      <c r="BS454" s="18"/>
      <c r="BT454" s="18"/>
      <c r="BU454" s="18"/>
      <c r="BV454" s="18"/>
    </row>
    <row r="455" spans="1:74">
      <c r="A455" t="s">
        <v>1978</v>
      </c>
      <c r="B455" t="s">
        <v>4442</v>
      </c>
      <c r="BG455" s="18"/>
      <c r="BH455" s="18"/>
      <c r="BI455" s="18"/>
      <c r="BJ455" s="18"/>
      <c r="BK455" s="18"/>
      <c r="BL455" s="18"/>
      <c r="BM455" s="18"/>
      <c r="BN455" s="18"/>
      <c r="BO455" s="18"/>
      <c r="BP455" s="18"/>
      <c r="BQ455" s="18"/>
      <c r="BR455" s="18"/>
      <c r="BS455" s="18"/>
      <c r="BT455" s="18"/>
      <c r="BU455" s="18"/>
      <c r="BV455" s="18"/>
    </row>
    <row r="456" spans="1:74">
      <c r="A456" t="s">
        <v>1978</v>
      </c>
      <c r="B456" t="s">
        <v>4439</v>
      </c>
      <c r="BG456" s="18"/>
      <c r="BH456" s="18"/>
      <c r="BI456" s="18"/>
      <c r="BJ456" s="18"/>
      <c r="BK456" s="18"/>
      <c r="BL456" s="18"/>
      <c r="BM456" s="18"/>
      <c r="BN456" s="18"/>
      <c r="BO456" s="18"/>
      <c r="BP456" s="18"/>
      <c r="BQ456" s="18"/>
      <c r="BR456" s="18"/>
      <c r="BS456" s="18"/>
      <c r="BT456" s="18"/>
      <c r="BU456" s="18"/>
      <c r="BV456" s="18"/>
    </row>
    <row r="457" spans="1:74">
      <c r="A457" t="s">
        <v>1978</v>
      </c>
      <c r="B457" t="s">
        <v>3057</v>
      </c>
      <c r="BG457" s="18"/>
      <c r="BH457" s="18"/>
      <c r="BI457" s="18"/>
      <c r="BJ457" s="18"/>
      <c r="BK457" s="18"/>
      <c r="BL457" s="18"/>
      <c r="BM457" s="18"/>
      <c r="BN457" s="18"/>
      <c r="BO457" s="18"/>
      <c r="BP457" s="18"/>
      <c r="BQ457" s="18"/>
      <c r="BR457" s="18"/>
      <c r="BS457" s="18"/>
      <c r="BT457" s="18"/>
      <c r="BU457" s="18"/>
      <c r="BV457" s="18"/>
    </row>
    <row r="458" spans="1:74">
      <c r="A458" t="s">
        <v>1978</v>
      </c>
      <c r="B458" t="s">
        <v>4437</v>
      </c>
      <c r="BG458" s="18"/>
      <c r="BH458" s="18"/>
      <c r="BI458" s="18"/>
      <c r="BJ458" s="18"/>
      <c r="BK458" s="18"/>
      <c r="BL458" s="18"/>
      <c r="BM458" s="18"/>
      <c r="BN458" s="18"/>
      <c r="BO458" s="18"/>
      <c r="BP458" s="18"/>
      <c r="BQ458" s="18"/>
      <c r="BR458" s="18"/>
      <c r="BS458" s="18"/>
      <c r="BT458" s="18"/>
      <c r="BU458" s="18"/>
      <c r="BV458" s="18"/>
    </row>
    <row r="459" spans="1:74">
      <c r="A459" t="s">
        <v>1978</v>
      </c>
      <c r="B459" t="s">
        <v>2149</v>
      </c>
      <c r="BG459" s="18"/>
      <c r="BH459" s="18"/>
      <c r="BI459" s="18"/>
      <c r="BJ459" s="18"/>
      <c r="BK459" s="18"/>
      <c r="BL459" s="18"/>
      <c r="BM459" s="18"/>
      <c r="BN459" s="18"/>
      <c r="BO459" s="18"/>
      <c r="BP459" s="18"/>
      <c r="BQ459" s="18"/>
      <c r="BR459" s="18"/>
      <c r="BS459" s="18"/>
      <c r="BT459" s="18"/>
      <c r="BU459" s="18"/>
      <c r="BV459" s="18"/>
    </row>
    <row r="460" spans="1:74">
      <c r="A460" t="s">
        <v>1978</v>
      </c>
      <c r="B460" t="s">
        <v>4438</v>
      </c>
      <c r="BG460" s="18"/>
      <c r="BH460" s="18"/>
      <c r="BI460" s="18"/>
      <c r="BJ460" s="18"/>
      <c r="BK460" s="18"/>
      <c r="BL460" s="18"/>
      <c r="BM460" s="18"/>
      <c r="BN460" s="18"/>
      <c r="BO460" s="18"/>
      <c r="BP460" s="18"/>
      <c r="BQ460" s="18"/>
      <c r="BR460" s="18"/>
      <c r="BS460" s="18"/>
      <c r="BT460" s="18"/>
      <c r="BU460" s="18"/>
      <c r="BV460" s="18"/>
    </row>
    <row r="461" spans="1:74">
      <c r="A461" t="s">
        <v>1978</v>
      </c>
      <c r="B461" t="s">
        <v>3058</v>
      </c>
      <c r="BG461" s="18"/>
      <c r="BH461" s="18"/>
      <c r="BI461" s="18"/>
      <c r="BJ461" s="18"/>
      <c r="BK461" s="18"/>
      <c r="BL461" s="18"/>
      <c r="BM461" s="18"/>
      <c r="BN461" s="18"/>
      <c r="BO461" s="18"/>
      <c r="BP461" s="18"/>
      <c r="BQ461" s="18"/>
      <c r="BR461" s="18"/>
      <c r="BS461" s="18"/>
      <c r="BT461" s="18"/>
      <c r="BU461" s="18"/>
      <c r="BV461" s="18"/>
    </row>
    <row r="462" spans="1:74">
      <c r="A462" t="s">
        <v>1978</v>
      </c>
      <c r="B462" t="s">
        <v>2146</v>
      </c>
      <c r="BG462" s="18"/>
      <c r="BH462" s="18"/>
      <c r="BI462" s="18"/>
      <c r="BJ462" s="18"/>
      <c r="BK462" s="18"/>
      <c r="BL462" s="18"/>
      <c r="BM462" s="18"/>
      <c r="BN462" s="18"/>
      <c r="BO462" s="18"/>
      <c r="BP462" s="18"/>
      <c r="BQ462" s="18"/>
      <c r="BR462" s="18"/>
      <c r="BS462" s="18"/>
      <c r="BT462" s="18"/>
      <c r="BU462" s="18"/>
      <c r="BV462" s="18"/>
    </row>
    <row r="463" spans="1:74">
      <c r="A463" t="s">
        <v>1978</v>
      </c>
      <c r="B463" t="s">
        <v>4441</v>
      </c>
      <c r="BG463" s="18"/>
      <c r="BH463" s="18"/>
      <c r="BI463" s="18"/>
      <c r="BJ463" s="18"/>
      <c r="BK463" s="18"/>
      <c r="BL463" s="18"/>
      <c r="BM463" s="18"/>
      <c r="BN463" s="18"/>
      <c r="BO463" s="18"/>
      <c r="BP463" s="18"/>
      <c r="BQ463" s="18"/>
      <c r="BR463" s="18"/>
      <c r="BS463" s="18"/>
      <c r="BT463" s="18"/>
      <c r="BU463" s="18"/>
      <c r="BV463" s="18"/>
    </row>
    <row r="464" spans="1:74">
      <c r="A464" t="s">
        <v>1978</v>
      </c>
      <c r="B464" t="s">
        <v>2649</v>
      </c>
      <c r="BG464" s="18"/>
      <c r="BH464" s="18"/>
      <c r="BI464" s="18"/>
      <c r="BJ464" s="18"/>
      <c r="BK464" s="18"/>
      <c r="BL464" s="18"/>
      <c r="BM464" s="18"/>
      <c r="BN464" s="18"/>
      <c r="BO464" s="18"/>
      <c r="BP464" s="18"/>
      <c r="BQ464" s="18"/>
      <c r="BR464" s="18"/>
      <c r="BS464" s="18"/>
      <c r="BT464" s="18"/>
      <c r="BU464" s="18"/>
      <c r="BV464" s="18"/>
    </row>
    <row r="465" spans="1:74">
      <c r="A465" t="s">
        <v>1978</v>
      </c>
      <c r="B465" t="s">
        <v>2652</v>
      </c>
      <c r="BG465" s="18"/>
      <c r="BH465" s="18"/>
      <c r="BI465" s="18"/>
      <c r="BJ465" s="18"/>
      <c r="BK465" s="18"/>
      <c r="BL465" s="18"/>
      <c r="BM465" s="18"/>
      <c r="BN465" s="18"/>
      <c r="BO465" s="18"/>
      <c r="BP465" s="18"/>
      <c r="BQ465" s="18"/>
      <c r="BR465" s="18"/>
      <c r="BS465" s="18"/>
      <c r="BT465" s="18"/>
      <c r="BU465" s="18"/>
      <c r="BV465" s="18"/>
    </row>
    <row r="466" spans="1:74">
      <c r="A466" t="s">
        <v>1978</v>
      </c>
      <c r="B466" t="s">
        <v>2647</v>
      </c>
      <c r="BG466" s="18"/>
      <c r="BH466" s="18"/>
      <c r="BI466" s="18"/>
      <c r="BJ466" s="18"/>
      <c r="BK466" s="18"/>
      <c r="BL466" s="18"/>
      <c r="BM466" s="18"/>
      <c r="BN466" s="18"/>
      <c r="BO466" s="18"/>
      <c r="BP466" s="18"/>
      <c r="BQ466" s="18"/>
      <c r="BR466" s="18"/>
      <c r="BS466" s="18"/>
      <c r="BT466" s="18"/>
      <c r="BU466" s="18"/>
      <c r="BV466" s="18"/>
    </row>
    <row r="467" spans="1:74">
      <c r="A467" t="s">
        <v>1978</v>
      </c>
      <c r="B467" t="s">
        <v>3056</v>
      </c>
      <c r="BG467" s="18"/>
      <c r="BH467" s="18"/>
      <c r="BI467" s="18"/>
      <c r="BJ467" s="18"/>
      <c r="BK467" s="18"/>
      <c r="BL467" s="18"/>
      <c r="BM467" s="18"/>
      <c r="BN467" s="18"/>
      <c r="BO467" s="18"/>
      <c r="BP467" s="18"/>
      <c r="BQ467" s="18"/>
      <c r="BR467" s="18"/>
      <c r="BS467" s="18"/>
      <c r="BT467" s="18"/>
      <c r="BU467" s="18"/>
      <c r="BV467" s="18"/>
    </row>
    <row r="468" spans="1:74">
      <c r="A468" t="s">
        <v>1978</v>
      </c>
      <c r="B468" t="s">
        <v>2648</v>
      </c>
      <c r="BG468" s="18"/>
      <c r="BH468" s="18"/>
      <c r="BI468" s="18"/>
      <c r="BJ468" s="18"/>
      <c r="BK468" s="18"/>
      <c r="BL468" s="18"/>
      <c r="BM468" s="18"/>
      <c r="BN468" s="18"/>
      <c r="BO468" s="18"/>
      <c r="BP468" s="18"/>
      <c r="BQ468" s="18"/>
      <c r="BR468" s="18"/>
      <c r="BS468" s="18"/>
      <c r="BT468" s="18"/>
      <c r="BU468" s="18"/>
      <c r="BV468" s="18"/>
    </row>
    <row r="469" spans="1:74">
      <c r="A469" t="s">
        <v>1978</v>
      </c>
      <c r="B469" t="s">
        <v>3052</v>
      </c>
      <c r="BG469" s="18"/>
      <c r="BH469" s="18"/>
      <c r="BI469" s="18"/>
      <c r="BJ469" s="18"/>
      <c r="BK469" s="18"/>
      <c r="BL469" s="18"/>
      <c r="BM469" s="18"/>
      <c r="BN469" s="18"/>
      <c r="BO469" s="18"/>
      <c r="BP469" s="18"/>
      <c r="BQ469" s="18"/>
      <c r="BR469" s="18"/>
      <c r="BS469" s="18"/>
      <c r="BT469" s="18"/>
      <c r="BU469" s="18"/>
      <c r="BV469" s="18"/>
    </row>
    <row r="470" spans="1:74">
      <c r="A470" t="s">
        <v>1978</v>
      </c>
      <c r="B470" t="s">
        <v>3053</v>
      </c>
      <c r="BG470" s="18"/>
      <c r="BH470" s="18"/>
      <c r="BI470" s="18"/>
      <c r="BJ470" s="18"/>
      <c r="BK470" s="18"/>
      <c r="BL470" s="18"/>
      <c r="BM470" s="18"/>
      <c r="BN470" s="18"/>
      <c r="BO470" s="18"/>
      <c r="BP470" s="18"/>
      <c r="BQ470" s="18"/>
      <c r="BR470" s="18"/>
      <c r="BS470" s="18"/>
      <c r="BT470" s="18"/>
      <c r="BU470" s="18"/>
      <c r="BV470" s="18"/>
    </row>
    <row r="471" spans="1:74">
      <c r="A471" t="s">
        <v>1978</v>
      </c>
      <c r="B471" t="s">
        <v>4440</v>
      </c>
      <c r="BG471" s="18"/>
      <c r="BH471" s="18"/>
      <c r="BI471" s="18"/>
      <c r="BJ471" s="18"/>
      <c r="BK471" s="18"/>
      <c r="BL471" s="18"/>
      <c r="BM471" s="18"/>
      <c r="BN471" s="18"/>
      <c r="BO471" s="18"/>
      <c r="BP471" s="18"/>
      <c r="BQ471" s="18"/>
      <c r="BR471" s="18"/>
      <c r="BS471" s="18"/>
      <c r="BT471" s="18"/>
      <c r="BU471" s="18"/>
      <c r="BV471" s="18"/>
    </row>
    <row r="472" spans="1:74">
      <c r="A472" t="s">
        <v>1978</v>
      </c>
      <c r="B472" t="s">
        <v>3051</v>
      </c>
      <c r="BG472" s="18"/>
      <c r="BH472" s="18"/>
      <c r="BI472" s="18"/>
      <c r="BJ472" s="18"/>
      <c r="BK472" s="18"/>
      <c r="BL472" s="18"/>
      <c r="BM472" s="18"/>
      <c r="BN472" s="18"/>
      <c r="BO472" s="18"/>
      <c r="BP472" s="18"/>
      <c r="BQ472" s="18"/>
      <c r="BR472" s="18"/>
      <c r="BS472" s="18"/>
      <c r="BT472" s="18"/>
      <c r="BU472" s="18"/>
      <c r="BV472" s="18"/>
    </row>
    <row r="473" spans="1:74">
      <c r="A473" t="s">
        <v>1978</v>
      </c>
      <c r="B473" t="s">
        <v>3053</v>
      </c>
      <c r="BG473" s="18"/>
      <c r="BH473" s="18"/>
      <c r="BI473" s="18"/>
      <c r="BJ473" s="18"/>
      <c r="BK473" s="18"/>
      <c r="BL473" s="18"/>
      <c r="BM473" s="18"/>
      <c r="BN473" s="18"/>
      <c r="BO473" s="18"/>
      <c r="BP473" s="18"/>
      <c r="BQ473" s="18"/>
      <c r="BR473" s="18"/>
      <c r="BS473" s="18"/>
      <c r="BT473" s="18"/>
      <c r="BU473" s="18"/>
      <c r="BV473" s="18"/>
    </row>
    <row r="474" spans="1:74">
      <c r="A474" t="s">
        <v>1978</v>
      </c>
      <c r="B474" t="s">
        <v>4443</v>
      </c>
      <c r="BG474" s="18"/>
      <c r="BH474" s="18"/>
      <c r="BI474" s="18"/>
      <c r="BJ474" s="18"/>
      <c r="BK474" s="18"/>
      <c r="BL474" s="18"/>
      <c r="BM474" s="18"/>
      <c r="BN474" s="18"/>
      <c r="BO474" s="18"/>
      <c r="BP474" s="18"/>
      <c r="BQ474" s="18"/>
      <c r="BR474" s="18"/>
      <c r="BS474" s="18"/>
      <c r="BT474" s="18"/>
      <c r="BU474" s="18"/>
      <c r="BV474" s="18"/>
    </row>
    <row r="475" spans="1:74">
      <c r="A475" t="s">
        <v>1978</v>
      </c>
      <c r="B475" t="s">
        <v>2651</v>
      </c>
      <c r="BG475" s="18"/>
      <c r="BH475" s="18"/>
      <c r="BI475" s="18"/>
      <c r="BJ475" s="18"/>
      <c r="BK475" s="18"/>
      <c r="BL475" s="18"/>
      <c r="BM475" s="18"/>
      <c r="BN475" s="18"/>
      <c r="BO475" s="18"/>
      <c r="BP475" s="18"/>
      <c r="BQ475" s="18"/>
      <c r="BR475" s="18"/>
      <c r="BS475" s="18"/>
      <c r="BT475" s="18"/>
      <c r="BU475" s="18"/>
      <c r="BV475" s="18"/>
    </row>
    <row r="476" spans="1:74">
      <c r="A476" t="s">
        <v>1978</v>
      </c>
      <c r="B476" t="s">
        <v>2650</v>
      </c>
      <c r="BG476" s="18"/>
      <c r="BH476" s="18"/>
      <c r="BI476" s="18"/>
      <c r="BJ476" s="18"/>
      <c r="BK476" s="18"/>
      <c r="BL476" s="18"/>
      <c r="BM476" s="18"/>
      <c r="BN476" s="18"/>
      <c r="BO476" s="18"/>
      <c r="BP476" s="18"/>
      <c r="BQ476" s="18"/>
      <c r="BR476" s="18"/>
      <c r="BS476" s="18"/>
      <c r="BT476" s="18"/>
      <c r="BU476" s="18"/>
      <c r="BV476" s="18"/>
    </row>
    <row r="477" spans="1:74">
      <c r="A477" t="s">
        <v>1978</v>
      </c>
      <c r="B477" t="s">
        <v>4435</v>
      </c>
      <c r="BG477" s="18"/>
      <c r="BH477" s="18"/>
      <c r="BI477" s="18"/>
      <c r="BJ477" s="18"/>
      <c r="BK477" s="18"/>
      <c r="BL477" s="18"/>
      <c r="BM477" s="18"/>
      <c r="BN477" s="18"/>
      <c r="BO477" s="18"/>
      <c r="BP477" s="18"/>
      <c r="BQ477" s="18"/>
      <c r="BR477" s="18"/>
      <c r="BS477" s="18"/>
      <c r="BT477" s="18"/>
      <c r="BU477" s="18"/>
      <c r="BV477" s="18"/>
    </row>
    <row r="478" spans="1:74">
      <c r="A478" t="s">
        <v>1978</v>
      </c>
      <c r="B478" t="s">
        <v>2733</v>
      </c>
      <c r="BG478" s="18"/>
      <c r="BH478" s="18"/>
      <c r="BI478" s="18"/>
      <c r="BJ478" s="18"/>
      <c r="BK478" s="18"/>
      <c r="BL478" s="18"/>
      <c r="BM478" s="18"/>
      <c r="BN478" s="18"/>
      <c r="BO478" s="18"/>
      <c r="BP478" s="18"/>
      <c r="BQ478" s="18"/>
      <c r="BR478" s="18"/>
      <c r="BS478" s="18"/>
      <c r="BT478" s="18"/>
      <c r="BU478" s="18"/>
      <c r="BV478" s="18"/>
    </row>
    <row r="479" spans="1:74">
      <c r="A479" t="s">
        <v>1978</v>
      </c>
      <c r="B479" t="s">
        <v>3059</v>
      </c>
      <c r="BG479" s="18"/>
      <c r="BH479" s="18"/>
      <c r="BI479" s="18"/>
      <c r="BJ479" s="18"/>
      <c r="BK479" s="18"/>
      <c r="BL479" s="18"/>
      <c r="BM479" s="18"/>
      <c r="BN479" s="18"/>
      <c r="BO479" s="18"/>
      <c r="BP479" s="18"/>
      <c r="BQ479" s="18"/>
      <c r="BR479" s="18"/>
      <c r="BS479" s="18"/>
      <c r="BT479" s="18"/>
      <c r="BU479" s="18"/>
      <c r="BV479" s="18"/>
    </row>
    <row r="480" spans="1:74">
      <c r="A480" t="s">
        <v>1978</v>
      </c>
      <c r="B480" t="s">
        <v>4428</v>
      </c>
      <c r="BG480" s="18"/>
      <c r="BH480" s="18"/>
      <c r="BI480" s="18"/>
      <c r="BJ480" s="18"/>
      <c r="BK480" s="18"/>
      <c r="BL480" s="18"/>
      <c r="BM480" s="18"/>
      <c r="BN480" s="18"/>
      <c r="BO480" s="18"/>
      <c r="BP480" s="18"/>
      <c r="BQ480" s="18"/>
      <c r="BR480" s="18"/>
      <c r="BS480" s="18"/>
      <c r="BT480" s="18"/>
      <c r="BU480" s="18"/>
      <c r="BV480" s="18"/>
    </row>
    <row r="481" spans="1:74">
      <c r="A481" t="s">
        <v>1978</v>
      </c>
      <c r="B481" t="s">
        <v>2734</v>
      </c>
      <c r="BG481" s="18"/>
      <c r="BH481" s="18"/>
      <c r="BI481" s="18"/>
      <c r="BJ481" s="18"/>
      <c r="BK481" s="18"/>
      <c r="BL481" s="18"/>
      <c r="BM481" s="18"/>
      <c r="BN481" s="18"/>
      <c r="BO481" s="18"/>
      <c r="BP481" s="18"/>
      <c r="BQ481" s="18"/>
      <c r="BR481" s="18"/>
      <c r="BS481" s="18"/>
      <c r="BT481" s="18"/>
      <c r="BU481" s="18"/>
      <c r="BV481" s="18"/>
    </row>
    <row r="482" spans="1:74">
      <c r="A482" t="s">
        <v>1978</v>
      </c>
      <c r="B482" t="s">
        <v>4429</v>
      </c>
      <c r="BG482" s="18"/>
      <c r="BH482" s="18"/>
      <c r="BI482" s="18"/>
      <c r="BJ482" s="18"/>
      <c r="BK482" s="18"/>
      <c r="BL482" s="18"/>
      <c r="BM482" s="18"/>
      <c r="BN482" s="18"/>
      <c r="BO482" s="18"/>
      <c r="BP482" s="18"/>
      <c r="BQ482" s="18"/>
      <c r="BR482" s="18"/>
      <c r="BS482" s="18"/>
      <c r="BT482" s="18"/>
      <c r="BU482" s="18"/>
      <c r="BV482" s="18"/>
    </row>
    <row r="483" spans="1:74">
      <c r="A483" t="s">
        <v>1978</v>
      </c>
      <c r="B483" t="s">
        <v>4470</v>
      </c>
      <c r="BG483" s="18"/>
      <c r="BH483" s="18"/>
      <c r="BI483" s="18"/>
      <c r="BJ483" s="18"/>
      <c r="BK483" s="18"/>
      <c r="BL483" s="18"/>
      <c r="BM483" s="18"/>
      <c r="BN483" s="18"/>
      <c r="BO483" s="18"/>
      <c r="BP483" s="18"/>
      <c r="BQ483" s="18"/>
      <c r="BR483" s="18"/>
      <c r="BS483" s="18"/>
      <c r="BT483" s="18"/>
      <c r="BU483" s="18"/>
      <c r="BV483" s="18"/>
    </row>
    <row r="484" spans="1:74">
      <c r="A484" t="s">
        <v>2735</v>
      </c>
      <c r="B484" t="s">
        <v>2736</v>
      </c>
      <c r="BG484" s="18"/>
      <c r="BH484" s="18"/>
      <c r="BI484" s="18"/>
      <c r="BJ484" s="18"/>
      <c r="BK484" s="18"/>
      <c r="BL484" s="18"/>
      <c r="BM484" s="18"/>
      <c r="BN484" s="18"/>
      <c r="BO484" s="18"/>
      <c r="BP484" s="18"/>
      <c r="BQ484" s="18"/>
      <c r="BR484" s="18"/>
      <c r="BS484" s="18"/>
      <c r="BT484" s="18"/>
      <c r="BU484" s="18"/>
      <c r="BV484" s="18"/>
    </row>
    <row r="485" spans="1:74">
      <c r="A485" t="s">
        <v>3161</v>
      </c>
      <c r="B485" t="s">
        <v>3060</v>
      </c>
      <c r="BG485" s="18"/>
      <c r="BH485" s="18"/>
      <c r="BI485" s="18"/>
      <c r="BJ485" s="18"/>
      <c r="BK485" s="18"/>
      <c r="BL485" s="18"/>
      <c r="BM485" s="18"/>
      <c r="BN485" s="18"/>
      <c r="BO485" s="18"/>
      <c r="BP485" s="18"/>
      <c r="BQ485" s="18"/>
      <c r="BR485" s="18"/>
      <c r="BS485" s="18"/>
      <c r="BT485" s="18"/>
      <c r="BU485" s="18"/>
      <c r="BV485" s="18"/>
    </row>
    <row r="486" spans="1:74">
      <c r="A486" t="s">
        <v>3162</v>
      </c>
      <c r="B486" t="s">
        <v>3061</v>
      </c>
      <c r="BG486" s="18"/>
      <c r="BH486" s="18"/>
      <c r="BI486" s="18"/>
      <c r="BJ486" s="18"/>
      <c r="BK486" s="18"/>
      <c r="BL486" s="18"/>
      <c r="BM486" s="18"/>
      <c r="BN486" s="18"/>
      <c r="BO486" s="18"/>
      <c r="BP486" s="18"/>
      <c r="BQ486" s="18"/>
      <c r="BR486" s="18"/>
      <c r="BS486" s="18"/>
      <c r="BT486" s="18"/>
      <c r="BU486" s="18"/>
      <c r="BV486" s="18"/>
    </row>
    <row r="487" spans="1:74">
      <c r="A487" t="s">
        <v>3163</v>
      </c>
      <c r="B487" t="s">
        <v>3062</v>
      </c>
      <c r="BG487" s="18"/>
      <c r="BH487" s="18"/>
      <c r="BI487" s="18"/>
      <c r="BJ487" s="18"/>
      <c r="BK487" s="18"/>
      <c r="BL487" s="18"/>
      <c r="BM487" s="18"/>
      <c r="BN487" s="18"/>
      <c r="BO487" s="18"/>
      <c r="BP487" s="18"/>
      <c r="BQ487" s="18"/>
      <c r="BR487" s="18"/>
      <c r="BS487" s="18"/>
      <c r="BT487" s="18"/>
      <c r="BU487" s="18"/>
      <c r="BV487" s="18"/>
    </row>
    <row r="488" spans="1:74">
      <c r="A488" t="s">
        <v>3163</v>
      </c>
      <c r="B488" t="s">
        <v>3066</v>
      </c>
      <c r="BG488" s="18"/>
      <c r="BH488" s="18"/>
      <c r="BI488" s="18"/>
      <c r="BJ488" s="18"/>
      <c r="BK488" s="18"/>
      <c r="BL488" s="18"/>
      <c r="BM488" s="18"/>
      <c r="BN488" s="18"/>
      <c r="BO488" s="18"/>
      <c r="BP488" s="18"/>
      <c r="BQ488" s="18"/>
      <c r="BR488" s="18"/>
      <c r="BS488" s="18"/>
      <c r="BT488" s="18"/>
      <c r="BU488" s="18"/>
      <c r="BV488" s="18"/>
    </row>
    <row r="489" spans="1:74">
      <c r="A489" t="s">
        <v>3163</v>
      </c>
      <c r="B489" t="s">
        <v>3067</v>
      </c>
      <c r="BG489" s="18"/>
      <c r="BH489" s="18"/>
      <c r="BI489" s="18"/>
      <c r="BJ489" s="18"/>
      <c r="BK489" s="18"/>
      <c r="BL489" s="18"/>
      <c r="BM489" s="18"/>
      <c r="BN489" s="18"/>
      <c r="BO489" s="18"/>
      <c r="BP489" s="18"/>
      <c r="BQ489" s="18"/>
      <c r="BR489" s="18"/>
      <c r="BS489" s="18"/>
      <c r="BT489" s="18"/>
      <c r="BU489" s="18"/>
      <c r="BV489" s="18"/>
    </row>
    <row r="490" spans="1:74">
      <c r="A490" t="s">
        <v>3163</v>
      </c>
      <c r="B490" t="s">
        <v>3068</v>
      </c>
      <c r="BG490" s="18"/>
      <c r="BH490" s="18"/>
      <c r="BI490" s="18"/>
      <c r="BJ490" s="18"/>
      <c r="BK490" s="18"/>
      <c r="BL490" s="18"/>
      <c r="BM490" s="18"/>
      <c r="BN490" s="18"/>
      <c r="BO490" s="18"/>
      <c r="BP490" s="18"/>
      <c r="BQ490" s="18"/>
      <c r="BR490" s="18"/>
      <c r="BS490" s="18"/>
      <c r="BT490" s="18"/>
      <c r="BU490" s="18"/>
      <c r="BV490" s="18"/>
    </row>
    <row r="491" spans="1:74">
      <c r="A491" t="s">
        <v>3163</v>
      </c>
      <c r="B491" t="s">
        <v>3069</v>
      </c>
      <c r="BG491" s="18"/>
      <c r="BH491" s="18"/>
      <c r="BI491" s="18"/>
      <c r="BJ491" s="18"/>
      <c r="BK491" s="18"/>
      <c r="BL491" s="18"/>
      <c r="BM491" s="18"/>
      <c r="BN491" s="18"/>
      <c r="BO491" s="18"/>
      <c r="BP491" s="18"/>
      <c r="BQ491" s="18"/>
      <c r="BR491" s="18"/>
      <c r="BS491" s="18"/>
      <c r="BT491" s="18"/>
      <c r="BU491" s="18"/>
      <c r="BV491" s="18"/>
    </row>
    <row r="492" spans="1:74">
      <c r="A492" t="s">
        <v>3163</v>
      </c>
      <c r="B492" t="s">
        <v>3064</v>
      </c>
      <c r="BG492" s="18"/>
      <c r="BH492" s="18"/>
      <c r="BI492" s="18"/>
      <c r="BJ492" s="18"/>
      <c r="BK492" s="18"/>
      <c r="BL492" s="18"/>
      <c r="BM492" s="18"/>
      <c r="BN492" s="18"/>
      <c r="BO492" s="18"/>
      <c r="BP492" s="18"/>
      <c r="BQ492" s="18"/>
      <c r="BR492" s="18"/>
      <c r="BS492" s="18"/>
      <c r="BT492" s="18"/>
      <c r="BU492" s="18"/>
      <c r="BV492" s="18"/>
    </row>
    <row r="493" spans="1:74">
      <c r="A493" t="s">
        <v>3163</v>
      </c>
      <c r="B493" t="s">
        <v>3071</v>
      </c>
      <c r="BG493" s="18"/>
      <c r="BH493" s="18"/>
      <c r="BI493" s="18"/>
      <c r="BJ493" s="18"/>
      <c r="BK493" s="18"/>
      <c r="BL493" s="18"/>
      <c r="BM493" s="18"/>
      <c r="BN493" s="18"/>
      <c r="BO493" s="18"/>
      <c r="BP493" s="18"/>
      <c r="BQ493" s="18"/>
      <c r="BR493" s="18"/>
      <c r="BS493" s="18"/>
      <c r="BT493" s="18"/>
      <c r="BU493" s="18"/>
      <c r="BV493" s="18"/>
    </row>
    <row r="494" spans="1:74">
      <c r="A494" t="s">
        <v>3163</v>
      </c>
      <c r="B494" t="s">
        <v>4444</v>
      </c>
      <c r="BG494" s="18"/>
      <c r="BH494" s="18"/>
      <c r="BI494" s="18"/>
      <c r="BJ494" s="18"/>
      <c r="BK494" s="18"/>
      <c r="BL494" s="18"/>
      <c r="BM494" s="18"/>
      <c r="BN494" s="18"/>
      <c r="BO494" s="18"/>
      <c r="BP494" s="18"/>
      <c r="BQ494" s="18"/>
      <c r="BR494" s="18"/>
      <c r="BS494" s="18"/>
      <c r="BT494" s="18"/>
      <c r="BU494" s="18"/>
      <c r="BV494" s="18"/>
    </row>
    <row r="495" spans="1:74">
      <c r="A495" t="s">
        <v>3163</v>
      </c>
      <c r="B495" t="s">
        <v>3063</v>
      </c>
      <c r="BG495" s="18"/>
      <c r="BH495" s="18"/>
      <c r="BI495" s="18"/>
      <c r="BJ495" s="18"/>
      <c r="BK495" s="18"/>
      <c r="BL495" s="18"/>
      <c r="BM495" s="18"/>
      <c r="BN495" s="18"/>
      <c r="BO495" s="18"/>
      <c r="BP495" s="18"/>
      <c r="BQ495" s="18"/>
      <c r="BR495" s="18"/>
      <c r="BS495" s="18"/>
      <c r="BT495" s="18"/>
      <c r="BU495" s="18"/>
      <c r="BV495" s="18"/>
    </row>
    <row r="496" spans="1:74">
      <c r="A496" t="s">
        <v>3163</v>
      </c>
      <c r="B496" t="s">
        <v>3063</v>
      </c>
      <c r="BG496" s="18"/>
      <c r="BH496" s="18"/>
      <c r="BI496" s="18"/>
      <c r="BJ496" s="18"/>
      <c r="BK496" s="18"/>
      <c r="BL496" s="18"/>
      <c r="BM496" s="18"/>
      <c r="BN496" s="18"/>
      <c r="BO496" s="18"/>
      <c r="BP496" s="18"/>
      <c r="BQ496" s="18"/>
      <c r="BR496" s="18"/>
      <c r="BS496" s="18"/>
      <c r="BT496" s="18"/>
      <c r="BU496" s="18"/>
      <c r="BV496" s="18"/>
    </row>
    <row r="497" spans="1:74">
      <c r="A497" t="s">
        <v>3163</v>
      </c>
      <c r="B497" t="s">
        <v>3070</v>
      </c>
      <c r="BG497" s="18"/>
      <c r="BH497" s="18"/>
      <c r="BI497" s="18"/>
      <c r="BJ497" s="18"/>
      <c r="BK497" s="18"/>
      <c r="BL497" s="18"/>
      <c r="BM497" s="18"/>
      <c r="BN497" s="18"/>
      <c r="BO497" s="18"/>
      <c r="BP497" s="18"/>
      <c r="BQ497" s="18"/>
      <c r="BR497" s="18"/>
      <c r="BS497" s="18"/>
      <c r="BT497" s="18"/>
      <c r="BU497" s="18"/>
      <c r="BV497" s="18"/>
    </row>
    <row r="498" spans="1:74">
      <c r="A498" t="s">
        <v>3163</v>
      </c>
      <c r="B498" t="s">
        <v>3065</v>
      </c>
      <c r="BG498" s="18"/>
      <c r="BH498" s="18"/>
      <c r="BI498" s="18"/>
      <c r="BJ498" s="18"/>
      <c r="BK498" s="18"/>
      <c r="BL498" s="18"/>
      <c r="BM498" s="18"/>
      <c r="BN498" s="18"/>
      <c r="BO498" s="18"/>
      <c r="BP498" s="18"/>
      <c r="BQ498" s="18"/>
      <c r="BR498" s="18"/>
      <c r="BS498" s="18"/>
      <c r="BT498" s="18"/>
      <c r="BU498" s="18"/>
      <c r="BV498" s="18"/>
    </row>
    <row r="499" spans="1:74">
      <c r="A499" t="s">
        <v>2095</v>
      </c>
      <c r="B499" t="s">
        <v>2152</v>
      </c>
      <c r="BG499" s="18"/>
      <c r="BH499" s="18"/>
      <c r="BI499" s="18"/>
      <c r="BJ499" s="18"/>
      <c r="BK499" s="18"/>
      <c r="BL499" s="18"/>
      <c r="BM499" s="18"/>
      <c r="BN499" s="18"/>
      <c r="BO499" s="18"/>
      <c r="BP499" s="18"/>
      <c r="BQ499" s="18"/>
      <c r="BR499" s="18"/>
      <c r="BS499" s="18"/>
      <c r="BT499" s="18"/>
      <c r="BU499" s="18"/>
      <c r="BV499" s="18"/>
    </row>
    <row r="500" spans="1:74">
      <c r="A500" t="s">
        <v>2095</v>
      </c>
      <c r="B500" t="s">
        <v>3072</v>
      </c>
      <c r="BG500" s="18"/>
      <c r="BH500" s="18"/>
      <c r="BI500" s="18"/>
      <c r="BJ500" s="18"/>
      <c r="BK500" s="18"/>
      <c r="BL500" s="18"/>
      <c r="BM500" s="18"/>
      <c r="BN500" s="18"/>
      <c r="BO500" s="18"/>
      <c r="BP500" s="18"/>
      <c r="BQ500" s="18"/>
      <c r="BR500" s="18"/>
      <c r="BS500" s="18"/>
      <c r="BT500" s="18"/>
      <c r="BU500" s="18"/>
      <c r="BV500" s="18"/>
    </row>
    <row r="501" spans="1:74">
      <c r="A501" t="s">
        <v>2095</v>
      </c>
      <c r="B501" t="s">
        <v>2154</v>
      </c>
      <c r="BG501" s="18"/>
      <c r="BH501" s="18"/>
      <c r="BI501" s="18"/>
      <c r="BJ501" s="18"/>
      <c r="BK501" s="18"/>
      <c r="BL501" s="18"/>
      <c r="BM501" s="18"/>
      <c r="BN501" s="18"/>
      <c r="BO501" s="18"/>
      <c r="BP501" s="18"/>
      <c r="BQ501" s="18"/>
      <c r="BR501" s="18"/>
      <c r="BS501" s="18"/>
      <c r="BT501" s="18"/>
      <c r="BU501" s="18"/>
      <c r="BV501" s="18"/>
    </row>
    <row r="502" spans="1:74">
      <c r="A502" t="s">
        <v>2095</v>
      </c>
      <c r="B502" t="s">
        <v>2151</v>
      </c>
      <c r="BG502" s="18"/>
      <c r="BH502" s="18"/>
      <c r="BI502" s="18"/>
      <c r="BJ502" s="18"/>
      <c r="BK502" s="18"/>
      <c r="BL502" s="18"/>
      <c r="BM502" s="18"/>
      <c r="BN502" s="18"/>
      <c r="BO502" s="18"/>
      <c r="BP502" s="18"/>
      <c r="BQ502" s="18"/>
      <c r="BR502" s="18"/>
      <c r="BS502" s="18"/>
      <c r="BT502" s="18"/>
      <c r="BU502" s="18"/>
      <c r="BV502" s="18"/>
    </row>
    <row r="503" spans="1:74">
      <c r="A503" t="s">
        <v>2095</v>
      </c>
      <c r="B503" t="s">
        <v>3075</v>
      </c>
      <c r="BG503" s="18"/>
      <c r="BH503" s="18"/>
      <c r="BI503" s="18"/>
      <c r="BJ503" s="18"/>
      <c r="BK503" s="18"/>
      <c r="BL503" s="18"/>
      <c r="BM503" s="18"/>
      <c r="BN503" s="18"/>
      <c r="BO503" s="18"/>
      <c r="BP503" s="18"/>
      <c r="BQ503" s="18"/>
      <c r="BR503" s="18"/>
      <c r="BS503" s="18"/>
      <c r="BT503" s="18"/>
      <c r="BU503" s="18"/>
      <c r="BV503" s="18"/>
    </row>
    <row r="504" spans="1:74">
      <c r="A504" t="s">
        <v>2095</v>
      </c>
      <c r="B504" t="s">
        <v>2153</v>
      </c>
      <c r="BG504" s="18"/>
      <c r="BH504" s="18"/>
      <c r="BI504" s="18"/>
      <c r="BJ504" s="18"/>
      <c r="BK504" s="18"/>
      <c r="BL504" s="18"/>
      <c r="BM504" s="18"/>
      <c r="BN504" s="18"/>
      <c r="BO504" s="18"/>
      <c r="BP504" s="18"/>
      <c r="BQ504" s="18"/>
      <c r="BR504" s="18"/>
      <c r="BS504" s="18"/>
      <c r="BT504" s="18"/>
      <c r="BU504" s="18"/>
      <c r="BV504" s="18"/>
    </row>
    <row r="505" spans="1:74">
      <c r="A505" t="s">
        <v>2095</v>
      </c>
      <c r="B505" t="s">
        <v>2150</v>
      </c>
      <c r="BG505" s="18"/>
      <c r="BH505" s="18"/>
      <c r="BI505" s="18"/>
      <c r="BJ505" s="18"/>
      <c r="BK505" s="18"/>
      <c r="BL505" s="18"/>
      <c r="BM505" s="18"/>
      <c r="BN505" s="18"/>
      <c r="BO505" s="18"/>
      <c r="BP505" s="18"/>
      <c r="BQ505" s="18"/>
      <c r="BR505" s="18"/>
      <c r="BS505" s="18"/>
      <c r="BT505" s="18"/>
      <c r="BU505" s="18"/>
      <c r="BV505" s="18"/>
    </row>
    <row r="506" spans="1:74">
      <c r="A506" t="s">
        <v>2095</v>
      </c>
      <c r="B506" t="s">
        <v>3074</v>
      </c>
      <c r="BG506" s="18"/>
      <c r="BH506" s="18"/>
      <c r="BI506" s="18"/>
      <c r="BJ506" s="18"/>
      <c r="BK506" s="18"/>
      <c r="BL506" s="18"/>
      <c r="BM506" s="18"/>
      <c r="BN506" s="18"/>
      <c r="BO506" s="18"/>
      <c r="BP506" s="18"/>
      <c r="BQ506" s="18"/>
      <c r="BR506" s="18"/>
      <c r="BS506" s="18"/>
      <c r="BT506" s="18"/>
      <c r="BU506" s="18"/>
      <c r="BV506" s="18"/>
    </row>
    <row r="507" spans="1:74">
      <c r="A507" t="s">
        <v>2095</v>
      </c>
      <c r="B507" t="s">
        <v>3077</v>
      </c>
      <c r="BG507" s="18"/>
      <c r="BH507" s="18"/>
      <c r="BI507" s="18"/>
      <c r="BJ507" s="18"/>
      <c r="BK507" s="18"/>
      <c r="BL507" s="18"/>
      <c r="BM507" s="18"/>
      <c r="BN507" s="18"/>
      <c r="BO507" s="18"/>
      <c r="BP507" s="18"/>
      <c r="BQ507" s="18"/>
      <c r="BR507" s="18"/>
      <c r="BS507" s="18"/>
      <c r="BT507" s="18"/>
      <c r="BU507" s="18"/>
      <c r="BV507" s="18"/>
    </row>
    <row r="508" spans="1:74">
      <c r="A508" t="s">
        <v>2095</v>
      </c>
      <c r="B508" t="s">
        <v>3076</v>
      </c>
      <c r="BG508" s="18"/>
      <c r="BH508" s="18"/>
      <c r="BI508" s="18"/>
      <c r="BJ508" s="18"/>
      <c r="BK508" s="18"/>
      <c r="BL508" s="18"/>
      <c r="BM508" s="18"/>
      <c r="BN508" s="18"/>
      <c r="BO508" s="18"/>
      <c r="BP508" s="18"/>
      <c r="BQ508" s="18"/>
      <c r="BR508" s="18"/>
      <c r="BS508" s="18"/>
      <c r="BT508" s="18"/>
      <c r="BU508" s="18"/>
      <c r="BV508" s="18"/>
    </row>
    <row r="509" spans="1:74">
      <c r="A509" t="s">
        <v>2095</v>
      </c>
      <c r="B509" t="s">
        <v>3073</v>
      </c>
      <c r="BG509" s="18"/>
      <c r="BH509" s="18"/>
      <c r="BI509" s="18"/>
      <c r="BJ509" s="18"/>
      <c r="BK509" s="18"/>
      <c r="BL509" s="18"/>
      <c r="BM509" s="18"/>
      <c r="BN509" s="18"/>
      <c r="BO509" s="18"/>
      <c r="BP509" s="18"/>
      <c r="BQ509" s="18"/>
      <c r="BR509" s="18"/>
      <c r="BS509" s="18"/>
      <c r="BT509" s="18"/>
      <c r="BU509" s="18"/>
      <c r="BV509" s="18"/>
    </row>
    <row r="510" spans="1:74">
      <c r="A510" t="s">
        <v>2095</v>
      </c>
      <c r="B510" t="s">
        <v>2737</v>
      </c>
      <c r="BG510" s="18"/>
      <c r="BH510" s="18"/>
      <c r="BI510" s="18"/>
      <c r="BJ510" s="18"/>
      <c r="BK510" s="18"/>
      <c r="BL510" s="18"/>
      <c r="BM510" s="18"/>
      <c r="BN510" s="18"/>
      <c r="BO510" s="18"/>
      <c r="BP510" s="18"/>
      <c r="BQ510" s="18"/>
      <c r="BR510" s="18"/>
      <c r="BS510" s="18"/>
      <c r="BT510" s="18"/>
      <c r="BU510" s="18"/>
      <c r="BV510" s="18"/>
    </row>
    <row r="511" spans="1:74">
      <c r="A511" t="s">
        <v>2738</v>
      </c>
      <c r="B511" t="s">
        <v>2739</v>
      </c>
      <c r="BG511" s="18"/>
      <c r="BH511" s="18"/>
      <c r="BI511" s="18"/>
      <c r="BJ511" s="18"/>
      <c r="BK511" s="18"/>
      <c r="BL511" s="18"/>
      <c r="BM511" s="18"/>
      <c r="BN511" s="18"/>
      <c r="BO511" s="18"/>
      <c r="BP511" s="18"/>
      <c r="BQ511" s="18"/>
      <c r="BR511" s="18"/>
      <c r="BS511" s="18"/>
      <c r="BT511" s="18"/>
      <c r="BU511" s="18"/>
      <c r="BV511" s="18"/>
    </row>
    <row r="512" spans="1:74">
      <c r="A512" t="s">
        <v>2740</v>
      </c>
      <c r="B512" t="s">
        <v>3079</v>
      </c>
      <c r="BG512" s="18"/>
      <c r="BH512" s="18"/>
      <c r="BI512" s="18"/>
      <c r="BJ512" s="18"/>
      <c r="BK512" s="18"/>
      <c r="BL512" s="18"/>
      <c r="BM512" s="18"/>
      <c r="BN512" s="18"/>
      <c r="BO512" s="18"/>
      <c r="BP512" s="18"/>
      <c r="BQ512" s="18"/>
      <c r="BR512" s="18"/>
      <c r="BS512" s="18"/>
      <c r="BT512" s="18"/>
      <c r="BU512" s="18"/>
      <c r="BV512" s="18"/>
    </row>
    <row r="513" spans="1:74">
      <c r="A513" t="s">
        <v>2740</v>
      </c>
      <c r="B513" t="s">
        <v>3078</v>
      </c>
      <c r="BG513" s="18"/>
      <c r="BH513" s="18"/>
      <c r="BI513" s="18"/>
      <c r="BJ513" s="18"/>
      <c r="BK513" s="18"/>
      <c r="BL513" s="18"/>
      <c r="BM513" s="18"/>
      <c r="BN513" s="18"/>
      <c r="BO513" s="18"/>
      <c r="BP513" s="18"/>
      <c r="BQ513" s="18"/>
      <c r="BR513" s="18"/>
      <c r="BS513" s="18"/>
      <c r="BT513" s="18"/>
      <c r="BU513" s="18"/>
      <c r="BV513" s="18"/>
    </row>
    <row r="514" spans="1:74">
      <c r="A514" t="s">
        <v>2740</v>
      </c>
      <c r="B514" t="s">
        <v>2741</v>
      </c>
      <c r="BG514" s="18"/>
      <c r="BH514" s="18"/>
      <c r="BI514" s="18"/>
      <c r="BJ514" s="18"/>
      <c r="BK514" s="18"/>
      <c r="BL514" s="18"/>
      <c r="BM514" s="18"/>
      <c r="BN514" s="18"/>
      <c r="BO514" s="18"/>
      <c r="BP514" s="18"/>
      <c r="BQ514" s="18"/>
      <c r="BR514" s="18"/>
      <c r="BS514" s="18"/>
      <c r="BT514" s="18"/>
      <c r="BU514" s="18"/>
      <c r="BV514" s="18"/>
    </row>
    <row r="515" spans="1:74">
      <c r="A515" t="s">
        <v>2740</v>
      </c>
      <c r="B515" t="s">
        <v>3080</v>
      </c>
      <c r="BG515" s="18"/>
      <c r="BH515" s="18"/>
      <c r="BI515" s="18"/>
      <c r="BJ515" s="18"/>
      <c r="BK515" s="18"/>
      <c r="BL515" s="18"/>
      <c r="BM515" s="18"/>
      <c r="BN515" s="18"/>
      <c r="BO515" s="18"/>
      <c r="BP515" s="18"/>
      <c r="BQ515" s="18"/>
      <c r="BR515" s="18"/>
      <c r="BS515" s="18"/>
      <c r="BT515" s="18"/>
      <c r="BU515" s="18"/>
      <c r="BV515" s="18"/>
    </row>
    <row r="516" spans="1:74">
      <c r="A516" t="s">
        <v>3164</v>
      </c>
      <c r="B516" t="s">
        <v>3081</v>
      </c>
      <c r="BG516" s="18"/>
      <c r="BH516" s="18"/>
      <c r="BI516" s="18"/>
      <c r="BJ516" s="18"/>
      <c r="BK516" s="18"/>
      <c r="BL516" s="18"/>
      <c r="BM516" s="18"/>
      <c r="BN516" s="18"/>
      <c r="BO516" s="18"/>
      <c r="BP516" s="18"/>
      <c r="BQ516" s="18"/>
      <c r="BR516" s="18"/>
      <c r="BS516" s="18"/>
      <c r="BT516" s="18"/>
      <c r="BU516" s="18"/>
      <c r="BV516" s="18"/>
    </row>
    <row r="517" spans="1:74">
      <c r="A517" t="s">
        <v>1989</v>
      </c>
      <c r="B517" t="s">
        <v>2156</v>
      </c>
      <c r="BG517" s="18"/>
      <c r="BH517" s="18"/>
      <c r="BI517" s="18"/>
      <c r="BJ517" s="18"/>
      <c r="BK517" s="18"/>
      <c r="BL517" s="18"/>
      <c r="BM517" s="18"/>
      <c r="BN517" s="18"/>
      <c r="BO517" s="18"/>
      <c r="BP517" s="18"/>
      <c r="BQ517" s="18"/>
      <c r="BR517" s="18"/>
      <c r="BS517" s="18"/>
      <c r="BT517" s="18"/>
      <c r="BU517" s="18"/>
      <c r="BV517" s="18"/>
    </row>
    <row r="518" spans="1:74">
      <c r="A518" t="s">
        <v>1989</v>
      </c>
      <c r="B518" t="s">
        <v>2155</v>
      </c>
      <c r="BG518" s="18"/>
      <c r="BH518" s="18"/>
      <c r="BI518" s="18"/>
      <c r="BJ518" s="18"/>
      <c r="BK518" s="18"/>
      <c r="BL518" s="18"/>
      <c r="BM518" s="18"/>
      <c r="BN518" s="18"/>
      <c r="BO518" s="18"/>
      <c r="BP518" s="18"/>
      <c r="BQ518" s="18"/>
      <c r="BR518" s="18"/>
      <c r="BS518" s="18"/>
      <c r="BT518" s="18"/>
      <c r="BU518" s="18"/>
      <c r="BV518" s="18"/>
    </row>
    <row r="519" spans="1:74">
      <c r="A519" t="s">
        <v>1989</v>
      </c>
      <c r="B519" t="s">
        <v>2858</v>
      </c>
      <c r="BG519" s="18"/>
      <c r="BH519" s="18"/>
      <c r="BI519" s="18"/>
      <c r="BJ519" s="18"/>
      <c r="BK519" s="18"/>
      <c r="BL519" s="18"/>
      <c r="BM519" s="18"/>
      <c r="BN519" s="18"/>
      <c r="BO519" s="18"/>
      <c r="BP519" s="18"/>
      <c r="BQ519" s="18"/>
      <c r="BR519" s="18"/>
      <c r="BS519" s="18"/>
      <c r="BT519" s="18"/>
      <c r="BU519" s="18"/>
      <c r="BV519" s="18"/>
    </row>
    <row r="520" spans="1:74">
      <c r="A520" t="s">
        <v>3165</v>
      </c>
      <c r="B520" t="s">
        <v>3082</v>
      </c>
      <c r="BG520" s="18"/>
      <c r="BH520" s="18"/>
      <c r="BI520" s="18"/>
      <c r="BJ520" s="18"/>
      <c r="BK520" s="18"/>
      <c r="BL520" s="18"/>
      <c r="BM520" s="18"/>
      <c r="BN520" s="18"/>
      <c r="BO520" s="18"/>
      <c r="BP520" s="18"/>
      <c r="BQ520" s="18"/>
      <c r="BR520" s="18"/>
      <c r="BS520" s="18"/>
      <c r="BT520" s="18"/>
      <c r="BU520" s="18"/>
      <c r="BV520" s="18"/>
    </row>
    <row r="521" spans="1:74">
      <c r="A521" t="s">
        <v>2742</v>
      </c>
      <c r="B521" t="s">
        <v>4445</v>
      </c>
      <c r="BG521" s="18"/>
      <c r="BH521" s="18"/>
      <c r="BI521" s="18"/>
      <c r="BJ521" s="18"/>
      <c r="BK521" s="18"/>
      <c r="BL521" s="18"/>
      <c r="BM521" s="18"/>
      <c r="BN521" s="18"/>
      <c r="BO521" s="18"/>
      <c r="BP521" s="18"/>
      <c r="BQ521" s="18"/>
      <c r="BR521" s="18"/>
      <c r="BS521" s="18"/>
      <c r="BT521" s="18"/>
      <c r="BU521" s="18"/>
      <c r="BV521" s="18"/>
    </row>
    <row r="522" spans="1:74">
      <c r="A522" t="s">
        <v>2742</v>
      </c>
      <c r="B522" t="s">
        <v>2743</v>
      </c>
      <c r="BG522" s="18"/>
      <c r="BH522" s="18"/>
      <c r="BI522" s="18"/>
      <c r="BJ522" s="18"/>
      <c r="BK522" s="18"/>
      <c r="BL522" s="18"/>
      <c r="BM522" s="18"/>
      <c r="BN522" s="18"/>
      <c r="BO522" s="18"/>
      <c r="BP522" s="18"/>
      <c r="BQ522" s="18"/>
      <c r="BR522" s="18"/>
      <c r="BS522" s="18"/>
      <c r="BT522" s="18"/>
      <c r="BU522" s="18"/>
      <c r="BV522" s="18"/>
    </row>
    <row r="523" spans="1:74">
      <c r="A523" t="s">
        <v>3166</v>
      </c>
      <c r="B523" t="s">
        <v>3083</v>
      </c>
      <c r="BG523" s="18"/>
      <c r="BH523" s="18"/>
      <c r="BI523" s="18"/>
      <c r="BJ523" s="18"/>
      <c r="BK523" s="18"/>
      <c r="BL523" s="18"/>
      <c r="BM523" s="18"/>
      <c r="BN523" s="18"/>
      <c r="BO523" s="18"/>
      <c r="BP523" s="18"/>
      <c r="BQ523" s="18"/>
      <c r="BR523" s="18"/>
      <c r="BS523" s="18"/>
      <c r="BT523" s="18"/>
      <c r="BU523" s="18"/>
      <c r="BV523" s="18"/>
    </row>
    <row r="524" spans="1:74">
      <c r="A524" t="s">
        <v>2872</v>
      </c>
      <c r="B524" t="s">
        <v>2859</v>
      </c>
      <c r="BG524" s="18"/>
      <c r="BH524" s="18"/>
      <c r="BI524" s="18"/>
      <c r="BJ524" s="18"/>
      <c r="BK524" s="18"/>
      <c r="BL524" s="18"/>
      <c r="BM524" s="18"/>
      <c r="BN524" s="18"/>
      <c r="BO524" s="18"/>
      <c r="BP524" s="18"/>
      <c r="BQ524" s="18"/>
      <c r="BR524" s="18"/>
      <c r="BS524" s="18"/>
      <c r="BT524" s="18"/>
      <c r="BU524" s="18"/>
      <c r="BV524" s="18"/>
    </row>
    <row r="525" spans="1:74">
      <c r="A525" t="s">
        <v>2872</v>
      </c>
      <c r="B525" t="s">
        <v>3084</v>
      </c>
      <c r="BG525" s="18"/>
      <c r="BH525" s="18"/>
      <c r="BI525" s="18"/>
      <c r="BJ525" s="18"/>
      <c r="BK525" s="18"/>
      <c r="BL525" s="18"/>
      <c r="BM525" s="18"/>
      <c r="BN525" s="18"/>
      <c r="BO525" s="18"/>
      <c r="BP525" s="18"/>
      <c r="BQ525" s="18"/>
      <c r="BR525" s="18"/>
      <c r="BS525" s="18"/>
      <c r="BT525" s="18"/>
      <c r="BU525" s="18"/>
      <c r="BV525" s="18"/>
    </row>
    <row r="526" spans="1:74">
      <c r="A526" t="s">
        <v>3167</v>
      </c>
      <c r="B526" t="s">
        <v>3085</v>
      </c>
      <c r="BG526" s="18"/>
      <c r="BH526" s="18"/>
      <c r="BI526" s="18"/>
      <c r="BJ526" s="18"/>
      <c r="BK526" s="18"/>
      <c r="BL526" s="18"/>
      <c r="BM526" s="18"/>
      <c r="BN526" s="18"/>
      <c r="BO526" s="18"/>
      <c r="BP526" s="18"/>
      <c r="BQ526" s="18"/>
      <c r="BR526" s="18"/>
      <c r="BS526" s="18"/>
      <c r="BT526" s="18"/>
      <c r="BU526" s="18"/>
      <c r="BV526" s="18"/>
    </row>
    <row r="527" spans="1:74">
      <c r="A527" t="s">
        <v>3168</v>
      </c>
      <c r="B527" t="s">
        <v>3086</v>
      </c>
      <c r="BG527" s="18"/>
      <c r="BH527" s="18"/>
      <c r="BI527" s="18"/>
      <c r="BJ527" s="18"/>
      <c r="BK527" s="18"/>
      <c r="BL527" s="18"/>
      <c r="BM527" s="18"/>
      <c r="BN527" s="18"/>
      <c r="BO527" s="18"/>
      <c r="BP527" s="18"/>
      <c r="BQ527" s="18"/>
      <c r="BR527" s="18"/>
      <c r="BS527" s="18"/>
      <c r="BT527" s="18"/>
      <c r="BU527" s="18"/>
      <c r="BV527" s="18"/>
    </row>
    <row r="528" spans="1:74">
      <c r="A528" t="s">
        <v>2560</v>
      </c>
      <c r="B528" t="s">
        <v>2657</v>
      </c>
      <c r="BG528" s="18"/>
      <c r="BH528" s="18"/>
      <c r="BI528" s="18"/>
      <c r="BJ528" s="18"/>
      <c r="BK528" s="18"/>
      <c r="BL528" s="18"/>
      <c r="BM528" s="18"/>
      <c r="BN528" s="18"/>
      <c r="BO528" s="18"/>
      <c r="BP528" s="18"/>
      <c r="BQ528" s="18"/>
      <c r="BR528" s="18"/>
      <c r="BS528" s="18"/>
      <c r="BT528" s="18"/>
      <c r="BU528" s="18"/>
      <c r="BV528" s="18"/>
    </row>
    <row r="529" spans="1:74">
      <c r="A529" t="s">
        <v>3169</v>
      </c>
      <c r="B529" t="s">
        <v>3087</v>
      </c>
      <c r="BG529" s="18"/>
      <c r="BH529" s="18"/>
      <c r="BI529" s="18"/>
      <c r="BJ529" s="18"/>
      <c r="BK529" s="18"/>
      <c r="BL529" s="18"/>
      <c r="BM529" s="18"/>
      <c r="BN529" s="18"/>
      <c r="BO529" s="18"/>
      <c r="BP529" s="18"/>
      <c r="BQ529" s="18"/>
      <c r="BR529" s="18"/>
      <c r="BS529" s="18"/>
      <c r="BT529" s="18"/>
      <c r="BU529" s="18"/>
      <c r="BV529" s="18"/>
    </row>
    <row r="530" spans="1:74">
      <c r="A530" t="s">
        <v>3170</v>
      </c>
      <c r="B530" t="s">
        <v>3088</v>
      </c>
      <c r="BG530" s="18"/>
      <c r="BH530" s="18"/>
      <c r="BI530" s="18"/>
      <c r="BJ530" s="18"/>
      <c r="BK530" s="18"/>
      <c r="BL530" s="18"/>
      <c r="BM530" s="18"/>
      <c r="BN530" s="18"/>
      <c r="BO530" s="18"/>
      <c r="BP530" s="18"/>
      <c r="BQ530" s="18"/>
      <c r="BR530" s="18"/>
      <c r="BS530" s="18"/>
      <c r="BT530" s="18"/>
      <c r="BU530" s="18"/>
      <c r="BV530" s="18"/>
    </row>
    <row r="531" spans="1:74">
      <c r="A531" t="s">
        <v>2096</v>
      </c>
      <c r="B531" t="s">
        <v>3089</v>
      </c>
      <c r="BG531" s="18"/>
      <c r="BH531" s="18"/>
      <c r="BI531" s="18"/>
      <c r="BJ531" s="18"/>
      <c r="BK531" s="18"/>
      <c r="BL531" s="18"/>
      <c r="BM531" s="18"/>
      <c r="BN531" s="18"/>
      <c r="BO531" s="18"/>
      <c r="BP531" s="18"/>
      <c r="BQ531" s="18"/>
      <c r="BR531" s="18"/>
      <c r="BS531" s="18"/>
      <c r="BT531" s="18"/>
      <c r="BU531" s="18"/>
      <c r="BV531" s="18"/>
    </row>
    <row r="532" spans="1:74">
      <c r="A532" t="s">
        <v>2096</v>
      </c>
      <c r="B532" t="s">
        <v>2157</v>
      </c>
      <c r="BG532" s="18"/>
      <c r="BH532" s="18"/>
      <c r="BI532" s="18"/>
      <c r="BJ532" s="18"/>
      <c r="BK532" s="18"/>
      <c r="BL532" s="18"/>
      <c r="BM532" s="18"/>
      <c r="BN532" s="18"/>
      <c r="BO532" s="18"/>
      <c r="BP532" s="18"/>
      <c r="BQ532" s="18"/>
      <c r="BR532" s="18"/>
      <c r="BS532" s="18"/>
      <c r="BT532" s="18"/>
      <c r="BU532" s="18"/>
      <c r="BV532" s="18"/>
    </row>
    <row r="533" spans="1:74">
      <c r="A533" t="s">
        <v>3171</v>
      </c>
      <c r="B533" t="s">
        <v>3090</v>
      </c>
      <c r="BG533" s="18"/>
      <c r="BH533" s="18"/>
      <c r="BI533" s="18"/>
      <c r="BJ533" s="18"/>
      <c r="BK533" s="18"/>
      <c r="BL533" s="18"/>
      <c r="BM533" s="18"/>
      <c r="BN533" s="18"/>
      <c r="BO533" s="18"/>
      <c r="BP533" s="18"/>
      <c r="BQ533" s="18"/>
      <c r="BR533" s="18"/>
      <c r="BS533" s="18"/>
      <c r="BT533" s="18"/>
      <c r="BU533" s="18"/>
      <c r="BV533" s="18"/>
    </row>
    <row r="534" spans="1:74">
      <c r="A534" t="s">
        <v>2561</v>
      </c>
      <c r="B534" t="s">
        <v>2660</v>
      </c>
      <c r="BG534" s="18"/>
      <c r="BH534" s="18"/>
      <c r="BI534" s="18"/>
      <c r="BJ534" s="18"/>
      <c r="BK534" s="18"/>
      <c r="BL534" s="18"/>
      <c r="BM534" s="18"/>
      <c r="BN534" s="18"/>
      <c r="BO534" s="18"/>
      <c r="BP534" s="18"/>
      <c r="BQ534" s="18"/>
      <c r="BR534" s="18"/>
      <c r="BS534" s="18"/>
      <c r="BT534" s="18"/>
      <c r="BU534" s="18"/>
      <c r="BV534" s="18"/>
    </row>
    <row r="535" spans="1:74">
      <c r="A535" t="s">
        <v>2561</v>
      </c>
      <c r="B535" t="s">
        <v>2663</v>
      </c>
      <c r="BG535" s="18"/>
      <c r="BH535" s="18"/>
      <c r="BI535" s="18"/>
      <c r="BJ535" s="18"/>
      <c r="BK535" s="18"/>
      <c r="BL535" s="18"/>
      <c r="BM535" s="18"/>
      <c r="BN535" s="18"/>
      <c r="BO535" s="18"/>
      <c r="BP535" s="18"/>
      <c r="BQ535" s="18"/>
      <c r="BR535" s="18"/>
      <c r="BS535" s="18"/>
      <c r="BT535" s="18"/>
      <c r="BU535" s="18"/>
      <c r="BV535" s="18"/>
    </row>
    <row r="536" spans="1:74">
      <c r="A536" t="s">
        <v>2561</v>
      </c>
      <c r="B536" t="s">
        <v>3093</v>
      </c>
      <c r="BG536" s="18"/>
      <c r="BH536" s="18"/>
      <c r="BI536" s="18"/>
      <c r="BJ536" s="18"/>
      <c r="BK536" s="18"/>
      <c r="BL536" s="18"/>
      <c r="BM536" s="18"/>
      <c r="BN536" s="18"/>
      <c r="BO536" s="18"/>
      <c r="BP536" s="18"/>
      <c r="BQ536" s="18"/>
      <c r="BR536" s="18"/>
      <c r="BS536" s="18"/>
      <c r="BT536" s="18"/>
      <c r="BU536" s="18"/>
      <c r="BV536" s="18"/>
    </row>
    <row r="537" spans="1:74">
      <c r="A537" t="s">
        <v>2561</v>
      </c>
      <c r="B537" t="s">
        <v>3091</v>
      </c>
      <c r="BG537" s="18"/>
      <c r="BH537" s="18"/>
      <c r="BI537" s="18"/>
      <c r="BJ537" s="18"/>
      <c r="BK537" s="18"/>
      <c r="BL537" s="18"/>
      <c r="BM537" s="18"/>
      <c r="BN537" s="18"/>
      <c r="BO537" s="18"/>
      <c r="BP537" s="18"/>
      <c r="BQ537" s="18"/>
      <c r="BR537" s="18"/>
      <c r="BS537" s="18"/>
      <c r="BT537" s="18"/>
      <c r="BU537" s="18"/>
      <c r="BV537" s="18"/>
    </row>
    <row r="538" spans="1:74">
      <c r="A538" t="s">
        <v>2561</v>
      </c>
      <c r="B538" t="s">
        <v>3092</v>
      </c>
      <c r="BG538" s="18"/>
      <c r="BH538" s="18"/>
      <c r="BI538" s="18"/>
      <c r="BJ538" s="18"/>
      <c r="BK538" s="18"/>
      <c r="BL538" s="18"/>
      <c r="BM538" s="18"/>
      <c r="BN538" s="18"/>
      <c r="BO538" s="18"/>
      <c r="BP538" s="18"/>
      <c r="BQ538" s="18"/>
      <c r="BR538" s="18"/>
      <c r="BS538" s="18"/>
      <c r="BT538" s="18"/>
      <c r="BU538" s="18"/>
      <c r="BV538" s="18"/>
    </row>
    <row r="539" spans="1:74">
      <c r="A539" t="s">
        <v>2561</v>
      </c>
      <c r="B539" t="s">
        <v>2659</v>
      </c>
      <c r="BG539" s="18"/>
      <c r="BH539" s="18"/>
      <c r="BI539" s="18"/>
      <c r="BJ539" s="18"/>
      <c r="BK539" s="18"/>
      <c r="BL539" s="18"/>
      <c r="BM539" s="18"/>
      <c r="BN539" s="18"/>
      <c r="BO539" s="18"/>
      <c r="BP539" s="18"/>
      <c r="BQ539" s="18"/>
      <c r="BR539" s="18"/>
      <c r="BS539" s="18"/>
      <c r="BT539" s="18"/>
      <c r="BU539" s="18"/>
      <c r="BV539" s="18"/>
    </row>
    <row r="540" spans="1:74">
      <c r="A540" t="s">
        <v>2561</v>
      </c>
      <c r="B540" t="s">
        <v>2661</v>
      </c>
      <c r="BG540" s="18"/>
      <c r="BH540" s="18"/>
      <c r="BI540" s="18"/>
      <c r="BJ540" s="18"/>
      <c r="BK540" s="18"/>
      <c r="BL540" s="18"/>
      <c r="BM540" s="18"/>
      <c r="BN540" s="18"/>
      <c r="BO540" s="18"/>
      <c r="BP540" s="18"/>
      <c r="BQ540" s="18"/>
      <c r="BR540" s="18"/>
      <c r="BS540" s="18"/>
      <c r="BT540" s="18"/>
      <c r="BU540" s="18"/>
      <c r="BV540" s="18"/>
    </row>
    <row r="541" spans="1:74">
      <c r="A541" t="s">
        <v>2561</v>
      </c>
      <c r="B541" t="s">
        <v>2662</v>
      </c>
      <c r="BG541" s="18"/>
      <c r="BH541" s="18"/>
      <c r="BI541" s="18"/>
      <c r="BJ541" s="18"/>
      <c r="BK541" s="18"/>
      <c r="BL541" s="18"/>
      <c r="BM541" s="18"/>
      <c r="BN541" s="18"/>
      <c r="BO541" s="18"/>
      <c r="BP541" s="18"/>
      <c r="BQ541" s="18"/>
      <c r="BR541" s="18"/>
      <c r="BS541" s="18"/>
      <c r="BT541" s="18"/>
      <c r="BU541" s="18"/>
      <c r="BV541" s="18"/>
    </row>
    <row r="542" spans="1:74">
      <c r="A542" t="s">
        <v>2561</v>
      </c>
      <c r="B542" t="s">
        <v>2658</v>
      </c>
      <c r="BG542" s="18"/>
      <c r="BH542" s="18"/>
      <c r="BI542" s="18"/>
      <c r="BJ542" s="18"/>
      <c r="BK542" s="18"/>
      <c r="BL542" s="18"/>
      <c r="BM542" s="18"/>
      <c r="BN542" s="18"/>
      <c r="BO542" s="18"/>
      <c r="BP542" s="18"/>
      <c r="BQ542" s="18"/>
      <c r="BR542" s="18"/>
      <c r="BS542" s="18"/>
      <c r="BT542" s="18"/>
      <c r="BU542" s="18"/>
      <c r="BV542" s="18"/>
    </row>
    <row r="543" spans="1:74">
      <c r="A543" t="s">
        <v>2873</v>
      </c>
      <c r="B543" t="s">
        <v>3094</v>
      </c>
      <c r="BG543" s="18"/>
      <c r="BH543" s="18"/>
      <c r="BI543" s="18"/>
      <c r="BJ543" s="18"/>
      <c r="BK543" s="18"/>
      <c r="BL543" s="18"/>
      <c r="BM543" s="18"/>
      <c r="BN543" s="18"/>
      <c r="BO543" s="18"/>
      <c r="BP543" s="18"/>
      <c r="BQ543" s="18"/>
      <c r="BR543" s="18"/>
      <c r="BS543" s="18"/>
      <c r="BT543" s="18"/>
      <c r="BU543" s="18"/>
      <c r="BV543" s="18"/>
    </row>
    <row r="544" spans="1:74">
      <c r="A544" t="s">
        <v>2873</v>
      </c>
      <c r="B544" t="s">
        <v>2860</v>
      </c>
      <c r="BG544" s="18"/>
      <c r="BH544" s="18"/>
      <c r="BI544" s="18"/>
      <c r="BJ544" s="18"/>
      <c r="BK544" s="18"/>
      <c r="BL544" s="18"/>
      <c r="BM544" s="18"/>
      <c r="BN544" s="18"/>
      <c r="BO544" s="18"/>
      <c r="BP544" s="18"/>
      <c r="BQ544" s="18"/>
      <c r="BR544" s="18"/>
      <c r="BS544" s="18"/>
      <c r="BT544" s="18"/>
      <c r="BU544" s="18"/>
      <c r="BV544" s="18"/>
    </row>
    <row r="545" spans="1:74">
      <c r="A545" t="s">
        <v>2744</v>
      </c>
      <c r="B545" t="s">
        <v>2745</v>
      </c>
      <c r="BG545" s="18"/>
      <c r="BH545" s="18"/>
      <c r="BI545" s="18"/>
      <c r="BJ545" s="18"/>
      <c r="BK545" s="18"/>
      <c r="BL545" s="18"/>
      <c r="BM545" s="18"/>
      <c r="BN545" s="18"/>
      <c r="BO545" s="18"/>
      <c r="BP545" s="18"/>
      <c r="BQ545" s="18"/>
      <c r="BR545" s="18"/>
      <c r="BS545" s="18"/>
      <c r="BT545" s="18"/>
      <c r="BU545" s="18"/>
      <c r="BV545" s="18"/>
    </row>
    <row r="546" spans="1:74">
      <c r="A546" t="s">
        <v>2097</v>
      </c>
      <c r="B546" t="s">
        <v>2664</v>
      </c>
      <c r="BG546" s="18"/>
      <c r="BH546" s="18"/>
      <c r="BI546" s="18"/>
      <c r="BJ546" s="18"/>
      <c r="BK546" s="18"/>
      <c r="BL546" s="18"/>
      <c r="BM546" s="18"/>
      <c r="BN546" s="18"/>
      <c r="BO546" s="18"/>
      <c r="BP546" s="18"/>
      <c r="BQ546" s="18"/>
      <c r="BR546" s="18"/>
      <c r="BS546" s="18"/>
      <c r="BT546" s="18"/>
      <c r="BU546" s="18"/>
      <c r="BV546" s="18"/>
    </row>
    <row r="547" spans="1:74">
      <c r="A547" t="s">
        <v>2097</v>
      </c>
      <c r="B547" t="s">
        <v>3095</v>
      </c>
      <c r="BG547" s="18"/>
      <c r="BH547" s="18"/>
      <c r="BI547" s="18"/>
      <c r="BJ547" s="18"/>
      <c r="BK547" s="18"/>
      <c r="BL547" s="18"/>
      <c r="BM547" s="18"/>
      <c r="BN547" s="18"/>
      <c r="BO547" s="18"/>
      <c r="BP547" s="18"/>
      <c r="BQ547" s="18"/>
      <c r="BR547" s="18"/>
      <c r="BS547" s="18"/>
      <c r="BT547" s="18"/>
      <c r="BU547" s="18"/>
      <c r="BV547" s="18"/>
    </row>
    <row r="548" spans="1:74">
      <c r="A548" t="s">
        <v>2097</v>
      </c>
      <c r="B548" t="s">
        <v>2159</v>
      </c>
      <c r="BG548" s="18"/>
      <c r="BH548" s="18"/>
      <c r="BI548" s="18"/>
      <c r="BJ548" s="18"/>
      <c r="BK548" s="18"/>
      <c r="BL548" s="18"/>
      <c r="BM548" s="18"/>
      <c r="BN548" s="18"/>
      <c r="BO548" s="18"/>
      <c r="BP548" s="18"/>
      <c r="BQ548" s="18"/>
      <c r="BR548" s="18"/>
      <c r="BS548" s="18"/>
      <c r="BT548" s="18"/>
      <c r="BU548" s="18"/>
      <c r="BV548" s="18"/>
    </row>
    <row r="549" spans="1:74">
      <c r="A549" t="s">
        <v>2097</v>
      </c>
      <c r="B549" t="s">
        <v>2161</v>
      </c>
      <c r="BG549" s="18"/>
      <c r="BH549" s="18"/>
      <c r="BI549" s="18"/>
      <c r="BJ549" s="18"/>
      <c r="BK549" s="18"/>
      <c r="BL549" s="18"/>
      <c r="BM549" s="18"/>
      <c r="BN549" s="18"/>
      <c r="BO549" s="18"/>
      <c r="BP549" s="18"/>
      <c r="BQ549" s="18"/>
      <c r="BR549" s="18"/>
      <c r="BS549" s="18"/>
      <c r="BT549" s="18"/>
      <c r="BU549" s="18"/>
      <c r="BV549" s="18"/>
    </row>
    <row r="550" spans="1:74">
      <c r="A550" t="s">
        <v>2097</v>
      </c>
      <c r="B550" t="s">
        <v>2165</v>
      </c>
      <c r="BG550" s="18"/>
      <c r="BH550" s="18"/>
      <c r="BI550" s="18"/>
      <c r="BJ550" s="18"/>
      <c r="BK550" s="18"/>
      <c r="BL550" s="18"/>
      <c r="BM550" s="18"/>
      <c r="BN550" s="18"/>
      <c r="BO550" s="18"/>
      <c r="BP550" s="18"/>
      <c r="BQ550" s="18"/>
      <c r="BR550" s="18"/>
      <c r="BS550" s="18"/>
      <c r="BT550" s="18"/>
      <c r="BU550" s="18"/>
      <c r="BV550" s="18"/>
    </row>
    <row r="551" spans="1:74">
      <c r="A551" t="s">
        <v>2097</v>
      </c>
      <c r="B551" t="s">
        <v>2665</v>
      </c>
      <c r="BG551" s="18"/>
      <c r="BH551" s="18"/>
      <c r="BI551" s="18"/>
      <c r="BJ551" s="18"/>
      <c r="BK551" s="18"/>
      <c r="BL551" s="18"/>
      <c r="BM551" s="18"/>
      <c r="BN551" s="18"/>
      <c r="BO551" s="18"/>
      <c r="BP551" s="18"/>
      <c r="BQ551" s="18"/>
      <c r="BR551" s="18"/>
      <c r="BS551" s="18"/>
      <c r="BT551" s="18"/>
      <c r="BU551" s="18"/>
      <c r="BV551" s="18"/>
    </row>
    <row r="552" spans="1:74">
      <c r="A552" t="s">
        <v>2097</v>
      </c>
      <c r="B552" t="s">
        <v>2163</v>
      </c>
      <c r="BG552" s="18"/>
      <c r="BH552" s="18"/>
      <c r="BI552" s="18"/>
      <c r="BJ552" s="18"/>
      <c r="BK552" s="18"/>
      <c r="BL552" s="18"/>
      <c r="BM552" s="18"/>
      <c r="BN552" s="18"/>
      <c r="BO552" s="18"/>
      <c r="BP552" s="18"/>
      <c r="BQ552" s="18"/>
      <c r="BR552" s="18"/>
      <c r="BS552" s="18"/>
      <c r="BT552" s="18"/>
      <c r="BU552" s="18"/>
      <c r="BV552" s="18"/>
    </row>
    <row r="553" spans="1:74">
      <c r="A553" t="s">
        <v>2097</v>
      </c>
      <c r="B553" t="s">
        <v>2158</v>
      </c>
      <c r="BG553" s="18"/>
      <c r="BH553" s="18"/>
      <c r="BI553" s="18"/>
      <c r="BJ553" s="18"/>
      <c r="BK553" s="18"/>
      <c r="BL553" s="18"/>
      <c r="BM553" s="18"/>
      <c r="BN553" s="18"/>
      <c r="BO553" s="18"/>
      <c r="BP553" s="18"/>
      <c r="BQ553" s="18"/>
      <c r="BR553" s="18"/>
      <c r="BS553" s="18"/>
      <c r="BT553" s="18"/>
      <c r="BU553" s="18"/>
      <c r="BV553" s="18"/>
    </row>
    <row r="554" spans="1:74">
      <c r="A554" t="s">
        <v>2097</v>
      </c>
      <c r="B554" t="s">
        <v>2164</v>
      </c>
      <c r="BG554" s="18"/>
      <c r="BH554" s="18"/>
      <c r="BI554" s="18"/>
      <c r="BJ554" s="18"/>
      <c r="BK554" s="18"/>
      <c r="BL554" s="18"/>
      <c r="BM554" s="18"/>
      <c r="BN554" s="18"/>
      <c r="BO554" s="18"/>
      <c r="BP554" s="18"/>
      <c r="BQ554" s="18"/>
      <c r="BR554" s="18"/>
      <c r="BS554" s="18"/>
      <c r="BT554" s="18"/>
      <c r="BU554" s="18"/>
      <c r="BV554" s="18"/>
    </row>
    <row r="555" spans="1:74">
      <c r="A555" t="s">
        <v>2097</v>
      </c>
      <c r="B555" t="s">
        <v>3096</v>
      </c>
      <c r="BG555" s="18"/>
      <c r="BH555" s="18"/>
      <c r="BI555" s="18"/>
      <c r="BJ555" s="18"/>
      <c r="BK555" s="18"/>
      <c r="BL555" s="18"/>
      <c r="BM555" s="18"/>
      <c r="BN555" s="18"/>
      <c r="BO555" s="18"/>
      <c r="BP555" s="18"/>
      <c r="BQ555" s="18"/>
      <c r="BR555" s="18"/>
      <c r="BS555" s="18"/>
      <c r="BT555" s="18"/>
      <c r="BU555" s="18"/>
      <c r="BV555" s="18"/>
    </row>
    <row r="556" spans="1:74">
      <c r="A556" t="s">
        <v>2097</v>
      </c>
      <c r="B556" t="s">
        <v>2160</v>
      </c>
      <c r="BG556" s="18"/>
      <c r="BH556" s="18"/>
      <c r="BI556" s="18"/>
      <c r="BJ556" s="18"/>
      <c r="BK556" s="18"/>
      <c r="BL556" s="18"/>
      <c r="BM556" s="18"/>
      <c r="BN556" s="18"/>
      <c r="BO556" s="18"/>
      <c r="BP556" s="18"/>
      <c r="BQ556" s="18"/>
      <c r="BR556" s="18"/>
      <c r="BS556" s="18"/>
      <c r="BT556" s="18"/>
      <c r="BU556" s="18"/>
      <c r="BV556" s="18"/>
    </row>
    <row r="557" spans="1:74">
      <c r="A557" t="s">
        <v>2097</v>
      </c>
      <c r="B557" t="s">
        <v>2162</v>
      </c>
      <c r="BG557" s="18"/>
      <c r="BH557" s="18"/>
      <c r="BI557" s="18"/>
      <c r="BJ557" s="18"/>
      <c r="BK557" s="18"/>
      <c r="BL557" s="18"/>
      <c r="BM557" s="18"/>
      <c r="BN557" s="18"/>
      <c r="BO557" s="18"/>
      <c r="BP557" s="18"/>
      <c r="BQ557" s="18"/>
      <c r="BR557" s="18"/>
      <c r="BS557" s="18"/>
      <c r="BT557" s="18"/>
      <c r="BU557" s="18"/>
      <c r="BV557" s="18"/>
    </row>
    <row r="558" spans="1:74">
      <c r="A558" t="s">
        <v>2746</v>
      </c>
      <c r="B558" t="s">
        <v>2747</v>
      </c>
      <c r="BG558" s="18"/>
      <c r="BH558" s="18"/>
      <c r="BI558" s="18"/>
      <c r="BJ558" s="18"/>
      <c r="BK558" s="18"/>
      <c r="BL558" s="18"/>
      <c r="BM558" s="18"/>
      <c r="BN558" s="18"/>
      <c r="BO558" s="18"/>
      <c r="BP558" s="18"/>
      <c r="BQ558" s="18"/>
      <c r="BR558" s="18"/>
      <c r="BS558" s="18"/>
      <c r="BT558" s="18"/>
      <c r="BU558" s="18"/>
      <c r="BV558" s="18"/>
    </row>
    <row r="559" spans="1:74">
      <c r="A559" t="s">
        <v>4446</v>
      </c>
      <c r="B559" t="s">
        <v>4447</v>
      </c>
      <c r="BG559" s="18"/>
      <c r="BH559" s="18"/>
      <c r="BI559" s="18"/>
      <c r="BJ559" s="18"/>
      <c r="BK559" s="18"/>
      <c r="BL559" s="18"/>
      <c r="BM559" s="18"/>
      <c r="BN559" s="18"/>
      <c r="BO559" s="18"/>
      <c r="BP559" s="18"/>
      <c r="BQ559" s="18"/>
      <c r="BR559" s="18"/>
      <c r="BS559" s="18"/>
      <c r="BT559" s="18"/>
      <c r="BU559" s="18"/>
      <c r="BV559" s="18"/>
    </row>
    <row r="560" spans="1:74">
      <c r="A560" t="s">
        <v>4448</v>
      </c>
      <c r="B560" t="s">
        <v>4449</v>
      </c>
      <c r="BG560" s="18"/>
      <c r="BH560" s="18"/>
      <c r="BI560" s="18"/>
      <c r="BJ560" s="18"/>
      <c r="BK560" s="18"/>
      <c r="BL560" s="18"/>
      <c r="BM560" s="18"/>
      <c r="BN560" s="18"/>
      <c r="BO560" s="18"/>
      <c r="BP560" s="18"/>
      <c r="BQ560" s="18"/>
      <c r="BR560" s="18"/>
      <c r="BS560" s="18"/>
      <c r="BT560" s="18"/>
      <c r="BU560" s="18"/>
      <c r="BV560" s="18"/>
    </row>
    <row r="561" spans="1:74">
      <c r="A561" t="s">
        <v>4450</v>
      </c>
      <c r="B561" t="s">
        <v>4451</v>
      </c>
      <c r="BG561" s="18"/>
      <c r="BH561" s="18"/>
      <c r="BI561" s="18"/>
      <c r="BJ561" s="18"/>
      <c r="BK561" s="18"/>
      <c r="BL561" s="18"/>
      <c r="BM561" s="18"/>
      <c r="BN561" s="18"/>
      <c r="BO561" s="18"/>
      <c r="BP561" s="18"/>
      <c r="BQ561" s="18"/>
      <c r="BR561" s="18"/>
      <c r="BS561" s="18"/>
      <c r="BT561" s="18"/>
      <c r="BU561" s="18"/>
      <c r="BV561" s="18"/>
    </row>
    <row r="562" spans="1:74">
      <c r="A562" t="s">
        <v>2748</v>
      </c>
      <c r="B562" t="s">
        <v>2749</v>
      </c>
      <c r="BG562" s="18"/>
      <c r="BH562" s="18"/>
      <c r="BI562" s="18"/>
      <c r="BJ562" s="18"/>
      <c r="BK562" s="18"/>
      <c r="BL562" s="18"/>
      <c r="BM562" s="18"/>
      <c r="BN562" s="18"/>
      <c r="BO562" s="18"/>
      <c r="BP562" s="18"/>
      <c r="BQ562" s="18"/>
      <c r="BR562" s="18"/>
      <c r="BS562" s="18"/>
      <c r="BT562" s="18"/>
      <c r="BU562" s="18"/>
      <c r="BV562" s="18"/>
    </row>
    <row r="563" spans="1:74">
      <c r="A563" t="s">
        <v>3172</v>
      </c>
      <c r="B563" t="s">
        <v>3097</v>
      </c>
      <c r="BG563" s="18"/>
      <c r="BH563" s="18"/>
      <c r="BI563" s="18"/>
      <c r="BJ563" s="18"/>
      <c r="BK563" s="18"/>
      <c r="BL563" s="18"/>
      <c r="BM563" s="18"/>
      <c r="BN563" s="18"/>
      <c r="BO563" s="18"/>
      <c r="BP563" s="18"/>
      <c r="BQ563" s="18"/>
      <c r="BR563" s="18"/>
      <c r="BS563" s="18"/>
      <c r="BT563" s="18"/>
      <c r="BU563" s="18"/>
      <c r="BV563" s="18"/>
    </row>
    <row r="564" spans="1:74">
      <c r="A564" t="s">
        <v>2562</v>
      </c>
      <c r="B564" t="s">
        <v>2166</v>
      </c>
      <c r="BG564" s="18"/>
      <c r="BH564" s="18"/>
      <c r="BI564" s="18"/>
      <c r="BJ564" s="18"/>
      <c r="BK564" s="18"/>
      <c r="BL564" s="18"/>
      <c r="BM564" s="18"/>
      <c r="BN564" s="18"/>
      <c r="BO564" s="18"/>
      <c r="BP564" s="18"/>
      <c r="BQ564" s="18"/>
      <c r="BR564" s="18"/>
      <c r="BS564" s="18"/>
      <c r="BT564" s="18"/>
      <c r="BU564" s="18"/>
      <c r="BV564" s="18"/>
    </row>
    <row r="565" spans="1:74">
      <c r="A565" t="s">
        <v>2562</v>
      </c>
      <c r="B565" t="s">
        <v>3098</v>
      </c>
      <c r="BG565" s="18"/>
      <c r="BH565" s="18"/>
      <c r="BI565" s="18"/>
      <c r="BJ565" s="18"/>
      <c r="BK565" s="18"/>
      <c r="BL565" s="18"/>
      <c r="BM565" s="18"/>
      <c r="BN565" s="18"/>
      <c r="BO565" s="18"/>
      <c r="BP565" s="18"/>
      <c r="BQ565" s="18"/>
      <c r="BR565" s="18"/>
      <c r="BS565" s="18"/>
      <c r="BT565" s="18"/>
      <c r="BU565" s="18"/>
      <c r="BV565" s="18"/>
    </row>
    <row r="566" spans="1:74">
      <c r="A566" t="s">
        <v>3173</v>
      </c>
      <c r="B566" t="s">
        <v>3099</v>
      </c>
      <c r="BG566" s="18"/>
      <c r="BH566" s="18"/>
      <c r="BI566" s="18"/>
      <c r="BJ566" s="18"/>
      <c r="BK566" s="18"/>
      <c r="BL566" s="18"/>
      <c r="BM566" s="18"/>
      <c r="BN566" s="18"/>
      <c r="BO566" s="18"/>
      <c r="BP566" s="18"/>
      <c r="BQ566" s="18"/>
      <c r="BR566" s="18"/>
      <c r="BS566" s="18"/>
      <c r="BT566" s="18"/>
      <c r="BU566" s="18"/>
      <c r="BV566" s="18"/>
    </row>
    <row r="567" spans="1:74">
      <c r="A567" t="s">
        <v>2098</v>
      </c>
      <c r="B567" t="s">
        <v>2751</v>
      </c>
      <c r="BG567" s="18"/>
      <c r="BH567" s="18"/>
      <c r="BI567" s="18"/>
      <c r="BJ567" s="18"/>
      <c r="BK567" s="18"/>
      <c r="BL567" s="18"/>
      <c r="BM567" s="18"/>
      <c r="BN567" s="18"/>
      <c r="BO567" s="18"/>
      <c r="BP567" s="18"/>
      <c r="BQ567" s="18"/>
      <c r="BR567" s="18"/>
      <c r="BS567" s="18"/>
      <c r="BT567" s="18"/>
      <c r="BU567" s="18"/>
      <c r="BV567" s="18"/>
    </row>
    <row r="568" spans="1:74">
      <c r="A568" t="s">
        <v>2098</v>
      </c>
      <c r="B568" t="s">
        <v>3100</v>
      </c>
      <c r="BG568" s="18"/>
      <c r="BH568" s="18"/>
      <c r="BI568" s="18"/>
      <c r="BJ568" s="18"/>
      <c r="BK568" s="18"/>
      <c r="BL568" s="18"/>
      <c r="BM568" s="18"/>
      <c r="BN568" s="18"/>
      <c r="BO568" s="18"/>
      <c r="BP568" s="18"/>
      <c r="BQ568" s="18"/>
      <c r="BR568" s="18"/>
      <c r="BS568" s="18"/>
      <c r="BT568" s="18"/>
      <c r="BU568" s="18"/>
      <c r="BV568" s="18"/>
    </row>
    <row r="569" spans="1:74">
      <c r="A569" t="s">
        <v>2098</v>
      </c>
      <c r="B569" t="s">
        <v>3107</v>
      </c>
      <c r="BG569" s="18"/>
      <c r="BH569" s="18"/>
      <c r="BI569" s="18"/>
      <c r="BJ569" s="18"/>
      <c r="BK569" s="18"/>
      <c r="BL569" s="18"/>
      <c r="BM569" s="18"/>
      <c r="BN569" s="18"/>
      <c r="BO569" s="18"/>
      <c r="BP569" s="18"/>
      <c r="BQ569" s="18"/>
      <c r="BR569" s="18"/>
      <c r="BS569" s="18"/>
      <c r="BT569" s="18"/>
      <c r="BU569" s="18"/>
      <c r="BV569" s="18"/>
    </row>
    <row r="570" spans="1:74">
      <c r="A570" t="s">
        <v>2098</v>
      </c>
      <c r="B570" t="s">
        <v>2861</v>
      </c>
      <c r="BG570" s="18"/>
      <c r="BH570" s="18"/>
      <c r="BI570" s="18"/>
      <c r="BJ570" s="18"/>
      <c r="BK570" s="18"/>
      <c r="BL570" s="18"/>
      <c r="BM570" s="18"/>
      <c r="BN570" s="18"/>
      <c r="BO570" s="18"/>
      <c r="BP570" s="18"/>
      <c r="BQ570" s="18"/>
      <c r="BR570" s="18"/>
      <c r="BS570" s="18"/>
      <c r="BT570" s="18"/>
      <c r="BU570" s="18"/>
      <c r="BV570" s="18"/>
    </row>
    <row r="571" spans="1:74">
      <c r="A571" t="s">
        <v>2098</v>
      </c>
      <c r="B571" t="s">
        <v>2669</v>
      </c>
      <c r="BG571" s="18"/>
      <c r="BH571" s="18"/>
      <c r="BI571" s="18"/>
      <c r="BJ571" s="18"/>
      <c r="BK571" s="18"/>
      <c r="BL571" s="18"/>
      <c r="BM571" s="18"/>
      <c r="BN571" s="18"/>
      <c r="BO571" s="18"/>
      <c r="BP571" s="18"/>
      <c r="BQ571" s="18"/>
      <c r="BR571" s="18"/>
      <c r="BS571" s="18"/>
      <c r="BT571" s="18"/>
      <c r="BU571" s="18"/>
      <c r="BV571" s="18"/>
    </row>
    <row r="572" spans="1:74">
      <c r="A572" t="s">
        <v>2098</v>
      </c>
      <c r="B572" t="s">
        <v>3106</v>
      </c>
      <c r="BG572" s="18"/>
      <c r="BH572" s="18"/>
      <c r="BI572" s="18"/>
      <c r="BJ572" s="18"/>
      <c r="BK572" s="18"/>
      <c r="BL572" s="18"/>
      <c r="BM572" s="18"/>
      <c r="BN572" s="18"/>
      <c r="BO572" s="18"/>
      <c r="BP572" s="18"/>
      <c r="BQ572" s="18"/>
      <c r="BR572" s="18"/>
      <c r="BS572" s="18"/>
      <c r="BT572" s="18"/>
      <c r="BU572" s="18"/>
      <c r="BV572" s="18"/>
    </row>
    <row r="573" spans="1:74">
      <c r="A573" t="s">
        <v>2098</v>
      </c>
      <c r="B573" t="s">
        <v>3103</v>
      </c>
      <c r="BG573" s="18"/>
      <c r="BH573" s="18"/>
      <c r="BI573" s="18"/>
      <c r="BJ573" s="18"/>
      <c r="BK573" s="18"/>
      <c r="BL573" s="18"/>
      <c r="BM573" s="18"/>
      <c r="BN573" s="18"/>
      <c r="BO573" s="18"/>
      <c r="BP573" s="18"/>
      <c r="BQ573" s="18"/>
      <c r="BR573" s="18"/>
      <c r="BS573" s="18"/>
      <c r="BT573" s="18"/>
      <c r="BU573" s="18"/>
      <c r="BV573" s="18"/>
    </row>
    <row r="574" spans="1:74">
      <c r="A574" t="s">
        <v>2098</v>
      </c>
      <c r="B574" t="s">
        <v>3101</v>
      </c>
      <c r="BG574" s="18"/>
      <c r="BH574" s="18"/>
      <c r="BI574" s="18"/>
      <c r="BJ574" s="18"/>
      <c r="BK574" s="18"/>
      <c r="BL574" s="18"/>
      <c r="BM574" s="18"/>
      <c r="BN574" s="18"/>
      <c r="BO574" s="18"/>
      <c r="BP574" s="18"/>
      <c r="BQ574" s="18"/>
      <c r="BR574" s="18"/>
      <c r="BS574" s="18"/>
      <c r="BT574" s="18"/>
      <c r="BU574" s="18"/>
      <c r="BV574" s="18"/>
    </row>
    <row r="575" spans="1:74">
      <c r="A575" t="s">
        <v>2098</v>
      </c>
      <c r="B575" t="s">
        <v>2750</v>
      </c>
      <c r="BG575" s="18"/>
      <c r="BH575" s="18"/>
      <c r="BI575" s="18"/>
      <c r="BJ575" s="18"/>
      <c r="BK575" s="18"/>
      <c r="BL575" s="18"/>
      <c r="BM575" s="18"/>
      <c r="BN575" s="18"/>
      <c r="BO575" s="18"/>
      <c r="BP575" s="18"/>
      <c r="BQ575" s="18"/>
      <c r="BR575" s="18"/>
      <c r="BS575" s="18"/>
      <c r="BT575" s="18"/>
      <c r="BU575" s="18"/>
      <c r="BV575" s="18"/>
    </row>
    <row r="576" spans="1:74">
      <c r="A576" t="s">
        <v>2098</v>
      </c>
      <c r="B576" t="s">
        <v>2670</v>
      </c>
      <c r="BG576" s="18"/>
      <c r="BH576" s="18"/>
      <c r="BI576" s="18"/>
      <c r="BJ576" s="18"/>
      <c r="BK576" s="18"/>
      <c r="BL576" s="18"/>
      <c r="BM576" s="18"/>
      <c r="BN576" s="18"/>
      <c r="BO576" s="18"/>
      <c r="BP576" s="18"/>
      <c r="BQ576" s="18"/>
      <c r="BR576" s="18"/>
      <c r="BS576" s="18"/>
      <c r="BT576" s="18"/>
      <c r="BU576" s="18"/>
      <c r="BV576" s="18"/>
    </row>
    <row r="577" spans="1:74">
      <c r="A577" t="s">
        <v>2098</v>
      </c>
      <c r="B577" t="s">
        <v>3102</v>
      </c>
      <c r="BG577" s="18"/>
      <c r="BH577" s="18"/>
      <c r="BI577" s="18"/>
      <c r="BJ577" s="18"/>
      <c r="BK577" s="18"/>
      <c r="BL577" s="18"/>
      <c r="BM577" s="18"/>
      <c r="BN577" s="18"/>
      <c r="BO577" s="18"/>
      <c r="BP577" s="18"/>
      <c r="BQ577" s="18"/>
      <c r="BR577" s="18"/>
      <c r="BS577" s="18"/>
      <c r="BT577" s="18"/>
      <c r="BU577" s="18"/>
      <c r="BV577" s="18"/>
    </row>
    <row r="578" spans="1:74">
      <c r="A578" s="18" t="s">
        <v>2098</v>
      </c>
      <c r="B578" s="19" t="s">
        <v>3104</v>
      </c>
      <c r="BG578" s="18"/>
      <c r="BH578" s="18"/>
      <c r="BI578" s="18"/>
      <c r="BJ578" s="18"/>
      <c r="BK578" s="18"/>
      <c r="BL578" s="18"/>
      <c r="BM578" s="18"/>
      <c r="BN578" s="18"/>
      <c r="BO578" s="18"/>
      <c r="BP578" s="18"/>
      <c r="BQ578" s="18"/>
      <c r="BR578" s="18"/>
      <c r="BS578" s="18"/>
      <c r="BT578" s="18"/>
      <c r="BU578" s="18"/>
      <c r="BV578" s="18"/>
    </row>
    <row r="579" spans="1:74">
      <c r="A579" s="18" t="s">
        <v>2098</v>
      </c>
      <c r="B579" s="19" t="s">
        <v>3105</v>
      </c>
      <c r="BG579" s="18"/>
      <c r="BH579" s="18"/>
      <c r="BI579" s="18"/>
      <c r="BJ579" s="18"/>
      <c r="BK579" s="18"/>
      <c r="BL579" s="18"/>
      <c r="BM579" s="18"/>
      <c r="BN579" s="18"/>
      <c r="BO579" s="18"/>
      <c r="BP579" s="18"/>
      <c r="BQ579" s="18"/>
      <c r="BR579" s="18"/>
      <c r="BS579" s="18"/>
      <c r="BT579" s="18"/>
      <c r="BU579" s="18"/>
      <c r="BV579" s="18"/>
    </row>
    <row r="580" spans="1:74">
      <c r="A580" s="18" t="s">
        <v>2098</v>
      </c>
      <c r="B580" s="19" t="s">
        <v>2167</v>
      </c>
      <c r="BG580" s="18"/>
      <c r="BH580" s="18"/>
      <c r="BI580" s="18"/>
      <c r="BJ580" s="18"/>
      <c r="BK580" s="18"/>
      <c r="BL580" s="18"/>
      <c r="BM580" s="18"/>
      <c r="BN580" s="18"/>
      <c r="BO580" s="18"/>
      <c r="BP580" s="18"/>
      <c r="BQ580" s="18"/>
      <c r="BR580" s="18"/>
      <c r="BS580" s="18"/>
      <c r="BT580" s="18"/>
      <c r="BU580" s="18"/>
      <c r="BV580" s="18"/>
    </row>
    <row r="581" spans="1:74">
      <c r="A581" s="18" t="s">
        <v>2098</v>
      </c>
      <c r="B581" s="19" t="s">
        <v>2666</v>
      </c>
      <c r="BG581" s="18"/>
      <c r="BH581" s="18"/>
      <c r="BI581" s="18"/>
      <c r="BJ581" s="18"/>
      <c r="BK581" s="18"/>
      <c r="BL581" s="18"/>
      <c r="BM581" s="18"/>
      <c r="BN581" s="18"/>
      <c r="BO581" s="18"/>
      <c r="BP581" s="18"/>
      <c r="BQ581" s="18"/>
      <c r="BR581" s="18"/>
      <c r="BS581" s="18"/>
      <c r="BT581" s="18"/>
      <c r="BU581" s="18"/>
      <c r="BV581" s="18"/>
    </row>
    <row r="582" spans="1:74">
      <c r="A582" s="18" t="s">
        <v>2098</v>
      </c>
      <c r="B582" s="19" t="s">
        <v>2667</v>
      </c>
      <c r="BG582" s="18"/>
      <c r="BH582" s="18"/>
      <c r="BI582" s="18"/>
      <c r="BJ582" s="18"/>
      <c r="BK582" s="18"/>
      <c r="BL582" s="18"/>
      <c r="BM582" s="18"/>
      <c r="BN582" s="18"/>
      <c r="BO582" s="18"/>
      <c r="BP582" s="18"/>
      <c r="BQ582" s="18"/>
      <c r="BR582" s="18"/>
      <c r="BS582" s="18"/>
      <c r="BT582" s="18"/>
      <c r="BU582" s="18"/>
      <c r="BV582" s="18"/>
    </row>
    <row r="583" spans="1:74">
      <c r="A583" s="18" t="s">
        <v>2098</v>
      </c>
      <c r="B583" s="19" t="s">
        <v>2668</v>
      </c>
      <c r="BG583" s="18"/>
      <c r="BH583" s="18"/>
      <c r="BI583" s="18"/>
      <c r="BJ583" s="18"/>
      <c r="BK583" s="18"/>
      <c r="BL583" s="18"/>
      <c r="BM583" s="18"/>
      <c r="BN583" s="18"/>
      <c r="BO583" s="18"/>
      <c r="BP583" s="18"/>
      <c r="BQ583" s="18"/>
      <c r="BR583" s="18"/>
      <c r="BS583" s="18"/>
      <c r="BT583" s="18"/>
      <c r="BU583" s="18"/>
      <c r="BV583" s="18"/>
    </row>
    <row r="584" spans="1:74">
      <c r="A584" s="18" t="s">
        <v>4452</v>
      </c>
      <c r="B584" s="19" t="s">
        <v>4453</v>
      </c>
      <c r="BG584" s="18"/>
      <c r="BH584" s="18"/>
      <c r="BI584" s="18"/>
      <c r="BJ584" s="18"/>
      <c r="BK584" s="18"/>
      <c r="BL584" s="18"/>
      <c r="BM584" s="18"/>
      <c r="BN584" s="18"/>
      <c r="BO584" s="18"/>
      <c r="BP584" s="18"/>
      <c r="BQ584" s="18"/>
      <c r="BR584" s="18"/>
      <c r="BS584" s="18"/>
      <c r="BT584" s="18"/>
      <c r="BU584" s="18"/>
      <c r="BV584" s="18"/>
    </row>
    <row r="585" spans="1:74">
      <c r="A585" s="18" t="s">
        <v>4454</v>
      </c>
      <c r="B585" s="19" t="s">
        <v>4455</v>
      </c>
      <c r="BG585" s="18"/>
      <c r="BH585" s="18"/>
      <c r="BI585" s="18"/>
      <c r="BJ585" s="18"/>
      <c r="BK585" s="18"/>
      <c r="BL585" s="18"/>
      <c r="BM585" s="18"/>
      <c r="BN585" s="18"/>
      <c r="BO585" s="18"/>
      <c r="BP585" s="18"/>
      <c r="BQ585" s="18"/>
      <c r="BR585" s="18"/>
      <c r="BS585" s="18"/>
      <c r="BT585" s="18"/>
      <c r="BU585" s="18"/>
      <c r="BV585" s="18"/>
    </row>
    <row r="586" spans="1:74">
      <c r="A586" s="18" t="s">
        <v>4454</v>
      </c>
      <c r="B586" s="19" t="s">
        <v>4456</v>
      </c>
      <c r="BG586" s="18"/>
      <c r="BH586" s="18"/>
      <c r="BI586" s="18"/>
      <c r="BJ586" s="18"/>
      <c r="BK586" s="18"/>
      <c r="BL586" s="18"/>
      <c r="BM586" s="18"/>
      <c r="BN586" s="18"/>
      <c r="BO586" s="18"/>
      <c r="BP586" s="18"/>
      <c r="BQ586" s="18"/>
      <c r="BR586" s="18"/>
      <c r="BS586" s="18"/>
      <c r="BT586" s="18"/>
      <c r="BU586" s="18"/>
      <c r="BV586" s="18"/>
    </row>
    <row r="587" spans="1:74">
      <c r="A587" s="18" t="s">
        <v>2563</v>
      </c>
      <c r="B587" s="19" t="s">
        <v>2671</v>
      </c>
      <c r="BG587" s="18"/>
      <c r="BH587" s="18"/>
      <c r="BI587" s="18"/>
      <c r="BJ587" s="18"/>
      <c r="BK587" s="18"/>
      <c r="BL587" s="18"/>
      <c r="BM587" s="18"/>
      <c r="BN587" s="18"/>
      <c r="BO587" s="18"/>
      <c r="BP587" s="18"/>
      <c r="BQ587" s="18"/>
      <c r="BR587" s="18"/>
      <c r="BS587" s="18"/>
      <c r="BT587" s="18"/>
      <c r="BU587" s="18"/>
      <c r="BV587" s="18"/>
    </row>
    <row r="588" spans="1:74">
      <c r="A588" s="18"/>
      <c r="B588" s="19"/>
      <c r="BG588" s="18"/>
      <c r="BH588" s="18"/>
      <c r="BI588" s="18"/>
      <c r="BJ588" s="18"/>
      <c r="BK588" s="18"/>
      <c r="BL588" s="18"/>
      <c r="BM588" s="18"/>
      <c r="BN588" s="18"/>
      <c r="BO588" s="18"/>
      <c r="BP588" s="18"/>
      <c r="BQ588" s="18"/>
      <c r="BR588" s="18"/>
      <c r="BS588" s="18"/>
      <c r="BT588" s="18"/>
      <c r="BU588" s="18"/>
      <c r="BV588" s="18"/>
    </row>
    <row r="589" spans="1:74">
      <c r="A589" s="18"/>
      <c r="B589" s="19"/>
      <c r="BG589" s="18"/>
      <c r="BH589" s="18"/>
      <c r="BI589" s="18"/>
      <c r="BJ589" s="18"/>
      <c r="BK589" s="18"/>
      <c r="BL589" s="18"/>
      <c r="BM589" s="18"/>
      <c r="BN589" s="18"/>
      <c r="BO589" s="18"/>
      <c r="BP589" s="18"/>
      <c r="BQ589" s="18"/>
      <c r="BR589" s="18"/>
      <c r="BS589" s="18"/>
      <c r="BT589" s="18"/>
      <c r="BU589" s="18"/>
      <c r="BV589" s="18"/>
    </row>
    <row r="590" spans="1:74">
      <c r="A590" s="18"/>
      <c r="B590" s="19"/>
      <c r="BG590" s="18"/>
      <c r="BH590" s="18"/>
      <c r="BI590" s="18"/>
      <c r="BJ590" s="18"/>
      <c r="BK590" s="18"/>
      <c r="BL590" s="18"/>
      <c r="BM590" s="18"/>
      <c r="BN590" s="18"/>
      <c r="BO590" s="18"/>
      <c r="BP590" s="18"/>
      <c r="BQ590" s="18"/>
      <c r="BR590" s="18"/>
      <c r="BS590" s="18"/>
      <c r="BT590" s="18"/>
      <c r="BU590" s="18"/>
      <c r="BV590" s="18"/>
    </row>
    <row r="591" spans="1:74">
      <c r="A591" s="18"/>
      <c r="B591" s="19"/>
      <c r="BG591" s="18"/>
      <c r="BH591" s="18"/>
      <c r="BI591" s="18"/>
      <c r="BJ591" s="18"/>
      <c r="BK591" s="18"/>
      <c r="BL591" s="18"/>
      <c r="BM591" s="18"/>
      <c r="BN591" s="18"/>
      <c r="BO591" s="18"/>
      <c r="BP591" s="18"/>
      <c r="BQ591" s="18"/>
      <c r="BR591" s="18"/>
      <c r="BS591" s="18"/>
      <c r="BT591" s="18"/>
      <c r="BU591" s="18"/>
      <c r="BV591" s="18"/>
    </row>
    <row r="592" spans="1:74">
      <c r="A592" s="18"/>
      <c r="B592" s="19"/>
      <c r="BG592" s="18"/>
      <c r="BH592" s="18"/>
      <c r="BI592" s="18"/>
      <c r="BJ592" s="18"/>
      <c r="BK592" s="18"/>
      <c r="BL592" s="18"/>
      <c r="BM592" s="18"/>
      <c r="BN592" s="18"/>
      <c r="BO592" s="18"/>
      <c r="BP592" s="18"/>
      <c r="BQ592" s="18"/>
      <c r="BR592" s="18"/>
      <c r="BS592" s="18"/>
      <c r="BT592" s="18"/>
      <c r="BU592" s="18"/>
      <c r="BV592" s="18"/>
    </row>
    <row r="593" spans="1:74">
      <c r="A593" s="18"/>
      <c r="B593" s="19"/>
      <c r="BG593" s="18"/>
      <c r="BH593" s="18"/>
      <c r="BI593" s="18"/>
      <c r="BJ593" s="18"/>
      <c r="BK593" s="18"/>
      <c r="BL593" s="18"/>
      <c r="BM593" s="18"/>
      <c r="BN593" s="18"/>
      <c r="BO593" s="18"/>
      <c r="BP593" s="18"/>
      <c r="BQ593" s="18"/>
      <c r="BR593" s="18"/>
      <c r="BS593" s="18"/>
      <c r="BT593" s="18"/>
      <c r="BU593" s="18"/>
      <c r="BV593" s="18"/>
    </row>
    <row r="594" spans="1:74">
      <c r="A594" s="18"/>
      <c r="B594" s="19"/>
      <c r="BG594" s="18"/>
      <c r="BH594" s="18"/>
      <c r="BI594" s="18"/>
      <c r="BJ594" s="18"/>
      <c r="BK594" s="18"/>
      <c r="BL594" s="18"/>
      <c r="BM594" s="18"/>
      <c r="BN594" s="18"/>
      <c r="BO594" s="18"/>
      <c r="BP594" s="18"/>
      <c r="BQ594" s="18"/>
      <c r="BR594" s="18"/>
      <c r="BS594" s="18"/>
      <c r="BT594" s="18"/>
      <c r="BU594" s="18"/>
      <c r="BV594" s="18"/>
    </row>
    <row r="595" spans="1:74">
      <c r="A595" s="18"/>
      <c r="B595" s="19"/>
      <c r="BG595" s="18"/>
      <c r="BH595" s="18"/>
      <c r="BI595" s="18"/>
      <c r="BJ595" s="18"/>
      <c r="BK595" s="18"/>
      <c r="BL595" s="18"/>
      <c r="BM595" s="18"/>
      <c r="BN595" s="18"/>
      <c r="BO595" s="18"/>
      <c r="BP595" s="18"/>
      <c r="BQ595" s="18"/>
      <c r="BR595" s="18"/>
      <c r="BS595" s="18"/>
      <c r="BT595" s="18"/>
      <c r="BU595" s="18"/>
      <c r="BV595" s="18"/>
    </row>
    <row r="596" spans="1:74">
      <c r="A596" s="18"/>
      <c r="B596" s="19"/>
      <c r="BG596" s="18"/>
      <c r="BH596" s="18"/>
      <c r="BI596" s="18"/>
      <c r="BJ596" s="18"/>
      <c r="BK596" s="18"/>
      <c r="BL596" s="18"/>
      <c r="BM596" s="18"/>
      <c r="BN596" s="18"/>
      <c r="BO596" s="18"/>
      <c r="BP596" s="18"/>
      <c r="BQ596" s="18"/>
      <c r="BR596" s="18"/>
      <c r="BS596" s="18"/>
      <c r="BT596" s="18"/>
      <c r="BU596" s="18"/>
      <c r="BV596" s="18"/>
    </row>
    <row r="597" spans="1:74">
      <c r="A597" s="18"/>
      <c r="B597" s="19"/>
      <c r="BG597" s="18"/>
      <c r="BH597" s="18"/>
      <c r="BI597" s="18"/>
      <c r="BJ597" s="18"/>
      <c r="BK597" s="18"/>
      <c r="BL597" s="18"/>
      <c r="BM597" s="18"/>
      <c r="BN597" s="18"/>
      <c r="BO597" s="18"/>
      <c r="BP597" s="18"/>
      <c r="BQ597" s="18"/>
      <c r="BR597" s="18"/>
      <c r="BS597" s="18"/>
      <c r="BT597" s="18"/>
      <c r="BU597" s="18"/>
      <c r="BV597" s="18"/>
    </row>
    <row r="598" spans="1:74">
      <c r="A598" s="18"/>
      <c r="B598" s="19"/>
      <c r="BG598" s="18"/>
      <c r="BH598" s="18"/>
      <c r="BI598" s="18"/>
      <c r="BJ598" s="18"/>
      <c r="BK598" s="18"/>
      <c r="BL598" s="18"/>
      <c r="BM598" s="18"/>
      <c r="BN598" s="18"/>
      <c r="BO598" s="18"/>
      <c r="BP598" s="18"/>
      <c r="BQ598" s="18"/>
      <c r="BR598" s="18"/>
      <c r="BS598" s="18"/>
      <c r="BT598" s="18"/>
      <c r="BU598" s="18"/>
      <c r="BV598" s="18"/>
    </row>
    <row r="599" spans="1:74">
      <c r="A599" s="18"/>
      <c r="B599" s="19"/>
      <c r="BG599" s="18"/>
      <c r="BH599" s="18"/>
      <c r="BI599" s="18"/>
      <c r="BJ599" s="18"/>
      <c r="BK599" s="18"/>
      <c r="BL599" s="18"/>
      <c r="BM599" s="18"/>
      <c r="BN599" s="18"/>
      <c r="BO599" s="18"/>
      <c r="BP599" s="18"/>
      <c r="BQ599" s="18"/>
      <c r="BR599" s="18"/>
      <c r="BS599" s="18"/>
      <c r="BT599" s="18"/>
      <c r="BU599" s="18"/>
      <c r="BV599" s="18"/>
    </row>
    <row r="600" spans="1:74">
      <c r="A600" s="18"/>
      <c r="B600" s="19"/>
      <c r="BG600" s="18"/>
      <c r="BH600" s="18"/>
      <c r="BI600" s="18"/>
      <c r="BJ600" s="18"/>
      <c r="BK600" s="18"/>
      <c r="BL600" s="18"/>
      <c r="BM600" s="18"/>
      <c r="BN600" s="18"/>
      <c r="BO600" s="18"/>
      <c r="BP600" s="18"/>
      <c r="BQ600" s="18"/>
      <c r="BR600" s="18"/>
      <c r="BS600" s="18"/>
      <c r="BT600" s="18"/>
      <c r="BU600" s="18"/>
      <c r="BV600" s="18"/>
    </row>
    <row r="601" spans="1:74">
      <c r="A601" s="18"/>
      <c r="B601" s="19"/>
      <c r="BG601" s="18"/>
      <c r="BH601" s="18"/>
      <c r="BI601" s="18"/>
      <c r="BJ601" s="18"/>
      <c r="BK601" s="18"/>
      <c r="BL601" s="18"/>
      <c r="BM601" s="18"/>
      <c r="BN601" s="18"/>
      <c r="BO601" s="18"/>
      <c r="BP601" s="18"/>
      <c r="BQ601" s="18"/>
      <c r="BR601" s="18"/>
      <c r="BS601" s="18"/>
      <c r="BT601" s="18"/>
      <c r="BU601" s="18"/>
      <c r="BV601" s="18"/>
    </row>
    <row r="602" spans="1:74">
      <c r="A602" s="18"/>
      <c r="B602" s="19"/>
      <c r="BG602" s="18"/>
      <c r="BH602" s="18"/>
      <c r="BI602" s="18"/>
      <c r="BJ602" s="18"/>
      <c r="BK602" s="18"/>
      <c r="BL602" s="18"/>
      <c r="BM602" s="18"/>
      <c r="BN602" s="18"/>
      <c r="BO602" s="18"/>
      <c r="BP602" s="18"/>
      <c r="BQ602" s="18"/>
      <c r="BR602" s="18"/>
      <c r="BS602" s="18"/>
      <c r="BT602" s="18"/>
      <c r="BU602" s="18"/>
      <c r="BV602" s="18"/>
    </row>
    <row r="603" spans="1:74">
      <c r="A603" s="18"/>
      <c r="B603" s="19"/>
      <c r="BG603" s="18"/>
      <c r="BH603" s="18"/>
      <c r="BI603" s="18"/>
      <c r="BJ603" s="18"/>
      <c r="BK603" s="18"/>
      <c r="BL603" s="18"/>
      <c r="BM603" s="18"/>
      <c r="BN603" s="18"/>
      <c r="BO603" s="18"/>
      <c r="BP603" s="18"/>
      <c r="BQ603" s="18"/>
      <c r="BR603" s="18"/>
      <c r="BS603" s="18"/>
      <c r="BT603" s="18"/>
      <c r="BU603" s="18"/>
      <c r="BV603" s="18"/>
    </row>
    <row r="604" spans="1:74">
      <c r="A604" s="18"/>
      <c r="B604" s="19"/>
      <c r="BG604" s="18"/>
      <c r="BH604" s="18"/>
      <c r="BI604" s="18"/>
      <c r="BJ604" s="18"/>
      <c r="BK604" s="18"/>
      <c r="BL604" s="18"/>
      <c r="BM604" s="18"/>
      <c r="BN604" s="18"/>
      <c r="BO604" s="18"/>
      <c r="BP604" s="18"/>
      <c r="BQ604" s="18"/>
      <c r="BR604" s="18"/>
      <c r="BS604" s="18"/>
      <c r="BT604" s="18"/>
      <c r="BU604" s="18"/>
      <c r="BV604" s="18"/>
    </row>
    <row r="605" spans="1:74">
      <c r="A605" s="18"/>
      <c r="B605" s="19"/>
      <c r="BG605" s="18"/>
      <c r="BH605" s="18"/>
      <c r="BI605" s="18"/>
      <c r="BJ605" s="18"/>
      <c r="BK605" s="18"/>
      <c r="BL605" s="18"/>
      <c r="BM605" s="18"/>
      <c r="BN605" s="18"/>
      <c r="BO605" s="18"/>
      <c r="BP605" s="18"/>
      <c r="BQ605" s="18"/>
      <c r="BR605" s="18"/>
      <c r="BS605" s="18"/>
      <c r="BT605" s="18"/>
      <c r="BU605" s="18"/>
      <c r="BV605" s="18"/>
    </row>
    <row r="606" spans="1:74">
      <c r="A606" s="18"/>
      <c r="B606" s="19"/>
      <c r="BG606" s="18"/>
      <c r="BH606" s="18"/>
      <c r="BI606" s="18"/>
      <c r="BJ606" s="18"/>
      <c r="BK606" s="18"/>
      <c r="BL606" s="18"/>
      <c r="BM606" s="18"/>
      <c r="BN606" s="18"/>
      <c r="BO606" s="18"/>
      <c r="BP606" s="18"/>
      <c r="BQ606" s="18"/>
      <c r="BR606" s="18"/>
      <c r="BS606" s="18"/>
      <c r="BT606" s="18"/>
      <c r="BU606" s="18"/>
      <c r="BV606" s="18"/>
    </row>
    <row r="607" spans="1:74">
      <c r="A607" s="18"/>
      <c r="B607" s="19"/>
      <c r="BG607" s="18"/>
      <c r="BH607" s="18"/>
      <c r="BI607" s="18"/>
      <c r="BJ607" s="18"/>
      <c r="BK607" s="18"/>
      <c r="BL607" s="18"/>
      <c r="BM607" s="18"/>
      <c r="BN607" s="18"/>
      <c r="BO607" s="18"/>
      <c r="BP607" s="18"/>
      <c r="BQ607" s="18"/>
      <c r="BR607" s="18"/>
      <c r="BS607" s="18"/>
      <c r="BT607" s="18"/>
      <c r="BU607" s="18"/>
      <c r="BV607" s="18"/>
    </row>
    <row r="608" spans="1:74">
      <c r="A608" s="18"/>
      <c r="B608" s="19"/>
      <c r="BG608" s="18"/>
      <c r="BH608" s="18"/>
      <c r="BI608" s="18"/>
      <c r="BJ608" s="18"/>
      <c r="BK608" s="18"/>
      <c r="BL608" s="18"/>
      <c r="BM608" s="18"/>
      <c r="BN608" s="18"/>
      <c r="BO608" s="18"/>
      <c r="BP608" s="18"/>
      <c r="BQ608" s="18"/>
      <c r="BR608" s="18"/>
      <c r="BS608" s="18"/>
      <c r="BT608" s="18"/>
      <c r="BU608" s="18"/>
      <c r="BV608" s="18"/>
    </row>
    <row r="609" spans="1:74">
      <c r="A609" s="18"/>
      <c r="B609" s="19"/>
      <c r="BG609" s="18"/>
      <c r="BH609" s="18"/>
      <c r="BI609" s="18"/>
      <c r="BJ609" s="18"/>
      <c r="BK609" s="18"/>
      <c r="BL609" s="18"/>
      <c r="BM609" s="18"/>
      <c r="BN609" s="18"/>
      <c r="BO609" s="18"/>
      <c r="BP609" s="18"/>
      <c r="BQ609" s="18"/>
      <c r="BR609" s="18"/>
      <c r="BS609" s="18"/>
      <c r="BT609" s="18"/>
      <c r="BU609" s="18"/>
      <c r="BV609" s="18"/>
    </row>
    <row r="610" spans="1:74">
      <c r="A610" s="18"/>
      <c r="B610" s="19"/>
      <c r="BG610" s="18"/>
      <c r="BH610" s="18"/>
      <c r="BI610" s="18"/>
      <c r="BJ610" s="18"/>
      <c r="BK610" s="18"/>
      <c r="BL610" s="18"/>
      <c r="BM610" s="18"/>
      <c r="BN610" s="18"/>
      <c r="BO610" s="18"/>
      <c r="BP610" s="18"/>
      <c r="BQ610" s="18"/>
      <c r="BR610" s="18"/>
      <c r="BS610" s="18"/>
      <c r="BT610" s="18"/>
      <c r="BU610" s="18"/>
      <c r="BV610" s="18"/>
    </row>
    <row r="611" spans="1:74">
      <c r="A611" s="18"/>
      <c r="B611" s="19"/>
      <c r="BG611" s="18"/>
      <c r="BH611" s="18"/>
      <c r="BI611" s="18"/>
      <c r="BJ611" s="18"/>
      <c r="BK611" s="18"/>
      <c r="BL611" s="18"/>
      <c r="BM611" s="18"/>
      <c r="BN611" s="18"/>
      <c r="BO611" s="18"/>
      <c r="BP611" s="18"/>
      <c r="BQ611" s="18"/>
      <c r="BR611" s="18"/>
      <c r="BS611" s="18"/>
      <c r="BT611" s="18"/>
      <c r="BU611" s="18"/>
      <c r="BV611" s="18"/>
    </row>
    <row r="612" spans="1:74">
      <c r="A612" s="18"/>
      <c r="B612" s="19"/>
      <c r="BG612" s="18"/>
      <c r="BH612" s="18"/>
      <c r="BI612" s="18"/>
      <c r="BJ612" s="18"/>
      <c r="BK612" s="18"/>
      <c r="BL612" s="18"/>
      <c r="BM612" s="18"/>
      <c r="BN612" s="18"/>
      <c r="BO612" s="18"/>
      <c r="BP612" s="18"/>
      <c r="BQ612" s="18"/>
      <c r="BR612" s="18"/>
      <c r="BS612" s="18"/>
      <c r="BT612" s="18"/>
      <c r="BU612" s="18"/>
      <c r="BV612" s="18"/>
    </row>
    <row r="613" spans="1:74">
      <c r="A613" s="18"/>
      <c r="B613" s="19"/>
      <c r="BG613" s="18"/>
      <c r="BH613" s="18"/>
      <c r="BI613" s="18"/>
      <c r="BJ613" s="18"/>
      <c r="BK613" s="18"/>
      <c r="BL613" s="18"/>
      <c r="BM613" s="18"/>
      <c r="BN613" s="18"/>
      <c r="BO613" s="18"/>
      <c r="BP613" s="18"/>
      <c r="BQ613" s="18"/>
      <c r="BR613" s="18"/>
      <c r="BS613" s="18"/>
      <c r="BT613" s="18"/>
      <c r="BU613" s="18"/>
      <c r="BV613" s="18"/>
    </row>
    <row r="614" spans="1:74">
      <c r="A614" s="18"/>
      <c r="B614" s="19"/>
      <c r="BG614" s="18"/>
      <c r="BH614" s="18"/>
      <c r="BI614" s="18"/>
      <c r="BJ614" s="18"/>
      <c r="BK614" s="18"/>
      <c r="BL614" s="18"/>
      <c r="BM614" s="18"/>
      <c r="BN614" s="18"/>
      <c r="BO614" s="18"/>
      <c r="BP614" s="18"/>
      <c r="BQ614" s="18"/>
      <c r="BR614" s="18"/>
      <c r="BS614" s="18"/>
      <c r="BT614" s="18"/>
      <c r="BU614" s="18"/>
      <c r="BV614" s="18"/>
    </row>
    <row r="615" spans="1:74">
      <c r="A615" s="18"/>
      <c r="B615" s="19"/>
      <c r="BG615" s="18"/>
      <c r="BH615" s="18"/>
      <c r="BI615" s="18"/>
      <c r="BJ615" s="18"/>
      <c r="BK615" s="18"/>
      <c r="BL615" s="18"/>
      <c r="BM615" s="18"/>
      <c r="BN615" s="18"/>
      <c r="BO615" s="18"/>
      <c r="BP615" s="18"/>
      <c r="BQ615" s="18"/>
      <c r="BR615" s="18"/>
      <c r="BS615" s="18"/>
      <c r="BT615" s="18"/>
      <c r="BU615" s="18"/>
      <c r="BV615" s="18"/>
    </row>
    <row r="616" spans="1:74">
      <c r="A616" s="18"/>
      <c r="B616" s="19"/>
      <c r="BG616" s="18"/>
      <c r="BH616" s="18"/>
      <c r="BI616" s="18"/>
      <c r="BJ616" s="18"/>
      <c r="BK616" s="18"/>
      <c r="BL616" s="18"/>
      <c r="BM616" s="18"/>
      <c r="BN616" s="18"/>
      <c r="BO616" s="18"/>
      <c r="BP616" s="18"/>
      <c r="BQ616" s="18"/>
      <c r="BR616" s="18"/>
      <c r="BS616" s="18"/>
      <c r="BT616" s="18"/>
      <c r="BU616" s="18"/>
      <c r="BV616" s="18"/>
    </row>
    <row r="617" spans="1:74">
      <c r="A617" s="18"/>
      <c r="B617" s="19"/>
      <c r="BG617" s="18"/>
      <c r="BH617" s="18"/>
      <c r="BI617" s="18"/>
      <c r="BJ617" s="18"/>
      <c r="BK617" s="18"/>
      <c r="BL617" s="18"/>
      <c r="BM617" s="18"/>
      <c r="BN617" s="18"/>
      <c r="BO617" s="18"/>
      <c r="BP617" s="18"/>
      <c r="BQ617" s="18"/>
      <c r="BR617" s="18"/>
      <c r="BS617" s="18"/>
      <c r="BT617" s="18"/>
      <c r="BU617" s="18"/>
      <c r="BV617" s="18"/>
    </row>
    <row r="618" spans="1:74">
      <c r="A618" s="18"/>
      <c r="B618" s="19"/>
      <c r="BG618" s="18"/>
      <c r="BH618" s="18"/>
      <c r="BI618" s="18"/>
      <c r="BJ618" s="18"/>
      <c r="BK618" s="18"/>
      <c r="BL618" s="18"/>
      <c r="BM618" s="18"/>
      <c r="BN618" s="18"/>
      <c r="BO618" s="18"/>
      <c r="BP618" s="18"/>
      <c r="BQ618" s="18"/>
      <c r="BR618" s="18"/>
      <c r="BS618" s="18"/>
      <c r="BT618" s="18"/>
      <c r="BU618" s="18"/>
      <c r="BV618" s="18"/>
    </row>
    <row r="619" spans="1:74">
      <c r="A619" s="18"/>
      <c r="B619" s="19"/>
      <c r="BG619" s="18"/>
      <c r="BH619" s="18"/>
      <c r="BI619" s="18"/>
      <c r="BJ619" s="18"/>
      <c r="BK619" s="18"/>
      <c r="BL619" s="18"/>
      <c r="BM619" s="18"/>
      <c r="BN619" s="18"/>
      <c r="BO619" s="18"/>
      <c r="BP619" s="18"/>
      <c r="BQ619" s="18"/>
      <c r="BR619" s="18"/>
      <c r="BS619" s="18"/>
      <c r="BT619" s="18"/>
      <c r="BU619" s="18"/>
      <c r="BV619" s="18"/>
    </row>
    <row r="620" spans="1:74">
      <c r="A620" s="18"/>
      <c r="B620" s="19"/>
      <c r="BG620" s="18"/>
      <c r="BH620" s="18"/>
      <c r="BI620" s="18"/>
      <c r="BJ620" s="18"/>
      <c r="BK620" s="18"/>
      <c r="BL620" s="18"/>
      <c r="BM620" s="18"/>
      <c r="BN620" s="18"/>
      <c r="BO620" s="18"/>
      <c r="BP620" s="18"/>
      <c r="BQ620" s="18"/>
      <c r="BR620" s="18"/>
      <c r="BS620" s="18"/>
      <c r="BT620" s="18"/>
      <c r="BU620" s="18"/>
      <c r="BV620" s="18"/>
    </row>
    <row r="621" spans="1:74">
      <c r="A621" s="18"/>
      <c r="B621" s="19"/>
      <c r="BG621" s="18"/>
      <c r="BH621" s="18"/>
      <c r="BI621" s="18"/>
      <c r="BJ621" s="18"/>
      <c r="BK621" s="18"/>
      <c r="BL621" s="18"/>
      <c r="BM621" s="18"/>
      <c r="BN621" s="18"/>
      <c r="BO621" s="18"/>
      <c r="BP621" s="18"/>
      <c r="BQ621" s="18"/>
      <c r="BR621" s="18"/>
      <c r="BS621" s="18"/>
      <c r="BT621" s="18"/>
      <c r="BU621" s="18"/>
      <c r="BV621" s="18"/>
    </row>
    <row r="622" spans="1:74">
      <c r="A622" s="18"/>
      <c r="B622" s="19"/>
      <c r="BG622" s="18"/>
      <c r="BH622" s="18"/>
      <c r="BI622" s="18"/>
      <c r="BJ622" s="18"/>
      <c r="BK622" s="18"/>
      <c r="BL622" s="18"/>
      <c r="BM622" s="18"/>
      <c r="BN622" s="18"/>
      <c r="BO622" s="18"/>
      <c r="BP622" s="18"/>
      <c r="BQ622" s="18"/>
      <c r="BR622" s="18"/>
      <c r="BS622" s="18"/>
      <c r="BT622" s="18"/>
      <c r="BU622" s="18"/>
      <c r="BV622" s="18"/>
    </row>
    <row r="623" spans="1:74">
      <c r="A623" s="18"/>
      <c r="B623" s="19"/>
      <c r="BG623" s="18"/>
      <c r="BH623" s="18"/>
      <c r="BI623" s="18"/>
      <c r="BJ623" s="18"/>
      <c r="BK623" s="18"/>
      <c r="BL623" s="18"/>
      <c r="BM623" s="18"/>
      <c r="BN623" s="18"/>
      <c r="BO623" s="18"/>
      <c r="BP623" s="18"/>
      <c r="BQ623" s="18"/>
      <c r="BR623" s="18"/>
      <c r="BS623" s="18"/>
      <c r="BT623" s="18"/>
      <c r="BU623" s="18"/>
      <c r="BV623" s="18"/>
    </row>
    <row r="624" spans="1:74">
      <c r="A624" s="18"/>
      <c r="B624" s="19"/>
      <c r="BG624" s="18"/>
      <c r="BH624" s="18"/>
      <c r="BI624" s="18"/>
      <c r="BJ624" s="18"/>
      <c r="BK624" s="18"/>
      <c r="BL624" s="18"/>
      <c r="BM624" s="18"/>
      <c r="BN624" s="18"/>
      <c r="BO624" s="18"/>
      <c r="BP624" s="18"/>
      <c r="BQ624" s="18"/>
      <c r="BR624" s="18"/>
      <c r="BS624" s="18"/>
      <c r="BT624" s="18"/>
      <c r="BU624" s="18"/>
      <c r="BV624" s="18"/>
    </row>
    <row r="625" spans="1:74">
      <c r="A625" s="18"/>
      <c r="B625" s="19"/>
      <c r="BG625" s="18"/>
      <c r="BH625" s="18"/>
      <c r="BI625" s="18"/>
      <c r="BJ625" s="18"/>
      <c r="BK625" s="18"/>
      <c r="BL625" s="18"/>
      <c r="BM625" s="18"/>
      <c r="BN625" s="18"/>
      <c r="BO625" s="18"/>
      <c r="BP625" s="18"/>
      <c r="BQ625" s="18"/>
      <c r="BR625" s="18"/>
      <c r="BS625" s="18"/>
      <c r="BT625" s="18"/>
      <c r="BU625" s="18"/>
      <c r="BV625" s="18"/>
    </row>
    <row r="626" spans="1:74">
      <c r="A626" s="18"/>
      <c r="B626" s="19"/>
      <c r="BG626" s="18"/>
      <c r="BH626" s="18"/>
      <c r="BI626" s="18"/>
      <c r="BJ626" s="18"/>
      <c r="BK626" s="18"/>
      <c r="BL626" s="18"/>
      <c r="BM626" s="18"/>
      <c r="BN626" s="18"/>
      <c r="BO626" s="18"/>
      <c r="BP626" s="18"/>
      <c r="BQ626" s="18"/>
      <c r="BR626" s="18"/>
      <c r="BS626" s="18"/>
      <c r="BT626" s="18"/>
      <c r="BU626" s="18"/>
      <c r="BV626" s="18"/>
    </row>
    <row r="627" spans="1:74">
      <c r="A627" s="18"/>
      <c r="B627" s="19"/>
      <c r="BG627" s="18"/>
      <c r="BH627" s="18"/>
      <c r="BI627" s="18"/>
      <c r="BJ627" s="18"/>
      <c r="BK627" s="18"/>
      <c r="BL627" s="18"/>
      <c r="BM627" s="18"/>
      <c r="BN627" s="18"/>
      <c r="BO627" s="18"/>
      <c r="BP627" s="18"/>
      <c r="BQ627" s="18"/>
      <c r="BR627" s="18"/>
      <c r="BS627" s="18"/>
      <c r="BT627" s="18"/>
      <c r="BU627" s="18"/>
      <c r="BV627" s="18"/>
    </row>
    <row r="628" spans="1:74">
      <c r="A628" s="18"/>
      <c r="B628" s="19"/>
      <c r="BG628" s="18"/>
      <c r="BH628" s="18"/>
      <c r="BI628" s="18"/>
      <c r="BJ628" s="18"/>
      <c r="BK628" s="18"/>
      <c r="BL628" s="18"/>
      <c r="BM628" s="18"/>
      <c r="BN628" s="18"/>
      <c r="BO628" s="18"/>
      <c r="BP628" s="18"/>
      <c r="BQ628" s="18"/>
      <c r="BR628" s="18"/>
      <c r="BS628" s="18"/>
      <c r="BT628" s="18"/>
      <c r="BU628" s="18"/>
      <c r="BV628" s="18"/>
    </row>
    <row r="629" spans="1:74">
      <c r="A629" s="18"/>
      <c r="B629" s="19"/>
      <c r="BG629" s="18"/>
      <c r="BH629" s="18"/>
      <c r="BI629" s="18"/>
      <c r="BJ629" s="18"/>
      <c r="BK629" s="18"/>
      <c r="BL629" s="18"/>
      <c r="BM629" s="18"/>
      <c r="BN629" s="18"/>
      <c r="BO629" s="18"/>
      <c r="BP629" s="18"/>
      <c r="BQ629" s="18"/>
      <c r="BR629" s="18"/>
      <c r="BS629" s="18"/>
      <c r="BT629" s="18"/>
      <c r="BU629" s="18"/>
      <c r="BV629" s="18"/>
    </row>
    <row r="630" spans="1:74">
      <c r="A630" s="18"/>
      <c r="B630" s="19"/>
      <c r="BG630" s="18"/>
      <c r="BH630" s="18"/>
      <c r="BI630" s="18"/>
      <c r="BJ630" s="18"/>
      <c r="BK630" s="18"/>
      <c r="BL630" s="18"/>
      <c r="BM630" s="18"/>
      <c r="BN630" s="18"/>
      <c r="BO630" s="18"/>
      <c r="BP630" s="18"/>
      <c r="BQ630" s="18"/>
      <c r="BR630" s="18"/>
      <c r="BS630" s="18"/>
      <c r="BT630" s="18"/>
      <c r="BU630" s="18"/>
      <c r="BV630" s="18"/>
    </row>
    <row r="631" spans="1:74">
      <c r="A631" s="18"/>
      <c r="B631" s="19"/>
      <c r="BG631" s="18"/>
      <c r="BH631" s="18"/>
      <c r="BI631" s="18"/>
      <c r="BJ631" s="18"/>
      <c r="BK631" s="18"/>
      <c r="BL631" s="18"/>
      <c r="BM631" s="18"/>
      <c r="BN631" s="18"/>
      <c r="BO631" s="18"/>
      <c r="BP631" s="18"/>
      <c r="BQ631" s="18"/>
      <c r="BR631" s="18"/>
      <c r="BS631" s="18"/>
      <c r="BT631" s="18"/>
      <c r="BU631" s="18"/>
      <c r="BV631" s="18"/>
    </row>
    <row r="632" spans="1:74">
      <c r="A632" s="18"/>
      <c r="B632" s="19"/>
      <c r="BG632" s="18"/>
      <c r="BH632" s="18"/>
      <c r="BI632" s="18"/>
      <c r="BJ632" s="18"/>
      <c r="BK632" s="18"/>
      <c r="BL632" s="18"/>
      <c r="BM632" s="18"/>
      <c r="BN632" s="18"/>
      <c r="BO632" s="18"/>
      <c r="BP632" s="18"/>
      <c r="BQ632" s="18"/>
      <c r="BR632" s="18"/>
      <c r="BS632" s="18"/>
      <c r="BT632" s="18"/>
      <c r="BU632" s="18"/>
      <c r="BV632" s="18"/>
    </row>
    <row r="633" spans="1:74">
      <c r="A633" s="18"/>
      <c r="B633" s="19"/>
      <c r="BG633" s="18"/>
      <c r="BH633" s="18"/>
      <c r="BI633" s="18"/>
      <c r="BJ633" s="18"/>
      <c r="BK633" s="18"/>
      <c r="BL633" s="18"/>
      <c r="BM633" s="18"/>
      <c r="BN633" s="18"/>
      <c r="BO633" s="18"/>
      <c r="BP633" s="18"/>
      <c r="BQ633" s="18"/>
      <c r="BR633" s="18"/>
      <c r="BS633" s="18"/>
      <c r="BT633" s="18"/>
      <c r="BU633" s="18"/>
      <c r="BV633" s="18"/>
    </row>
    <row r="634" spans="1:74">
      <c r="A634" s="18"/>
      <c r="B634" s="19"/>
      <c r="BG634" s="18"/>
      <c r="BH634" s="18"/>
      <c r="BI634" s="18"/>
      <c r="BJ634" s="18"/>
      <c r="BK634" s="18"/>
      <c r="BL634" s="18"/>
      <c r="BM634" s="18"/>
      <c r="BN634" s="18"/>
      <c r="BO634" s="18"/>
      <c r="BP634" s="18"/>
      <c r="BQ634" s="18"/>
      <c r="BR634" s="18"/>
      <c r="BS634" s="18"/>
      <c r="BT634" s="18"/>
      <c r="BU634" s="18"/>
      <c r="BV634" s="18"/>
    </row>
    <row r="635" spans="1:74">
      <c r="A635" s="18"/>
      <c r="B635" s="19"/>
      <c r="BG635" s="18"/>
      <c r="BH635" s="18"/>
      <c r="BI635" s="18"/>
      <c r="BJ635" s="18"/>
      <c r="BK635" s="18"/>
      <c r="BL635" s="18"/>
      <c r="BM635" s="18"/>
      <c r="BN635" s="18"/>
      <c r="BO635" s="18"/>
      <c r="BP635" s="18"/>
      <c r="BQ635" s="18"/>
      <c r="BR635" s="18"/>
      <c r="BS635" s="18"/>
      <c r="BT635" s="18"/>
      <c r="BU635" s="18"/>
      <c r="BV635" s="18"/>
    </row>
    <row r="636" spans="1:74">
      <c r="A636" s="18"/>
      <c r="B636" s="19"/>
      <c r="BG636" s="18"/>
      <c r="BH636" s="18"/>
      <c r="BI636" s="18"/>
      <c r="BJ636" s="18"/>
      <c r="BK636" s="18"/>
      <c r="BL636" s="18"/>
      <c r="BM636" s="18"/>
      <c r="BN636" s="18"/>
      <c r="BO636" s="18"/>
      <c r="BP636" s="18"/>
      <c r="BQ636" s="18"/>
      <c r="BR636" s="18"/>
      <c r="BS636" s="18"/>
      <c r="BT636" s="18"/>
      <c r="BU636" s="18"/>
      <c r="BV636" s="18"/>
    </row>
    <row r="637" spans="1:74">
      <c r="A637" s="18"/>
      <c r="B637" s="19"/>
      <c r="BG637" s="18"/>
      <c r="BH637" s="18"/>
      <c r="BI637" s="18"/>
      <c r="BJ637" s="18"/>
      <c r="BK637" s="18"/>
      <c r="BL637" s="18"/>
      <c r="BM637" s="18"/>
      <c r="BN637" s="18"/>
      <c r="BO637" s="18"/>
      <c r="BP637" s="18"/>
      <c r="BQ637" s="18"/>
      <c r="BR637" s="18"/>
      <c r="BS637" s="18"/>
      <c r="BT637" s="18"/>
      <c r="BU637" s="18"/>
      <c r="BV637" s="18"/>
    </row>
    <row r="638" spans="1:74">
      <c r="A638" s="18"/>
      <c r="B638" s="19"/>
      <c r="BG638" s="18"/>
      <c r="BH638" s="18"/>
      <c r="BI638" s="18"/>
      <c r="BJ638" s="18"/>
      <c r="BK638" s="18"/>
      <c r="BL638" s="18"/>
      <c r="BM638" s="18"/>
      <c r="BN638" s="18"/>
      <c r="BO638" s="18"/>
      <c r="BP638" s="18"/>
      <c r="BQ638" s="18"/>
      <c r="BR638" s="18"/>
      <c r="BS638" s="18"/>
      <c r="BT638" s="18"/>
      <c r="BU638" s="18"/>
      <c r="BV638" s="18"/>
    </row>
    <row r="639" spans="1:74">
      <c r="A639" s="18"/>
      <c r="B639" s="19"/>
      <c r="BG639" s="18"/>
      <c r="BH639" s="18"/>
      <c r="BI639" s="18"/>
      <c r="BJ639" s="18"/>
      <c r="BK639" s="18"/>
      <c r="BL639" s="18"/>
      <c r="BM639" s="18"/>
      <c r="BN639" s="18"/>
      <c r="BO639" s="18"/>
      <c r="BP639" s="18"/>
      <c r="BQ639" s="18"/>
      <c r="BR639" s="18"/>
      <c r="BS639" s="18"/>
      <c r="BT639" s="18"/>
      <c r="BU639" s="18"/>
      <c r="BV639" s="18"/>
    </row>
    <row r="640" spans="1:74">
      <c r="A640" s="18"/>
      <c r="B640" s="19"/>
      <c r="BG640" s="18"/>
      <c r="BH640" s="18"/>
      <c r="BI640" s="18"/>
      <c r="BJ640" s="18"/>
      <c r="BK640" s="18"/>
      <c r="BL640" s="18"/>
      <c r="BM640" s="18"/>
      <c r="BN640" s="18"/>
      <c r="BO640" s="18"/>
      <c r="BP640" s="18"/>
      <c r="BQ640" s="18"/>
      <c r="BR640" s="18"/>
      <c r="BS640" s="18"/>
      <c r="BT640" s="18"/>
      <c r="BU640" s="18"/>
      <c r="BV640" s="18"/>
    </row>
    <row r="641" spans="1:74">
      <c r="A641" s="18"/>
      <c r="B641" s="19"/>
      <c r="BG641" s="18"/>
      <c r="BH641" s="18"/>
      <c r="BI641" s="18"/>
      <c r="BJ641" s="18"/>
      <c r="BK641" s="18"/>
      <c r="BL641" s="18"/>
      <c r="BM641" s="18"/>
      <c r="BN641" s="18"/>
      <c r="BO641" s="18"/>
      <c r="BP641" s="18"/>
      <c r="BQ641" s="18"/>
      <c r="BR641" s="18"/>
      <c r="BS641" s="18"/>
      <c r="BT641" s="18"/>
      <c r="BU641" s="18"/>
      <c r="BV641" s="18"/>
    </row>
    <row r="642" spans="1:74">
      <c r="A642" s="18"/>
      <c r="B642" s="19"/>
      <c r="BG642" s="18"/>
      <c r="BH642" s="18"/>
      <c r="BI642" s="18"/>
      <c r="BJ642" s="18"/>
      <c r="BK642" s="18"/>
      <c r="BL642" s="18"/>
      <c r="BM642" s="18"/>
      <c r="BN642" s="18"/>
      <c r="BO642" s="18"/>
      <c r="BP642" s="18"/>
      <c r="BQ642" s="18"/>
      <c r="BR642" s="18"/>
      <c r="BS642" s="18"/>
      <c r="BT642" s="18"/>
      <c r="BU642" s="18"/>
      <c r="BV642" s="18"/>
    </row>
    <row r="643" spans="1:74">
      <c r="A643" s="18"/>
      <c r="B643" s="19"/>
      <c r="BG643" s="18"/>
      <c r="BH643" s="18"/>
      <c r="BI643" s="18"/>
      <c r="BJ643" s="18"/>
      <c r="BK643" s="18"/>
      <c r="BL643" s="18"/>
      <c r="BM643" s="18"/>
      <c r="BN643" s="18"/>
      <c r="BO643" s="18"/>
      <c r="BP643" s="18"/>
      <c r="BQ643" s="18"/>
      <c r="BR643" s="18"/>
      <c r="BS643" s="18"/>
      <c r="BT643" s="18"/>
      <c r="BU643" s="18"/>
      <c r="BV643" s="18"/>
    </row>
    <row r="644" spans="1:74">
      <c r="A644" s="18"/>
      <c r="B644" s="19"/>
      <c r="BG644" s="18"/>
      <c r="BH644" s="18"/>
      <c r="BI644" s="18"/>
      <c r="BJ644" s="18"/>
      <c r="BK644" s="18"/>
      <c r="BL644" s="18"/>
      <c r="BM644" s="18"/>
      <c r="BN644" s="18"/>
      <c r="BO644" s="18"/>
      <c r="BP644" s="18"/>
      <c r="BQ644" s="18"/>
      <c r="BR644" s="18"/>
      <c r="BS644" s="18"/>
      <c r="BT644" s="18"/>
      <c r="BU644" s="18"/>
      <c r="BV644" s="18"/>
    </row>
    <row r="645" spans="1:74">
      <c r="A645" s="18"/>
      <c r="B645" s="19"/>
      <c r="BG645" s="18"/>
      <c r="BH645" s="18"/>
      <c r="BI645" s="18"/>
      <c r="BJ645" s="18"/>
      <c r="BK645" s="18"/>
      <c r="BL645" s="18"/>
      <c r="BM645" s="18"/>
      <c r="BN645" s="18"/>
      <c r="BO645" s="18"/>
      <c r="BP645" s="18"/>
      <c r="BQ645" s="18"/>
      <c r="BR645" s="18"/>
      <c r="BS645" s="18"/>
      <c r="BT645" s="18"/>
      <c r="BU645" s="18"/>
      <c r="BV645" s="18"/>
    </row>
    <row r="646" spans="1:74">
      <c r="A646" s="18"/>
      <c r="B646" s="19"/>
      <c r="BG646" s="18"/>
      <c r="BH646" s="18"/>
      <c r="BI646" s="18"/>
      <c r="BJ646" s="18"/>
      <c r="BK646" s="18"/>
      <c r="BL646" s="18"/>
      <c r="BM646" s="18"/>
      <c r="BN646" s="18"/>
      <c r="BO646" s="18"/>
      <c r="BP646" s="18"/>
      <c r="BQ646" s="18"/>
      <c r="BR646" s="18"/>
      <c r="BS646" s="18"/>
      <c r="BT646" s="18"/>
      <c r="BU646" s="18"/>
      <c r="BV646" s="18"/>
    </row>
    <row r="647" spans="1:74">
      <c r="A647" s="18"/>
      <c r="B647" s="19"/>
      <c r="BG647" s="18"/>
      <c r="BH647" s="18"/>
      <c r="BI647" s="18"/>
      <c r="BJ647" s="18"/>
      <c r="BK647" s="18"/>
      <c r="BL647" s="18"/>
      <c r="BM647" s="18"/>
      <c r="BN647" s="18"/>
      <c r="BO647" s="18"/>
      <c r="BP647" s="18"/>
      <c r="BQ647" s="18"/>
      <c r="BR647" s="18"/>
      <c r="BS647" s="18"/>
      <c r="BT647" s="18"/>
      <c r="BU647" s="18"/>
      <c r="BV647" s="18"/>
    </row>
    <row r="648" spans="1:74">
      <c r="A648" s="18"/>
      <c r="B648" s="19"/>
      <c r="BG648" s="18"/>
      <c r="BH648" s="18"/>
      <c r="BI648" s="18"/>
      <c r="BJ648" s="18"/>
      <c r="BK648" s="18"/>
      <c r="BL648" s="18"/>
      <c r="BM648" s="18"/>
      <c r="BN648" s="18"/>
      <c r="BO648" s="18"/>
      <c r="BP648" s="18"/>
      <c r="BQ648" s="18"/>
      <c r="BR648" s="18"/>
      <c r="BS648" s="18"/>
      <c r="BT648" s="18"/>
      <c r="BU648" s="18"/>
      <c r="BV648" s="18"/>
    </row>
    <row r="649" spans="1:74">
      <c r="A649" s="18"/>
      <c r="B649" s="19"/>
      <c r="BG649" s="18"/>
      <c r="BH649" s="18"/>
      <c r="BI649" s="18"/>
      <c r="BJ649" s="18"/>
      <c r="BK649" s="18"/>
      <c r="BL649" s="18"/>
      <c r="BM649" s="18"/>
      <c r="BN649" s="18"/>
      <c r="BO649" s="18"/>
      <c r="BP649" s="18"/>
      <c r="BQ649" s="18"/>
      <c r="BR649" s="18"/>
      <c r="BS649" s="18"/>
      <c r="BT649" s="18"/>
      <c r="BU649" s="18"/>
      <c r="BV649" s="18"/>
    </row>
    <row r="650" spans="1:74">
      <c r="A650" s="18"/>
      <c r="B650" s="19"/>
      <c r="BG650" s="18"/>
      <c r="BH650" s="18"/>
      <c r="BI650" s="18"/>
      <c r="BJ650" s="18"/>
      <c r="BK650" s="18"/>
      <c r="BL650" s="18"/>
      <c r="BM650" s="18"/>
      <c r="BN650" s="18"/>
      <c r="BO650" s="18"/>
      <c r="BP650" s="18"/>
      <c r="BQ650" s="18"/>
      <c r="BR650" s="18"/>
      <c r="BS650" s="18"/>
      <c r="BT650" s="18"/>
      <c r="BU650" s="18"/>
      <c r="BV650" s="18"/>
    </row>
    <row r="651" spans="1:74">
      <c r="A651" s="18"/>
      <c r="B651" s="19"/>
      <c r="BG651" s="18"/>
      <c r="BH651" s="18"/>
      <c r="BI651" s="18"/>
      <c r="BJ651" s="18"/>
      <c r="BK651" s="18"/>
      <c r="BL651" s="18"/>
      <c r="BM651" s="18"/>
      <c r="BN651" s="18"/>
      <c r="BO651" s="18"/>
      <c r="BP651" s="18"/>
      <c r="BQ651" s="18"/>
      <c r="BR651" s="18"/>
      <c r="BS651" s="18"/>
      <c r="BT651" s="18"/>
      <c r="BU651" s="18"/>
      <c r="BV651" s="18"/>
    </row>
    <row r="652" spans="1:74">
      <c r="A652" s="18"/>
      <c r="B652" s="19"/>
      <c r="BG652" s="18"/>
      <c r="BH652" s="18"/>
      <c r="BI652" s="18"/>
      <c r="BJ652" s="18"/>
      <c r="BK652" s="18"/>
      <c r="BL652" s="18"/>
      <c r="BM652" s="18"/>
      <c r="BN652" s="18"/>
      <c r="BO652" s="18"/>
      <c r="BP652" s="18"/>
      <c r="BQ652" s="18"/>
      <c r="BR652" s="18"/>
      <c r="BS652" s="18"/>
      <c r="BT652" s="18"/>
      <c r="BU652" s="18"/>
      <c r="BV652" s="18"/>
    </row>
    <row r="653" spans="1:74">
      <c r="A653" s="18"/>
      <c r="B653" s="19"/>
      <c r="BG653" s="18"/>
      <c r="BH653" s="18"/>
      <c r="BI653" s="18"/>
      <c r="BJ653" s="18"/>
      <c r="BK653" s="18"/>
      <c r="BL653" s="18"/>
      <c r="BM653" s="18"/>
      <c r="BN653" s="18"/>
      <c r="BO653" s="18"/>
      <c r="BP653" s="18"/>
      <c r="BQ653" s="18"/>
      <c r="BR653" s="18"/>
      <c r="BS653" s="18"/>
      <c r="BT653" s="18"/>
      <c r="BU653" s="18"/>
      <c r="BV653" s="18"/>
    </row>
    <row r="654" spans="1:74">
      <c r="A654" s="18"/>
      <c r="B654" s="19"/>
      <c r="BG654" s="18"/>
      <c r="BH654" s="18"/>
      <c r="BI654" s="18"/>
      <c r="BJ654" s="18"/>
      <c r="BK654" s="18"/>
      <c r="BL654" s="18"/>
      <c r="BM654" s="18"/>
      <c r="BN654" s="18"/>
      <c r="BO654" s="18"/>
      <c r="BP654" s="18"/>
      <c r="BQ654" s="18"/>
      <c r="BR654" s="18"/>
      <c r="BS654" s="18"/>
      <c r="BT654" s="18"/>
      <c r="BU654" s="18"/>
      <c r="BV654" s="18"/>
    </row>
    <row r="655" spans="1:74">
      <c r="A655" s="18"/>
      <c r="B655" s="19"/>
      <c r="BG655" s="18"/>
      <c r="BH655" s="18"/>
      <c r="BI655" s="18"/>
      <c r="BJ655" s="18"/>
      <c r="BK655" s="18"/>
      <c r="BL655" s="18"/>
      <c r="BM655" s="18"/>
      <c r="BN655" s="18"/>
      <c r="BO655" s="18"/>
      <c r="BP655" s="18"/>
      <c r="BQ655" s="18"/>
      <c r="BR655" s="18"/>
      <c r="BS655" s="18"/>
      <c r="BT655" s="18"/>
      <c r="BU655" s="18"/>
      <c r="BV655" s="18"/>
    </row>
    <row r="656" spans="1:74">
      <c r="A656" s="18"/>
      <c r="B656" s="19"/>
      <c r="BG656" s="18"/>
      <c r="BH656" s="18"/>
      <c r="BI656" s="18"/>
      <c r="BJ656" s="18"/>
      <c r="BK656" s="18"/>
      <c r="BL656" s="18"/>
      <c r="BM656" s="18"/>
      <c r="BN656" s="18"/>
      <c r="BO656" s="18"/>
      <c r="BP656" s="18"/>
      <c r="BQ656" s="18"/>
      <c r="BR656" s="18"/>
      <c r="BS656" s="18"/>
      <c r="BT656" s="18"/>
      <c r="BU656" s="18"/>
      <c r="BV656" s="18"/>
    </row>
    <row r="657" spans="1:74">
      <c r="A657" s="18"/>
      <c r="B657" s="19"/>
      <c r="BG657" s="18"/>
      <c r="BH657" s="18"/>
      <c r="BI657" s="18"/>
      <c r="BJ657" s="18"/>
      <c r="BK657" s="18"/>
      <c r="BL657" s="18"/>
      <c r="BM657" s="18"/>
      <c r="BN657" s="18"/>
      <c r="BO657" s="18"/>
      <c r="BP657" s="18"/>
      <c r="BQ657" s="18"/>
      <c r="BR657" s="18"/>
      <c r="BS657" s="18"/>
      <c r="BT657" s="18"/>
      <c r="BU657" s="18"/>
      <c r="BV657" s="18"/>
    </row>
    <row r="658" spans="1:74">
      <c r="A658" s="18"/>
      <c r="B658" s="19"/>
      <c r="BG658" s="18"/>
      <c r="BH658" s="18"/>
      <c r="BI658" s="18"/>
      <c r="BJ658" s="18"/>
      <c r="BK658" s="18"/>
      <c r="BL658" s="18"/>
      <c r="BM658" s="18"/>
      <c r="BN658" s="18"/>
      <c r="BO658" s="18"/>
      <c r="BP658" s="18"/>
      <c r="BQ658" s="18"/>
      <c r="BR658" s="18"/>
      <c r="BS658" s="18"/>
      <c r="BT658" s="18"/>
      <c r="BU658" s="18"/>
      <c r="BV658" s="18"/>
    </row>
    <row r="659" spans="1:74">
      <c r="A659" s="18"/>
      <c r="B659" s="19"/>
      <c r="BG659" s="18"/>
      <c r="BH659" s="18"/>
      <c r="BI659" s="18"/>
      <c r="BJ659" s="18"/>
      <c r="BK659" s="18"/>
      <c r="BL659" s="18"/>
      <c r="BM659" s="18"/>
      <c r="BN659" s="18"/>
      <c r="BO659" s="18"/>
      <c r="BP659" s="18"/>
      <c r="BQ659" s="18"/>
      <c r="BR659" s="18"/>
      <c r="BS659" s="18"/>
      <c r="BT659" s="18"/>
      <c r="BU659" s="18"/>
      <c r="BV659" s="18"/>
    </row>
    <row r="660" spans="1:74">
      <c r="A660" s="18"/>
      <c r="B660" s="19"/>
      <c r="BG660" s="18"/>
      <c r="BH660" s="18"/>
      <c r="BI660" s="18"/>
      <c r="BJ660" s="18"/>
      <c r="BK660" s="18"/>
      <c r="BL660" s="18"/>
      <c r="BM660" s="18"/>
      <c r="BN660" s="18"/>
      <c r="BO660" s="18"/>
      <c r="BP660" s="18"/>
      <c r="BQ660" s="18"/>
      <c r="BR660" s="18"/>
      <c r="BS660" s="18"/>
      <c r="BT660" s="18"/>
      <c r="BU660" s="18"/>
      <c r="BV660" s="18"/>
    </row>
    <row r="661" spans="1:74">
      <c r="A661" s="18"/>
      <c r="B661" s="19"/>
      <c r="BG661" s="18"/>
      <c r="BH661" s="18"/>
      <c r="BI661" s="18"/>
      <c r="BJ661" s="18"/>
      <c r="BK661" s="18"/>
      <c r="BL661" s="18"/>
      <c r="BM661" s="18"/>
      <c r="BN661" s="18"/>
      <c r="BO661" s="18"/>
      <c r="BP661" s="18"/>
      <c r="BQ661" s="18"/>
      <c r="BR661" s="18"/>
      <c r="BS661" s="18"/>
      <c r="BT661" s="18"/>
      <c r="BU661" s="18"/>
      <c r="BV661" s="18"/>
    </row>
    <row r="662" spans="1:74">
      <c r="A662" s="18"/>
      <c r="B662" s="19"/>
      <c r="BG662" s="18"/>
      <c r="BH662" s="18"/>
      <c r="BI662" s="18"/>
      <c r="BJ662" s="18"/>
      <c r="BK662" s="18"/>
      <c r="BL662" s="18"/>
      <c r="BM662" s="18"/>
      <c r="BN662" s="18"/>
      <c r="BO662" s="18"/>
      <c r="BP662" s="18"/>
      <c r="BQ662" s="18"/>
      <c r="BR662" s="18"/>
      <c r="BS662" s="18"/>
      <c r="BT662" s="18"/>
      <c r="BU662" s="18"/>
      <c r="BV662" s="18"/>
    </row>
    <row r="663" spans="1:74">
      <c r="A663" s="18"/>
      <c r="B663" s="19"/>
      <c r="BG663" s="18"/>
      <c r="BH663" s="18"/>
      <c r="BI663" s="18"/>
      <c r="BJ663" s="18"/>
      <c r="BK663" s="18"/>
      <c r="BL663" s="18"/>
      <c r="BM663" s="18"/>
      <c r="BN663" s="18"/>
      <c r="BO663" s="18"/>
      <c r="BP663" s="18"/>
      <c r="BQ663" s="18"/>
      <c r="BR663" s="18"/>
      <c r="BS663" s="18"/>
      <c r="BT663" s="18"/>
      <c r="BU663" s="18"/>
      <c r="BV663" s="18"/>
    </row>
    <row r="664" spans="1:74">
      <c r="A664" s="18"/>
      <c r="B664" s="19"/>
      <c r="BG664" s="18"/>
      <c r="BH664" s="18"/>
      <c r="BI664" s="18"/>
      <c r="BJ664" s="18"/>
      <c r="BK664" s="18"/>
      <c r="BL664" s="18"/>
      <c r="BM664" s="18"/>
      <c r="BN664" s="18"/>
      <c r="BO664" s="18"/>
      <c r="BP664" s="18"/>
      <c r="BQ664" s="18"/>
      <c r="BR664" s="18"/>
      <c r="BS664" s="18"/>
      <c r="BT664" s="18"/>
      <c r="BU664" s="18"/>
      <c r="BV664" s="18"/>
    </row>
    <row r="665" spans="1:74">
      <c r="A665" s="18"/>
      <c r="B665" s="19"/>
      <c r="BG665" s="18"/>
      <c r="BH665" s="18"/>
      <c r="BI665" s="18"/>
      <c r="BJ665" s="18"/>
      <c r="BK665" s="18"/>
      <c r="BL665" s="18"/>
      <c r="BM665" s="18"/>
      <c r="BN665" s="18"/>
      <c r="BO665" s="18"/>
      <c r="BP665" s="18"/>
      <c r="BQ665" s="18"/>
      <c r="BR665" s="18"/>
      <c r="BS665" s="18"/>
      <c r="BT665" s="18"/>
      <c r="BU665" s="18"/>
      <c r="BV665" s="18"/>
    </row>
    <row r="666" spans="1:74">
      <c r="A666" s="18"/>
      <c r="B666" s="19"/>
      <c r="BG666" s="18"/>
      <c r="BH666" s="18"/>
      <c r="BI666" s="18"/>
      <c r="BJ666" s="18"/>
      <c r="BK666" s="18"/>
      <c r="BL666" s="18"/>
      <c r="BM666" s="18"/>
      <c r="BN666" s="18"/>
      <c r="BO666" s="18"/>
      <c r="BP666" s="18"/>
      <c r="BQ666" s="18"/>
      <c r="BR666" s="18"/>
      <c r="BS666" s="18"/>
      <c r="BT666" s="18"/>
      <c r="BU666" s="18"/>
      <c r="BV666" s="18"/>
    </row>
    <row r="667" spans="1:74">
      <c r="A667" s="18"/>
      <c r="B667" s="19"/>
      <c r="BG667" s="18"/>
      <c r="BH667" s="18"/>
      <c r="BI667" s="18"/>
      <c r="BJ667" s="18"/>
      <c r="BK667" s="18"/>
      <c r="BL667" s="18"/>
      <c r="BM667" s="18"/>
      <c r="BN667" s="18"/>
      <c r="BO667" s="18"/>
      <c r="BP667" s="18"/>
      <c r="BQ667" s="18"/>
      <c r="BR667" s="18"/>
      <c r="BS667" s="18"/>
      <c r="BT667" s="18"/>
      <c r="BU667" s="18"/>
      <c r="BV667" s="18"/>
    </row>
    <row r="668" spans="1:74">
      <c r="A668" s="18"/>
      <c r="B668" s="19"/>
      <c r="BG668" s="18"/>
      <c r="BH668" s="18"/>
      <c r="BI668" s="18"/>
      <c r="BJ668" s="18"/>
      <c r="BK668" s="18"/>
      <c r="BL668" s="18"/>
      <c r="BM668" s="18"/>
      <c r="BN668" s="18"/>
      <c r="BO668" s="18"/>
      <c r="BP668" s="18"/>
      <c r="BQ668" s="18"/>
      <c r="BR668" s="18"/>
      <c r="BS668" s="18"/>
      <c r="BT668" s="18"/>
      <c r="BU668" s="18"/>
      <c r="BV668" s="18"/>
    </row>
    <row r="669" spans="1:74">
      <c r="A669" s="18"/>
      <c r="B669" s="19"/>
      <c r="BG669" s="18"/>
      <c r="BH669" s="18"/>
      <c r="BI669" s="18"/>
      <c r="BJ669" s="18"/>
      <c r="BK669" s="18"/>
      <c r="BL669" s="18"/>
      <c r="BM669" s="18"/>
      <c r="BN669" s="18"/>
      <c r="BO669" s="18"/>
      <c r="BP669" s="18"/>
      <c r="BQ669" s="18"/>
      <c r="BR669" s="18"/>
      <c r="BS669" s="18"/>
      <c r="BT669" s="18"/>
      <c r="BU669" s="18"/>
      <c r="BV669" s="18"/>
    </row>
    <row r="670" spans="1:74">
      <c r="A670" s="18"/>
      <c r="B670" s="19"/>
      <c r="BG670" s="18"/>
      <c r="BH670" s="18"/>
      <c r="BI670" s="18"/>
      <c r="BJ670" s="18"/>
      <c r="BK670" s="18"/>
      <c r="BL670" s="18"/>
      <c r="BM670" s="18"/>
      <c r="BN670" s="18"/>
      <c r="BO670" s="18"/>
      <c r="BP670" s="18"/>
      <c r="BQ670" s="18"/>
      <c r="BR670" s="18"/>
      <c r="BS670" s="18"/>
      <c r="BT670" s="18"/>
      <c r="BU670" s="18"/>
      <c r="BV670" s="18"/>
    </row>
    <row r="671" spans="1:74">
      <c r="A671" s="18"/>
      <c r="B671" s="19"/>
      <c r="BG671" s="18"/>
      <c r="BH671" s="18"/>
      <c r="BI671" s="18"/>
      <c r="BJ671" s="18"/>
      <c r="BK671" s="18"/>
      <c r="BL671" s="18"/>
      <c r="BM671" s="18"/>
      <c r="BN671" s="18"/>
      <c r="BO671" s="18"/>
      <c r="BP671" s="18"/>
      <c r="BQ671" s="18"/>
      <c r="BR671" s="18"/>
      <c r="BS671" s="18"/>
      <c r="BT671" s="18"/>
      <c r="BU671" s="18"/>
      <c r="BV671" s="18"/>
    </row>
    <row r="672" spans="1:74">
      <c r="A672" s="18"/>
      <c r="B672" s="19"/>
      <c r="BG672" s="18"/>
      <c r="BH672" s="18"/>
      <c r="BI672" s="18"/>
      <c r="BJ672" s="18"/>
      <c r="BK672" s="18"/>
      <c r="BL672" s="18"/>
      <c r="BM672" s="18"/>
      <c r="BN672" s="18"/>
      <c r="BO672" s="18"/>
      <c r="BP672" s="18"/>
      <c r="BQ672" s="18"/>
      <c r="BR672" s="18"/>
      <c r="BS672" s="18"/>
      <c r="BT672" s="18"/>
      <c r="BU672" s="18"/>
      <c r="BV672" s="18"/>
    </row>
    <row r="673" spans="1:74">
      <c r="A673" s="18"/>
      <c r="B673" s="19"/>
      <c r="BG673" s="18"/>
      <c r="BH673" s="18"/>
      <c r="BI673" s="18"/>
      <c r="BJ673" s="18"/>
      <c r="BK673" s="18"/>
      <c r="BL673" s="18"/>
      <c r="BM673" s="18"/>
      <c r="BN673" s="18"/>
      <c r="BO673" s="18"/>
      <c r="BP673" s="18"/>
      <c r="BQ673" s="18"/>
      <c r="BR673" s="18"/>
      <c r="BS673" s="18"/>
      <c r="BT673" s="18"/>
      <c r="BU673" s="18"/>
      <c r="BV673" s="18"/>
    </row>
    <row r="674" spans="1:74">
      <c r="A674" s="18"/>
      <c r="B674" s="19"/>
      <c r="BG674" s="18"/>
      <c r="BH674" s="18"/>
      <c r="BI674" s="18"/>
      <c r="BJ674" s="18"/>
      <c r="BK674" s="18"/>
      <c r="BL674" s="18"/>
      <c r="BM674" s="18"/>
      <c r="BN674" s="18"/>
      <c r="BO674" s="18"/>
      <c r="BP674" s="18"/>
      <c r="BQ674" s="18"/>
      <c r="BR674" s="18"/>
      <c r="BS674" s="18"/>
      <c r="BT674" s="18"/>
      <c r="BU674" s="18"/>
      <c r="BV674" s="18"/>
    </row>
    <row r="675" spans="1:74">
      <c r="A675" s="18"/>
      <c r="B675" s="19"/>
      <c r="BG675" s="18"/>
      <c r="BH675" s="18"/>
      <c r="BI675" s="18"/>
      <c r="BJ675" s="18"/>
      <c r="BK675" s="18"/>
      <c r="BL675" s="18"/>
      <c r="BM675" s="18"/>
      <c r="BN675" s="18"/>
      <c r="BO675" s="18"/>
      <c r="BP675" s="18"/>
      <c r="BQ675" s="18"/>
      <c r="BR675" s="18"/>
      <c r="BS675" s="18"/>
      <c r="BT675" s="18"/>
      <c r="BU675" s="18"/>
      <c r="BV675" s="18"/>
    </row>
    <row r="676" spans="1:74">
      <c r="A676" s="18"/>
      <c r="B676" s="19"/>
      <c r="BG676" s="18"/>
      <c r="BH676" s="18"/>
      <c r="BI676" s="18"/>
      <c r="BJ676" s="18"/>
      <c r="BK676" s="18"/>
      <c r="BL676" s="18"/>
      <c r="BM676" s="18"/>
      <c r="BN676" s="18"/>
      <c r="BO676" s="18"/>
      <c r="BP676" s="18"/>
      <c r="BQ676" s="18"/>
      <c r="BR676" s="18"/>
      <c r="BS676" s="18"/>
      <c r="BT676" s="18"/>
      <c r="BU676" s="18"/>
      <c r="BV676" s="18"/>
    </row>
    <row r="677" spans="1:74">
      <c r="A677" s="18"/>
      <c r="B677" s="19"/>
      <c r="BG677" s="18"/>
      <c r="BH677" s="18"/>
      <c r="BI677" s="18"/>
      <c r="BJ677" s="18"/>
      <c r="BK677" s="18"/>
      <c r="BL677" s="18"/>
      <c r="BM677" s="18"/>
      <c r="BN677" s="18"/>
      <c r="BO677" s="18"/>
      <c r="BP677" s="18"/>
      <c r="BQ677" s="18"/>
      <c r="BR677" s="18"/>
      <c r="BS677" s="18"/>
      <c r="BT677" s="18"/>
      <c r="BU677" s="18"/>
      <c r="BV677" s="18"/>
    </row>
    <row r="678" spans="1:74">
      <c r="A678" s="18"/>
      <c r="B678" s="19"/>
      <c r="BG678" s="18"/>
      <c r="BH678" s="18"/>
      <c r="BI678" s="18"/>
      <c r="BJ678" s="18"/>
      <c r="BK678" s="18"/>
      <c r="BL678" s="18"/>
      <c r="BM678" s="18"/>
      <c r="BN678" s="18"/>
      <c r="BO678" s="18"/>
      <c r="BP678" s="18"/>
      <c r="BQ678" s="18"/>
      <c r="BR678" s="18"/>
      <c r="BS678" s="18"/>
      <c r="BT678" s="18"/>
      <c r="BU678" s="18"/>
      <c r="BV678" s="18"/>
    </row>
    <row r="679" spans="1:74">
      <c r="A679" s="18"/>
      <c r="B679" s="19"/>
      <c r="BG679" s="18"/>
      <c r="BH679" s="18"/>
      <c r="BI679" s="18"/>
      <c r="BJ679" s="18"/>
      <c r="BK679" s="18"/>
      <c r="BL679" s="18"/>
      <c r="BM679" s="18"/>
      <c r="BN679" s="18"/>
      <c r="BO679" s="18"/>
      <c r="BP679" s="18"/>
      <c r="BQ679" s="18"/>
      <c r="BR679" s="18"/>
      <c r="BS679" s="18"/>
      <c r="BT679" s="18"/>
      <c r="BU679" s="18"/>
      <c r="BV679" s="18"/>
    </row>
    <row r="680" spans="1:74">
      <c r="A680" s="18"/>
      <c r="B680" s="19"/>
      <c r="BG680" s="18"/>
      <c r="BH680" s="18"/>
      <c r="BI680" s="18"/>
      <c r="BJ680" s="18"/>
      <c r="BK680" s="18"/>
      <c r="BL680" s="18"/>
      <c r="BM680" s="18"/>
      <c r="BN680" s="18"/>
      <c r="BO680" s="18"/>
      <c r="BP680" s="18"/>
      <c r="BQ680" s="18"/>
      <c r="BR680" s="18"/>
      <c r="BS680" s="18"/>
      <c r="BT680" s="18"/>
      <c r="BU680" s="18"/>
      <c r="BV680" s="18"/>
    </row>
    <row r="681" spans="1:74">
      <c r="A681" s="18"/>
      <c r="B681" s="19"/>
      <c r="BG681" s="18"/>
      <c r="BH681" s="18"/>
      <c r="BI681" s="18"/>
      <c r="BJ681" s="18"/>
      <c r="BK681" s="18"/>
      <c r="BL681" s="18"/>
      <c r="BM681" s="18"/>
      <c r="BN681" s="18"/>
      <c r="BO681" s="18"/>
      <c r="BP681" s="18"/>
      <c r="BQ681" s="18"/>
      <c r="BR681" s="18"/>
      <c r="BS681" s="18"/>
      <c r="BT681" s="18"/>
      <c r="BU681" s="18"/>
      <c r="BV681" s="18"/>
    </row>
    <row r="682" spans="1:74">
      <c r="A682" s="18"/>
      <c r="B682" s="19"/>
      <c r="BG682" s="18"/>
      <c r="BH682" s="18"/>
      <c r="BI682" s="18"/>
      <c r="BJ682" s="18"/>
      <c r="BK682" s="18"/>
      <c r="BL682" s="18"/>
      <c r="BM682" s="18"/>
      <c r="BN682" s="18"/>
      <c r="BO682" s="18"/>
      <c r="BP682" s="18"/>
      <c r="BQ682" s="18"/>
      <c r="BR682" s="18"/>
      <c r="BS682" s="18"/>
      <c r="BT682" s="18"/>
      <c r="BU682" s="18"/>
      <c r="BV682" s="18"/>
    </row>
    <row r="683" spans="1:74">
      <c r="A683" s="18"/>
      <c r="B683" s="19"/>
      <c r="BG683" s="18"/>
      <c r="BH683" s="18"/>
      <c r="BI683" s="18"/>
      <c r="BJ683" s="18"/>
      <c r="BK683" s="18"/>
      <c r="BL683" s="18"/>
      <c r="BM683" s="18"/>
      <c r="BN683" s="18"/>
      <c r="BO683" s="18"/>
      <c r="BP683" s="18"/>
      <c r="BQ683" s="18"/>
      <c r="BR683" s="18"/>
      <c r="BS683" s="18"/>
      <c r="BT683" s="18"/>
      <c r="BU683" s="18"/>
      <c r="BV683" s="18"/>
    </row>
    <row r="684" spans="1:74">
      <c r="A684" s="18"/>
      <c r="B684" s="19"/>
      <c r="BG684" s="18"/>
      <c r="BH684" s="18"/>
      <c r="BI684" s="18"/>
      <c r="BJ684" s="18"/>
      <c r="BK684" s="18"/>
      <c r="BL684" s="18"/>
      <c r="BM684" s="18"/>
      <c r="BN684" s="18"/>
      <c r="BO684" s="18"/>
      <c r="BP684" s="18"/>
      <c r="BQ684" s="18"/>
      <c r="BR684" s="18"/>
      <c r="BS684" s="18"/>
      <c r="BT684" s="18"/>
      <c r="BU684" s="18"/>
      <c r="BV684" s="18"/>
    </row>
    <row r="685" spans="1:74">
      <c r="A685" s="18"/>
      <c r="B685" s="19"/>
      <c r="BG685" s="18"/>
      <c r="BH685" s="18"/>
      <c r="BI685" s="18"/>
      <c r="BJ685" s="18"/>
      <c r="BK685" s="18"/>
      <c r="BL685" s="18"/>
      <c r="BM685" s="18"/>
      <c r="BN685" s="18"/>
      <c r="BO685" s="18"/>
      <c r="BP685" s="18"/>
      <c r="BQ685" s="18"/>
      <c r="BR685" s="18"/>
      <c r="BS685" s="18"/>
      <c r="BT685" s="18"/>
      <c r="BU685" s="18"/>
      <c r="BV685" s="18"/>
    </row>
    <row r="686" spans="1:74">
      <c r="A686" s="18"/>
      <c r="B686" s="19"/>
      <c r="BG686" s="18"/>
      <c r="BH686" s="18"/>
      <c r="BI686" s="18"/>
      <c r="BJ686" s="18"/>
      <c r="BK686" s="18"/>
      <c r="BL686" s="18"/>
      <c r="BM686" s="18"/>
      <c r="BN686" s="18"/>
      <c r="BO686" s="18"/>
      <c r="BP686" s="18"/>
      <c r="BQ686" s="18"/>
      <c r="BR686" s="18"/>
      <c r="BS686" s="18"/>
      <c r="BT686" s="18"/>
      <c r="BU686" s="18"/>
      <c r="BV686" s="18"/>
    </row>
    <row r="687" spans="1:74">
      <c r="A687" s="18"/>
      <c r="B687" s="19"/>
      <c r="BG687" s="18"/>
      <c r="BH687" s="18"/>
      <c r="BI687" s="18"/>
      <c r="BJ687" s="18"/>
      <c r="BK687" s="18"/>
      <c r="BL687" s="18"/>
      <c r="BM687" s="18"/>
      <c r="BN687" s="18"/>
      <c r="BO687" s="18"/>
      <c r="BP687" s="18"/>
      <c r="BQ687" s="18"/>
      <c r="BR687" s="18"/>
      <c r="BS687" s="18"/>
      <c r="BT687" s="18"/>
      <c r="BU687" s="18"/>
      <c r="BV687" s="18"/>
    </row>
    <row r="688" spans="1:74">
      <c r="A688" s="18"/>
      <c r="B688" s="19"/>
      <c r="BG688" s="18"/>
      <c r="BH688" s="18"/>
      <c r="BI688" s="18"/>
      <c r="BJ688" s="18"/>
      <c r="BK688" s="18"/>
      <c r="BL688" s="18"/>
      <c r="BM688" s="18"/>
      <c r="BN688" s="18"/>
      <c r="BO688" s="18"/>
      <c r="BP688" s="18"/>
      <c r="BQ688" s="18"/>
      <c r="BR688" s="18"/>
      <c r="BS688" s="18"/>
      <c r="BT688" s="18"/>
      <c r="BU688" s="18"/>
      <c r="BV688" s="18"/>
    </row>
    <row r="689" spans="1:74">
      <c r="A689" s="18"/>
      <c r="B689" s="19"/>
      <c r="BG689" s="18"/>
      <c r="BH689" s="18"/>
      <c r="BI689" s="18"/>
      <c r="BJ689" s="18"/>
      <c r="BK689" s="18"/>
      <c r="BL689" s="18"/>
      <c r="BM689" s="18"/>
      <c r="BN689" s="18"/>
      <c r="BO689" s="18"/>
      <c r="BP689" s="18"/>
      <c r="BQ689" s="18"/>
      <c r="BR689" s="18"/>
      <c r="BS689" s="18"/>
      <c r="BT689" s="18"/>
      <c r="BU689" s="18"/>
      <c r="BV689" s="18"/>
    </row>
    <row r="690" spans="1:74">
      <c r="A690" s="18"/>
      <c r="B690" s="19"/>
      <c r="BG690" s="18"/>
      <c r="BH690" s="18"/>
      <c r="BI690" s="18"/>
      <c r="BJ690" s="18"/>
      <c r="BK690" s="18"/>
      <c r="BL690" s="18"/>
      <c r="BM690" s="18"/>
      <c r="BN690" s="18"/>
      <c r="BO690" s="18"/>
      <c r="BP690" s="18"/>
      <c r="BQ690" s="18"/>
      <c r="BR690" s="18"/>
      <c r="BS690" s="18"/>
      <c r="BT690" s="18"/>
      <c r="BU690" s="18"/>
      <c r="BV690" s="18"/>
    </row>
    <row r="691" spans="1:74">
      <c r="A691" s="18"/>
      <c r="B691" s="19"/>
      <c r="BG691" s="18"/>
      <c r="BH691" s="18"/>
      <c r="BI691" s="18"/>
      <c r="BJ691" s="18"/>
      <c r="BK691" s="18"/>
      <c r="BL691" s="18"/>
      <c r="BM691" s="18"/>
      <c r="BN691" s="18"/>
      <c r="BO691" s="18"/>
      <c r="BP691" s="18"/>
      <c r="BQ691" s="18"/>
      <c r="BR691" s="18"/>
      <c r="BS691" s="18"/>
      <c r="BT691" s="18"/>
      <c r="BU691" s="18"/>
      <c r="BV691" s="18"/>
    </row>
    <row r="692" spans="1:74">
      <c r="A692" s="18"/>
      <c r="B692" s="19"/>
      <c r="BG692" s="18"/>
      <c r="BH692" s="18"/>
      <c r="BI692" s="18"/>
      <c r="BJ692" s="18"/>
      <c r="BK692" s="18"/>
      <c r="BL692" s="18"/>
      <c r="BM692" s="18"/>
      <c r="BN692" s="18"/>
      <c r="BO692" s="18"/>
      <c r="BP692" s="18"/>
      <c r="BQ692" s="18"/>
      <c r="BR692" s="18"/>
      <c r="BS692" s="18"/>
      <c r="BT692" s="18"/>
      <c r="BU692" s="18"/>
      <c r="BV692" s="18"/>
    </row>
    <row r="693" spans="1:74">
      <c r="A693" s="18"/>
      <c r="B693" s="19"/>
      <c r="BG693" s="18"/>
      <c r="BH693" s="18"/>
      <c r="BI693" s="18"/>
      <c r="BJ693" s="18"/>
      <c r="BK693" s="18"/>
      <c r="BL693" s="18"/>
      <c r="BM693" s="18"/>
      <c r="BN693" s="18"/>
      <c r="BO693" s="18"/>
      <c r="BP693" s="18"/>
      <c r="BQ693" s="18"/>
      <c r="BR693" s="18"/>
      <c r="BS693" s="18"/>
      <c r="BT693" s="18"/>
      <c r="BU693" s="18"/>
      <c r="BV693" s="18"/>
    </row>
    <row r="694" spans="1:74">
      <c r="A694" s="18"/>
      <c r="B694" s="19"/>
      <c r="BG694" s="18"/>
      <c r="BH694" s="18"/>
      <c r="BI694" s="18"/>
      <c r="BJ694" s="18"/>
      <c r="BK694" s="18"/>
      <c r="BL694" s="18"/>
      <c r="BM694" s="18"/>
      <c r="BN694" s="18"/>
      <c r="BO694" s="18"/>
      <c r="BP694" s="18"/>
      <c r="BQ694" s="18"/>
      <c r="BR694" s="18"/>
      <c r="BS694" s="18"/>
      <c r="BT694" s="18"/>
      <c r="BU694" s="18"/>
      <c r="BV694" s="18"/>
    </row>
    <row r="695" spans="1:74">
      <c r="A695" s="18"/>
      <c r="B695" s="19"/>
      <c r="BG695" s="18"/>
      <c r="BH695" s="18"/>
      <c r="BI695" s="18"/>
      <c r="BJ695" s="18"/>
      <c r="BK695" s="18"/>
      <c r="BL695" s="18"/>
      <c r="BM695" s="18"/>
      <c r="BN695" s="18"/>
      <c r="BO695" s="18"/>
      <c r="BP695" s="18"/>
      <c r="BQ695" s="18"/>
      <c r="BR695" s="18"/>
      <c r="BS695" s="18"/>
      <c r="BT695" s="18"/>
      <c r="BU695" s="18"/>
      <c r="BV695" s="18"/>
    </row>
    <row r="696" spans="1:74">
      <c r="A696" s="18"/>
      <c r="B696" s="19"/>
      <c r="BG696" s="18"/>
      <c r="BH696" s="18"/>
      <c r="BI696" s="18"/>
      <c r="BJ696" s="18"/>
      <c r="BK696" s="18"/>
      <c r="BL696" s="18"/>
      <c r="BM696" s="18"/>
      <c r="BN696" s="18"/>
      <c r="BO696" s="18"/>
      <c r="BP696" s="18"/>
      <c r="BQ696" s="18"/>
      <c r="BR696" s="18"/>
      <c r="BS696" s="18"/>
      <c r="BT696" s="18"/>
      <c r="BU696" s="18"/>
      <c r="BV696" s="18"/>
    </row>
    <row r="697" spans="1:74">
      <c r="A697" s="18"/>
      <c r="B697" s="19"/>
      <c r="BG697" s="18"/>
      <c r="BH697" s="18"/>
      <c r="BI697" s="18"/>
      <c r="BJ697" s="18"/>
      <c r="BK697" s="18"/>
      <c r="BL697" s="18"/>
      <c r="BM697" s="18"/>
      <c r="BN697" s="18"/>
      <c r="BO697" s="18"/>
      <c r="BP697" s="18"/>
      <c r="BQ697" s="18"/>
      <c r="BR697" s="18"/>
      <c r="BS697" s="18"/>
      <c r="BT697" s="18"/>
      <c r="BU697" s="18"/>
      <c r="BV697" s="18"/>
    </row>
    <row r="698" spans="1:74">
      <c r="A698" s="18"/>
      <c r="B698" s="19"/>
      <c r="BG698" s="18"/>
      <c r="BH698" s="18"/>
      <c r="BI698" s="18"/>
      <c r="BJ698" s="18"/>
      <c r="BK698" s="18"/>
      <c r="BL698" s="18"/>
      <c r="BM698" s="18"/>
      <c r="BN698" s="18"/>
      <c r="BO698" s="18"/>
      <c r="BP698" s="18"/>
      <c r="BQ698" s="18"/>
      <c r="BR698" s="18"/>
      <c r="BS698" s="18"/>
      <c r="BT698" s="18"/>
      <c r="BU698" s="18"/>
      <c r="BV698" s="18"/>
    </row>
    <row r="699" spans="1:74">
      <c r="A699" s="18"/>
      <c r="B699" s="19"/>
      <c r="BG699" s="18"/>
      <c r="BH699" s="18"/>
      <c r="BI699" s="18"/>
      <c r="BJ699" s="18"/>
      <c r="BK699" s="18"/>
      <c r="BL699" s="18"/>
      <c r="BM699" s="18"/>
      <c r="BN699" s="18"/>
      <c r="BO699" s="18"/>
      <c r="BP699" s="18"/>
      <c r="BQ699" s="18"/>
      <c r="BR699" s="18"/>
      <c r="BS699" s="18"/>
      <c r="BT699" s="18"/>
      <c r="BU699" s="18"/>
      <c r="BV699" s="18"/>
    </row>
    <row r="700" spans="1:74">
      <c r="A700" s="18"/>
      <c r="B700" s="19"/>
      <c r="BG700" s="18"/>
      <c r="BH700" s="18"/>
      <c r="BI700" s="18"/>
      <c r="BJ700" s="18"/>
      <c r="BK700" s="18"/>
      <c r="BL700" s="18"/>
      <c r="BM700" s="18"/>
      <c r="BN700" s="18"/>
      <c r="BO700" s="18"/>
      <c r="BP700" s="18"/>
      <c r="BQ700" s="18"/>
      <c r="BR700" s="18"/>
      <c r="BS700" s="18"/>
      <c r="BT700" s="18"/>
      <c r="BU700" s="18"/>
      <c r="BV700" s="18"/>
    </row>
    <row r="701" spans="1:74">
      <c r="A701" s="18"/>
      <c r="B701" s="19"/>
      <c r="BG701" s="18"/>
      <c r="BH701" s="18"/>
      <c r="BI701" s="18"/>
      <c r="BJ701" s="18"/>
      <c r="BK701" s="18"/>
      <c r="BL701" s="18"/>
      <c r="BM701" s="18"/>
      <c r="BN701" s="18"/>
      <c r="BO701" s="18"/>
      <c r="BP701" s="18"/>
      <c r="BQ701" s="18"/>
      <c r="BR701" s="18"/>
      <c r="BS701" s="18"/>
      <c r="BT701" s="18"/>
      <c r="BU701" s="18"/>
      <c r="BV701" s="18"/>
    </row>
    <row r="702" spans="1:74">
      <c r="A702" s="18"/>
      <c r="B702" s="19"/>
      <c r="BG702" s="18"/>
      <c r="BH702" s="18"/>
      <c r="BI702" s="18"/>
      <c r="BJ702" s="18"/>
      <c r="BK702" s="18"/>
      <c r="BL702" s="18"/>
      <c r="BM702" s="18"/>
      <c r="BN702" s="18"/>
      <c r="BO702" s="18"/>
      <c r="BP702" s="18"/>
      <c r="BQ702" s="18"/>
      <c r="BR702" s="18"/>
      <c r="BS702" s="18"/>
      <c r="BT702" s="18"/>
      <c r="BU702" s="18"/>
      <c r="BV702" s="18"/>
    </row>
    <row r="703" spans="1:74">
      <c r="A703" s="18"/>
      <c r="B703" s="19"/>
      <c r="BG703" s="18"/>
      <c r="BH703" s="18"/>
      <c r="BI703" s="18"/>
      <c r="BJ703" s="18"/>
      <c r="BK703" s="18"/>
      <c r="BL703" s="18"/>
      <c r="BM703" s="18"/>
      <c r="BN703" s="18"/>
      <c r="BO703" s="18"/>
      <c r="BP703" s="18"/>
      <c r="BQ703" s="18"/>
      <c r="BR703" s="18"/>
      <c r="BS703" s="18"/>
      <c r="BT703" s="18"/>
      <c r="BU703" s="18"/>
      <c r="BV703" s="18"/>
    </row>
    <row r="704" spans="1:74">
      <c r="A704" s="18"/>
      <c r="B704" s="19"/>
      <c r="BG704" s="18"/>
      <c r="BH704" s="18"/>
      <c r="BI704" s="18"/>
      <c r="BJ704" s="18"/>
      <c r="BK704" s="18"/>
      <c r="BL704" s="18"/>
      <c r="BM704" s="18"/>
      <c r="BN704" s="18"/>
      <c r="BO704" s="18"/>
      <c r="BP704" s="18"/>
      <c r="BQ704" s="18"/>
      <c r="BR704" s="18"/>
      <c r="BS704" s="18"/>
      <c r="BT704" s="18"/>
      <c r="BU704" s="18"/>
      <c r="BV704" s="18"/>
    </row>
    <row r="705" spans="1:74">
      <c r="A705" s="18"/>
      <c r="B705" s="19"/>
      <c r="BG705" s="18"/>
      <c r="BH705" s="18"/>
      <c r="BI705" s="18"/>
      <c r="BJ705" s="18"/>
      <c r="BK705" s="18"/>
      <c r="BL705" s="18"/>
      <c r="BM705" s="18"/>
      <c r="BN705" s="18"/>
      <c r="BO705" s="18"/>
      <c r="BP705" s="18"/>
      <c r="BQ705" s="18"/>
      <c r="BR705" s="18"/>
      <c r="BS705" s="18"/>
      <c r="BT705" s="18"/>
      <c r="BU705" s="18"/>
      <c r="BV705" s="18"/>
    </row>
    <row r="706" spans="1:74">
      <c r="A706" s="18"/>
      <c r="B706" s="19"/>
      <c r="BG706" s="18"/>
      <c r="BH706" s="18"/>
      <c r="BI706" s="18"/>
      <c r="BJ706" s="18"/>
      <c r="BK706" s="18"/>
      <c r="BL706" s="18"/>
      <c r="BM706" s="18"/>
      <c r="BN706" s="18"/>
      <c r="BO706" s="18"/>
      <c r="BP706" s="18"/>
      <c r="BQ706" s="18"/>
      <c r="BR706" s="18"/>
      <c r="BS706" s="18"/>
      <c r="BT706" s="18"/>
      <c r="BU706" s="18"/>
      <c r="BV706" s="18"/>
    </row>
    <row r="707" spans="1:74">
      <c r="A707" s="18"/>
      <c r="B707" s="19"/>
      <c r="BG707" s="18"/>
      <c r="BH707" s="18"/>
      <c r="BI707" s="18"/>
      <c r="BJ707" s="18"/>
      <c r="BK707" s="18"/>
      <c r="BL707" s="18"/>
      <c r="BM707" s="18"/>
      <c r="BN707" s="18"/>
      <c r="BO707" s="18"/>
      <c r="BP707" s="18"/>
      <c r="BQ707" s="18"/>
      <c r="BR707" s="18"/>
      <c r="BS707" s="18"/>
      <c r="BT707" s="18"/>
      <c r="BU707" s="18"/>
      <c r="BV707" s="18"/>
    </row>
    <row r="708" spans="1:74">
      <c r="A708" s="18"/>
      <c r="B708" s="19"/>
      <c r="BG708" s="18"/>
      <c r="BH708" s="18"/>
      <c r="BI708" s="18"/>
      <c r="BJ708" s="18"/>
      <c r="BK708" s="18"/>
      <c r="BL708" s="18"/>
      <c r="BM708" s="18"/>
      <c r="BN708" s="18"/>
      <c r="BO708" s="18"/>
      <c r="BP708" s="18"/>
      <c r="BQ708" s="18"/>
      <c r="BR708" s="18"/>
      <c r="BS708" s="18"/>
      <c r="BT708" s="18"/>
      <c r="BU708" s="18"/>
      <c r="BV708" s="18"/>
    </row>
    <row r="709" spans="1:74">
      <c r="A709" s="18"/>
      <c r="B709" s="19"/>
      <c r="BG709" s="18"/>
      <c r="BH709" s="18"/>
      <c r="BI709" s="18"/>
      <c r="BJ709" s="18"/>
      <c r="BK709" s="18"/>
      <c r="BL709" s="18"/>
      <c r="BM709" s="18"/>
      <c r="BN709" s="18"/>
      <c r="BO709" s="18"/>
      <c r="BP709" s="18"/>
      <c r="BQ709" s="18"/>
      <c r="BR709" s="18"/>
      <c r="BS709" s="18"/>
      <c r="BT709" s="18"/>
      <c r="BU709" s="18"/>
      <c r="BV709" s="18"/>
    </row>
    <row r="710" spans="1:74">
      <c r="A710" s="18"/>
      <c r="B710" s="19"/>
      <c r="BG710" s="18"/>
      <c r="BH710" s="18"/>
      <c r="BI710" s="18"/>
      <c r="BJ710" s="18"/>
      <c r="BK710" s="18"/>
      <c r="BL710" s="18"/>
      <c r="BM710" s="18"/>
      <c r="BN710" s="18"/>
      <c r="BO710" s="18"/>
      <c r="BP710" s="18"/>
      <c r="BQ710" s="18"/>
      <c r="BR710" s="18"/>
      <c r="BS710" s="18"/>
      <c r="BT710" s="18"/>
      <c r="BU710" s="18"/>
      <c r="BV710" s="18"/>
    </row>
    <row r="711" spans="1:74">
      <c r="A711" s="18"/>
      <c r="B711" s="19"/>
      <c r="BG711" s="18"/>
      <c r="BH711" s="18"/>
      <c r="BI711" s="18"/>
      <c r="BJ711" s="18"/>
      <c r="BK711" s="18"/>
      <c r="BL711" s="18"/>
      <c r="BM711" s="18"/>
      <c r="BN711" s="18"/>
      <c r="BO711" s="18"/>
      <c r="BP711" s="18"/>
      <c r="BQ711" s="18"/>
      <c r="BR711" s="18"/>
      <c r="BS711" s="18"/>
      <c r="BT711" s="18"/>
      <c r="BU711" s="18"/>
      <c r="BV711" s="18"/>
    </row>
    <row r="712" spans="1:74">
      <c r="A712" s="18"/>
      <c r="B712" s="19"/>
      <c r="BG712" s="18"/>
      <c r="BH712" s="18"/>
      <c r="BI712" s="18"/>
      <c r="BJ712" s="18"/>
      <c r="BK712" s="18"/>
      <c r="BL712" s="18"/>
      <c r="BM712" s="18"/>
      <c r="BN712" s="18"/>
      <c r="BO712" s="18"/>
      <c r="BP712" s="18"/>
      <c r="BQ712" s="18"/>
      <c r="BR712" s="18"/>
      <c r="BS712" s="18"/>
      <c r="BT712" s="18"/>
      <c r="BU712" s="18"/>
      <c r="BV712" s="18"/>
    </row>
    <row r="713" spans="1:74">
      <c r="A713" s="18"/>
      <c r="B713" s="19"/>
      <c r="BG713" s="18"/>
      <c r="BH713" s="18"/>
      <c r="BI713" s="18"/>
      <c r="BJ713" s="18"/>
      <c r="BK713" s="18"/>
      <c r="BL713" s="18"/>
      <c r="BM713" s="18"/>
      <c r="BN713" s="18"/>
      <c r="BO713" s="18"/>
      <c r="BP713" s="18"/>
      <c r="BQ713" s="18"/>
      <c r="BR713" s="18"/>
      <c r="BS713" s="18"/>
      <c r="BT713" s="18"/>
      <c r="BU713" s="18"/>
      <c r="BV713" s="18"/>
    </row>
    <row r="714" spans="1:74">
      <c r="A714" s="18"/>
      <c r="B714" s="19"/>
      <c r="BG714" s="18"/>
      <c r="BH714" s="18"/>
      <c r="BI714" s="18"/>
      <c r="BJ714" s="18"/>
      <c r="BK714" s="18"/>
      <c r="BL714" s="18"/>
      <c r="BM714" s="18"/>
      <c r="BN714" s="18"/>
      <c r="BO714" s="18"/>
      <c r="BP714" s="18"/>
      <c r="BQ714" s="18"/>
      <c r="BR714" s="18"/>
      <c r="BS714" s="18"/>
      <c r="BT714" s="18"/>
      <c r="BU714" s="18"/>
      <c r="BV714" s="18"/>
    </row>
    <row r="715" spans="1:74">
      <c r="A715" s="18"/>
      <c r="B715" s="19"/>
      <c r="BG715" s="18"/>
      <c r="BH715" s="18"/>
      <c r="BI715" s="18"/>
      <c r="BJ715" s="18"/>
      <c r="BK715" s="18"/>
      <c r="BL715" s="18"/>
      <c r="BM715" s="18"/>
      <c r="BN715" s="18"/>
      <c r="BO715" s="18"/>
      <c r="BP715" s="18"/>
      <c r="BQ715" s="18"/>
      <c r="BR715" s="18"/>
      <c r="BS715" s="18"/>
      <c r="BT715" s="18"/>
      <c r="BU715" s="18"/>
      <c r="BV715" s="18"/>
    </row>
    <row r="716" spans="1:74">
      <c r="A716" s="18"/>
      <c r="B716" s="19"/>
      <c r="BG716" s="18"/>
      <c r="BH716" s="18"/>
      <c r="BI716" s="18"/>
      <c r="BJ716" s="18"/>
      <c r="BK716" s="18"/>
      <c r="BL716" s="18"/>
      <c r="BM716" s="18"/>
      <c r="BN716" s="18"/>
      <c r="BO716" s="18"/>
      <c r="BP716" s="18"/>
      <c r="BQ716" s="18"/>
      <c r="BR716" s="18"/>
      <c r="BS716" s="18"/>
      <c r="BT716" s="18"/>
      <c r="BU716" s="18"/>
      <c r="BV716" s="18"/>
    </row>
    <row r="717" spans="1:74">
      <c r="A717" s="18"/>
      <c r="B717" s="19"/>
      <c r="BG717" s="18"/>
      <c r="BH717" s="18"/>
      <c r="BI717" s="18"/>
      <c r="BJ717" s="18"/>
      <c r="BK717" s="18"/>
      <c r="BL717" s="18"/>
      <c r="BM717" s="18"/>
      <c r="BN717" s="18"/>
      <c r="BO717" s="18"/>
      <c r="BP717" s="18"/>
      <c r="BQ717" s="18"/>
      <c r="BR717" s="18"/>
      <c r="BS717" s="18"/>
      <c r="BT717" s="18"/>
      <c r="BU717" s="18"/>
      <c r="BV717" s="18"/>
    </row>
    <row r="718" spans="1:74">
      <c r="A718" s="18"/>
      <c r="B718" s="19"/>
      <c r="BG718" s="18"/>
      <c r="BH718" s="18"/>
      <c r="BI718" s="18"/>
      <c r="BJ718" s="18"/>
      <c r="BK718" s="18"/>
      <c r="BL718" s="18"/>
      <c r="BM718" s="18"/>
      <c r="BN718" s="18"/>
      <c r="BO718" s="18"/>
      <c r="BP718" s="18"/>
      <c r="BQ718" s="18"/>
      <c r="BR718" s="18"/>
      <c r="BS718" s="18"/>
      <c r="BT718" s="18"/>
      <c r="BU718" s="18"/>
      <c r="BV718" s="18"/>
    </row>
    <row r="719" spans="1:74">
      <c r="A719" s="18"/>
      <c r="B719" s="19"/>
      <c r="BG719" s="18"/>
      <c r="BH719" s="18"/>
      <c r="BI719" s="18"/>
      <c r="BJ719" s="18"/>
      <c r="BK719" s="18"/>
      <c r="BL719" s="18"/>
      <c r="BM719" s="18"/>
      <c r="BN719" s="18"/>
      <c r="BO719" s="18"/>
      <c r="BP719" s="18"/>
      <c r="BQ719" s="18"/>
      <c r="BR719" s="18"/>
      <c r="BS719" s="18"/>
      <c r="BT719" s="18"/>
      <c r="BU719" s="18"/>
      <c r="BV719" s="18"/>
    </row>
    <row r="720" spans="1:74">
      <c r="A720" s="18"/>
      <c r="B720" s="19"/>
      <c r="BG720" s="18"/>
      <c r="BH720" s="18"/>
      <c r="BI720" s="18"/>
      <c r="BJ720" s="18"/>
      <c r="BK720" s="18"/>
      <c r="BL720" s="18"/>
      <c r="BM720" s="18"/>
      <c r="BN720" s="18"/>
      <c r="BO720" s="18"/>
      <c r="BP720" s="18"/>
      <c r="BQ720" s="18"/>
      <c r="BR720" s="18"/>
      <c r="BS720" s="18"/>
      <c r="BT720" s="18"/>
      <c r="BU720" s="18"/>
      <c r="BV720" s="18"/>
    </row>
    <row r="721" spans="1:74">
      <c r="A721" s="18"/>
      <c r="B721" s="19"/>
      <c r="BG721" s="18"/>
      <c r="BH721" s="18"/>
      <c r="BI721" s="18"/>
      <c r="BJ721" s="18"/>
      <c r="BK721" s="18"/>
      <c r="BL721" s="18"/>
      <c r="BM721" s="18"/>
      <c r="BN721" s="18"/>
      <c r="BO721" s="18"/>
      <c r="BP721" s="18"/>
      <c r="BQ721" s="18"/>
      <c r="BR721" s="18"/>
      <c r="BS721" s="18"/>
      <c r="BT721" s="18"/>
      <c r="BU721" s="18"/>
      <c r="BV721" s="18"/>
    </row>
    <row r="722" spans="1:74">
      <c r="A722" s="18"/>
      <c r="B722" s="19"/>
      <c r="BG722" s="18"/>
      <c r="BH722" s="18"/>
      <c r="BI722" s="18"/>
      <c r="BJ722" s="18"/>
      <c r="BK722" s="18"/>
      <c r="BL722" s="18"/>
      <c r="BM722" s="18"/>
      <c r="BN722" s="18"/>
      <c r="BO722" s="18"/>
      <c r="BP722" s="18"/>
      <c r="BQ722" s="18"/>
      <c r="BR722" s="18"/>
      <c r="BS722" s="18"/>
      <c r="BT722" s="18"/>
      <c r="BU722" s="18"/>
      <c r="BV722" s="18"/>
    </row>
    <row r="723" spans="1:74">
      <c r="A723" s="18"/>
      <c r="B723" s="19"/>
      <c r="BG723" s="18"/>
      <c r="BH723" s="18"/>
      <c r="BI723" s="18"/>
      <c r="BJ723" s="18"/>
      <c r="BK723" s="18"/>
      <c r="BL723" s="18"/>
      <c r="BM723" s="18"/>
      <c r="BN723" s="18"/>
      <c r="BO723" s="18"/>
      <c r="BP723" s="18"/>
      <c r="BQ723" s="18"/>
      <c r="BR723" s="18"/>
      <c r="BS723" s="18"/>
      <c r="BT723" s="18"/>
      <c r="BU723" s="18"/>
      <c r="BV723" s="18"/>
    </row>
    <row r="724" spans="1:74">
      <c r="A724" s="18"/>
      <c r="B724" s="19"/>
      <c r="BG724" s="18"/>
      <c r="BH724" s="18"/>
      <c r="BI724" s="18"/>
      <c r="BJ724" s="18"/>
      <c r="BK724" s="18"/>
      <c r="BL724" s="18"/>
      <c r="BM724" s="18"/>
      <c r="BN724" s="18"/>
      <c r="BO724" s="18"/>
      <c r="BP724" s="18"/>
      <c r="BQ724" s="18"/>
      <c r="BR724" s="18"/>
      <c r="BS724" s="18"/>
      <c r="BT724" s="18"/>
      <c r="BU724" s="18"/>
      <c r="BV724" s="18"/>
    </row>
    <row r="725" spans="1:74">
      <c r="A725" s="18"/>
      <c r="B725" s="19"/>
      <c r="BG725" s="18"/>
      <c r="BH725" s="18"/>
      <c r="BI725" s="18"/>
      <c r="BJ725" s="18"/>
      <c r="BK725" s="18"/>
      <c r="BL725" s="18"/>
      <c r="BM725" s="18"/>
      <c r="BN725" s="18"/>
      <c r="BO725" s="18"/>
      <c r="BP725" s="18"/>
      <c r="BQ725" s="18"/>
      <c r="BR725" s="18"/>
      <c r="BS725" s="18"/>
      <c r="BT725" s="18"/>
      <c r="BU725" s="18"/>
      <c r="BV725" s="18"/>
    </row>
    <row r="726" spans="1:74">
      <c r="A726" s="18"/>
      <c r="B726" s="19"/>
      <c r="BG726" s="18"/>
      <c r="BH726" s="18"/>
      <c r="BI726" s="18"/>
      <c r="BJ726" s="18"/>
      <c r="BK726" s="18"/>
      <c r="BL726" s="18"/>
      <c r="BM726" s="18"/>
      <c r="BN726" s="18"/>
      <c r="BO726" s="18"/>
      <c r="BP726" s="18"/>
      <c r="BQ726" s="18"/>
      <c r="BR726" s="18"/>
      <c r="BS726" s="18"/>
      <c r="BT726" s="18"/>
      <c r="BU726" s="18"/>
      <c r="BV726" s="18"/>
    </row>
    <row r="727" spans="1:74">
      <c r="A727" s="18"/>
      <c r="B727" s="19"/>
      <c r="BG727" s="18"/>
      <c r="BH727" s="18"/>
      <c r="BI727" s="18"/>
      <c r="BJ727" s="18"/>
      <c r="BK727" s="18"/>
      <c r="BL727" s="18"/>
      <c r="BM727" s="18"/>
      <c r="BN727" s="18"/>
      <c r="BO727" s="18"/>
      <c r="BP727" s="18"/>
      <c r="BQ727" s="18"/>
      <c r="BR727" s="18"/>
      <c r="BS727" s="18"/>
      <c r="BT727" s="18"/>
      <c r="BU727" s="18"/>
      <c r="BV727" s="18"/>
    </row>
    <row r="728" spans="1:74">
      <c r="A728" s="18"/>
      <c r="B728" s="19"/>
      <c r="BG728" s="18"/>
      <c r="BH728" s="18"/>
      <c r="BI728" s="18"/>
      <c r="BJ728" s="18"/>
      <c r="BK728" s="18"/>
      <c r="BL728" s="18"/>
      <c r="BM728" s="18"/>
      <c r="BN728" s="18"/>
      <c r="BO728" s="18"/>
      <c r="BP728" s="18"/>
      <c r="BQ728" s="18"/>
      <c r="BR728" s="18"/>
      <c r="BS728" s="18"/>
      <c r="BT728" s="18"/>
      <c r="BU728" s="18"/>
      <c r="BV728" s="18"/>
    </row>
    <row r="729" spans="1:74">
      <c r="A729" s="18"/>
      <c r="B729" s="19"/>
      <c r="BG729" s="18"/>
      <c r="BH729" s="18"/>
      <c r="BI729" s="18"/>
      <c r="BJ729" s="18"/>
      <c r="BK729" s="18"/>
      <c r="BL729" s="18"/>
      <c r="BM729" s="18"/>
      <c r="BN729" s="18"/>
      <c r="BO729" s="18"/>
      <c r="BP729" s="18"/>
      <c r="BQ729" s="18"/>
      <c r="BR729" s="18"/>
      <c r="BS729" s="18"/>
      <c r="BT729" s="18"/>
      <c r="BU729" s="18"/>
      <c r="BV729" s="18"/>
    </row>
    <row r="730" spans="1:74">
      <c r="A730" s="18"/>
      <c r="B730" s="19"/>
      <c r="BG730" s="18"/>
      <c r="BH730" s="18"/>
      <c r="BI730" s="18"/>
      <c r="BJ730" s="18"/>
      <c r="BK730" s="18"/>
      <c r="BL730" s="18"/>
      <c r="BM730" s="18"/>
      <c r="BN730" s="18"/>
      <c r="BO730" s="18"/>
      <c r="BP730" s="18"/>
      <c r="BQ730" s="18"/>
      <c r="BR730" s="18"/>
      <c r="BS730" s="18"/>
      <c r="BT730" s="18"/>
      <c r="BU730" s="18"/>
      <c r="BV730" s="18"/>
    </row>
    <row r="731" spans="1:74">
      <c r="A731" s="18"/>
      <c r="B731" s="19"/>
      <c r="BG731" s="18"/>
      <c r="BH731" s="18"/>
      <c r="BI731" s="18"/>
      <c r="BJ731" s="18"/>
      <c r="BK731" s="18"/>
      <c r="BL731" s="18"/>
      <c r="BM731" s="18"/>
      <c r="BN731" s="18"/>
      <c r="BO731" s="18"/>
      <c r="BP731" s="18"/>
      <c r="BQ731" s="18"/>
      <c r="BR731" s="18"/>
      <c r="BS731" s="18"/>
      <c r="BT731" s="18"/>
      <c r="BU731" s="18"/>
      <c r="BV731" s="18"/>
    </row>
    <row r="732" spans="1:74">
      <c r="A732" s="18"/>
      <c r="B732" s="19"/>
      <c r="BG732" s="18"/>
      <c r="BH732" s="18"/>
      <c r="BI732" s="18"/>
      <c r="BJ732" s="18"/>
      <c r="BK732" s="18"/>
      <c r="BL732" s="18"/>
      <c r="BM732" s="18"/>
      <c r="BN732" s="18"/>
      <c r="BO732" s="18"/>
      <c r="BP732" s="18"/>
      <c r="BQ732" s="18"/>
      <c r="BR732" s="18"/>
      <c r="BS732" s="18"/>
      <c r="BT732" s="18"/>
      <c r="BU732" s="18"/>
      <c r="BV732" s="18"/>
    </row>
    <row r="733" spans="1:74">
      <c r="A733" s="18"/>
      <c r="B733" s="19"/>
      <c r="BG733" s="18"/>
      <c r="BH733" s="18"/>
      <c r="BI733" s="18"/>
      <c r="BJ733" s="18"/>
      <c r="BK733" s="18"/>
      <c r="BL733" s="18"/>
      <c r="BM733" s="18"/>
      <c r="BN733" s="18"/>
      <c r="BO733" s="18"/>
      <c r="BP733" s="18"/>
      <c r="BQ733" s="18"/>
      <c r="BR733" s="18"/>
      <c r="BS733" s="18"/>
      <c r="BT733" s="18"/>
      <c r="BU733" s="18"/>
      <c r="BV733" s="18"/>
    </row>
    <row r="734" spans="1:74">
      <c r="A734" s="18"/>
      <c r="B734" s="19"/>
      <c r="BG734" s="18"/>
      <c r="BH734" s="18"/>
      <c r="BI734" s="18"/>
      <c r="BJ734" s="18"/>
      <c r="BK734" s="18"/>
      <c r="BL734" s="18"/>
      <c r="BM734" s="18"/>
      <c r="BN734" s="18"/>
      <c r="BO734" s="18"/>
      <c r="BP734" s="18"/>
      <c r="BQ734" s="18"/>
      <c r="BR734" s="18"/>
      <c r="BS734" s="18"/>
      <c r="BT734" s="18"/>
      <c r="BU734" s="18"/>
      <c r="BV734" s="18"/>
    </row>
    <row r="735" spans="1:74">
      <c r="A735" s="18"/>
      <c r="B735" s="19"/>
      <c r="BG735" s="18"/>
      <c r="BH735" s="18"/>
      <c r="BI735" s="18"/>
      <c r="BJ735" s="18"/>
      <c r="BK735" s="18"/>
      <c r="BL735" s="18"/>
      <c r="BM735" s="18"/>
      <c r="BN735" s="18"/>
      <c r="BO735" s="18"/>
      <c r="BP735" s="18"/>
      <c r="BQ735" s="18"/>
      <c r="BR735" s="18"/>
      <c r="BS735" s="18"/>
      <c r="BT735" s="18"/>
      <c r="BU735" s="18"/>
      <c r="BV735" s="18"/>
    </row>
    <row r="736" spans="1:74">
      <c r="A736" s="18"/>
      <c r="B736" s="19"/>
      <c r="BG736" s="18"/>
      <c r="BH736" s="18"/>
      <c r="BI736" s="18"/>
      <c r="BJ736" s="18"/>
      <c r="BK736" s="18"/>
      <c r="BL736" s="18"/>
      <c r="BM736" s="18"/>
      <c r="BN736" s="18"/>
      <c r="BO736" s="18"/>
      <c r="BP736" s="18"/>
      <c r="BQ736" s="18"/>
      <c r="BR736" s="18"/>
      <c r="BS736" s="18"/>
      <c r="BT736" s="18"/>
      <c r="BU736" s="18"/>
      <c r="BV736" s="18"/>
    </row>
    <row r="737" spans="1:74">
      <c r="A737" s="18"/>
      <c r="B737" s="19"/>
      <c r="BG737" s="18"/>
      <c r="BH737" s="18"/>
      <c r="BI737" s="18"/>
      <c r="BJ737" s="18"/>
      <c r="BK737" s="18"/>
      <c r="BL737" s="18"/>
      <c r="BM737" s="18"/>
      <c r="BN737" s="18"/>
      <c r="BO737" s="18"/>
      <c r="BP737" s="18"/>
      <c r="BQ737" s="18"/>
      <c r="BR737" s="18"/>
      <c r="BS737" s="18"/>
      <c r="BT737" s="18"/>
      <c r="BU737" s="18"/>
      <c r="BV737" s="18"/>
    </row>
    <row r="738" spans="1:74">
      <c r="A738" s="18"/>
      <c r="B738" s="19"/>
      <c r="BG738" s="18"/>
      <c r="BH738" s="18"/>
      <c r="BI738" s="18"/>
      <c r="BJ738" s="18"/>
      <c r="BK738" s="18"/>
      <c r="BL738" s="18"/>
      <c r="BM738" s="18"/>
      <c r="BN738" s="18"/>
      <c r="BO738" s="18"/>
      <c r="BP738" s="18"/>
      <c r="BQ738" s="18"/>
      <c r="BR738" s="18"/>
      <c r="BS738" s="18"/>
      <c r="BT738" s="18"/>
      <c r="BU738" s="18"/>
      <c r="BV738" s="18"/>
    </row>
    <row r="739" spans="1:74">
      <c r="A739" s="18"/>
      <c r="B739" s="19"/>
      <c r="BG739" s="18"/>
      <c r="BH739" s="18"/>
      <c r="BI739" s="18"/>
      <c r="BJ739" s="18"/>
      <c r="BK739" s="18"/>
      <c r="BL739" s="18"/>
      <c r="BM739" s="18"/>
      <c r="BN739" s="18"/>
      <c r="BO739" s="18"/>
      <c r="BP739" s="18"/>
      <c r="BQ739" s="18"/>
      <c r="BR739" s="18"/>
      <c r="BS739" s="18"/>
      <c r="BT739" s="18"/>
      <c r="BU739" s="18"/>
      <c r="BV739" s="18"/>
    </row>
    <row r="740" spans="1:74">
      <c r="A740" s="18"/>
      <c r="B740" s="19"/>
      <c r="BG740" s="18"/>
      <c r="BH740" s="18"/>
      <c r="BI740" s="18"/>
      <c r="BJ740" s="18"/>
      <c r="BK740" s="18"/>
      <c r="BL740" s="18"/>
      <c r="BM740" s="18"/>
      <c r="BN740" s="18"/>
      <c r="BO740" s="18"/>
      <c r="BP740" s="18"/>
      <c r="BQ740" s="18"/>
      <c r="BR740" s="18"/>
      <c r="BS740" s="18"/>
      <c r="BT740" s="18"/>
      <c r="BU740" s="18"/>
      <c r="BV740" s="18"/>
    </row>
    <row r="741" spans="1:74">
      <c r="A741" s="18"/>
      <c r="B741" s="19"/>
      <c r="BG741" s="18"/>
      <c r="BH741" s="18"/>
      <c r="BI741" s="18"/>
      <c r="BJ741" s="18"/>
      <c r="BK741" s="18"/>
      <c r="BL741" s="18"/>
      <c r="BM741" s="18"/>
      <c r="BN741" s="18"/>
      <c r="BO741" s="18"/>
      <c r="BP741" s="18"/>
      <c r="BQ741" s="18"/>
      <c r="BR741" s="18"/>
      <c r="BS741" s="18"/>
      <c r="BT741" s="18"/>
      <c r="BU741" s="18"/>
      <c r="BV741" s="18"/>
    </row>
    <row r="742" spans="1:74">
      <c r="A742" s="18"/>
      <c r="B742" s="19"/>
      <c r="BG742" s="18"/>
      <c r="BH742" s="18"/>
      <c r="BI742" s="18"/>
      <c r="BJ742" s="18"/>
      <c r="BK742" s="18"/>
      <c r="BL742" s="18"/>
      <c r="BM742" s="18"/>
      <c r="BN742" s="18"/>
      <c r="BO742" s="18"/>
      <c r="BP742" s="18"/>
      <c r="BQ742" s="18"/>
      <c r="BR742" s="18"/>
      <c r="BS742" s="18"/>
      <c r="BT742" s="18"/>
      <c r="BU742" s="18"/>
      <c r="BV742" s="18"/>
    </row>
    <row r="743" spans="1:74">
      <c r="A743" s="18"/>
      <c r="B743" s="19"/>
      <c r="BG743" s="18"/>
      <c r="BH743" s="18"/>
      <c r="BI743" s="18"/>
      <c r="BJ743" s="18"/>
      <c r="BK743" s="18"/>
      <c r="BL743" s="18"/>
      <c r="BM743" s="18"/>
      <c r="BN743" s="18"/>
      <c r="BO743" s="18"/>
      <c r="BP743" s="18"/>
      <c r="BQ743" s="18"/>
      <c r="BR743" s="18"/>
      <c r="BS743" s="18"/>
      <c r="BT743" s="18"/>
      <c r="BU743" s="18"/>
      <c r="BV743" s="18"/>
    </row>
    <row r="744" spans="1:74">
      <c r="A744" s="18"/>
      <c r="B744" s="19"/>
      <c r="BG744" s="18"/>
      <c r="BH744" s="18"/>
      <c r="BI744" s="18"/>
      <c r="BJ744" s="18"/>
      <c r="BK744" s="18"/>
      <c r="BL744" s="18"/>
      <c r="BM744" s="18"/>
      <c r="BN744" s="18"/>
      <c r="BO744" s="18"/>
      <c r="BP744" s="18"/>
      <c r="BQ744" s="18"/>
      <c r="BR744" s="18"/>
      <c r="BS744" s="18"/>
      <c r="BT744" s="18"/>
      <c r="BU744" s="18"/>
      <c r="BV744" s="18"/>
    </row>
    <row r="745" spans="1:74">
      <c r="A745" s="18"/>
      <c r="B745" s="19"/>
      <c r="BG745" s="18"/>
      <c r="BH745" s="18"/>
      <c r="BI745" s="18"/>
      <c r="BJ745" s="18"/>
      <c r="BK745" s="18"/>
      <c r="BL745" s="18"/>
      <c r="BM745" s="18"/>
      <c r="BN745" s="18"/>
      <c r="BO745" s="18"/>
      <c r="BP745" s="18"/>
      <c r="BQ745" s="18"/>
      <c r="BR745" s="18"/>
      <c r="BS745" s="18"/>
      <c r="BT745" s="18"/>
      <c r="BU745" s="18"/>
      <c r="BV745" s="18"/>
    </row>
    <row r="746" spans="1:74">
      <c r="A746" s="18"/>
      <c r="B746" s="19"/>
      <c r="BG746" s="18"/>
      <c r="BH746" s="18"/>
      <c r="BI746" s="18"/>
      <c r="BJ746" s="18"/>
      <c r="BK746" s="18"/>
      <c r="BL746" s="18"/>
      <c r="BM746" s="18"/>
      <c r="BN746" s="18"/>
      <c r="BO746" s="18"/>
      <c r="BP746" s="18"/>
      <c r="BQ746" s="18"/>
      <c r="BR746" s="18"/>
      <c r="BS746" s="18"/>
      <c r="BT746" s="18"/>
      <c r="BU746" s="18"/>
      <c r="BV746" s="18"/>
    </row>
    <row r="747" spans="1:74">
      <c r="A747" s="18"/>
      <c r="B747" s="19"/>
      <c r="BG747" s="18"/>
      <c r="BH747" s="18"/>
      <c r="BI747" s="18"/>
      <c r="BJ747" s="18"/>
      <c r="BK747" s="18"/>
      <c r="BL747" s="18"/>
      <c r="BM747" s="18"/>
      <c r="BN747" s="18"/>
      <c r="BO747" s="18"/>
      <c r="BP747" s="18"/>
      <c r="BQ747" s="18"/>
      <c r="BR747" s="18"/>
      <c r="BS747" s="18"/>
      <c r="BT747" s="18"/>
      <c r="BU747" s="18"/>
      <c r="BV747" s="18"/>
    </row>
    <row r="748" spans="1:74">
      <c r="A748" s="18"/>
      <c r="B748" s="19"/>
      <c r="BG748" s="18"/>
      <c r="BH748" s="18"/>
      <c r="BI748" s="18"/>
      <c r="BJ748" s="18"/>
      <c r="BK748" s="18"/>
      <c r="BL748" s="18"/>
      <c r="BM748" s="18"/>
      <c r="BN748" s="18"/>
      <c r="BO748" s="18"/>
      <c r="BP748" s="18"/>
      <c r="BQ748" s="18"/>
      <c r="BR748" s="18"/>
      <c r="BS748" s="18"/>
      <c r="BT748" s="18"/>
      <c r="BU748" s="18"/>
      <c r="BV748" s="18"/>
    </row>
    <row r="749" spans="1:74">
      <c r="A749" s="18"/>
      <c r="B749" s="19"/>
      <c r="BG749" s="18"/>
      <c r="BH749" s="18"/>
      <c r="BI749" s="18"/>
      <c r="BJ749" s="18"/>
      <c r="BK749" s="18"/>
      <c r="BL749" s="18"/>
      <c r="BM749" s="18"/>
      <c r="BN749" s="18"/>
      <c r="BO749" s="18"/>
      <c r="BP749" s="18"/>
      <c r="BQ749" s="18"/>
      <c r="BR749" s="18"/>
      <c r="BS749" s="18"/>
      <c r="BT749" s="18"/>
      <c r="BU749" s="18"/>
      <c r="BV749" s="18"/>
    </row>
    <row r="750" spans="1:74">
      <c r="A750" s="18"/>
      <c r="B750" s="19"/>
      <c r="BG750" s="18"/>
      <c r="BH750" s="18"/>
      <c r="BI750" s="18"/>
      <c r="BJ750" s="18"/>
      <c r="BK750" s="18"/>
      <c r="BL750" s="18"/>
      <c r="BM750" s="18"/>
      <c r="BN750" s="18"/>
      <c r="BO750" s="18"/>
      <c r="BP750" s="18"/>
      <c r="BQ750" s="18"/>
      <c r="BR750" s="18"/>
      <c r="BS750" s="18"/>
      <c r="BT750" s="18"/>
      <c r="BU750" s="18"/>
      <c r="BV750" s="18"/>
    </row>
    <row r="751" spans="1:74">
      <c r="A751" s="18"/>
      <c r="B751" s="19"/>
      <c r="BG751" s="18"/>
      <c r="BH751" s="18"/>
      <c r="BI751" s="18"/>
      <c r="BJ751" s="18"/>
      <c r="BK751" s="18"/>
      <c r="BL751" s="18"/>
      <c r="BM751" s="18"/>
      <c r="BN751" s="18"/>
      <c r="BO751" s="18"/>
      <c r="BP751" s="18"/>
      <c r="BQ751" s="18"/>
      <c r="BR751" s="18"/>
      <c r="BS751" s="18"/>
      <c r="BT751" s="18"/>
      <c r="BU751" s="18"/>
      <c r="BV751" s="18"/>
    </row>
    <row r="752" spans="1:74">
      <c r="A752" s="18"/>
      <c r="B752" s="19"/>
      <c r="BG752" s="18"/>
      <c r="BH752" s="18"/>
      <c r="BI752" s="18"/>
      <c r="BJ752" s="18"/>
      <c r="BK752" s="18"/>
      <c r="BL752" s="18"/>
      <c r="BM752" s="18"/>
      <c r="BN752" s="18"/>
      <c r="BO752" s="18"/>
      <c r="BP752" s="18"/>
      <c r="BQ752" s="18"/>
      <c r="BR752" s="18"/>
      <c r="BS752" s="18"/>
      <c r="BT752" s="18"/>
      <c r="BU752" s="18"/>
      <c r="BV752" s="18"/>
    </row>
    <row r="753" spans="1:74">
      <c r="A753" s="18"/>
      <c r="B753" s="19"/>
      <c r="BG753" s="18"/>
      <c r="BH753" s="18"/>
      <c r="BI753" s="18"/>
      <c r="BJ753" s="18"/>
      <c r="BK753" s="18"/>
      <c r="BL753" s="18"/>
      <c r="BM753" s="18"/>
      <c r="BN753" s="18"/>
      <c r="BO753" s="18"/>
      <c r="BP753" s="18"/>
      <c r="BQ753" s="18"/>
      <c r="BR753" s="18"/>
      <c r="BS753" s="18"/>
      <c r="BT753" s="18"/>
      <c r="BU753" s="18"/>
      <c r="BV753" s="18"/>
    </row>
    <row r="754" spans="1:74">
      <c r="A754" s="18"/>
      <c r="B754" s="19"/>
      <c r="BG754" s="18"/>
      <c r="BH754" s="18"/>
      <c r="BI754" s="18"/>
      <c r="BJ754" s="18"/>
      <c r="BK754" s="18"/>
      <c r="BL754" s="18"/>
      <c r="BM754" s="18"/>
      <c r="BN754" s="18"/>
      <c r="BO754" s="18"/>
      <c r="BP754" s="18"/>
      <c r="BQ754" s="18"/>
      <c r="BR754" s="18"/>
      <c r="BS754" s="18"/>
      <c r="BT754" s="18"/>
      <c r="BU754" s="18"/>
      <c r="BV754" s="18"/>
    </row>
    <row r="755" spans="1:74">
      <c r="A755" s="18"/>
      <c r="B755" s="19"/>
      <c r="BG755" s="18"/>
      <c r="BH755" s="18"/>
      <c r="BI755" s="18"/>
      <c r="BJ755" s="18"/>
      <c r="BK755" s="18"/>
      <c r="BL755" s="18"/>
      <c r="BM755" s="18"/>
      <c r="BN755" s="18"/>
      <c r="BO755" s="18"/>
      <c r="BP755" s="18"/>
      <c r="BQ755" s="18"/>
      <c r="BR755" s="18"/>
      <c r="BS755" s="18"/>
      <c r="BT755" s="18"/>
      <c r="BU755" s="18"/>
      <c r="BV755" s="18"/>
    </row>
    <row r="756" spans="1:74">
      <c r="A756" s="18"/>
      <c r="B756" s="19"/>
      <c r="BG756" s="18"/>
      <c r="BH756" s="18"/>
      <c r="BI756" s="18"/>
      <c r="BJ756" s="18"/>
      <c r="BK756" s="18"/>
      <c r="BL756" s="18"/>
      <c r="BM756" s="18"/>
      <c r="BN756" s="18"/>
      <c r="BO756" s="18"/>
      <c r="BP756" s="18"/>
      <c r="BQ756" s="18"/>
      <c r="BR756" s="18"/>
      <c r="BS756" s="18"/>
      <c r="BT756" s="18"/>
      <c r="BU756" s="18"/>
      <c r="BV756" s="18"/>
    </row>
    <row r="757" spans="1:74">
      <c r="A757" s="18"/>
      <c r="B757" s="19"/>
      <c r="BG757" s="18"/>
      <c r="BH757" s="18"/>
      <c r="BI757" s="18"/>
      <c r="BJ757" s="18"/>
      <c r="BK757" s="18"/>
      <c r="BL757" s="18"/>
      <c r="BM757" s="18"/>
      <c r="BN757" s="18"/>
      <c r="BO757" s="18"/>
      <c r="BP757" s="18"/>
      <c r="BQ757" s="18"/>
      <c r="BR757" s="18"/>
      <c r="BS757" s="18"/>
      <c r="BT757" s="18"/>
      <c r="BU757" s="18"/>
      <c r="BV757" s="18"/>
    </row>
    <row r="758" spans="1:74">
      <c r="A758" s="18"/>
      <c r="B758" s="19"/>
      <c r="BG758" s="18"/>
      <c r="BH758" s="18"/>
      <c r="BI758" s="18"/>
      <c r="BJ758" s="18"/>
      <c r="BK758" s="18"/>
      <c r="BL758" s="18"/>
      <c r="BM758" s="18"/>
      <c r="BN758" s="18"/>
      <c r="BO758" s="18"/>
      <c r="BP758" s="18"/>
      <c r="BQ758" s="18"/>
      <c r="BR758" s="18"/>
      <c r="BS758" s="18"/>
      <c r="BT758" s="18"/>
      <c r="BU758" s="18"/>
      <c r="BV758" s="18"/>
    </row>
    <row r="759" spans="1:74">
      <c r="A759" s="18"/>
      <c r="B759" s="19"/>
      <c r="BG759" s="18"/>
      <c r="BH759" s="18"/>
      <c r="BI759" s="18"/>
      <c r="BJ759" s="18"/>
      <c r="BK759" s="18"/>
      <c r="BL759" s="18"/>
      <c r="BM759" s="18"/>
      <c r="BN759" s="18"/>
      <c r="BO759" s="18"/>
      <c r="BP759" s="18"/>
      <c r="BQ759" s="18"/>
      <c r="BR759" s="18"/>
      <c r="BS759" s="18"/>
      <c r="BT759" s="18"/>
      <c r="BU759" s="18"/>
      <c r="BV759" s="18"/>
    </row>
    <row r="760" spans="1:74">
      <c r="A760" s="18"/>
      <c r="B760" s="19"/>
      <c r="BG760" s="18"/>
      <c r="BH760" s="18"/>
      <c r="BI760" s="18"/>
      <c r="BJ760" s="18"/>
      <c r="BK760" s="18"/>
      <c r="BL760" s="18"/>
      <c r="BM760" s="18"/>
      <c r="BN760" s="18"/>
      <c r="BO760" s="18"/>
      <c r="BP760" s="18"/>
      <c r="BQ760" s="18"/>
      <c r="BR760" s="18"/>
      <c r="BS760" s="18"/>
      <c r="BT760" s="18"/>
      <c r="BU760" s="18"/>
      <c r="BV760" s="18"/>
    </row>
    <row r="761" spans="1:74">
      <c r="A761" s="18"/>
      <c r="B761" s="19"/>
      <c r="BG761" s="18"/>
      <c r="BH761" s="18"/>
      <c r="BI761" s="18"/>
      <c r="BJ761" s="18"/>
      <c r="BK761" s="18"/>
      <c r="BL761" s="18"/>
      <c r="BM761" s="18"/>
      <c r="BN761" s="18"/>
      <c r="BO761" s="18"/>
      <c r="BP761" s="18"/>
      <c r="BQ761" s="18"/>
      <c r="BR761" s="18"/>
      <c r="BS761" s="18"/>
      <c r="BT761" s="18"/>
      <c r="BU761" s="18"/>
      <c r="BV761" s="18"/>
    </row>
    <row r="762" spans="1:74">
      <c r="A762" s="18"/>
      <c r="B762" s="19"/>
      <c r="BG762" s="18"/>
      <c r="BH762" s="18"/>
      <c r="BI762" s="18"/>
      <c r="BJ762" s="18"/>
      <c r="BK762" s="18"/>
      <c r="BL762" s="18"/>
      <c r="BM762" s="18"/>
      <c r="BN762" s="18"/>
      <c r="BO762" s="18"/>
      <c r="BP762" s="18"/>
      <c r="BQ762" s="18"/>
      <c r="BR762" s="18"/>
      <c r="BS762" s="18"/>
      <c r="BT762" s="18"/>
      <c r="BU762" s="18"/>
      <c r="BV762" s="18"/>
    </row>
    <row r="763" spans="1:74">
      <c r="A763" s="18"/>
      <c r="B763" s="19"/>
      <c r="BG763" s="18"/>
      <c r="BH763" s="18"/>
      <c r="BI763" s="18"/>
      <c r="BJ763" s="18"/>
      <c r="BK763" s="18"/>
      <c r="BL763" s="18"/>
      <c r="BM763" s="18"/>
      <c r="BN763" s="18"/>
      <c r="BO763" s="18"/>
      <c r="BP763" s="18"/>
      <c r="BQ763" s="18"/>
      <c r="BR763" s="18"/>
      <c r="BS763" s="18"/>
      <c r="BT763" s="18"/>
      <c r="BU763" s="18"/>
      <c r="BV763" s="18"/>
    </row>
    <row r="764" spans="1:74">
      <c r="A764" s="18"/>
      <c r="B764" s="19"/>
      <c r="BG764" s="18"/>
      <c r="BH764" s="18"/>
      <c r="BI764" s="18"/>
      <c r="BJ764" s="18"/>
      <c r="BK764" s="18"/>
      <c r="BL764" s="18"/>
      <c r="BM764" s="18"/>
      <c r="BN764" s="18"/>
      <c r="BO764" s="18"/>
      <c r="BP764" s="18"/>
      <c r="BQ764" s="18"/>
      <c r="BR764" s="18"/>
      <c r="BS764" s="18"/>
      <c r="BT764" s="18"/>
      <c r="BU764" s="18"/>
      <c r="BV764" s="18"/>
    </row>
    <row r="765" spans="1:74">
      <c r="A765" s="18"/>
      <c r="B765" s="19"/>
      <c r="BG765" s="18"/>
      <c r="BH765" s="18"/>
      <c r="BI765" s="18"/>
      <c r="BJ765" s="18"/>
      <c r="BK765" s="18"/>
      <c r="BL765" s="18"/>
      <c r="BM765" s="18"/>
      <c r="BN765" s="18"/>
      <c r="BO765" s="18"/>
      <c r="BP765" s="18"/>
      <c r="BQ765" s="18"/>
      <c r="BR765" s="18"/>
      <c r="BS765" s="18"/>
      <c r="BT765" s="18"/>
      <c r="BU765" s="18"/>
      <c r="BV765" s="18"/>
    </row>
    <row r="766" spans="1:74">
      <c r="A766" s="18"/>
      <c r="B766" s="19"/>
      <c r="BG766" s="18"/>
      <c r="BH766" s="18"/>
      <c r="BI766" s="18"/>
      <c r="BJ766" s="18"/>
      <c r="BK766" s="18"/>
      <c r="BL766" s="18"/>
      <c r="BM766" s="18"/>
      <c r="BN766" s="18"/>
      <c r="BO766" s="18"/>
      <c r="BP766" s="18"/>
      <c r="BQ766" s="18"/>
      <c r="BR766" s="18"/>
      <c r="BS766" s="18"/>
      <c r="BT766" s="18"/>
      <c r="BU766" s="18"/>
      <c r="BV766" s="18"/>
    </row>
    <row r="767" spans="1:74">
      <c r="A767" s="18"/>
      <c r="B767" s="19"/>
      <c r="BG767" s="18"/>
      <c r="BH767" s="18"/>
      <c r="BI767" s="18"/>
      <c r="BJ767" s="18"/>
      <c r="BK767" s="18"/>
      <c r="BL767" s="18"/>
      <c r="BM767" s="18"/>
      <c r="BN767" s="18"/>
      <c r="BO767" s="18"/>
      <c r="BP767" s="18"/>
      <c r="BQ767" s="18"/>
      <c r="BR767" s="18"/>
      <c r="BS767" s="18"/>
      <c r="BT767" s="18"/>
      <c r="BU767" s="18"/>
      <c r="BV767" s="18"/>
    </row>
    <row r="768" spans="1:74">
      <c r="A768" s="18"/>
      <c r="B768" s="19"/>
      <c r="BG768" s="18"/>
      <c r="BH768" s="18"/>
      <c r="BI768" s="18"/>
      <c r="BJ768" s="18"/>
      <c r="BK768" s="18"/>
      <c r="BL768" s="18"/>
      <c r="BM768" s="18"/>
      <c r="BN768" s="18"/>
      <c r="BO768" s="18"/>
      <c r="BP768" s="18"/>
      <c r="BQ768" s="18"/>
      <c r="BR768" s="18"/>
      <c r="BS768" s="18"/>
      <c r="BT768" s="18"/>
      <c r="BU768" s="18"/>
      <c r="BV768" s="18"/>
    </row>
    <row r="769" spans="1:74">
      <c r="A769" s="18"/>
      <c r="B769" s="19"/>
      <c r="BG769" s="18"/>
      <c r="BH769" s="18"/>
      <c r="BI769" s="18"/>
      <c r="BJ769" s="18"/>
      <c r="BK769" s="18"/>
      <c r="BL769" s="18"/>
      <c r="BM769" s="18"/>
      <c r="BN769" s="18"/>
      <c r="BO769" s="18"/>
      <c r="BP769" s="18"/>
      <c r="BQ769" s="18"/>
      <c r="BR769" s="18"/>
      <c r="BS769" s="18"/>
      <c r="BT769" s="18"/>
      <c r="BU769" s="18"/>
      <c r="BV769" s="18"/>
    </row>
    <row r="770" spans="1:74">
      <c r="A770" s="18"/>
      <c r="B770" s="19"/>
      <c r="BG770" s="18"/>
      <c r="BH770" s="18"/>
      <c r="BI770" s="18"/>
      <c r="BJ770" s="18"/>
      <c r="BK770" s="18"/>
      <c r="BL770" s="18"/>
      <c r="BM770" s="18"/>
      <c r="BN770" s="18"/>
      <c r="BO770" s="18"/>
      <c r="BP770" s="18"/>
      <c r="BQ770" s="18"/>
      <c r="BR770" s="18"/>
      <c r="BS770" s="18"/>
      <c r="BT770" s="18"/>
      <c r="BU770" s="18"/>
      <c r="BV770" s="18"/>
    </row>
    <row r="771" spans="1:74">
      <c r="A771" s="18"/>
      <c r="B771" s="19"/>
      <c r="BG771" s="18"/>
      <c r="BH771" s="18"/>
      <c r="BI771" s="18"/>
      <c r="BJ771" s="18"/>
      <c r="BK771" s="18"/>
      <c r="BL771" s="18"/>
      <c r="BM771" s="18"/>
      <c r="BN771" s="18"/>
      <c r="BO771" s="18"/>
      <c r="BP771" s="18"/>
      <c r="BQ771" s="18"/>
      <c r="BR771" s="18"/>
      <c r="BS771" s="18"/>
      <c r="BT771" s="18"/>
      <c r="BU771" s="18"/>
      <c r="BV771" s="18"/>
    </row>
    <row r="772" spans="1:74">
      <c r="A772" s="18"/>
      <c r="B772" s="19"/>
      <c r="BG772" s="18"/>
      <c r="BH772" s="18"/>
      <c r="BI772" s="18"/>
      <c r="BJ772" s="18"/>
      <c r="BK772" s="18"/>
      <c r="BL772" s="18"/>
      <c r="BM772" s="18"/>
      <c r="BN772" s="18"/>
      <c r="BO772" s="18"/>
      <c r="BP772" s="18"/>
      <c r="BQ772" s="18"/>
      <c r="BR772" s="18"/>
      <c r="BS772" s="18"/>
      <c r="BT772" s="18"/>
      <c r="BU772" s="18"/>
      <c r="BV772" s="18"/>
    </row>
    <row r="773" spans="1:74">
      <c r="A773" s="18"/>
      <c r="B773" s="19"/>
      <c r="BG773" s="18"/>
      <c r="BH773" s="18"/>
      <c r="BI773" s="18"/>
      <c r="BJ773" s="18"/>
      <c r="BK773" s="18"/>
      <c r="BL773" s="18"/>
      <c r="BM773" s="18"/>
      <c r="BN773" s="18"/>
      <c r="BO773" s="18"/>
      <c r="BP773" s="18"/>
      <c r="BQ773" s="18"/>
      <c r="BR773" s="18"/>
      <c r="BS773" s="18"/>
      <c r="BT773" s="18"/>
      <c r="BU773" s="18"/>
      <c r="BV773" s="18"/>
    </row>
    <row r="774" spans="1:74">
      <c r="A774" s="18"/>
      <c r="B774" s="19"/>
      <c r="BG774" s="18"/>
      <c r="BH774" s="18"/>
      <c r="BI774" s="18"/>
      <c r="BJ774" s="18"/>
      <c r="BK774" s="18"/>
      <c r="BL774" s="18"/>
      <c r="BM774" s="18"/>
      <c r="BN774" s="18"/>
      <c r="BO774" s="18"/>
      <c r="BP774" s="18"/>
      <c r="BQ774" s="18"/>
      <c r="BR774" s="18"/>
      <c r="BS774" s="18"/>
      <c r="BT774" s="18"/>
      <c r="BU774" s="18"/>
      <c r="BV774" s="18"/>
    </row>
    <row r="775" spans="1:74">
      <c r="A775" s="18"/>
      <c r="B775" s="19"/>
      <c r="BG775" s="18"/>
      <c r="BH775" s="18"/>
      <c r="BI775" s="18"/>
      <c r="BJ775" s="18"/>
      <c r="BK775" s="18"/>
      <c r="BL775" s="18"/>
      <c r="BM775" s="18"/>
      <c r="BN775" s="18"/>
      <c r="BO775" s="18"/>
      <c r="BP775" s="18"/>
      <c r="BQ775" s="18"/>
      <c r="BR775" s="18"/>
      <c r="BS775" s="18"/>
      <c r="BT775" s="18"/>
      <c r="BU775" s="18"/>
      <c r="BV775" s="18"/>
    </row>
    <row r="776" spans="1:74">
      <c r="A776" s="18"/>
      <c r="B776" s="19"/>
      <c r="BG776" s="18"/>
      <c r="BH776" s="18"/>
      <c r="BI776" s="18"/>
      <c r="BJ776" s="18"/>
      <c r="BK776" s="18"/>
      <c r="BL776" s="18"/>
      <c r="BM776" s="18"/>
      <c r="BN776" s="18"/>
      <c r="BO776" s="18"/>
      <c r="BP776" s="18"/>
      <c r="BQ776" s="18"/>
      <c r="BR776" s="18"/>
      <c r="BS776" s="18"/>
      <c r="BT776" s="18"/>
      <c r="BU776" s="18"/>
      <c r="BV776" s="18"/>
    </row>
    <row r="777" spans="1:74">
      <c r="A777" s="18"/>
      <c r="B777" s="19"/>
      <c r="BG777" s="18"/>
      <c r="BH777" s="18"/>
      <c r="BI777" s="18"/>
      <c r="BJ777" s="18"/>
      <c r="BK777" s="18"/>
      <c r="BL777" s="18"/>
      <c r="BM777" s="18"/>
      <c r="BN777" s="18"/>
      <c r="BO777" s="18"/>
      <c r="BP777" s="18"/>
      <c r="BQ777" s="18"/>
      <c r="BR777" s="18"/>
      <c r="BS777" s="18"/>
      <c r="BT777" s="18"/>
      <c r="BU777" s="18"/>
      <c r="BV777" s="18"/>
    </row>
    <row r="778" spans="1:74">
      <c r="A778" s="18"/>
      <c r="B778" s="19"/>
      <c r="BG778" s="18"/>
      <c r="BH778" s="18"/>
      <c r="BI778" s="18"/>
      <c r="BJ778" s="18"/>
      <c r="BK778" s="18"/>
      <c r="BL778" s="18"/>
      <c r="BM778" s="18"/>
      <c r="BN778" s="18"/>
      <c r="BO778" s="18"/>
      <c r="BP778" s="18"/>
      <c r="BQ778" s="18"/>
      <c r="BR778" s="18"/>
      <c r="BS778" s="18"/>
      <c r="BT778" s="18"/>
      <c r="BU778" s="18"/>
      <c r="BV778" s="18"/>
    </row>
    <row r="779" spans="1:74">
      <c r="A779" s="18"/>
      <c r="B779" s="19"/>
      <c r="BG779" s="18"/>
      <c r="BH779" s="18"/>
      <c r="BI779" s="18"/>
      <c r="BJ779" s="18"/>
      <c r="BK779" s="18"/>
      <c r="BL779" s="18"/>
      <c r="BM779" s="18"/>
      <c r="BN779" s="18"/>
      <c r="BO779" s="18"/>
      <c r="BP779" s="18"/>
      <c r="BQ779" s="18"/>
      <c r="BR779" s="18"/>
      <c r="BS779" s="18"/>
      <c r="BT779" s="18"/>
      <c r="BU779" s="18"/>
      <c r="BV779" s="18"/>
    </row>
    <row r="780" spans="1:74">
      <c r="A780" s="18"/>
      <c r="B780" s="19"/>
      <c r="BG780" s="18"/>
      <c r="BH780" s="18"/>
      <c r="BI780" s="18"/>
      <c r="BJ780" s="18"/>
      <c r="BK780" s="18"/>
      <c r="BL780" s="18"/>
      <c r="BM780" s="18"/>
      <c r="BN780" s="18"/>
      <c r="BO780" s="18"/>
      <c r="BP780" s="18"/>
      <c r="BQ780" s="18"/>
      <c r="BR780" s="18"/>
      <c r="BS780" s="18"/>
      <c r="BT780" s="18"/>
      <c r="BU780" s="18"/>
      <c r="BV780" s="18"/>
    </row>
    <row r="781" spans="1:74">
      <c r="A781" s="18"/>
      <c r="B781" s="19"/>
      <c r="BG781" s="18"/>
      <c r="BH781" s="18"/>
      <c r="BI781" s="18"/>
      <c r="BJ781" s="18"/>
      <c r="BK781" s="18"/>
      <c r="BL781" s="18"/>
      <c r="BM781" s="18"/>
      <c r="BN781" s="18"/>
      <c r="BO781" s="18"/>
      <c r="BP781" s="18"/>
      <c r="BQ781" s="18"/>
      <c r="BR781" s="18"/>
      <c r="BS781" s="18"/>
      <c r="BT781" s="18"/>
      <c r="BU781" s="18"/>
      <c r="BV781" s="18"/>
    </row>
    <row r="782" spans="1:74">
      <c r="A782" s="18"/>
      <c r="B782" s="19"/>
      <c r="BG782" s="18"/>
      <c r="BH782" s="18"/>
      <c r="BI782" s="18"/>
      <c r="BJ782" s="18"/>
      <c r="BK782" s="18"/>
      <c r="BL782" s="18"/>
      <c r="BM782" s="18"/>
      <c r="BN782" s="18"/>
      <c r="BO782" s="18"/>
      <c r="BP782" s="18"/>
      <c r="BQ782" s="18"/>
      <c r="BR782" s="18"/>
      <c r="BS782" s="18"/>
      <c r="BT782" s="18"/>
      <c r="BU782" s="18"/>
      <c r="BV782" s="18"/>
    </row>
    <row r="783" spans="1:74">
      <c r="A783" s="18"/>
      <c r="B783" s="19"/>
      <c r="BG783" s="18"/>
      <c r="BH783" s="18"/>
      <c r="BI783" s="18"/>
      <c r="BJ783" s="18"/>
      <c r="BK783" s="18"/>
      <c r="BL783" s="18"/>
      <c r="BM783" s="18"/>
      <c r="BN783" s="18"/>
      <c r="BO783" s="18"/>
      <c r="BP783" s="18"/>
      <c r="BQ783" s="18"/>
      <c r="BR783" s="18"/>
      <c r="BS783" s="18"/>
      <c r="BT783" s="18"/>
      <c r="BU783" s="18"/>
      <c r="BV783" s="18"/>
    </row>
    <row r="784" spans="1:74">
      <c r="A784" s="18"/>
      <c r="B784" s="19"/>
      <c r="BG784" s="18"/>
      <c r="BH784" s="18"/>
      <c r="BI784" s="18"/>
      <c r="BJ784" s="18"/>
      <c r="BK784" s="18"/>
      <c r="BL784" s="18"/>
      <c r="BM784" s="18"/>
      <c r="BN784" s="18"/>
      <c r="BO784" s="18"/>
      <c r="BP784" s="18"/>
      <c r="BQ784" s="18"/>
      <c r="BR784" s="18"/>
      <c r="BS784" s="18"/>
      <c r="BT784" s="18"/>
      <c r="BU784" s="18"/>
      <c r="BV784" s="18"/>
    </row>
    <row r="785" spans="1:74">
      <c r="A785" s="18"/>
      <c r="B785" s="19"/>
      <c r="BG785" s="18"/>
      <c r="BH785" s="18"/>
      <c r="BI785" s="18"/>
      <c r="BJ785" s="18"/>
      <c r="BK785" s="18"/>
      <c r="BL785" s="18"/>
      <c r="BM785" s="18"/>
      <c r="BN785" s="18"/>
      <c r="BO785" s="18"/>
      <c r="BP785" s="18"/>
      <c r="BQ785" s="18"/>
      <c r="BR785" s="18"/>
      <c r="BS785" s="18"/>
      <c r="BT785" s="18"/>
      <c r="BU785" s="18"/>
      <c r="BV785" s="18"/>
    </row>
    <row r="786" spans="1:74">
      <c r="A786" s="18"/>
      <c r="B786" s="19"/>
      <c r="BG786" s="18"/>
      <c r="BH786" s="18"/>
      <c r="BI786" s="18"/>
      <c r="BJ786" s="18"/>
      <c r="BK786" s="18"/>
      <c r="BL786" s="18"/>
      <c r="BM786" s="18"/>
      <c r="BN786" s="18"/>
      <c r="BO786" s="18"/>
      <c r="BP786" s="18"/>
      <c r="BQ786" s="18"/>
      <c r="BR786" s="18"/>
      <c r="BS786" s="18"/>
      <c r="BT786" s="18"/>
      <c r="BU786" s="18"/>
      <c r="BV786" s="18"/>
    </row>
    <row r="787" spans="1:74">
      <c r="A787" s="18"/>
      <c r="B787" s="19"/>
      <c r="BG787" s="18"/>
      <c r="BH787" s="18"/>
      <c r="BI787" s="18"/>
      <c r="BJ787" s="18"/>
      <c r="BK787" s="18"/>
      <c r="BL787" s="18"/>
      <c r="BM787" s="18"/>
      <c r="BN787" s="18"/>
      <c r="BO787" s="18"/>
      <c r="BP787" s="18"/>
      <c r="BQ787" s="18"/>
      <c r="BR787" s="18"/>
      <c r="BS787" s="18"/>
      <c r="BT787" s="18"/>
      <c r="BU787" s="18"/>
      <c r="BV787" s="18"/>
    </row>
    <row r="788" spans="1:74">
      <c r="A788" s="18"/>
      <c r="B788" s="19"/>
      <c r="BG788" s="18"/>
      <c r="BH788" s="18"/>
      <c r="BI788" s="18"/>
      <c r="BJ788" s="18"/>
      <c r="BK788" s="18"/>
      <c r="BL788" s="18"/>
      <c r="BM788" s="18"/>
      <c r="BN788" s="18"/>
      <c r="BO788" s="18"/>
      <c r="BP788" s="18"/>
      <c r="BQ788" s="18"/>
      <c r="BR788" s="18"/>
      <c r="BS788" s="18"/>
      <c r="BT788" s="18"/>
      <c r="BU788" s="18"/>
      <c r="BV788" s="18"/>
    </row>
    <row r="789" spans="1:74">
      <c r="A789" s="18"/>
      <c r="B789" s="19"/>
      <c r="BG789" s="18"/>
      <c r="BH789" s="18"/>
      <c r="BI789" s="18"/>
      <c r="BJ789" s="18"/>
      <c r="BK789" s="18"/>
      <c r="BL789" s="18"/>
      <c r="BM789" s="18"/>
      <c r="BN789" s="18"/>
      <c r="BO789" s="18"/>
      <c r="BP789" s="18"/>
      <c r="BQ789" s="18"/>
      <c r="BR789" s="18"/>
      <c r="BS789" s="18"/>
      <c r="BT789" s="18"/>
      <c r="BU789" s="18"/>
      <c r="BV789" s="18"/>
    </row>
    <row r="790" spans="1:74">
      <c r="A790" s="18"/>
      <c r="B790" s="19"/>
      <c r="BG790" s="18"/>
      <c r="BH790" s="18"/>
      <c r="BI790" s="18"/>
      <c r="BJ790" s="18"/>
      <c r="BK790" s="18"/>
      <c r="BL790" s="18"/>
      <c r="BM790" s="18"/>
      <c r="BN790" s="18"/>
      <c r="BO790" s="18"/>
      <c r="BP790" s="18"/>
      <c r="BQ790" s="18"/>
      <c r="BR790" s="18"/>
      <c r="BS790" s="18"/>
      <c r="BT790" s="18"/>
      <c r="BU790" s="18"/>
      <c r="BV790" s="18"/>
    </row>
    <row r="791" spans="1:74">
      <c r="A791" s="18"/>
      <c r="B791" s="19"/>
      <c r="BG791" s="18"/>
      <c r="BH791" s="18"/>
      <c r="BI791" s="18"/>
      <c r="BJ791" s="18"/>
      <c r="BK791" s="18"/>
      <c r="BL791" s="18"/>
      <c r="BM791" s="18"/>
      <c r="BN791" s="18"/>
      <c r="BO791" s="18"/>
      <c r="BP791" s="18"/>
      <c r="BQ791" s="18"/>
      <c r="BR791" s="18"/>
      <c r="BS791" s="18"/>
      <c r="BT791" s="18"/>
      <c r="BU791" s="18"/>
      <c r="BV791" s="18"/>
    </row>
    <row r="792" spans="1:74">
      <c r="A792" s="18"/>
      <c r="B792" s="19"/>
      <c r="BG792" s="18"/>
      <c r="BH792" s="18"/>
      <c r="BI792" s="18"/>
      <c r="BJ792" s="18"/>
      <c r="BK792" s="18"/>
      <c r="BL792" s="18"/>
      <c r="BM792" s="18"/>
      <c r="BN792" s="18"/>
      <c r="BO792" s="18"/>
      <c r="BP792" s="18"/>
      <c r="BQ792" s="18"/>
      <c r="BR792" s="18"/>
      <c r="BS792" s="18"/>
      <c r="BT792" s="18"/>
      <c r="BU792" s="18"/>
      <c r="BV792" s="18"/>
    </row>
    <row r="793" spans="1:74">
      <c r="A793" s="18"/>
      <c r="B793" s="19"/>
      <c r="BG793" s="18"/>
      <c r="BH793" s="18"/>
      <c r="BI793" s="18"/>
      <c r="BJ793" s="18"/>
      <c r="BK793" s="18"/>
      <c r="BL793" s="18"/>
      <c r="BM793" s="18"/>
      <c r="BN793" s="18"/>
      <c r="BO793" s="18"/>
      <c r="BP793" s="18"/>
      <c r="BQ793" s="18"/>
      <c r="BR793" s="18"/>
      <c r="BS793" s="18"/>
      <c r="BT793" s="18"/>
      <c r="BU793" s="18"/>
      <c r="BV793" s="18"/>
    </row>
    <row r="794" spans="1:74">
      <c r="A794" s="18"/>
      <c r="B794" s="19"/>
      <c r="BG794" s="18"/>
      <c r="BH794" s="18"/>
      <c r="BI794" s="18"/>
      <c r="BJ794" s="18"/>
      <c r="BK794" s="18"/>
      <c r="BL794" s="18"/>
      <c r="BM794" s="18"/>
      <c r="BN794" s="18"/>
      <c r="BO794" s="18"/>
      <c r="BP794" s="18"/>
      <c r="BQ794" s="18"/>
      <c r="BR794" s="18"/>
      <c r="BS794" s="18"/>
      <c r="BT794" s="18"/>
      <c r="BU794" s="18"/>
      <c r="BV794" s="18"/>
    </row>
    <row r="795" spans="1:74">
      <c r="A795" s="18"/>
      <c r="B795" s="19"/>
      <c r="BG795" s="18"/>
      <c r="BH795" s="18"/>
      <c r="BI795" s="18"/>
      <c r="BJ795" s="18"/>
      <c r="BK795" s="18"/>
      <c r="BL795" s="18"/>
      <c r="BM795" s="18"/>
      <c r="BN795" s="18"/>
      <c r="BO795" s="18"/>
      <c r="BP795" s="18"/>
      <c r="BQ795" s="18"/>
      <c r="BR795" s="18"/>
      <c r="BS795" s="18"/>
      <c r="BT795" s="18"/>
      <c r="BU795" s="18"/>
      <c r="BV795" s="18"/>
    </row>
    <row r="796" spans="1:74">
      <c r="A796" s="18"/>
      <c r="B796" s="19"/>
      <c r="BG796" s="18"/>
      <c r="BH796" s="18"/>
      <c r="BI796" s="18"/>
      <c r="BJ796" s="18"/>
      <c r="BK796" s="18"/>
      <c r="BL796" s="18"/>
      <c r="BM796" s="18"/>
      <c r="BN796" s="18"/>
      <c r="BO796" s="18"/>
      <c r="BP796" s="18"/>
      <c r="BQ796" s="18"/>
      <c r="BR796" s="18"/>
      <c r="BS796" s="18"/>
      <c r="BT796" s="18"/>
      <c r="BU796" s="18"/>
      <c r="BV796" s="18"/>
    </row>
    <row r="797" spans="1:74">
      <c r="A797" s="18"/>
      <c r="B797" s="19"/>
      <c r="BG797" s="18"/>
      <c r="BH797" s="18"/>
      <c r="BI797" s="18"/>
      <c r="BJ797" s="18"/>
      <c r="BK797" s="18"/>
      <c r="BL797" s="18"/>
      <c r="BM797" s="18"/>
      <c r="BN797" s="18"/>
      <c r="BO797" s="18"/>
      <c r="BP797" s="18"/>
      <c r="BQ797" s="18"/>
      <c r="BR797" s="18"/>
      <c r="BS797" s="18"/>
      <c r="BT797" s="18"/>
      <c r="BU797" s="18"/>
      <c r="BV797" s="18"/>
    </row>
    <row r="798" spans="1:74">
      <c r="A798" s="18"/>
      <c r="B798" s="19"/>
      <c r="BG798" s="18"/>
      <c r="BH798" s="18"/>
      <c r="BI798" s="18"/>
      <c r="BJ798" s="18"/>
      <c r="BK798" s="18"/>
      <c r="BL798" s="18"/>
      <c r="BM798" s="18"/>
      <c r="BN798" s="18"/>
      <c r="BO798" s="18"/>
      <c r="BP798" s="18"/>
      <c r="BQ798" s="18"/>
      <c r="BR798" s="18"/>
      <c r="BS798" s="18"/>
      <c r="BT798" s="18"/>
      <c r="BU798" s="18"/>
      <c r="BV798" s="18"/>
    </row>
    <row r="799" spans="1:74">
      <c r="A799" s="18"/>
      <c r="B799" s="19"/>
      <c r="BG799" s="18"/>
      <c r="BH799" s="18"/>
      <c r="BI799" s="18"/>
      <c r="BJ799" s="18"/>
      <c r="BK799" s="18"/>
      <c r="BL799" s="18"/>
      <c r="BM799" s="18"/>
      <c r="BN799" s="18"/>
      <c r="BO799" s="18"/>
      <c r="BP799" s="18"/>
      <c r="BQ799" s="18"/>
      <c r="BR799" s="18"/>
      <c r="BS799" s="18"/>
      <c r="BT799" s="18"/>
      <c r="BU799" s="18"/>
      <c r="BV799" s="18"/>
    </row>
    <row r="800" spans="1:74">
      <c r="A800" s="18"/>
      <c r="B800" s="19"/>
      <c r="BG800" s="18"/>
      <c r="BH800" s="18"/>
      <c r="BI800" s="18"/>
      <c r="BJ800" s="18"/>
      <c r="BK800" s="18"/>
      <c r="BL800" s="18"/>
      <c r="BM800" s="18"/>
      <c r="BN800" s="18"/>
      <c r="BO800" s="18"/>
      <c r="BP800" s="18"/>
      <c r="BQ800" s="18"/>
      <c r="BR800" s="18"/>
      <c r="BS800" s="18"/>
      <c r="BT800" s="18"/>
      <c r="BU800" s="18"/>
      <c r="BV800" s="18"/>
    </row>
    <row r="801" spans="1:74">
      <c r="A801" s="18"/>
      <c r="B801" s="19"/>
      <c r="BG801" s="18"/>
      <c r="BH801" s="18"/>
      <c r="BI801" s="18"/>
      <c r="BJ801" s="18"/>
      <c r="BK801" s="18"/>
      <c r="BL801" s="18"/>
      <c r="BM801" s="18"/>
      <c r="BN801" s="18"/>
      <c r="BO801" s="18"/>
      <c r="BP801" s="18"/>
      <c r="BQ801" s="18"/>
      <c r="BR801" s="18"/>
      <c r="BS801" s="18"/>
      <c r="BT801" s="18"/>
      <c r="BU801" s="18"/>
      <c r="BV801" s="18"/>
    </row>
    <row r="802" spans="1:74">
      <c r="A802" s="18"/>
      <c r="B802" s="19"/>
      <c r="BG802" s="18"/>
      <c r="BH802" s="18"/>
      <c r="BI802" s="18"/>
      <c r="BJ802" s="18"/>
      <c r="BK802" s="18"/>
      <c r="BL802" s="18"/>
      <c r="BM802" s="18"/>
      <c r="BN802" s="18"/>
      <c r="BO802" s="18"/>
      <c r="BP802" s="18"/>
      <c r="BQ802" s="18"/>
      <c r="BR802" s="18"/>
      <c r="BS802" s="18"/>
      <c r="BT802" s="18"/>
      <c r="BU802" s="18"/>
      <c r="BV802" s="18"/>
    </row>
    <row r="803" spans="1:74">
      <c r="A803" s="18"/>
      <c r="B803" s="19"/>
      <c r="BG803" s="18"/>
      <c r="BH803" s="18"/>
      <c r="BI803" s="18"/>
      <c r="BJ803" s="18"/>
      <c r="BK803" s="18"/>
      <c r="BL803" s="18"/>
      <c r="BM803" s="18"/>
      <c r="BN803" s="18"/>
      <c r="BO803" s="18"/>
      <c r="BP803" s="18"/>
      <c r="BQ803" s="18"/>
      <c r="BR803" s="18"/>
      <c r="BS803" s="18"/>
      <c r="BT803" s="18"/>
      <c r="BU803" s="18"/>
      <c r="BV803" s="18"/>
    </row>
    <row r="804" spans="1:74">
      <c r="A804" s="18"/>
      <c r="B804" s="19"/>
      <c r="BG804" s="18"/>
      <c r="BH804" s="18"/>
      <c r="BI804" s="18"/>
      <c r="BJ804" s="18"/>
      <c r="BK804" s="18"/>
      <c r="BL804" s="18"/>
      <c r="BM804" s="18"/>
      <c r="BN804" s="18"/>
      <c r="BO804" s="18"/>
      <c r="BP804" s="18"/>
      <c r="BQ804" s="18"/>
      <c r="BR804" s="18"/>
      <c r="BS804" s="18"/>
      <c r="BT804" s="18"/>
      <c r="BU804" s="18"/>
      <c r="BV804" s="18"/>
    </row>
    <row r="805" spans="1:74">
      <c r="A805" s="18"/>
      <c r="B805" s="19"/>
      <c r="BG805" s="18"/>
      <c r="BH805" s="18"/>
      <c r="BI805" s="18"/>
      <c r="BJ805" s="18"/>
      <c r="BK805" s="18"/>
      <c r="BL805" s="18"/>
      <c r="BM805" s="18"/>
      <c r="BN805" s="18"/>
      <c r="BO805" s="18"/>
      <c r="BP805" s="18"/>
      <c r="BQ805" s="18"/>
      <c r="BR805" s="18"/>
      <c r="BS805" s="18"/>
      <c r="BT805" s="18"/>
      <c r="BU805" s="18"/>
      <c r="BV805" s="18"/>
    </row>
    <row r="806" spans="1:74">
      <c r="A806" s="18"/>
      <c r="B806" s="19"/>
      <c r="BG806" s="18"/>
      <c r="BH806" s="18"/>
      <c r="BI806" s="18"/>
      <c r="BJ806" s="18"/>
      <c r="BK806" s="18"/>
      <c r="BL806" s="18"/>
      <c r="BM806" s="18"/>
      <c r="BN806" s="18"/>
      <c r="BO806" s="18"/>
      <c r="BP806" s="18"/>
      <c r="BQ806" s="18"/>
      <c r="BR806" s="18"/>
      <c r="BS806" s="18"/>
      <c r="BT806" s="18"/>
      <c r="BU806" s="18"/>
      <c r="BV806" s="18"/>
    </row>
    <row r="807" spans="1:74">
      <c r="A807" s="18"/>
      <c r="B807" s="19"/>
      <c r="BG807" s="18"/>
      <c r="BH807" s="18"/>
      <c r="BI807" s="18"/>
      <c r="BJ807" s="18"/>
      <c r="BK807" s="18"/>
      <c r="BL807" s="18"/>
      <c r="BM807" s="18"/>
      <c r="BN807" s="18"/>
      <c r="BO807" s="18"/>
      <c r="BP807" s="18"/>
      <c r="BQ807" s="18"/>
      <c r="BR807" s="18"/>
      <c r="BS807" s="18"/>
      <c r="BT807" s="18"/>
      <c r="BU807" s="18"/>
      <c r="BV807" s="18"/>
    </row>
    <row r="808" spans="1:74">
      <c r="A808" s="18"/>
      <c r="B808" s="19"/>
      <c r="BG808" s="18"/>
      <c r="BH808" s="18"/>
      <c r="BI808" s="18"/>
      <c r="BJ808" s="18"/>
      <c r="BK808" s="18"/>
      <c r="BL808" s="18"/>
      <c r="BM808" s="18"/>
      <c r="BN808" s="18"/>
      <c r="BO808" s="18"/>
      <c r="BP808" s="18"/>
      <c r="BQ808" s="18"/>
      <c r="BR808" s="18"/>
      <c r="BS808" s="18"/>
      <c r="BT808" s="18"/>
      <c r="BU808" s="18"/>
      <c r="BV808" s="18"/>
    </row>
    <row r="809" spans="1:74">
      <c r="A809" s="18"/>
      <c r="B809" s="19"/>
      <c r="BG809" s="18"/>
      <c r="BH809" s="18"/>
      <c r="BI809" s="18"/>
      <c r="BJ809" s="18"/>
      <c r="BK809" s="18"/>
      <c r="BL809" s="18"/>
      <c r="BM809" s="18"/>
      <c r="BN809" s="18"/>
      <c r="BO809" s="18"/>
      <c r="BP809" s="18"/>
      <c r="BQ809" s="18"/>
      <c r="BR809" s="18"/>
      <c r="BS809" s="18"/>
      <c r="BT809" s="18"/>
      <c r="BU809" s="18"/>
      <c r="BV809" s="18"/>
    </row>
    <row r="810" spans="1:74">
      <c r="A810" s="18"/>
      <c r="B810" s="19"/>
      <c r="BG810" s="18"/>
      <c r="BH810" s="18"/>
      <c r="BI810" s="18"/>
      <c r="BJ810" s="18"/>
      <c r="BK810" s="18"/>
      <c r="BL810" s="18"/>
      <c r="BM810" s="18"/>
      <c r="BN810" s="18"/>
      <c r="BO810" s="18"/>
      <c r="BP810" s="18"/>
      <c r="BQ810" s="18"/>
      <c r="BR810" s="18"/>
      <c r="BS810" s="18"/>
      <c r="BT810" s="18"/>
      <c r="BU810" s="18"/>
      <c r="BV810" s="18"/>
    </row>
    <row r="811" spans="1:74">
      <c r="A811" s="18"/>
      <c r="B811" s="19"/>
      <c r="BG811" s="18"/>
      <c r="BH811" s="18"/>
      <c r="BI811" s="18"/>
      <c r="BJ811" s="18"/>
      <c r="BK811" s="18"/>
      <c r="BL811" s="18"/>
      <c r="BM811" s="18"/>
      <c r="BN811" s="18"/>
      <c r="BO811" s="18"/>
      <c r="BP811" s="18"/>
      <c r="BQ811" s="18"/>
      <c r="BR811" s="18"/>
      <c r="BS811" s="18"/>
      <c r="BT811" s="18"/>
      <c r="BU811" s="18"/>
      <c r="BV811" s="18"/>
    </row>
    <row r="812" spans="1:74">
      <c r="A812" s="18"/>
      <c r="B812" s="19"/>
      <c r="BG812" s="18"/>
      <c r="BH812" s="18"/>
      <c r="BI812" s="18"/>
      <c r="BJ812" s="18"/>
      <c r="BK812" s="18"/>
      <c r="BL812" s="18"/>
      <c r="BM812" s="18"/>
      <c r="BN812" s="18"/>
      <c r="BO812" s="18"/>
      <c r="BP812" s="18"/>
      <c r="BQ812" s="18"/>
      <c r="BR812" s="18"/>
      <c r="BS812" s="18"/>
      <c r="BT812" s="18"/>
      <c r="BU812" s="18"/>
      <c r="BV812" s="18"/>
    </row>
    <row r="813" spans="1:74">
      <c r="A813" s="18"/>
      <c r="B813" s="19"/>
      <c r="BG813" s="18"/>
      <c r="BH813" s="18"/>
      <c r="BI813" s="18"/>
      <c r="BJ813" s="18"/>
      <c r="BK813" s="18"/>
      <c r="BL813" s="18"/>
      <c r="BM813" s="18"/>
      <c r="BN813" s="18"/>
      <c r="BO813" s="18"/>
      <c r="BP813" s="18"/>
      <c r="BQ813" s="18"/>
      <c r="BR813" s="18"/>
      <c r="BS813" s="18"/>
      <c r="BT813" s="18"/>
      <c r="BU813" s="18"/>
      <c r="BV813" s="18"/>
    </row>
    <row r="814" spans="1:74">
      <c r="A814" s="18"/>
      <c r="B814" s="19"/>
      <c r="BG814" s="18"/>
      <c r="BH814" s="18"/>
      <c r="BI814" s="18"/>
      <c r="BJ814" s="18"/>
      <c r="BK814" s="18"/>
      <c r="BL814" s="18"/>
      <c r="BM814" s="18"/>
      <c r="BN814" s="18"/>
      <c r="BO814" s="18"/>
      <c r="BP814" s="18"/>
      <c r="BQ814" s="18"/>
      <c r="BR814" s="18"/>
      <c r="BS814" s="18"/>
      <c r="BT814" s="18"/>
      <c r="BU814" s="18"/>
      <c r="BV814" s="18"/>
    </row>
    <row r="815" spans="1:74">
      <c r="A815" s="18"/>
      <c r="B815" s="19"/>
      <c r="BG815" s="18"/>
      <c r="BH815" s="18"/>
      <c r="BI815" s="18"/>
      <c r="BJ815" s="18"/>
      <c r="BK815" s="18"/>
      <c r="BL815" s="18"/>
      <c r="BM815" s="18"/>
      <c r="BN815" s="18"/>
      <c r="BO815" s="18"/>
      <c r="BP815" s="18"/>
      <c r="BQ815" s="18"/>
      <c r="BR815" s="18"/>
      <c r="BS815" s="18"/>
      <c r="BT815" s="18"/>
      <c r="BU815" s="18"/>
      <c r="BV815" s="18"/>
    </row>
    <row r="816" spans="1:74">
      <c r="A816" s="18"/>
      <c r="B816" s="19"/>
      <c r="BG816" s="18"/>
      <c r="BH816" s="18"/>
      <c r="BI816" s="18"/>
      <c r="BJ816" s="18"/>
      <c r="BK816" s="18"/>
      <c r="BL816" s="18"/>
      <c r="BM816" s="18"/>
      <c r="BN816" s="18"/>
      <c r="BO816" s="18"/>
      <c r="BP816" s="18"/>
      <c r="BQ816" s="18"/>
      <c r="BR816" s="18"/>
      <c r="BS816" s="18"/>
      <c r="BT816" s="18"/>
      <c r="BU816" s="18"/>
      <c r="BV816" s="18"/>
    </row>
    <row r="817" spans="1:74">
      <c r="A817" s="18"/>
      <c r="B817" s="19"/>
      <c r="BG817" s="18"/>
      <c r="BH817" s="18"/>
      <c r="BI817" s="18"/>
      <c r="BJ817" s="18"/>
      <c r="BK817" s="18"/>
      <c r="BL817" s="18"/>
      <c r="BM817" s="18"/>
      <c r="BN817" s="18"/>
      <c r="BO817" s="18"/>
      <c r="BP817" s="18"/>
      <c r="BQ817" s="18"/>
      <c r="BR817" s="18"/>
      <c r="BS817" s="18"/>
      <c r="BT817" s="18"/>
      <c r="BU817" s="18"/>
      <c r="BV817" s="18"/>
    </row>
    <row r="818" spans="1:74">
      <c r="A818" s="18"/>
      <c r="B818" s="19"/>
      <c r="BG818" s="18"/>
      <c r="BH818" s="18"/>
      <c r="BI818" s="18"/>
      <c r="BJ818" s="18"/>
      <c r="BK818" s="18"/>
      <c r="BL818" s="18"/>
      <c r="BM818" s="18"/>
      <c r="BN818" s="18"/>
      <c r="BO818" s="18"/>
      <c r="BP818" s="18"/>
      <c r="BQ818" s="18"/>
      <c r="BR818" s="18"/>
      <c r="BS818" s="18"/>
      <c r="BT818" s="18"/>
      <c r="BU818" s="18"/>
      <c r="BV818" s="18"/>
    </row>
    <row r="819" spans="1:74">
      <c r="A819" s="18"/>
      <c r="B819" s="19"/>
      <c r="BG819" s="18"/>
      <c r="BH819" s="18"/>
      <c r="BI819" s="18"/>
      <c r="BJ819" s="18"/>
      <c r="BK819" s="18"/>
      <c r="BL819" s="18"/>
      <c r="BM819" s="18"/>
      <c r="BN819" s="18"/>
      <c r="BO819" s="18"/>
      <c r="BP819" s="18"/>
      <c r="BQ819" s="18"/>
      <c r="BR819" s="18"/>
      <c r="BS819" s="18"/>
      <c r="BT819" s="18"/>
      <c r="BU819" s="18"/>
      <c r="BV819" s="18"/>
    </row>
    <row r="820" spans="1:74">
      <c r="A820" s="18"/>
      <c r="B820" s="19"/>
      <c r="BG820" s="18"/>
      <c r="BH820" s="18"/>
      <c r="BI820" s="18"/>
      <c r="BJ820" s="18"/>
      <c r="BK820" s="18"/>
      <c r="BL820" s="18"/>
      <c r="BM820" s="18"/>
      <c r="BN820" s="18"/>
      <c r="BO820" s="18"/>
      <c r="BP820" s="18"/>
      <c r="BQ820" s="18"/>
      <c r="BR820" s="18"/>
      <c r="BS820" s="18"/>
      <c r="BT820" s="18"/>
      <c r="BU820" s="18"/>
      <c r="BV820" s="18"/>
    </row>
    <row r="821" spans="1:74">
      <c r="A821" s="18"/>
      <c r="B821" s="19"/>
      <c r="BG821" s="18"/>
      <c r="BH821" s="18"/>
      <c r="BI821" s="18"/>
      <c r="BJ821" s="18"/>
      <c r="BK821" s="18"/>
      <c r="BL821" s="18"/>
      <c r="BM821" s="18"/>
      <c r="BN821" s="18"/>
      <c r="BO821" s="18"/>
      <c r="BP821" s="18"/>
      <c r="BQ821" s="18"/>
      <c r="BR821" s="18"/>
      <c r="BS821" s="18"/>
      <c r="BT821" s="18"/>
      <c r="BU821" s="18"/>
      <c r="BV821" s="18"/>
    </row>
    <row r="822" spans="1:74">
      <c r="A822" s="18"/>
      <c r="B822" s="19"/>
      <c r="BG822" s="18"/>
      <c r="BH822" s="18"/>
      <c r="BI822" s="18"/>
      <c r="BJ822" s="18"/>
      <c r="BK822" s="18"/>
      <c r="BL822" s="18"/>
      <c r="BM822" s="18"/>
      <c r="BN822" s="18"/>
      <c r="BO822" s="18"/>
      <c r="BP822" s="18"/>
      <c r="BQ822" s="18"/>
      <c r="BR822" s="18"/>
      <c r="BS822" s="18"/>
      <c r="BT822" s="18"/>
      <c r="BU822" s="18"/>
      <c r="BV822" s="18"/>
    </row>
    <row r="823" spans="1:74">
      <c r="A823" s="18"/>
      <c r="B823" s="19"/>
      <c r="BG823" s="18"/>
      <c r="BH823" s="18"/>
      <c r="BI823" s="18"/>
      <c r="BJ823" s="18"/>
      <c r="BK823" s="18"/>
      <c r="BL823" s="18"/>
      <c r="BM823" s="18"/>
      <c r="BN823" s="18"/>
      <c r="BO823" s="18"/>
      <c r="BP823" s="18"/>
      <c r="BQ823" s="18"/>
      <c r="BR823" s="18"/>
      <c r="BS823" s="18"/>
      <c r="BT823" s="18"/>
      <c r="BU823" s="18"/>
      <c r="BV823" s="18"/>
    </row>
    <row r="824" spans="1:74">
      <c r="A824" s="18"/>
      <c r="B824" s="19"/>
      <c r="BG824" s="18"/>
      <c r="BH824" s="18"/>
      <c r="BI824" s="18"/>
      <c r="BJ824" s="18"/>
      <c r="BK824" s="18"/>
      <c r="BL824" s="18"/>
      <c r="BM824" s="18"/>
      <c r="BN824" s="18"/>
      <c r="BO824" s="18"/>
      <c r="BP824" s="18"/>
      <c r="BQ824" s="18"/>
      <c r="BR824" s="18"/>
      <c r="BS824" s="18"/>
      <c r="BT824" s="18"/>
      <c r="BU824" s="18"/>
      <c r="BV824" s="18"/>
    </row>
    <row r="825" spans="1:74">
      <c r="A825" s="18"/>
      <c r="B825" s="19"/>
      <c r="BG825" s="18"/>
      <c r="BH825" s="18"/>
      <c r="BI825" s="18"/>
      <c r="BJ825" s="18"/>
      <c r="BK825" s="18"/>
      <c r="BL825" s="18"/>
      <c r="BM825" s="18"/>
      <c r="BN825" s="18"/>
      <c r="BO825" s="18"/>
      <c r="BP825" s="18"/>
      <c r="BQ825" s="18"/>
      <c r="BR825" s="18"/>
      <c r="BS825" s="18"/>
      <c r="BT825" s="18"/>
      <c r="BU825" s="18"/>
      <c r="BV825" s="18"/>
    </row>
    <row r="826" spans="1:74">
      <c r="A826" s="18"/>
      <c r="B826" s="19"/>
      <c r="BG826" s="18"/>
      <c r="BH826" s="18"/>
      <c r="BI826" s="18"/>
      <c r="BJ826" s="18"/>
      <c r="BK826" s="18"/>
      <c r="BL826" s="18"/>
      <c r="BM826" s="18"/>
      <c r="BN826" s="18"/>
      <c r="BO826" s="18"/>
      <c r="BP826" s="18"/>
      <c r="BQ826" s="18"/>
      <c r="BR826" s="18"/>
      <c r="BS826" s="18"/>
      <c r="BT826" s="18"/>
      <c r="BU826" s="18"/>
      <c r="BV826" s="18"/>
    </row>
    <row r="827" spans="1:74">
      <c r="A827" s="18"/>
      <c r="B827" s="19"/>
      <c r="BG827" s="18"/>
      <c r="BH827" s="18"/>
      <c r="BI827" s="18"/>
      <c r="BJ827" s="18"/>
      <c r="BK827" s="18"/>
      <c r="BL827" s="18"/>
      <c r="BM827" s="18"/>
      <c r="BN827" s="18"/>
      <c r="BO827" s="18"/>
      <c r="BP827" s="18"/>
      <c r="BQ827" s="18"/>
      <c r="BR827" s="18"/>
      <c r="BS827" s="18"/>
      <c r="BT827" s="18"/>
      <c r="BU827" s="18"/>
      <c r="BV827" s="18"/>
    </row>
    <row r="828" spans="1:74">
      <c r="A828" s="18"/>
      <c r="B828" s="19"/>
      <c r="BG828" s="18"/>
      <c r="BH828" s="18"/>
      <c r="BI828" s="18"/>
      <c r="BJ828" s="18"/>
      <c r="BK828" s="18"/>
      <c r="BL828" s="18"/>
      <c r="BM828" s="18"/>
      <c r="BN828" s="18"/>
      <c r="BO828" s="18"/>
      <c r="BP828" s="18"/>
      <c r="BQ828" s="18"/>
      <c r="BR828" s="18"/>
      <c r="BS828" s="18"/>
      <c r="BT828" s="18"/>
      <c r="BU828" s="18"/>
      <c r="BV828" s="18"/>
    </row>
    <row r="829" spans="1:74">
      <c r="A829" s="18"/>
      <c r="B829" s="19"/>
      <c r="BG829" s="18"/>
      <c r="BH829" s="18"/>
      <c r="BI829" s="18"/>
      <c r="BJ829" s="18"/>
      <c r="BK829" s="18"/>
      <c r="BL829" s="18"/>
      <c r="BM829" s="18"/>
      <c r="BN829" s="18"/>
      <c r="BO829" s="18"/>
      <c r="BP829" s="18"/>
      <c r="BQ829" s="18"/>
      <c r="BR829" s="18"/>
      <c r="BS829" s="18"/>
      <c r="BT829" s="18"/>
      <c r="BU829" s="18"/>
      <c r="BV829" s="18"/>
    </row>
    <row r="830" spans="1:74">
      <c r="A830" s="18"/>
      <c r="B830" s="19"/>
      <c r="BG830" s="18"/>
      <c r="BH830" s="18"/>
      <c r="BI830" s="18"/>
      <c r="BJ830" s="18"/>
      <c r="BK830" s="18"/>
      <c r="BL830" s="18"/>
      <c r="BM830" s="18"/>
      <c r="BN830" s="18"/>
      <c r="BO830" s="18"/>
      <c r="BP830" s="18"/>
      <c r="BQ830" s="18"/>
      <c r="BR830" s="18"/>
      <c r="BS830" s="18"/>
      <c r="BT830" s="18"/>
      <c r="BU830" s="18"/>
      <c r="BV830" s="18"/>
    </row>
    <row r="831" spans="1:74">
      <c r="A831" s="18"/>
      <c r="B831" s="19"/>
      <c r="BG831" s="18"/>
      <c r="BH831" s="18"/>
      <c r="BI831" s="18"/>
      <c r="BJ831" s="18"/>
      <c r="BK831" s="18"/>
      <c r="BL831" s="18"/>
      <c r="BM831" s="18"/>
      <c r="BN831" s="18"/>
      <c r="BO831" s="18"/>
      <c r="BP831" s="18"/>
      <c r="BQ831" s="18"/>
      <c r="BR831" s="18"/>
      <c r="BS831" s="18"/>
      <c r="BT831" s="18"/>
      <c r="BU831" s="18"/>
      <c r="BV831" s="18"/>
    </row>
    <row r="832" spans="1:74">
      <c r="A832" s="18"/>
      <c r="B832" s="19"/>
      <c r="BG832" s="18"/>
      <c r="BH832" s="18"/>
      <c r="BI832" s="18"/>
      <c r="BJ832" s="18"/>
      <c r="BK832" s="18"/>
      <c r="BL832" s="18"/>
      <c r="BM832" s="18"/>
      <c r="BN832" s="18"/>
      <c r="BO832" s="18"/>
      <c r="BP832" s="18"/>
      <c r="BQ832" s="18"/>
      <c r="BR832" s="18"/>
      <c r="BS832" s="18"/>
      <c r="BT832" s="18"/>
      <c r="BU832" s="18"/>
      <c r="BV832" s="18"/>
    </row>
    <row r="833" spans="1:74">
      <c r="A833" s="18"/>
      <c r="B833" s="19"/>
      <c r="BG833" s="18"/>
      <c r="BH833" s="18"/>
      <c r="BI833" s="18"/>
      <c r="BJ833" s="18"/>
      <c r="BK833" s="18"/>
      <c r="BL833" s="18"/>
      <c r="BM833" s="18"/>
      <c r="BN833" s="18"/>
      <c r="BO833" s="18"/>
      <c r="BP833" s="18"/>
      <c r="BQ833" s="18"/>
      <c r="BR833" s="18"/>
      <c r="BS833" s="18"/>
      <c r="BT833" s="18"/>
      <c r="BU833" s="18"/>
      <c r="BV833" s="18"/>
    </row>
    <row r="834" spans="1:74">
      <c r="A834" s="18"/>
      <c r="B834" s="19"/>
      <c r="BG834" s="18"/>
      <c r="BH834" s="18"/>
      <c r="BI834" s="18"/>
      <c r="BJ834" s="18"/>
      <c r="BK834" s="18"/>
      <c r="BL834" s="18"/>
      <c r="BM834" s="18"/>
      <c r="BN834" s="18"/>
      <c r="BO834" s="18"/>
      <c r="BP834" s="18"/>
      <c r="BQ834" s="18"/>
      <c r="BR834" s="18"/>
      <c r="BS834" s="18"/>
      <c r="BT834" s="18"/>
      <c r="BU834" s="18"/>
      <c r="BV834" s="18"/>
    </row>
    <row r="835" spans="1:74">
      <c r="A835" s="18"/>
      <c r="B835" s="19"/>
      <c r="BG835" s="18"/>
      <c r="BH835" s="18"/>
      <c r="BI835" s="18"/>
      <c r="BJ835" s="18"/>
      <c r="BK835" s="18"/>
      <c r="BL835" s="18"/>
      <c r="BM835" s="18"/>
      <c r="BN835" s="18"/>
      <c r="BO835" s="18"/>
      <c r="BP835" s="18"/>
      <c r="BQ835" s="18"/>
      <c r="BR835" s="18"/>
      <c r="BS835" s="18"/>
      <c r="BT835" s="18"/>
      <c r="BU835" s="18"/>
      <c r="BV835" s="18"/>
    </row>
    <row r="836" spans="1:74">
      <c r="A836" s="18"/>
      <c r="B836" s="19"/>
      <c r="BG836" s="18"/>
      <c r="BH836" s="18"/>
      <c r="BI836" s="18"/>
      <c r="BJ836" s="18"/>
      <c r="BK836" s="18"/>
      <c r="BL836" s="18"/>
      <c r="BM836" s="18"/>
      <c r="BN836" s="18"/>
      <c r="BO836" s="18"/>
      <c r="BP836" s="18"/>
      <c r="BQ836" s="18"/>
      <c r="BR836" s="18"/>
      <c r="BS836" s="18"/>
      <c r="BT836" s="18"/>
      <c r="BU836" s="18"/>
      <c r="BV836" s="18"/>
    </row>
    <row r="837" spans="1:74">
      <c r="A837" s="18"/>
      <c r="B837" s="19"/>
      <c r="BG837" s="18"/>
      <c r="BH837" s="18"/>
      <c r="BI837" s="18"/>
      <c r="BJ837" s="18"/>
      <c r="BK837" s="18"/>
      <c r="BL837" s="18"/>
      <c r="BM837" s="18"/>
      <c r="BN837" s="18"/>
      <c r="BO837" s="18"/>
      <c r="BP837" s="18"/>
      <c r="BQ837" s="18"/>
      <c r="BR837" s="18"/>
      <c r="BS837" s="18"/>
      <c r="BT837" s="18"/>
      <c r="BU837" s="18"/>
      <c r="BV837" s="18"/>
    </row>
    <row r="838" spans="1:74">
      <c r="A838" s="18"/>
      <c r="B838" s="19"/>
      <c r="BG838" s="18"/>
      <c r="BH838" s="18"/>
      <c r="BI838" s="18"/>
      <c r="BJ838" s="18"/>
      <c r="BK838" s="18"/>
      <c r="BL838" s="18"/>
      <c r="BM838" s="18"/>
      <c r="BN838" s="18"/>
      <c r="BO838" s="18"/>
      <c r="BP838" s="18"/>
      <c r="BQ838" s="18"/>
      <c r="BR838" s="18"/>
      <c r="BS838" s="18"/>
      <c r="BT838" s="18"/>
      <c r="BU838" s="18"/>
      <c r="BV838" s="18"/>
    </row>
    <row r="839" spans="1:74">
      <c r="A839" s="18"/>
      <c r="B839" s="19"/>
      <c r="BG839" s="18"/>
      <c r="BH839" s="18"/>
      <c r="BI839" s="18"/>
      <c r="BJ839" s="18"/>
      <c r="BK839" s="18"/>
      <c r="BL839" s="18"/>
      <c r="BM839" s="18"/>
      <c r="BN839" s="18"/>
      <c r="BO839" s="18"/>
      <c r="BP839" s="18"/>
      <c r="BQ839" s="18"/>
      <c r="BR839" s="18"/>
      <c r="BS839" s="18"/>
      <c r="BT839" s="18"/>
      <c r="BU839" s="18"/>
      <c r="BV839" s="18"/>
    </row>
    <row r="840" spans="1:74">
      <c r="A840" s="18"/>
      <c r="B840" s="19"/>
      <c r="BG840" s="18"/>
      <c r="BH840" s="18"/>
      <c r="BI840" s="18"/>
      <c r="BJ840" s="18"/>
      <c r="BK840" s="18"/>
      <c r="BL840" s="18"/>
      <c r="BM840" s="18"/>
      <c r="BN840" s="18"/>
      <c r="BO840" s="18"/>
      <c r="BP840" s="18"/>
      <c r="BQ840" s="18"/>
      <c r="BR840" s="18"/>
      <c r="BS840" s="18"/>
      <c r="BT840" s="18"/>
      <c r="BU840" s="18"/>
      <c r="BV840" s="18"/>
    </row>
    <row r="841" spans="1:74">
      <c r="A841" s="18"/>
      <c r="B841" s="19"/>
      <c r="BG841" s="18"/>
      <c r="BH841" s="18"/>
      <c r="BI841" s="18"/>
      <c r="BJ841" s="18"/>
      <c r="BK841" s="18"/>
      <c r="BL841" s="18"/>
      <c r="BM841" s="18"/>
      <c r="BN841" s="18"/>
      <c r="BO841" s="18"/>
      <c r="BP841" s="18"/>
      <c r="BQ841" s="18"/>
      <c r="BR841" s="18"/>
      <c r="BS841" s="18"/>
      <c r="BT841" s="18"/>
      <c r="BU841" s="18"/>
      <c r="BV841" s="18"/>
    </row>
    <row r="842" spans="1:74">
      <c r="A842" s="18"/>
      <c r="B842" s="19"/>
      <c r="BG842" s="18"/>
      <c r="BH842" s="18"/>
      <c r="BI842" s="18"/>
      <c r="BJ842" s="18"/>
      <c r="BK842" s="18"/>
      <c r="BL842" s="18"/>
      <c r="BM842" s="18"/>
      <c r="BN842" s="18"/>
      <c r="BO842" s="18"/>
      <c r="BP842" s="18"/>
      <c r="BQ842" s="18"/>
      <c r="BR842" s="18"/>
      <c r="BS842" s="18"/>
      <c r="BT842" s="18"/>
      <c r="BU842" s="18"/>
      <c r="BV842" s="18"/>
    </row>
    <row r="843" spans="1:74">
      <c r="A843" s="18"/>
      <c r="B843" s="19"/>
      <c r="BG843" s="18"/>
      <c r="BH843" s="18"/>
      <c r="BI843" s="18"/>
      <c r="BJ843" s="18"/>
      <c r="BK843" s="18"/>
      <c r="BL843" s="18"/>
      <c r="BM843" s="18"/>
      <c r="BN843" s="18"/>
      <c r="BO843" s="18"/>
      <c r="BP843" s="18"/>
      <c r="BQ843" s="18"/>
      <c r="BR843" s="18"/>
      <c r="BS843" s="18"/>
      <c r="BT843" s="18"/>
      <c r="BU843" s="18"/>
      <c r="BV843" s="18"/>
    </row>
    <row r="844" spans="1:74">
      <c r="A844" s="18"/>
      <c r="B844" s="19"/>
      <c r="BG844" s="18"/>
      <c r="BH844" s="18"/>
      <c r="BI844" s="18"/>
      <c r="BJ844" s="18"/>
      <c r="BK844" s="18"/>
      <c r="BL844" s="18"/>
      <c r="BM844" s="18"/>
      <c r="BN844" s="18"/>
      <c r="BO844" s="18"/>
      <c r="BP844" s="18"/>
      <c r="BQ844" s="18"/>
      <c r="BR844" s="18"/>
      <c r="BS844" s="18"/>
      <c r="BT844" s="18"/>
      <c r="BU844" s="18"/>
      <c r="BV844" s="18"/>
    </row>
    <row r="845" spans="1:74">
      <c r="A845" s="18"/>
      <c r="B845" s="19"/>
      <c r="BG845" s="18"/>
      <c r="BH845" s="18"/>
      <c r="BI845" s="18"/>
      <c r="BJ845" s="18"/>
      <c r="BK845" s="18"/>
      <c r="BL845" s="18"/>
      <c r="BM845" s="18"/>
      <c r="BN845" s="18"/>
      <c r="BO845" s="18"/>
      <c r="BP845" s="18"/>
      <c r="BQ845" s="18"/>
      <c r="BR845" s="18"/>
      <c r="BS845" s="18"/>
      <c r="BT845" s="18"/>
      <c r="BU845" s="18"/>
      <c r="BV845" s="18"/>
    </row>
    <row r="846" spans="1:74">
      <c r="A846" s="18"/>
      <c r="B846" s="19"/>
      <c r="BG846" s="18"/>
      <c r="BH846" s="18"/>
      <c r="BI846" s="18"/>
      <c r="BJ846" s="18"/>
      <c r="BK846" s="18"/>
      <c r="BL846" s="18"/>
      <c r="BM846" s="18"/>
      <c r="BN846" s="18"/>
      <c r="BO846" s="18"/>
      <c r="BP846" s="18"/>
      <c r="BQ846" s="18"/>
      <c r="BR846" s="18"/>
      <c r="BS846" s="18"/>
      <c r="BT846" s="18"/>
      <c r="BU846" s="18"/>
      <c r="BV846" s="18"/>
    </row>
    <row r="847" spans="1:74">
      <c r="A847" s="18"/>
      <c r="B847" s="19"/>
      <c r="BG847" s="18"/>
      <c r="BH847" s="18"/>
      <c r="BI847" s="18"/>
      <c r="BJ847" s="18"/>
      <c r="BK847" s="18"/>
      <c r="BL847" s="18"/>
      <c r="BM847" s="18"/>
      <c r="BN847" s="18"/>
      <c r="BO847" s="18"/>
      <c r="BP847" s="18"/>
      <c r="BQ847" s="18"/>
      <c r="BR847" s="18"/>
      <c r="BS847" s="18"/>
      <c r="BT847" s="18"/>
      <c r="BU847" s="18"/>
      <c r="BV847" s="18"/>
    </row>
    <row r="848" spans="1:74">
      <c r="A848" s="18"/>
      <c r="B848" s="19"/>
      <c r="BG848" s="18"/>
      <c r="BH848" s="18"/>
      <c r="BI848" s="18"/>
      <c r="BJ848" s="18"/>
      <c r="BK848" s="18"/>
      <c r="BL848" s="18"/>
      <c r="BM848" s="18"/>
      <c r="BN848" s="18"/>
      <c r="BO848" s="18"/>
      <c r="BP848" s="18"/>
      <c r="BQ848" s="18"/>
      <c r="BR848" s="18"/>
      <c r="BS848" s="18"/>
      <c r="BT848" s="18"/>
      <c r="BU848" s="18"/>
      <c r="BV848" s="18"/>
    </row>
    <row r="849" spans="1:74">
      <c r="A849" s="18"/>
      <c r="B849" s="19"/>
      <c r="BG849" s="18"/>
      <c r="BH849" s="18"/>
      <c r="BI849" s="18"/>
      <c r="BJ849" s="18"/>
      <c r="BK849" s="18"/>
      <c r="BL849" s="18"/>
      <c r="BM849" s="18"/>
      <c r="BN849" s="18"/>
      <c r="BO849" s="18"/>
      <c r="BP849" s="18"/>
      <c r="BQ849" s="18"/>
      <c r="BR849" s="18"/>
      <c r="BS849" s="18"/>
      <c r="BT849" s="18"/>
      <c r="BU849" s="18"/>
      <c r="BV849" s="18"/>
    </row>
    <row r="850" spans="1:74">
      <c r="A850" s="18"/>
      <c r="B850" s="19"/>
      <c r="BG850" s="18"/>
      <c r="BH850" s="18"/>
      <c r="BI850" s="18"/>
      <c r="BJ850" s="18"/>
      <c r="BK850" s="18"/>
      <c r="BL850" s="18"/>
      <c r="BM850" s="18"/>
      <c r="BN850" s="18"/>
      <c r="BO850" s="18"/>
      <c r="BP850" s="18"/>
      <c r="BQ850" s="18"/>
      <c r="BR850" s="18"/>
      <c r="BS850" s="18"/>
      <c r="BT850" s="18"/>
      <c r="BU850" s="18"/>
      <c r="BV850" s="18"/>
    </row>
    <row r="851" spans="1:74">
      <c r="A851" s="18"/>
      <c r="B851" s="19"/>
      <c r="BG851" s="18"/>
      <c r="BH851" s="18"/>
      <c r="BI851" s="18"/>
      <c r="BJ851" s="18"/>
      <c r="BK851" s="18"/>
      <c r="BL851" s="18"/>
      <c r="BM851" s="18"/>
      <c r="BN851" s="18"/>
      <c r="BO851" s="18"/>
      <c r="BP851" s="18"/>
      <c r="BQ851" s="18"/>
      <c r="BR851" s="18"/>
      <c r="BS851" s="18"/>
      <c r="BT851" s="18"/>
      <c r="BU851" s="18"/>
      <c r="BV851" s="18"/>
    </row>
    <row r="852" spans="1:74">
      <c r="A852" s="18"/>
      <c r="B852" s="19"/>
      <c r="BG852" s="18"/>
      <c r="BH852" s="18"/>
      <c r="BI852" s="18"/>
      <c r="BJ852" s="18"/>
      <c r="BK852" s="18"/>
      <c r="BL852" s="18"/>
      <c r="BM852" s="18"/>
      <c r="BN852" s="18"/>
      <c r="BO852" s="18"/>
      <c r="BP852" s="18"/>
      <c r="BQ852" s="18"/>
      <c r="BR852" s="18"/>
      <c r="BS852" s="18"/>
      <c r="BT852" s="18"/>
      <c r="BU852" s="18"/>
      <c r="BV852" s="18"/>
    </row>
    <row r="853" spans="1:74">
      <c r="A853" s="18"/>
      <c r="B853" s="19"/>
      <c r="BG853" s="18"/>
      <c r="BH853" s="18"/>
      <c r="BI853" s="18"/>
      <c r="BJ853" s="18"/>
      <c r="BK853" s="18"/>
      <c r="BL853" s="18"/>
      <c r="BM853" s="18"/>
      <c r="BN853" s="18"/>
      <c r="BO853" s="18"/>
      <c r="BP853" s="18"/>
      <c r="BQ853" s="18"/>
      <c r="BR853" s="18"/>
      <c r="BS853" s="18"/>
      <c r="BT853" s="18"/>
      <c r="BU853" s="18"/>
      <c r="BV853" s="18"/>
    </row>
    <row r="854" spans="1:74">
      <c r="A854" s="18"/>
      <c r="B854" s="19"/>
      <c r="BG854" s="18"/>
      <c r="BH854" s="18"/>
      <c r="BI854" s="18"/>
      <c r="BJ854" s="18"/>
      <c r="BK854" s="18"/>
      <c r="BL854" s="18"/>
      <c r="BM854" s="18"/>
      <c r="BN854" s="18"/>
      <c r="BO854" s="18"/>
      <c r="BP854" s="18"/>
      <c r="BQ854" s="18"/>
      <c r="BR854" s="18"/>
      <c r="BS854" s="18"/>
      <c r="BT854" s="18"/>
      <c r="BU854" s="18"/>
      <c r="BV854" s="18"/>
    </row>
    <row r="855" spans="1:74">
      <c r="A855" s="18"/>
      <c r="B855" s="19"/>
      <c r="BG855" s="18"/>
      <c r="BH855" s="18"/>
      <c r="BI855" s="18"/>
      <c r="BJ855" s="18"/>
      <c r="BK855" s="18"/>
      <c r="BL855" s="18"/>
      <c r="BM855" s="18"/>
      <c r="BN855" s="18"/>
      <c r="BO855" s="18"/>
      <c r="BP855" s="18"/>
      <c r="BQ855" s="18"/>
      <c r="BR855" s="18"/>
      <c r="BS855" s="18"/>
      <c r="BT855" s="18"/>
      <c r="BU855" s="18"/>
      <c r="BV855" s="18"/>
    </row>
    <row r="856" spans="1:74">
      <c r="A856" s="18"/>
      <c r="B856" s="19"/>
      <c r="BG856" s="18"/>
      <c r="BH856" s="18"/>
      <c r="BI856" s="18"/>
      <c r="BJ856" s="18"/>
      <c r="BK856" s="18"/>
      <c r="BL856" s="18"/>
      <c r="BM856" s="18"/>
      <c r="BN856" s="18"/>
      <c r="BO856" s="18"/>
      <c r="BP856" s="18"/>
      <c r="BQ856" s="18"/>
      <c r="BR856" s="18"/>
      <c r="BS856" s="18"/>
      <c r="BT856" s="18"/>
      <c r="BU856" s="18"/>
      <c r="BV856" s="18"/>
    </row>
    <row r="857" spans="1:74">
      <c r="A857" s="18"/>
      <c r="B857" s="19"/>
      <c r="BG857" s="18"/>
      <c r="BH857" s="18"/>
      <c r="BI857" s="18"/>
      <c r="BJ857" s="18"/>
      <c r="BK857" s="18"/>
      <c r="BL857" s="18"/>
      <c r="BM857" s="18"/>
      <c r="BN857" s="18"/>
      <c r="BO857" s="18"/>
      <c r="BP857" s="18"/>
      <c r="BQ857" s="18"/>
      <c r="BR857" s="18"/>
      <c r="BS857" s="18"/>
      <c r="BT857" s="18"/>
      <c r="BU857" s="18"/>
      <c r="BV857" s="18"/>
    </row>
    <row r="858" spans="1:74">
      <c r="A858" s="18"/>
      <c r="B858" s="19"/>
      <c r="BG858" s="18"/>
      <c r="BH858" s="18"/>
      <c r="BI858" s="18"/>
      <c r="BJ858" s="18"/>
      <c r="BK858" s="18"/>
      <c r="BL858" s="18"/>
      <c r="BM858" s="18"/>
      <c r="BN858" s="18"/>
      <c r="BO858" s="18"/>
      <c r="BP858" s="18"/>
      <c r="BQ858" s="18"/>
      <c r="BR858" s="18"/>
      <c r="BS858" s="18"/>
      <c r="BT858" s="18"/>
      <c r="BU858" s="18"/>
      <c r="BV858" s="18"/>
    </row>
    <row r="859" spans="1:74">
      <c r="A859" s="18"/>
      <c r="B859" s="19"/>
      <c r="BG859" s="18"/>
      <c r="BH859" s="18"/>
      <c r="BI859" s="18"/>
      <c r="BJ859" s="18"/>
      <c r="BK859" s="18"/>
      <c r="BL859" s="18"/>
      <c r="BM859" s="18"/>
      <c r="BN859" s="18"/>
      <c r="BO859" s="18"/>
      <c r="BP859" s="18"/>
      <c r="BQ859" s="18"/>
      <c r="BR859" s="18"/>
      <c r="BS859" s="18"/>
      <c r="BT859" s="18"/>
      <c r="BU859" s="18"/>
      <c r="BV859" s="18"/>
    </row>
    <row r="860" spans="1:74">
      <c r="A860" s="18"/>
      <c r="B860" s="19"/>
      <c r="BG860" s="18"/>
      <c r="BH860" s="18"/>
      <c r="BI860" s="18"/>
      <c r="BJ860" s="18"/>
      <c r="BK860" s="18"/>
      <c r="BL860" s="18"/>
      <c r="BM860" s="18"/>
      <c r="BN860" s="18"/>
      <c r="BO860" s="18"/>
      <c r="BP860" s="18"/>
      <c r="BQ860" s="18"/>
      <c r="BR860" s="18"/>
      <c r="BS860" s="18"/>
      <c r="BT860" s="18"/>
      <c r="BU860" s="18"/>
      <c r="BV860" s="18"/>
    </row>
    <row r="861" spans="1:74">
      <c r="A861" s="18"/>
      <c r="B861" s="19"/>
      <c r="BG861" s="18"/>
      <c r="BH861" s="18"/>
      <c r="BI861" s="18"/>
      <c r="BJ861" s="18"/>
      <c r="BK861" s="18"/>
      <c r="BL861" s="18"/>
      <c r="BM861" s="18"/>
      <c r="BN861" s="18"/>
      <c r="BO861" s="18"/>
      <c r="BP861" s="18"/>
      <c r="BQ861" s="18"/>
      <c r="BR861" s="18"/>
      <c r="BS861" s="18"/>
      <c r="BT861" s="18"/>
      <c r="BU861" s="18"/>
      <c r="BV861" s="18"/>
    </row>
    <row r="862" spans="1:74">
      <c r="A862" s="18"/>
      <c r="B862" s="19"/>
      <c r="BG862" s="18"/>
      <c r="BH862" s="18"/>
      <c r="BI862" s="18"/>
      <c r="BJ862" s="18"/>
      <c r="BK862" s="18"/>
      <c r="BL862" s="18"/>
      <c r="BM862" s="18"/>
      <c r="BN862" s="18"/>
      <c r="BO862" s="18"/>
      <c r="BP862" s="18"/>
      <c r="BQ862" s="18"/>
      <c r="BR862" s="18"/>
      <c r="BS862" s="18"/>
      <c r="BT862" s="18"/>
      <c r="BU862" s="18"/>
      <c r="BV862" s="18"/>
    </row>
    <row r="863" spans="1:74">
      <c r="A863" s="18"/>
      <c r="B863" s="19"/>
      <c r="BG863" s="18"/>
      <c r="BH863" s="18"/>
      <c r="BI863" s="18"/>
      <c r="BJ863" s="18"/>
      <c r="BK863" s="18"/>
      <c r="BL863" s="18"/>
      <c r="BM863" s="18"/>
      <c r="BN863" s="18"/>
      <c r="BO863" s="18"/>
      <c r="BP863" s="18"/>
      <c r="BQ863" s="18"/>
      <c r="BR863" s="18"/>
      <c r="BS863" s="18"/>
      <c r="BT863" s="18"/>
      <c r="BU863" s="18"/>
      <c r="BV863" s="18"/>
    </row>
    <row r="864" spans="1:74">
      <c r="A864" s="18"/>
      <c r="B864" s="19"/>
      <c r="BG864" s="18"/>
      <c r="BH864" s="18"/>
      <c r="BI864" s="18"/>
      <c r="BJ864" s="18"/>
      <c r="BK864" s="18"/>
      <c r="BL864" s="18"/>
      <c r="BM864" s="18"/>
      <c r="BN864" s="18"/>
      <c r="BO864" s="18"/>
      <c r="BP864" s="18"/>
      <c r="BQ864" s="18"/>
      <c r="BR864" s="18"/>
      <c r="BS864" s="18"/>
      <c r="BT864" s="18"/>
      <c r="BU864" s="18"/>
      <c r="BV864" s="18"/>
    </row>
    <row r="865" spans="1:74">
      <c r="A865" s="18"/>
      <c r="B865" s="19"/>
      <c r="BG865" s="18"/>
      <c r="BH865" s="18"/>
      <c r="BI865" s="18"/>
      <c r="BJ865" s="18"/>
      <c r="BK865" s="18"/>
      <c r="BL865" s="18"/>
      <c r="BM865" s="18"/>
      <c r="BN865" s="18"/>
      <c r="BO865" s="18"/>
      <c r="BP865" s="18"/>
      <c r="BQ865" s="18"/>
      <c r="BR865" s="18"/>
      <c r="BS865" s="18"/>
      <c r="BT865" s="18"/>
      <c r="BU865" s="18"/>
      <c r="BV865" s="18"/>
    </row>
    <row r="866" spans="1:74">
      <c r="A866" s="18"/>
      <c r="B866" s="19"/>
      <c r="BG866" s="18"/>
      <c r="BH866" s="18"/>
      <c r="BI866" s="18"/>
      <c r="BJ866" s="18"/>
      <c r="BK866" s="18"/>
      <c r="BL866" s="18"/>
      <c r="BM866" s="18"/>
      <c r="BN866" s="18"/>
      <c r="BO866" s="18"/>
      <c r="BP866" s="18"/>
      <c r="BQ866" s="18"/>
      <c r="BR866" s="18"/>
      <c r="BS866" s="18"/>
      <c r="BT866" s="18"/>
      <c r="BU866" s="18"/>
      <c r="BV866" s="18"/>
    </row>
    <row r="867" spans="1:74">
      <c r="A867" s="18"/>
      <c r="B867" s="19"/>
      <c r="BG867" s="18"/>
      <c r="BH867" s="18"/>
      <c r="BI867" s="18"/>
      <c r="BJ867" s="18"/>
      <c r="BK867" s="18"/>
      <c r="BL867" s="18"/>
      <c r="BM867" s="18"/>
      <c r="BN867" s="18"/>
      <c r="BO867" s="18"/>
      <c r="BP867" s="18"/>
      <c r="BQ867" s="18"/>
      <c r="BR867" s="18"/>
      <c r="BS867" s="18"/>
      <c r="BT867" s="18"/>
      <c r="BU867" s="18"/>
      <c r="BV867" s="18"/>
    </row>
    <row r="868" spans="1:74">
      <c r="A868" s="18"/>
      <c r="B868" s="19"/>
      <c r="BG868" s="18"/>
      <c r="BH868" s="18"/>
      <c r="BI868" s="18"/>
      <c r="BJ868" s="18"/>
      <c r="BK868" s="18"/>
      <c r="BL868" s="18"/>
      <c r="BM868" s="18"/>
      <c r="BN868" s="18"/>
      <c r="BO868" s="18"/>
      <c r="BP868" s="18"/>
      <c r="BQ868" s="18"/>
      <c r="BR868" s="18"/>
      <c r="BS868" s="18"/>
      <c r="BT868" s="18"/>
      <c r="BU868" s="18"/>
      <c r="BV868" s="18"/>
    </row>
    <row r="869" spans="1:74">
      <c r="A869" s="18"/>
      <c r="B869" s="19"/>
      <c r="BG869" s="18"/>
      <c r="BH869" s="18"/>
      <c r="BI869" s="18"/>
      <c r="BJ869" s="18"/>
      <c r="BK869" s="18"/>
      <c r="BL869" s="18"/>
      <c r="BM869" s="18"/>
      <c r="BN869" s="18"/>
      <c r="BO869" s="18"/>
      <c r="BP869" s="18"/>
      <c r="BQ869" s="18"/>
      <c r="BR869" s="18"/>
      <c r="BS869" s="18"/>
      <c r="BT869" s="18"/>
      <c r="BU869" s="18"/>
      <c r="BV869" s="18"/>
    </row>
    <row r="870" spans="1:74">
      <c r="A870" s="18"/>
      <c r="B870" s="19"/>
      <c r="BG870" s="18"/>
      <c r="BH870" s="18"/>
      <c r="BI870" s="18"/>
      <c r="BJ870" s="18"/>
      <c r="BK870" s="18"/>
      <c r="BL870" s="18"/>
      <c r="BM870" s="18"/>
      <c r="BN870" s="18"/>
      <c r="BO870" s="18"/>
      <c r="BP870" s="18"/>
      <c r="BQ870" s="18"/>
      <c r="BR870" s="18"/>
      <c r="BS870" s="18"/>
      <c r="BT870" s="18"/>
      <c r="BU870" s="18"/>
      <c r="BV870" s="18"/>
    </row>
    <row r="871" spans="1:74">
      <c r="A871" s="18"/>
      <c r="B871" s="19"/>
      <c r="BG871" s="18"/>
      <c r="BH871" s="18"/>
      <c r="BI871" s="18"/>
      <c r="BJ871" s="18"/>
      <c r="BK871" s="18"/>
      <c r="BL871" s="18"/>
      <c r="BM871" s="18"/>
      <c r="BN871" s="18"/>
      <c r="BO871" s="18"/>
      <c r="BP871" s="18"/>
      <c r="BQ871" s="18"/>
      <c r="BR871" s="18"/>
      <c r="BS871" s="18"/>
      <c r="BT871" s="18"/>
      <c r="BU871" s="18"/>
      <c r="BV871" s="18"/>
    </row>
    <row r="872" spans="1:74">
      <c r="A872" s="18"/>
      <c r="B872" s="19"/>
      <c r="BG872" s="18"/>
      <c r="BH872" s="18"/>
      <c r="BI872" s="18"/>
      <c r="BJ872" s="18"/>
      <c r="BK872" s="18"/>
      <c r="BL872" s="18"/>
      <c r="BM872" s="18"/>
      <c r="BN872" s="18"/>
      <c r="BO872" s="18"/>
      <c r="BP872" s="18"/>
      <c r="BQ872" s="18"/>
      <c r="BR872" s="18"/>
      <c r="BS872" s="18"/>
      <c r="BT872" s="18"/>
      <c r="BU872" s="18"/>
      <c r="BV872" s="18"/>
    </row>
    <row r="873" spans="1:74">
      <c r="A873" s="18"/>
      <c r="B873" s="19"/>
      <c r="BG873" s="18"/>
      <c r="BH873" s="18"/>
      <c r="BI873" s="18"/>
      <c r="BJ873" s="18"/>
      <c r="BK873" s="18"/>
      <c r="BL873" s="18"/>
      <c r="BM873" s="18"/>
      <c r="BN873" s="18"/>
      <c r="BO873" s="18"/>
      <c r="BP873" s="18"/>
      <c r="BQ873" s="18"/>
      <c r="BR873" s="18"/>
      <c r="BS873" s="18"/>
      <c r="BT873" s="18"/>
      <c r="BU873" s="18"/>
      <c r="BV873" s="18"/>
    </row>
    <row r="874" spans="1:74">
      <c r="A874" s="18"/>
      <c r="B874" s="19"/>
      <c r="BG874" s="18"/>
      <c r="BH874" s="18"/>
      <c r="BI874" s="18"/>
      <c r="BJ874" s="18"/>
      <c r="BK874" s="18"/>
      <c r="BL874" s="18"/>
      <c r="BM874" s="18"/>
      <c r="BN874" s="18"/>
      <c r="BO874" s="18"/>
      <c r="BP874" s="18"/>
      <c r="BQ874" s="18"/>
      <c r="BR874" s="18"/>
      <c r="BS874" s="18"/>
      <c r="BT874" s="18"/>
      <c r="BU874" s="18"/>
      <c r="BV874" s="18"/>
    </row>
    <row r="875" spans="1:74">
      <c r="A875" s="18"/>
      <c r="B875" s="19"/>
      <c r="BG875" s="18"/>
      <c r="BH875" s="18"/>
      <c r="BI875" s="18"/>
      <c r="BJ875" s="18"/>
      <c r="BK875" s="18"/>
      <c r="BL875" s="18"/>
      <c r="BM875" s="18"/>
      <c r="BN875" s="18"/>
      <c r="BO875" s="18"/>
      <c r="BP875" s="18"/>
      <c r="BQ875" s="18"/>
      <c r="BR875" s="18"/>
      <c r="BS875" s="18"/>
      <c r="BT875" s="18"/>
      <c r="BU875" s="18"/>
      <c r="BV875" s="18"/>
    </row>
    <row r="876" spans="1:74">
      <c r="A876" s="18"/>
      <c r="B876" s="19"/>
      <c r="BG876" s="18"/>
      <c r="BH876" s="18"/>
      <c r="BI876" s="18"/>
      <c r="BJ876" s="18"/>
      <c r="BK876" s="18"/>
      <c r="BL876" s="18"/>
      <c r="BM876" s="18"/>
      <c r="BN876" s="18"/>
      <c r="BO876" s="18"/>
      <c r="BP876" s="18"/>
      <c r="BQ876" s="18"/>
      <c r="BR876" s="18"/>
      <c r="BS876" s="18"/>
      <c r="BT876" s="18"/>
      <c r="BU876" s="18"/>
      <c r="BV876" s="18"/>
    </row>
    <row r="877" spans="1:74">
      <c r="A877" s="18"/>
      <c r="B877" s="19"/>
      <c r="BG877" s="18"/>
      <c r="BH877" s="18"/>
      <c r="BI877" s="18"/>
      <c r="BJ877" s="18"/>
      <c r="BK877" s="18"/>
      <c r="BL877" s="18"/>
      <c r="BM877" s="18"/>
      <c r="BN877" s="18"/>
      <c r="BO877" s="18"/>
      <c r="BP877" s="18"/>
      <c r="BQ877" s="18"/>
      <c r="BR877" s="18"/>
      <c r="BS877" s="18"/>
      <c r="BT877" s="18"/>
      <c r="BU877" s="18"/>
      <c r="BV877" s="18"/>
    </row>
    <row r="878" spans="1:74">
      <c r="A878" s="18"/>
      <c r="B878" s="19"/>
      <c r="BG878" s="18"/>
      <c r="BH878" s="18"/>
      <c r="BI878" s="18"/>
      <c r="BJ878" s="18"/>
      <c r="BK878" s="18"/>
      <c r="BL878" s="18"/>
      <c r="BM878" s="18"/>
      <c r="BN878" s="18"/>
      <c r="BO878" s="18"/>
      <c r="BP878" s="18"/>
      <c r="BQ878" s="18"/>
      <c r="BR878" s="18"/>
      <c r="BS878" s="18"/>
      <c r="BT878" s="18"/>
      <c r="BU878" s="18"/>
      <c r="BV878" s="18"/>
    </row>
    <row r="879" spans="1:74">
      <c r="A879" s="18"/>
      <c r="B879" s="19"/>
      <c r="BG879" s="18"/>
      <c r="BH879" s="18"/>
      <c r="BI879" s="18"/>
      <c r="BJ879" s="18"/>
      <c r="BK879" s="18"/>
      <c r="BL879" s="18"/>
      <c r="BM879" s="18"/>
      <c r="BN879" s="18"/>
      <c r="BO879" s="18"/>
      <c r="BP879" s="18"/>
      <c r="BQ879" s="18"/>
      <c r="BR879" s="18"/>
      <c r="BS879" s="18"/>
      <c r="BT879" s="18"/>
      <c r="BU879" s="18"/>
      <c r="BV879" s="18"/>
    </row>
    <row r="880" spans="1:74">
      <c r="A880" s="18"/>
      <c r="B880" s="19"/>
      <c r="BG880" s="18"/>
      <c r="BH880" s="18"/>
      <c r="BI880" s="18"/>
      <c r="BJ880" s="18"/>
      <c r="BK880" s="18"/>
      <c r="BL880" s="18"/>
      <c r="BM880" s="18"/>
      <c r="BN880" s="18"/>
      <c r="BO880" s="18"/>
      <c r="BP880" s="18"/>
      <c r="BQ880" s="18"/>
      <c r="BR880" s="18"/>
      <c r="BS880" s="18"/>
      <c r="BT880" s="18"/>
      <c r="BU880" s="18"/>
      <c r="BV880" s="18"/>
    </row>
    <row r="881" spans="1:74">
      <c r="A881" s="18"/>
      <c r="B881" s="19"/>
      <c r="BG881" s="18"/>
      <c r="BH881" s="18"/>
      <c r="BI881" s="18"/>
      <c r="BJ881" s="18"/>
      <c r="BK881" s="18"/>
      <c r="BL881" s="18"/>
      <c r="BM881" s="18"/>
      <c r="BN881" s="18"/>
      <c r="BO881" s="18"/>
      <c r="BP881" s="18"/>
      <c r="BQ881" s="18"/>
      <c r="BR881" s="18"/>
      <c r="BS881" s="18"/>
      <c r="BT881" s="18"/>
      <c r="BU881" s="18"/>
      <c r="BV881" s="18"/>
    </row>
    <row r="882" spans="1:74">
      <c r="A882" s="18"/>
      <c r="B882" s="19"/>
      <c r="BG882" s="18"/>
      <c r="BH882" s="18"/>
      <c r="BI882" s="18"/>
      <c r="BJ882" s="18"/>
      <c r="BK882" s="18"/>
      <c r="BL882" s="18"/>
      <c r="BM882" s="18"/>
      <c r="BN882" s="18"/>
      <c r="BO882" s="18"/>
      <c r="BP882" s="18"/>
      <c r="BQ882" s="18"/>
      <c r="BR882" s="18"/>
      <c r="BS882" s="18"/>
      <c r="BT882" s="18"/>
      <c r="BU882" s="18"/>
      <c r="BV882" s="18"/>
    </row>
    <row r="883" spans="1:74">
      <c r="A883" s="18"/>
      <c r="B883" s="19"/>
      <c r="BG883" s="18"/>
      <c r="BH883" s="18"/>
      <c r="BI883" s="18"/>
      <c r="BJ883" s="18"/>
      <c r="BK883" s="18"/>
      <c r="BL883" s="18"/>
      <c r="BM883" s="18"/>
      <c r="BN883" s="18"/>
      <c r="BO883" s="18"/>
      <c r="BP883" s="18"/>
      <c r="BQ883" s="18"/>
      <c r="BR883" s="18"/>
      <c r="BS883" s="18"/>
      <c r="BT883" s="18"/>
      <c r="BU883" s="18"/>
      <c r="BV883" s="18"/>
    </row>
    <row r="884" spans="1:74">
      <c r="A884" s="18"/>
      <c r="B884" s="19"/>
      <c r="BG884" s="18"/>
      <c r="BH884" s="18"/>
      <c r="BI884" s="18"/>
      <c r="BJ884" s="18"/>
      <c r="BK884" s="18"/>
      <c r="BL884" s="18"/>
      <c r="BM884" s="18"/>
      <c r="BN884" s="18"/>
      <c r="BO884" s="18"/>
      <c r="BP884" s="18"/>
      <c r="BQ884" s="18"/>
      <c r="BR884" s="18"/>
      <c r="BS884" s="18"/>
      <c r="BT884" s="18"/>
      <c r="BU884" s="18"/>
      <c r="BV884" s="18"/>
    </row>
    <row r="885" spans="1:74">
      <c r="A885" s="18"/>
      <c r="B885" s="19"/>
      <c r="BG885" s="18"/>
      <c r="BH885" s="18"/>
      <c r="BI885" s="18"/>
      <c r="BJ885" s="18"/>
      <c r="BK885" s="18"/>
      <c r="BL885" s="18"/>
      <c r="BM885" s="18"/>
      <c r="BN885" s="18"/>
      <c r="BO885" s="18"/>
      <c r="BP885" s="18"/>
      <c r="BQ885" s="18"/>
      <c r="BR885" s="18"/>
      <c r="BS885" s="18"/>
      <c r="BT885" s="18"/>
      <c r="BU885" s="18"/>
      <c r="BV885" s="18"/>
    </row>
    <row r="886" spans="1:74">
      <c r="A886" s="18"/>
      <c r="B886" s="19"/>
      <c r="BG886" s="18"/>
      <c r="BH886" s="18"/>
      <c r="BI886" s="18"/>
      <c r="BJ886" s="18"/>
      <c r="BK886" s="18"/>
      <c r="BL886" s="18"/>
      <c r="BM886" s="18"/>
      <c r="BN886" s="18"/>
      <c r="BO886" s="18"/>
      <c r="BP886" s="18"/>
      <c r="BQ886" s="18"/>
      <c r="BR886" s="18"/>
      <c r="BS886" s="18"/>
      <c r="BT886" s="18"/>
      <c r="BU886" s="18"/>
      <c r="BV886" s="18"/>
    </row>
    <row r="887" spans="1:74">
      <c r="A887" s="18"/>
      <c r="B887" s="19"/>
      <c r="BG887" s="18"/>
      <c r="BH887" s="18"/>
      <c r="BI887" s="18"/>
      <c r="BJ887" s="18"/>
      <c r="BK887" s="18"/>
      <c r="BL887" s="18"/>
      <c r="BM887" s="18"/>
      <c r="BN887" s="18"/>
      <c r="BO887" s="18"/>
      <c r="BP887" s="18"/>
      <c r="BQ887" s="18"/>
      <c r="BR887" s="18"/>
      <c r="BS887" s="18"/>
      <c r="BT887" s="18"/>
      <c r="BU887" s="18"/>
      <c r="BV887" s="18"/>
    </row>
    <row r="888" spans="1:74">
      <c r="A888" s="18"/>
      <c r="B888" s="19"/>
      <c r="BG888" s="18"/>
      <c r="BH888" s="18"/>
      <c r="BI888" s="18"/>
      <c r="BJ888" s="18"/>
      <c r="BK888" s="18"/>
      <c r="BL888" s="18"/>
      <c r="BM888" s="18"/>
      <c r="BN888" s="18"/>
      <c r="BO888" s="18"/>
      <c r="BP888" s="18"/>
      <c r="BQ888" s="18"/>
      <c r="BR888" s="18"/>
      <c r="BS888" s="18"/>
      <c r="BT888" s="18"/>
      <c r="BU888" s="18"/>
      <c r="BV888" s="18"/>
    </row>
    <row r="889" spans="1:74">
      <c r="A889" s="18"/>
      <c r="B889" s="19"/>
      <c r="BG889" s="18"/>
      <c r="BH889" s="18"/>
      <c r="BI889" s="18"/>
      <c r="BJ889" s="18"/>
      <c r="BK889" s="18"/>
      <c r="BL889" s="18"/>
      <c r="BM889" s="18"/>
      <c r="BN889" s="18"/>
      <c r="BO889" s="18"/>
      <c r="BP889" s="18"/>
      <c r="BQ889" s="18"/>
      <c r="BR889" s="18"/>
      <c r="BS889" s="18"/>
      <c r="BT889" s="18"/>
      <c r="BU889" s="18"/>
      <c r="BV889" s="18"/>
    </row>
    <row r="890" spans="1:74">
      <c r="A890" s="18"/>
      <c r="B890" s="19"/>
      <c r="BG890" s="18"/>
      <c r="BH890" s="18"/>
      <c r="BI890" s="18"/>
      <c r="BJ890" s="18"/>
      <c r="BK890" s="18"/>
      <c r="BL890" s="18"/>
      <c r="BM890" s="18"/>
      <c r="BN890" s="18"/>
      <c r="BO890" s="18"/>
      <c r="BP890" s="18"/>
      <c r="BQ890" s="18"/>
      <c r="BR890" s="18"/>
      <c r="BS890" s="18"/>
      <c r="BT890" s="18"/>
      <c r="BU890" s="18"/>
      <c r="BV890" s="18"/>
    </row>
    <row r="891" spans="1:74">
      <c r="A891" s="18"/>
      <c r="B891" s="19"/>
      <c r="BG891" s="18"/>
      <c r="BH891" s="18"/>
      <c r="BI891" s="18"/>
      <c r="BJ891" s="18"/>
      <c r="BK891" s="18"/>
      <c r="BL891" s="18"/>
      <c r="BM891" s="18"/>
      <c r="BN891" s="18"/>
      <c r="BO891" s="18"/>
      <c r="BP891" s="18"/>
      <c r="BQ891" s="18"/>
      <c r="BR891" s="18"/>
      <c r="BS891" s="18"/>
      <c r="BT891" s="18"/>
      <c r="BU891" s="18"/>
      <c r="BV891" s="18"/>
    </row>
    <row r="892" spans="1:74">
      <c r="A892" s="18"/>
      <c r="B892" s="19"/>
      <c r="BG892" s="18"/>
      <c r="BH892" s="18"/>
      <c r="BI892" s="18"/>
      <c r="BJ892" s="18"/>
      <c r="BK892" s="18"/>
      <c r="BL892" s="18"/>
      <c r="BM892" s="18"/>
      <c r="BN892" s="18"/>
      <c r="BO892" s="18"/>
      <c r="BP892" s="18"/>
      <c r="BQ892" s="18"/>
      <c r="BR892" s="18"/>
      <c r="BS892" s="18"/>
      <c r="BT892" s="18"/>
      <c r="BU892" s="18"/>
      <c r="BV892" s="18"/>
    </row>
    <row r="893" spans="1:74">
      <c r="A893" s="18"/>
      <c r="B893" s="19"/>
      <c r="BG893" s="18"/>
      <c r="BH893" s="18"/>
      <c r="BI893" s="18"/>
      <c r="BJ893" s="18"/>
      <c r="BK893" s="18"/>
      <c r="BL893" s="18"/>
      <c r="BM893" s="18"/>
      <c r="BN893" s="18"/>
      <c r="BO893" s="18"/>
      <c r="BP893" s="18"/>
      <c r="BQ893" s="18"/>
      <c r="BR893" s="18"/>
      <c r="BS893" s="18"/>
      <c r="BT893" s="18"/>
      <c r="BU893" s="18"/>
      <c r="BV893" s="18"/>
    </row>
    <row r="894" spans="1:74">
      <c r="A894" s="18"/>
      <c r="B894" s="19"/>
      <c r="BG894" s="18"/>
      <c r="BH894" s="18"/>
      <c r="BI894" s="18"/>
      <c r="BJ894" s="18"/>
      <c r="BK894" s="18"/>
      <c r="BL894" s="18"/>
      <c r="BM894" s="18"/>
      <c r="BN894" s="18"/>
      <c r="BO894" s="18"/>
      <c r="BP894" s="18"/>
      <c r="BQ894" s="18"/>
      <c r="BR894" s="18"/>
      <c r="BS894" s="18"/>
      <c r="BT894" s="18"/>
      <c r="BU894" s="18"/>
      <c r="BV894" s="18"/>
    </row>
    <row r="895" spans="1:74">
      <c r="A895" s="18"/>
      <c r="B895" s="19"/>
      <c r="BG895" s="18"/>
      <c r="BH895" s="18"/>
      <c r="BI895" s="18"/>
      <c r="BJ895" s="18"/>
      <c r="BK895" s="18"/>
      <c r="BL895" s="18"/>
      <c r="BM895" s="18"/>
      <c r="BN895" s="18"/>
      <c r="BO895" s="18"/>
      <c r="BP895" s="18"/>
      <c r="BQ895" s="18"/>
      <c r="BR895" s="18"/>
      <c r="BS895" s="18"/>
      <c r="BT895" s="18"/>
      <c r="BU895" s="18"/>
      <c r="BV895" s="18"/>
    </row>
    <row r="896" spans="1:74">
      <c r="A896" s="18"/>
      <c r="B896" s="19"/>
      <c r="BG896" s="18"/>
      <c r="BH896" s="18"/>
      <c r="BI896" s="18"/>
      <c r="BJ896" s="18"/>
      <c r="BK896" s="18"/>
      <c r="BL896" s="18"/>
      <c r="BM896" s="18"/>
      <c r="BN896" s="18"/>
      <c r="BO896" s="18"/>
      <c r="BP896" s="18"/>
      <c r="BQ896" s="18"/>
      <c r="BR896" s="18"/>
      <c r="BS896" s="18"/>
      <c r="BT896" s="18"/>
      <c r="BU896" s="18"/>
      <c r="BV896" s="18"/>
    </row>
    <row r="897" spans="1:74">
      <c r="A897" s="18"/>
      <c r="B897" s="19"/>
      <c r="BG897" s="18"/>
      <c r="BH897" s="18"/>
      <c r="BI897" s="18"/>
      <c r="BJ897" s="18"/>
      <c r="BK897" s="18"/>
      <c r="BL897" s="18"/>
      <c r="BM897" s="18"/>
      <c r="BN897" s="18"/>
      <c r="BO897" s="18"/>
      <c r="BP897" s="18"/>
      <c r="BQ897" s="18"/>
      <c r="BR897" s="18"/>
      <c r="BS897" s="18"/>
      <c r="BT897" s="18"/>
      <c r="BU897" s="18"/>
      <c r="BV897" s="18"/>
    </row>
    <row r="898" spans="1:74">
      <c r="B898" s="19"/>
      <c r="BG898" s="18"/>
      <c r="BH898" s="18"/>
      <c r="BI898" s="18"/>
      <c r="BJ898" s="18"/>
      <c r="BK898" s="18"/>
      <c r="BL898" s="18"/>
      <c r="BM898" s="18"/>
      <c r="BN898" s="18"/>
      <c r="BO898" s="18"/>
      <c r="BP898" s="18"/>
      <c r="BQ898" s="18"/>
      <c r="BR898" s="18"/>
      <c r="BS898" s="18"/>
      <c r="BT898" s="18"/>
      <c r="BU898" s="18"/>
      <c r="BV898" s="18"/>
    </row>
    <row r="899" spans="1:74">
      <c r="A899" s="18"/>
      <c r="B899" s="19"/>
      <c r="BG899" s="18"/>
      <c r="BH899" s="18"/>
      <c r="BI899" s="18"/>
      <c r="BJ899" s="18"/>
      <c r="BK899" s="18"/>
      <c r="BL899" s="18"/>
      <c r="BM899" s="18"/>
      <c r="BN899" s="18"/>
      <c r="BO899" s="18"/>
      <c r="BP899" s="18"/>
      <c r="BQ899" s="18"/>
      <c r="BR899" s="18"/>
      <c r="BS899" s="18"/>
      <c r="BT899" s="18"/>
      <c r="BU899" s="18"/>
      <c r="BV899" s="18"/>
    </row>
    <row r="900" spans="1:74">
      <c r="A900" s="18"/>
      <c r="B900" s="19"/>
      <c r="BG900" s="18"/>
      <c r="BH900" s="18"/>
      <c r="BI900" s="18"/>
      <c r="BJ900" s="18"/>
      <c r="BK900" s="18"/>
      <c r="BL900" s="18"/>
      <c r="BM900" s="18"/>
      <c r="BN900" s="18"/>
      <c r="BO900" s="18"/>
      <c r="BP900" s="18"/>
      <c r="BQ900" s="18"/>
      <c r="BR900" s="18"/>
      <c r="BS900" s="18"/>
      <c r="BT900" s="18"/>
      <c r="BU900" s="18"/>
      <c r="BV900" s="18"/>
    </row>
    <row r="901" spans="1:74">
      <c r="A901" s="18"/>
      <c r="B901" s="19"/>
      <c r="BG901" s="18"/>
      <c r="BH901" s="18"/>
      <c r="BI901" s="18"/>
      <c r="BJ901" s="18"/>
      <c r="BK901" s="18"/>
      <c r="BL901" s="18"/>
      <c r="BM901" s="18"/>
      <c r="BN901" s="18"/>
      <c r="BO901" s="18"/>
      <c r="BP901" s="18"/>
      <c r="BQ901" s="18"/>
      <c r="BR901" s="18"/>
      <c r="BS901" s="18"/>
      <c r="BT901" s="18"/>
      <c r="BU901" s="18"/>
      <c r="BV901" s="18"/>
    </row>
    <row r="902" spans="1:74">
      <c r="A902" s="18"/>
      <c r="B902" s="19"/>
      <c r="BG902" s="18"/>
      <c r="BH902" s="18"/>
      <c r="BI902" s="18"/>
      <c r="BJ902" s="18"/>
      <c r="BK902" s="18"/>
      <c r="BL902" s="18"/>
      <c r="BM902" s="18"/>
      <c r="BN902" s="18"/>
      <c r="BO902" s="18"/>
      <c r="BP902" s="18"/>
      <c r="BQ902" s="18"/>
      <c r="BR902" s="18"/>
      <c r="BS902" s="18"/>
      <c r="BT902" s="18"/>
      <c r="BU902" s="18"/>
      <c r="BV902" s="18"/>
    </row>
    <row r="903" spans="1:74">
      <c r="A903" s="18"/>
      <c r="B903" s="19"/>
      <c r="BG903" s="18"/>
      <c r="BH903" s="18"/>
      <c r="BI903" s="18"/>
      <c r="BJ903" s="18"/>
      <c r="BK903" s="18"/>
      <c r="BL903" s="18"/>
      <c r="BM903" s="18"/>
      <c r="BN903" s="18"/>
      <c r="BO903" s="18"/>
      <c r="BP903" s="18"/>
      <c r="BQ903" s="18"/>
      <c r="BR903" s="18"/>
      <c r="BS903" s="18"/>
      <c r="BT903" s="18"/>
      <c r="BU903" s="18"/>
      <c r="BV903" s="18"/>
    </row>
    <row r="904" spans="1:74">
      <c r="A904" s="18"/>
      <c r="B904" s="19"/>
      <c r="BG904" s="18"/>
      <c r="BH904" s="18"/>
      <c r="BI904" s="18"/>
      <c r="BJ904" s="18"/>
      <c r="BK904" s="18"/>
      <c r="BL904" s="18"/>
      <c r="BM904" s="18"/>
      <c r="BN904" s="18"/>
      <c r="BO904" s="18"/>
      <c r="BP904" s="18"/>
      <c r="BQ904" s="18"/>
      <c r="BR904" s="18"/>
      <c r="BS904" s="18"/>
      <c r="BT904" s="18"/>
      <c r="BU904" s="18"/>
      <c r="BV904" s="18"/>
    </row>
    <row r="905" spans="1:74">
      <c r="A905" s="18"/>
      <c r="B905" s="19"/>
      <c r="BG905" s="18"/>
      <c r="BH905" s="18"/>
      <c r="BI905" s="18"/>
      <c r="BJ905" s="18"/>
      <c r="BK905" s="18"/>
      <c r="BL905" s="18"/>
      <c r="BM905" s="18"/>
      <c r="BN905" s="18"/>
      <c r="BO905" s="18"/>
      <c r="BP905" s="18"/>
      <c r="BQ905" s="18"/>
      <c r="BR905" s="18"/>
      <c r="BS905" s="18"/>
      <c r="BT905" s="18"/>
      <c r="BU905" s="18"/>
      <c r="BV905" s="18"/>
    </row>
    <row r="906" spans="1:74">
      <c r="A906" s="18"/>
      <c r="B906" s="19"/>
      <c r="BG906" s="18"/>
      <c r="BH906" s="18"/>
      <c r="BI906" s="18"/>
      <c r="BJ906" s="18"/>
      <c r="BK906" s="18"/>
      <c r="BL906" s="18"/>
      <c r="BM906" s="18"/>
      <c r="BN906" s="18"/>
      <c r="BO906" s="18"/>
      <c r="BP906" s="18"/>
      <c r="BQ906" s="18"/>
      <c r="BR906" s="18"/>
      <c r="BS906" s="18"/>
      <c r="BT906" s="18"/>
      <c r="BU906" s="18"/>
      <c r="BV906" s="18"/>
    </row>
    <row r="907" spans="1:74">
      <c r="A907" s="18"/>
      <c r="B907" s="19"/>
      <c r="BG907" s="18"/>
      <c r="BH907" s="18"/>
      <c r="BI907" s="18"/>
      <c r="BJ907" s="18"/>
      <c r="BK907" s="18"/>
      <c r="BL907" s="18"/>
      <c r="BM907" s="18"/>
      <c r="BN907" s="18"/>
      <c r="BO907" s="18"/>
      <c r="BP907" s="18"/>
      <c r="BQ907" s="18"/>
      <c r="BR907" s="18"/>
      <c r="BS907" s="18"/>
      <c r="BT907" s="18"/>
      <c r="BU907" s="18"/>
      <c r="BV907" s="18"/>
    </row>
    <row r="908" spans="1:74">
      <c r="A908" s="18"/>
      <c r="B908" s="19"/>
      <c r="BG908" s="18"/>
      <c r="BH908" s="18"/>
      <c r="BI908" s="18"/>
      <c r="BJ908" s="18"/>
      <c r="BK908" s="18"/>
      <c r="BL908" s="18"/>
      <c r="BM908" s="18"/>
      <c r="BN908" s="18"/>
      <c r="BO908" s="18"/>
      <c r="BP908" s="18"/>
      <c r="BQ908" s="18"/>
      <c r="BR908" s="18"/>
      <c r="BS908" s="18"/>
      <c r="BT908" s="18"/>
      <c r="BU908" s="18"/>
      <c r="BV908" s="18"/>
    </row>
    <row r="909" spans="1:74">
      <c r="A909" s="18"/>
      <c r="B909" s="19"/>
      <c r="BG909" s="18"/>
      <c r="BH909" s="18"/>
      <c r="BI909" s="18"/>
      <c r="BJ909" s="18"/>
      <c r="BK909" s="18"/>
      <c r="BL909" s="18"/>
      <c r="BM909" s="18"/>
      <c r="BN909" s="18"/>
      <c r="BO909" s="18"/>
      <c r="BP909" s="18"/>
      <c r="BQ909" s="18"/>
      <c r="BR909" s="18"/>
      <c r="BS909" s="18"/>
      <c r="BT909" s="18"/>
      <c r="BU909" s="18"/>
      <c r="BV909" s="18"/>
    </row>
    <row r="910" spans="1:74">
      <c r="A910" s="18"/>
      <c r="B910" s="19"/>
      <c r="BG910" s="18"/>
      <c r="BH910" s="18"/>
      <c r="BI910" s="18"/>
      <c r="BJ910" s="18"/>
      <c r="BK910" s="18"/>
      <c r="BL910" s="18"/>
      <c r="BM910" s="18"/>
      <c r="BN910" s="18"/>
      <c r="BO910" s="18"/>
      <c r="BP910" s="18"/>
      <c r="BQ910" s="18"/>
      <c r="BR910" s="18"/>
      <c r="BS910" s="18"/>
      <c r="BT910" s="18"/>
      <c r="BU910" s="18"/>
      <c r="BV910" s="18"/>
    </row>
    <row r="911" spans="1:74">
      <c r="A911" s="18"/>
      <c r="B911" s="19"/>
      <c r="BG911" s="18"/>
      <c r="BH911" s="18"/>
      <c r="BI911" s="18"/>
      <c r="BJ911" s="18"/>
      <c r="BK911" s="18"/>
      <c r="BL911" s="18"/>
      <c r="BM911" s="18"/>
      <c r="BN911" s="18"/>
      <c r="BO911" s="18"/>
      <c r="BP911" s="18"/>
      <c r="BQ911" s="18"/>
      <c r="BR911" s="18"/>
      <c r="BS911" s="18"/>
      <c r="BT911" s="18"/>
      <c r="BU911" s="18"/>
      <c r="BV911" s="18"/>
    </row>
    <row r="912" spans="1:74">
      <c r="A912" s="18"/>
      <c r="B912" s="19"/>
      <c r="BG912" s="18"/>
      <c r="BH912" s="18"/>
      <c r="BI912" s="18"/>
      <c r="BJ912" s="18"/>
      <c r="BK912" s="18"/>
      <c r="BL912" s="18"/>
      <c r="BM912" s="18"/>
      <c r="BN912" s="18"/>
      <c r="BO912" s="18"/>
      <c r="BP912" s="18"/>
      <c r="BQ912" s="18"/>
      <c r="BR912" s="18"/>
      <c r="BS912" s="18"/>
      <c r="BT912" s="18"/>
      <c r="BU912" s="18"/>
      <c r="BV912" s="18"/>
    </row>
    <row r="913" spans="1:74">
      <c r="A913" s="18"/>
      <c r="B913" s="19"/>
      <c r="BG913" s="18"/>
      <c r="BH913" s="18"/>
      <c r="BI913" s="18"/>
      <c r="BJ913" s="18"/>
      <c r="BK913" s="18"/>
      <c r="BL913" s="18"/>
      <c r="BM913" s="18"/>
      <c r="BN913" s="18"/>
      <c r="BO913" s="18"/>
      <c r="BP913" s="18"/>
      <c r="BQ913" s="18"/>
      <c r="BR913" s="18"/>
      <c r="BS913" s="18"/>
      <c r="BT913" s="18"/>
      <c r="BU913" s="18"/>
      <c r="BV913" s="18"/>
    </row>
    <row r="914" spans="1:74">
      <c r="A914" s="18"/>
      <c r="B914" s="19"/>
      <c r="BG914" s="18"/>
      <c r="BH914" s="18"/>
      <c r="BI914" s="18"/>
      <c r="BJ914" s="18"/>
      <c r="BK914" s="18"/>
      <c r="BL914" s="18"/>
      <c r="BM914" s="18"/>
      <c r="BN914" s="18"/>
      <c r="BO914" s="18"/>
      <c r="BP914" s="18"/>
      <c r="BQ914" s="18"/>
      <c r="BR914" s="18"/>
      <c r="BS914" s="18"/>
      <c r="BT914" s="18"/>
      <c r="BU914" s="18"/>
      <c r="BV914" s="18"/>
    </row>
    <row r="915" spans="1:74">
      <c r="A915" s="18"/>
      <c r="B915" s="19"/>
      <c r="BG915" s="18"/>
      <c r="BH915" s="18"/>
      <c r="BI915" s="18"/>
      <c r="BJ915" s="18"/>
      <c r="BK915" s="18"/>
      <c r="BL915" s="18"/>
      <c r="BM915" s="18"/>
      <c r="BN915" s="18"/>
      <c r="BO915" s="18"/>
      <c r="BP915" s="18"/>
      <c r="BQ915" s="18"/>
      <c r="BR915" s="18"/>
      <c r="BS915" s="18"/>
      <c r="BT915" s="18"/>
      <c r="BU915" s="18"/>
      <c r="BV915" s="18"/>
    </row>
    <row r="916" spans="1:74">
      <c r="A916" s="18"/>
      <c r="B916" s="19"/>
      <c r="BG916" s="18"/>
      <c r="BH916" s="18"/>
      <c r="BI916" s="18"/>
      <c r="BJ916" s="18"/>
      <c r="BK916" s="18"/>
      <c r="BL916" s="18"/>
      <c r="BM916" s="18"/>
      <c r="BN916" s="18"/>
      <c r="BO916" s="18"/>
      <c r="BP916" s="18"/>
      <c r="BQ916" s="18"/>
      <c r="BR916" s="18"/>
      <c r="BS916" s="18"/>
      <c r="BT916" s="18"/>
      <c r="BU916" s="18"/>
      <c r="BV916" s="18"/>
    </row>
    <row r="917" spans="1:74">
      <c r="A917" s="18"/>
      <c r="B917" s="19"/>
      <c r="BG917" s="18"/>
      <c r="BH917" s="18"/>
      <c r="BI917" s="18"/>
      <c r="BJ917" s="18"/>
      <c r="BK917" s="18"/>
      <c r="BL917" s="18"/>
      <c r="BM917" s="18"/>
      <c r="BN917" s="18"/>
      <c r="BO917" s="18"/>
      <c r="BP917" s="18"/>
      <c r="BQ917" s="18"/>
      <c r="BR917" s="18"/>
      <c r="BS917" s="18"/>
      <c r="BT917" s="18"/>
      <c r="BU917" s="18"/>
      <c r="BV917" s="18"/>
    </row>
    <row r="918" spans="1:74">
      <c r="A918" s="18"/>
      <c r="B918" s="19"/>
      <c r="BG918" s="18"/>
      <c r="BH918" s="18"/>
      <c r="BI918" s="18"/>
      <c r="BJ918" s="18"/>
      <c r="BK918" s="18"/>
      <c r="BL918" s="18"/>
      <c r="BM918" s="18"/>
      <c r="BN918" s="18"/>
      <c r="BO918" s="18"/>
      <c r="BP918" s="18"/>
      <c r="BQ918" s="18"/>
      <c r="BR918" s="18"/>
      <c r="BS918" s="18"/>
      <c r="BT918" s="18"/>
      <c r="BU918" s="18"/>
      <c r="BV918" s="18"/>
    </row>
    <row r="919" spans="1:74">
      <c r="A919" s="18"/>
      <c r="B919" s="19"/>
      <c r="BG919" s="18"/>
      <c r="BH919" s="18"/>
      <c r="BI919" s="18"/>
      <c r="BJ919" s="18"/>
      <c r="BK919" s="18"/>
      <c r="BL919" s="18"/>
      <c r="BM919" s="18"/>
      <c r="BN919" s="18"/>
      <c r="BO919" s="18"/>
      <c r="BP919" s="18"/>
      <c r="BQ919" s="18"/>
      <c r="BR919" s="18"/>
      <c r="BS919" s="18"/>
      <c r="BT919" s="18"/>
      <c r="BU919" s="18"/>
      <c r="BV919" s="18"/>
    </row>
    <row r="920" spans="1:74">
      <c r="A920" s="18"/>
      <c r="BG920" s="18"/>
      <c r="BH920" s="18"/>
      <c r="BI920" s="18"/>
      <c r="BJ920" s="18"/>
      <c r="BK920" s="18"/>
      <c r="BL920" s="18"/>
      <c r="BM920" s="18"/>
      <c r="BN920" s="18"/>
      <c r="BO920" s="18"/>
      <c r="BP920" s="18"/>
      <c r="BQ920" s="18"/>
      <c r="BR920" s="18"/>
      <c r="BS920" s="18"/>
      <c r="BT920" s="18"/>
      <c r="BU920" s="18"/>
      <c r="BV920" s="18"/>
    </row>
    <row r="921" spans="1:74">
      <c r="A921" s="18"/>
      <c r="B921" s="19"/>
      <c r="BG921" s="18"/>
      <c r="BH921" s="18"/>
      <c r="BI921" s="18"/>
      <c r="BJ921" s="18"/>
      <c r="BK921" s="18"/>
      <c r="BL921" s="18"/>
      <c r="BM921" s="18"/>
      <c r="BN921" s="18"/>
      <c r="BO921" s="18"/>
      <c r="BP921" s="18"/>
      <c r="BQ921" s="18"/>
      <c r="BR921" s="18"/>
      <c r="BS921" s="18"/>
      <c r="BT921" s="18"/>
      <c r="BU921" s="18"/>
      <c r="BV921" s="18"/>
    </row>
    <row r="922" spans="1:74">
      <c r="A922" s="18"/>
      <c r="B922" s="19"/>
      <c r="BG922" s="18"/>
      <c r="BH922" s="18"/>
      <c r="BI922" s="18"/>
      <c r="BJ922" s="18"/>
      <c r="BK922" s="18"/>
      <c r="BL922" s="18"/>
      <c r="BM922" s="18"/>
      <c r="BN922" s="18"/>
      <c r="BO922" s="18"/>
      <c r="BP922" s="18"/>
      <c r="BQ922" s="18"/>
      <c r="BR922" s="18"/>
      <c r="BS922" s="18"/>
      <c r="BT922" s="18"/>
      <c r="BU922" s="18"/>
      <c r="BV922" s="18"/>
    </row>
    <row r="923" spans="1:74">
      <c r="A923" s="18"/>
      <c r="B923" s="19"/>
      <c r="BG923" s="18"/>
      <c r="BH923" s="18"/>
      <c r="BI923" s="18"/>
      <c r="BJ923" s="18"/>
      <c r="BK923" s="18"/>
      <c r="BL923" s="18"/>
      <c r="BM923" s="18"/>
      <c r="BN923" s="18"/>
      <c r="BO923" s="18"/>
      <c r="BP923" s="18"/>
      <c r="BQ923" s="18"/>
      <c r="BR923" s="18"/>
      <c r="BS923" s="18"/>
      <c r="BT923" s="18"/>
      <c r="BU923" s="18"/>
      <c r="BV923" s="18"/>
    </row>
    <row r="924" spans="1:74">
      <c r="A924" s="18"/>
      <c r="B924" s="19"/>
      <c r="BG924" s="18"/>
      <c r="BH924" s="18"/>
      <c r="BI924" s="18"/>
      <c r="BJ924" s="18"/>
      <c r="BK924" s="18"/>
      <c r="BL924" s="18"/>
      <c r="BM924" s="18"/>
      <c r="BN924" s="18"/>
      <c r="BO924" s="18"/>
      <c r="BP924" s="18"/>
      <c r="BQ924" s="18"/>
      <c r="BR924" s="18"/>
      <c r="BS924" s="18"/>
      <c r="BT924" s="18"/>
      <c r="BU924" s="18"/>
      <c r="BV924" s="18"/>
    </row>
    <row r="925" spans="1:74">
      <c r="A925" s="18"/>
      <c r="B925" s="19"/>
      <c r="BG925" s="18"/>
      <c r="BH925" s="18"/>
      <c r="BI925" s="18"/>
      <c r="BJ925" s="18"/>
      <c r="BK925" s="18"/>
      <c r="BL925" s="18"/>
      <c r="BM925" s="18"/>
      <c r="BN925" s="18"/>
      <c r="BO925" s="18"/>
      <c r="BP925" s="18"/>
      <c r="BQ925" s="18"/>
      <c r="BR925" s="18"/>
      <c r="BS925" s="18"/>
      <c r="BT925" s="18"/>
      <c r="BU925" s="18"/>
      <c r="BV925" s="18"/>
    </row>
    <row r="926" spans="1:74">
      <c r="A926" s="18"/>
      <c r="B926" s="19"/>
      <c r="BG926" s="18"/>
      <c r="BH926" s="18"/>
      <c r="BI926" s="18"/>
      <c r="BJ926" s="18"/>
      <c r="BK926" s="18"/>
      <c r="BL926" s="18"/>
      <c r="BM926" s="18"/>
      <c r="BN926" s="18"/>
      <c r="BO926" s="18"/>
      <c r="BP926" s="18"/>
      <c r="BQ926" s="18"/>
      <c r="BR926" s="18"/>
      <c r="BS926" s="18"/>
      <c r="BT926" s="18"/>
      <c r="BU926" s="18"/>
      <c r="BV926" s="18"/>
    </row>
    <row r="927" spans="1:74">
      <c r="A927" s="18"/>
      <c r="B927" s="19"/>
      <c r="BG927" s="18"/>
      <c r="BH927" s="18"/>
      <c r="BI927" s="18"/>
      <c r="BJ927" s="18"/>
      <c r="BK927" s="18"/>
      <c r="BL927" s="18"/>
      <c r="BM927" s="18"/>
      <c r="BN927" s="18"/>
      <c r="BO927" s="18"/>
      <c r="BP927" s="18"/>
      <c r="BQ927" s="18"/>
      <c r="BR927" s="18"/>
      <c r="BS927" s="18"/>
      <c r="BT927" s="18"/>
      <c r="BU927" s="18"/>
      <c r="BV927" s="18"/>
    </row>
    <row r="928" spans="1:74">
      <c r="A928" s="18"/>
      <c r="B928" s="19"/>
      <c r="BG928" s="18"/>
      <c r="BH928" s="18"/>
      <c r="BI928" s="18"/>
      <c r="BJ928" s="18"/>
      <c r="BK928" s="18"/>
      <c r="BL928" s="18"/>
      <c r="BM928" s="18"/>
      <c r="BN928" s="18"/>
      <c r="BO928" s="18"/>
      <c r="BP928" s="18"/>
      <c r="BQ928" s="18"/>
      <c r="BR928" s="18"/>
      <c r="BS928" s="18"/>
      <c r="BT928" s="18"/>
      <c r="BU928" s="18"/>
      <c r="BV928" s="18"/>
    </row>
    <row r="929" spans="1:74">
      <c r="A929" s="18"/>
      <c r="B929" s="19"/>
      <c r="BG929" s="18"/>
      <c r="BH929" s="18"/>
      <c r="BI929" s="18"/>
      <c r="BJ929" s="18"/>
      <c r="BK929" s="18"/>
      <c r="BL929" s="18"/>
      <c r="BM929" s="18"/>
      <c r="BN929" s="18"/>
      <c r="BO929" s="18"/>
      <c r="BP929" s="18"/>
      <c r="BQ929" s="18"/>
      <c r="BR929" s="18"/>
      <c r="BS929" s="18"/>
      <c r="BT929" s="18"/>
      <c r="BU929" s="18"/>
      <c r="BV929" s="18"/>
    </row>
    <row r="930" spans="1:74">
      <c r="A930" s="18"/>
      <c r="B930" s="19"/>
      <c r="BG930" s="18"/>
      <c r="BH930" s="18"/>
      <c r="BI930" s="18"/>
      <c r="BJ930" s="18"/>
      <c r="BK930" s="18"/>
      <c r="BL930" s="18"/>
      <c r="BM930" s="18"/>
      <c r="BN930" s="18"/>
      <c r="BO930" s="18"/>
      <c r="BP930" s="18"/>
      <c r="BQ930" s="18"/>
      <c r="BR930" s="18"/>
      <c r="BS930" s="18"/>
      <c r="BT930" s="18"/>
      <c r="BU930" s="18"/>
      <c r="BV930" s="18"/>
    </row>
    <row r="931" spans="1:74">
      <c r="A931" s="18"/>
      <c r="B931" s="19"/>
      <c r="BG931" s="18"/>
      <c r="BH931" s="18"/>
      <c r="BI931" s="18"/>
      <c r="BJ931" s="18"/>
      <c r="BK931" s="18"/>
      <c r="BL931" s="18"/>
      <c r="BM931" s="18"/>
      <c r="BN931" s="18"/>
      <c r="BO931" s="18"/>
      <c r="BP931" s="18"/>
      <c r="BQ931" s="18"/>
      <c r="BR931" s="18"/>
      <c r="BS931" s="18"/>
      <c r="BT931" s="18"/>
      <c r="BU931" s="18"/>
      <c r="BV931" s="18"/>
    </row>
    <row r="932" spans="1:74">
      <c r="A932" s="18"/>
      <c r="B932" s="19"/>
      <c r="BG932" s="18"/>
      <c r="BH932" s="18"/>
      <c r="BI932" s="18"/>
      <c r="BJ932" s="18"/>
      <c r="BK932" s="18"/>
      <c r="BL932" s="18"/>
      <c r="BM932" s="18"/>
      <c r="BN932" s="18"/>
      <c r="BO932" s="18"/>
      <c r="BP932" s="18"/>
      <c r="BQ932" s="18"/>
      <c r="BR932" s="18"/>
      <c r="BS932" s="18"/>
      <c r="BT932" s="18"/>
      <c r="BU932" s="18"/>
      <c r="BV932" s="18"/>
    </row>
    <row r="933" spans="1:74">
      <c r="A933" s="18"/>
      <c r="B933" s="19"/>
      <c r="BG933" s="18"/>
      <c r="BH933" s="18"/>
      <c r="BI933" s="18"/>
      <c r="BJ933" s="18"/>
      <c r="BK933" s="18"/>
      <c r="BL933" s="18"/>
      <c r="BM933" s="18"/>
      <c r="BN933" s="18"/>
      <c r="BO933" s="18"/>
      <c r="BP933" s="18"/>
      <c r="BQ933" s="18"/>
      <c r="BR933" s="18"/>
      <c r="BS933" s="18"/>
      <c r="BT933" s="18"/>
      <c r="BU933" s="18"/>
      <c r="BV933" s="18"/>
    </row>
    <row r="934" spans="1:74">
      <c r="A934" s="18"/>
      <c r="B934" s="19"/>
      <c r="BG934" s="18"/>
      <c r="BH934" s="18"/>
      <c r="BI934" s="18"/>
      <c r="BJ934" s="18"/>
      <c r="BK934" s="18"/>
      <c r="BL934" s="18"/>
      <c r="BM934" s="18"/>
      <c r="BN934" s="18"/>
      <c r="BO934" s="18"/>
      <c r="BP934" s="18"/>
      <c r="BQ934" s="18"/>
      <c r="BR934" s="18"/>
      <c r="BS934" s="18"/>
      <c r="BT934" s="18"/>
      <c r="BU934" s="18"/>
      <c r="BV934" s="18"/>
    </row>
    <row r="935" spans="1:74">
      <c r="A935" s="18"/>
      <c r="B935" s="19"/>
      <c r="BG935" s="18"/>
      <c r="BH935" s="18"/>
      <c r="BI935" s="18"/>
      <c r="BJ935" s="18"/>
      <c r="BK935" s="18"/>
      <c r="BL935" s="18"/>
      <c r="BM935" s="18"/>
      <c r="BN935" s="18"/>
      <c r="BO935" s="18"/>
      <c r="BP935" s="18"/>
      <c r="BQ935" s="18"/>
      <c r="BR935" s="18"/>
      <c r="BS935" s="18"/>
      <c r="BT935" s="18"/>
      <c r="BU935" s="18"/>
      <c r="BV935" s="18"/>
    </row>
    <row r="936" spans="1:74">
      <c r="A936" s="18"/>
      <c r="B936" s="19"/>
      <c r="BG936" s="18"/>
      <c r="BH936" s="18"/>
      <c r="BI936" s="18"/>
      <c r="BJ936" s="18"/>
      <c r="BK936" s="18"/>
      <c r="BL936" s="18"/>
      <c r="BM936" s="18"/>
      <c r="BN936" s="18"/>
      <c r="BO936" s="18"/>
      <c r="BP936" s="18"/>
      <c r="BQ936" s="18"/>
      <c r="BR936" s="18"/>
      <c r="BS936" s="18"/>
      <c r="BT936" s="18"/>
      <c r="BU936" s="18"/>
      <c r="BV936" s="18"/>
    </row>
    <row r="937" spans="1:74">
      <c r="A937" s="18"/>
      <c r="B937" s="19"/>
      <c r="BG937" s="18"/>
      <c r="BH937" s="18"/>
      <c r="BI937" s="18"/>
      <c r="BJ937" s="18"/>
      <c r="BK937" s="18"/>
      <c r="BL937" s="18"/>
      <c r="BM937" s="18"/>
      <c r="BN937" s="18"/>
      <c r="BO937" s="18"/>
      <c r="BP937" s="18"/>
      <c r="BQ937" s="18"/>
      <c r="BR937" s="18"/>
      <c r="BS937" s="18"/>
      <c r="BT937" s="18"/>
      <c r="BU937" s="18"/>
      <c r="BV937" s="18"/>
    </row>
    <row r="938" spans="1:74">
      <c r="A938" s="18"/>
      <c r="B938" s="19"/>
      <c r="BG938" s="18"/>
      <c r="BH938" s="18"/>
      <c r="BI938" s="18"/>
      <c r="BJ938" s="18"/>
      <c r="BK938" s="18"/>
      <c r="BL938" s="18"/>
      <c r="BM938" s="18"/>
      <c r="BN938" s="18"/>
      <c r="BO938" s="18"/>
      <c r="BP938" s="18"/>
      <c r="BQ938" s="18"/>
      <c r="BR938" s="18"/>
      <c r="BS938" s="18"/>
      <c r="BT938" s="18"/>
      <c r="BU938" s="18"/>
      <c r="BV938" s="18"/>
    </row>
    <row r="939" spans="1:74">
      <c r="A939" s="18"/>
      <c r="B939" s="19"/>
      <c r="BG939" s="18"/>
      <c r="BH939" s="18"/>
      <c r="BI939" s="18"/>
      <c r="BJ939" s="18"/>
      <c r="BK939" s="18"/>
      <c r="BL939" s="18"/>
      <c r="BM939" s="18"/>
      <c r="BN939" s="18"/>
      <c r="BO939" s="18"/>
      <c r="BP939" s="18"/>
      <c r="BQ939" s="18"/>
      <c r="BR939" s="18"/>
      <c r="BS939" s="18"/>
      <c r="BT939" s="18"/>
      <c r="BU939" s="18"/>
      <c r="BV939" s="18"/>
    </row>
    <row r="940" spans="1:74">
      <c r="A940" s="18"/>
      <c r="B940" s="19"/>
      <c r="BG940" s="18"/>
      <c r="BH940" s="18"/>
      <c r="BI940" s="18"/>
      <c r="BJ940" s="18"/>
      <c r="BK940" s="18"/>
      <c r="BL940" s="18"/>
      <c r="BM940" s="18"/>
      <c r="BN940" s="18"/>
      <c r="BO940" s="18"/>
      <c r="BP940" s="18"/>
      <c r="BQ940" s="18"/>
      <c r="BR940" s="18"/>
      <c r="BS940" s="18"/>
      <c r="BT940" s="18"/>
      <c r="BU940" s="18"/>
      <c r="BV940" s="18"/>
    </row>
    <row r="941" spans="1:74">
      <c r="A941" s="18"/>
      <c r="B941" s="19"/>
      <c r="BG941" s="18"/>
      <c r="BH941" s="18"/>
      <c r="BI941" s="18"/>
      <c r="BJ941" s="18"/>
      <c r="BK941" s="18"/>
      <c r="BL941" s="18"/>
      <c r="BM941" s="18"/>
      <c r="BN941" s="18"/>
      <c r="BO941" s="18"/>
      <c r="BP941" s="18"/>
      <c r="BQ941" s="18"/>
      <c r="BR941" s="18"/>
      <c r="BS941" s="18"/>
      <c r="BT941" s="18"/>
      <c r="BU941" s="18"/>
      <c r="BV941" s="18"/>
    </row>
    <row r="942" spans="1:74">
      <c r="A942" s="18"/>
      <c r="B942" s="19"/>
      <c r="BG942" s="18"/>
      <c r="BH942" s="18"/>
      <c r="BI942" s="18"/>
      <c r="BJ942" s="18"/>
      <c r="BK942" s="18"/>
      <c r="BL942" s="18"/>
      <c r="BM942" s="18"/>
      <c r="BN942" s="18"/>
      <c r="BO942" s="18"/>
      <c r="BP942" s="18"/>
      <c r="BQ942" s="18"/>
      <c r="BR942" s="18"/>
      <c r="BS942" s="18"/>
      <c r="BT942" s="18"/>
      <c r="BU942" s="18"/>
      <c r="BV942" s="18"/>
    </row>
    <row r="943" spans="1:74">
      <c r="A943" s="18"/>
      <c r="B943" s="19"/>
      <c r="BG943" s="18"/>
      <c r="BH943" s="18"/>
      <c r="BI943" s="18"/>
      <c r="BJ943" s="18"/>
      <c r="BK943" s="18"/>
      <c r="BL943" s="18"/>
      <c r="BM943" s="18"/>
      <c r="BN943" s="18"/>
      <c r="BO943" s="18"/>
      <c r="BP943" s="18"/>
      <c r="BQ943" s="18"/>
      <c r="BR943" s="18"/>
      <c r="BS943" s="18"/>
      <c r="BT943" s="18"/>
      <c r="BU943" s="18"/>
      <c r="BV943" s="18"/>
    </row>
    <row r="944" spans="1:74">
      <c r="A944" s="18"/>
      <c r="B944" s="19"/>
      <c r="BG944" s="18"/>
      <c r="BH944" s="18"/>
      <c r="BI944" s="18"/>
      <c r="BJ944" s="18"/>
      <c r="BK944" s="18"/>
      <c r="BL944" s="18"/>
      <c r="BM944" s="18"/>
      <c r="BN944" s="18"/>
      <c r="BO944" s="18"/>
      <c r="BP944" s="18"/>
      <c r="BQ944" s="18"/>
      <c r="BR944" s="18"/>
      <c r="BS944" s="18"/>
      <c r="BT944" s="18"/>
      <c r="BU944" s="18"/>
      <c r="BV944" s="18"/>
    </row>
    <row r="945" spans="1:74">
      <c r="A945" s="18"/>
      <c r="B945" s="19"/>
      <c r="BG945" s="18"/>
      <c r="BH945" s="18"/>
      <c r="BI945" s="18"/>
      <c r="BJ945" s="18"/>
      <c r="BK945" s="18"/>
      <c r="BL945" s="18"/>
      <c r="BM945" s="18"/>
      <c r="BN945" s="18"/>
      <c r="BO945" s="18"/>
      <c r="BP945" s="18"/>
      <c r="BQ945" s="18"/>
      <c r="BR945" s="18"/>
      <c r="BS945" s="18"/>
      <c r="BT945" s="18"/>
      <c r="BU945" s="18"/>
      <c r="BV945" s="18"/>
    </row>
    <row r="946" spans="1:74">
      <c r="A946" s="18"/>
      <c r="B946" s="19"/>
      <c r="BG946" s="18"/>
      <c r="BH946" s="18"/>
      <c r="BI946" s="18"/>
      <c r="BJ946" s="18"/>
      <c r="BK946" s="18"/>
      <c r="BL946" s="18"/>
      <c r="BM946" s="18"/>
      <c r="BN946" s="18"/>
      <c r="BO946" s="18"/>
      <c r="BP946" s="18"/>
      <c r="BQ946" s="18"/>
      <c r="BR946" s="18"/>
      <c r="BS946" s="18"/>
      <c r="BT946" s="18"/>
      <c r="BU946" s="18"/>
      <c r="BV946" s="18"/>
    </row>
    <row r="947" spans="1:74">
      <c r="A947" s="18"/>
      <c r="B947" s="19"/>
      <c r="BG947" s="18"/>
      <c r="BH947" s="18"/>
      <c r="BI947" s="18"/>
      <c r="BJ947" s="18"/>
      <c r="BK947" s="18"/>
      <c r="BL947" s="18"/>
      <c r="BM947" s="18"/>
      <c r="BN947" s="18"/>
      <c r="BO947" s="18"/>
      <c r="BP947" s="18"/>
      <c r="BQ947" s="18"/>
      <c r="BR947" s="18"/>
      <c r="BS947" s="18"/>
      <c r="BT947" s="18"/>
      <c r="BU947" s="18"/>
      <c r="BV947" s="18"/>
    </row>
    <row r="948" spans="1:74">
      <c r="A948" s="18"/>
      <c r="B948" s="19"/>
      <c r="BG948" s="18"/>
      <c r="BH948" s="18"/>
      <c r="BI948" s="18"/>
      <c r="BJ948" s="18"/>
      <c r="BK948" s="18"/>
      <c r="BL948" s="18"/>
      <c r="BM948" s="18"/>
      <c r="BN948" s="18"/>
      <c r="BO948" s="18"/>
      <c r="BP948" s="18"/>
      <c r="BQ948" s="18"/>
      <c r="BR948" s="18"/>
      <c r="BS948" s="18"/>
      <c r="BT948" s="18"/>
      <c r="BU948" s="18"/>
      <c r="BV948" s="18"/>
    </row>
    <row r="949" spans="1:74">
      <c r="A949" s="18"/>
      <c r="B949" s="19"/>
      <c r="BG949" s="18"/>
      <c r="BH949" s="18"/>
      <c r="BI949" s="18"/>
      <c r="BJ949" s="18"/>
      <c r="BK949" s="18"/>
      <c r="BL949" s="18"/>
      <c r="BM949" s="18"/>
      <c r="BN949" s="18"/>
      <c r="BO949" s="18"/>
      <c r="BP949" s="18"/>
      <c r="BQ949" s="18"/>
      <c r="BR949" s="18"/>
      <c r="BS949" s="18"/>
      <c r="BT949" s="18"/>
      <c r="BU949" s="18"/>
      <c r="BV949" s="18"/>
    </row>
    <row r="950" spans="1:74">
      <c r="A950" s="18"/>
      <c r="B950" s="19"/>
      <c r="BG950" s="18"/>
      <c r="BH950" s="18"/>
      <c r="BI950" s="18"/>
      <c r="BJ950" s="18"/>
      <c r="BK950" s="18"/>
      <c r="BL950" s="18"/>
      <c r="BM950" s="18"/>
      <c r="BN950" s="18"/>
      <c r="BO950" s="18"/>
      <c r="BP950" s="18"/>
      <c r="BQ950" s="18"/>
      <c r="BR950" s="18"/>
      <c r="BS950" s="18"/>
      <c r="BT950" s="18"/>
      <c r="BU950" s="18"/>
      <c r="BV950" s="18"/>
    </row>
    <row r="951" spans="1:74">
      <c r="A951" s="18"/>
      <c r="B951" s="19"/>
      <c r="BG951" s="18"/>
      <c r="BH951" s="18"/>
      <c r="BI951" s="18"/>
      <c r="BJ951" s="18"/>
      <c r="BK951" s="18"/>
      <c r="BL951" s="18"/>
      <c r="BM951" s="18"/>
      <c r="BN951" s="18"/>
      <c r="BO951" s="18"/>
      <c r="BP951" s="18"/>
      <c r="BQ951" s="18"/>
      <c r="BR951" s="18"/>
      <c r="BS951" s="18"/>
      <c r="BT951" s="18"/>
      <c r="BU951" s="18"/>
      <c r="BV951" s="18"/>
    </row>
    <row r="952" spans="1:74">
      <c r="A952" s="18"/>
      <c r="B952" s="19"/>
      <c r="BG952" s="18"/>
      <c r="BH952" s="18"/>
      <c r="BI952" s="18"/>
      <c r="BJ952" s="18"/>
      <c r="BK952" s="18"/>
      <c r="BL952" s="18"/>
      <c r="BM952" s="18"/>
      <c r="BN952" s="18"/>
      <c r="BO952" s="18"/>
      <c r="BP952" s="18"/>
      <c r="BQ952" s="18"/>
      <c r="BR952" s="18"/>
      <c r="BS952" s="18"/>
      <c r="BT952" s="18"/>
      <c r="BU952" s="18"/>
      <c r="BV952" s="18"/>
    </row>
    <row r="953" spans="1:74">
      <c r="A953" s="18"/>
      <c r="B953" s="19"/>
      <c r="BG953" s="18"/>
      <c r="BH953" s="18"/>
      <c r="BI953" s="18"/>
      <c r="BJ953" s="18"/>
      <c r="BK953" s="18"/>
      <c r="BL953" s="18"/>
      <c r="BM953" s="18"/>
      <c r="BN953" s="18"/>
      <c r="BO953" s="18"/>
      <c r="BP953" s="18"/>
      <c r="BQ953" s="18"/>
      <c r="BR953" s="18"/>
      <c r="BS953" s="18"/>
      <c r="BT953" s="18"/>
      <c r="BU953" s="18"/>
      <c r="BV953" s="18"/>
    </row>
    <row r="954" spans="1:74">
      <c r="A954" s="18"/>
      <c r="B954" s="19"/>
      <c r="BG954" s="18"/>
      <c r="BH954" s="18"/>
      <c r="BI954" s="18"/>
      <c r="BJ954" s="18"/>
      <c r="BK954" s="18"/>
      <c r="BL954" s="18"/>
      <c r="BM954" s="18"/>
      <c r="BN954" s="18"/>
      <c r="BO954" s="18"/>
      <c r="BP954" s="18"/>
      <c r="BQ954" s="18"/>
      <c r="BR954" s="18"/>
      <c r="BS954" s="18"/>
      <c r="BT954" s="18"/>
      <c r="BU954" s="18"/>
      <c r="BV954" s="18"/>
    </row>
    <row r="955" spans="1:74">
      <c r="A955" s="18"/>
      <c r="B955" s="19"/>
      <c r="BG955" s="18"/>
      <c r="BH955" s="18"/>
      <c r="BI955" s="18"/>
      <c r="BJ955" s="18"/>
      <c r="BK955" s="18"/>
      <c r="BL955" s="18"/>
      <c r="BM955" s="18"/>
      <c r="BN955" s="18"/>
      <c r="BO955" s="18"/>
      <c r="BP955" s="18"/>
      <c r="BQ955" s="18"/>
      <c r="BR955" s="18"/>
      <c r="BS955" s="18"/>
      <c r="BT955" s="18"/>
      <c r="BU955" s="18"/>
      <c r="BV955" s="18"/>
    </row>
    <row r="956" spans="1:74">
      <c r="A956" s="18"/>
      <c r="B956" s="19"/>
      <c r="BG956" s="18"/>
      <c r="BH956" s="18"/>
      <c r="BI956" s="18"/>
      <c r="BJ956" s="18"/>
      <c r="BK956" s="18"/>
      <c r="BL956" s="18"/>
      <c r="BM956" s="18"/>
      <c r="BN956" s="18"/>
      <c r="BO956" s="18"/>
      <c r="BP956" s="18"/>
      <c r="BQ956" s="18"/>
      <c r="BR956" s="18"/>
      <c r="BS956" s="18"/>
      <c r="BT956" s="18"/>
      <c r="BU956" s="18"/>
      <c r="BV956" s="18"/>
    </row>
    <row r="957" spans="1:74">
      <c r="A957" s="18"/>
      <c r="B957" s="19"/>
      <c r="BG957" s="18"/>
      <c r="BH957" s="18"/>
      <c r="BI957" s="18"/>
      <c r="BJ957" s="18"/>
      <c r="BK957" s="18"/>
      <c r="BL957" s="18"/>
      <c r="BM957" s="18"/>
      <c r="BN957" s="18"/>
      <c r="BO957" s="18"/>
      <c r="BP957" s="18"/>
      <c r="BQ957" s="18"/>
      <c r="BR957" s="18"/>
      <c r="BS957" s="18"/>
      <c r="BT957" s="18"/>
      <c r="BU957" s="18"/>
      <c r="BV957" s="18"/>
    </row>
    <row r="958" spans="1:74">
      <c r="A958" s="18"/>
      <c r="B958" s="19"/>
      <c r="BG958" s="18"/>
      <c r="BH958" s="18"/>
      <c r="BI958" s="18"/>
      <c r="BJ958" s="18"/>
      <c r="BK958" s="18"/>
      <c r="BL958" s="18"/>
      <c r="BM958" s="18"/>
      <c r="BN958" s="18"/>
      <c r="BO958" s="18"/>
      <c r="BP958" s="18"/>
      <c r="BQ958" s="18"/>
      <c r="BR958" s="18"/>
      <c r="BS958" s="18"/>
      <c r="BT958" s="18"/>
      <c r="BU958" s="18"/>
      <c r="BV958" s="18"/>
    </row>
    <row r="959" spans="1:74">
      <c r="A959" s="18"/>
      <c r="B959" s="19"/>
      <c r="BG959" s="18"/>
      <c r="BH959" s="18"/>
      <c r="BI959" s="18"/>
      <c r="BJ959" s="18"/>
      <c r="BK959" s="18"/>
      <c r="BL959" s="18"/>
      <c r="BM959" s="18"/>
      <c r="BN959" s="18"/>
      <c r="BO959" s="18"/>
      <c r="BP959" s="18"/>
      <c r="BQ959" s="18"/>
      <c r="BR959" s="18"/>
      <c r="BS959" s="18"/>
      <c r="BT959" s="18"/>
      <c r="BU959" s="18"/>
      <c r="BV959" s="18"/>
    </row>
    <row r="960" spans="1:74">
      <c r="A960" s="18"/>
      <c r="B960" s="19"/>
      <c r="BG960" s="18"/>
      <c r="BH960" s="18"/>
      <c r="BI960" s="18"/>
      <c r="BJ960" s="18"/>
      <c r="BK960" s="18"/>
      <c r="BL960" s="18"/>
      <c r="BM960" s="18"/>
      <c r="BN960" s="18"/>
      <c r="BO960" s="18"/>
      <c r="BP960" s="18"/>
      <c r="BQ960" s="18"/>
      <c r="BR960" s="18"/>
      <c r="BS960" s="18"/>
      <c r="BT960" s="18"/>
      <c r="BU960" s="18"/>
      <c r="BV960" s="18"/>
    </row>
    <row r="961" spans="1:74">
      <c r="A961" s="18"/>
      <c r="B961" s="19"/>
      <c r="BG961" s="18"/>
      <c r="BH961" s="18"/>
      <c r="BI961" s="18"/>
      <c r="BJ961" s="18"/>
      <c r="BK961" s="18"/>
      <c r="BL961" s="18"/>
      <c r="BM961" s="18"/>
      <c r="BN961" s="18"/>
      <c r="BO961" s="18"/>
      <c r="BP961" s="18"/>
      <c r="BQ961" s="18"/>
      <c r="BR961" s="18"/>
      <c r="BS961" s="18"/>
      <c r="BT961" s="18"/>
      <c r="BU961" s="18"/>
      <c r="BV961" s="18"/>
    </row>
    <row r="962" spans="1:74">
      <c r="A962" s="18"/>
      <c r="B962" s="19"/>
      <c r="BG962" s="18"/>
      <c r="BH962" s="18"/>
      <c r="BI962" s="18"/>
      <c r="BJ962" s="18"/>
      <c r="BK962" s="18"/>
      <c r="BL962" s="18"/>
      <c r="BM962" s="18"/>
      <c r="BN962" s="18"/>
      <c r="BO962" s="18"/>
      <c r="BP962" s="18"/>
      <c r="BQ962" s="18"/>
      <c r="BR962" s="18"/>
      <c r="BS962" s="18"/>
      <c r="BT962" s="18"/>
      <c r="BU962" s="18"/>
      <c r="BV962" s="18"/>
    </row>
    <row r="963" spans="1:74">
      <c r="A963" s="18"/>
      <c r="B963" s="19"/>
      <c r="BG963" s="18"/>
      <c r="BH963" s="18"/>
      <c r="BI963" s="18"/>
      <c r="BJ963" s="18"/>
      <c r="BK963" s="18"/>
      <c r="BL963" s="18"/>
      <c r="BM963" s="18"/>
      <c r="BN963" s="18"/>
      <c r="BO963" s="18"/>
      <c r="BP963" s="18"/>
      <c r="BQ963" s="18"/>
      <c r="BR963" s="18"/>
      <c r="BS963" s="18"/>
      <c r="BT963" s="18"/>
      <c r="BU963" s="18"/>
      <c r="BV963" s="18"/>
    </row>
    <row r="964" spans="1:74">
      <c r="A964" s="18"/>
      <c r="B964" s="19"/>
      <c r="BG964" s="18"/>
      <c r="BH964" s="18"/>
      <c r="BI964" s="18"/>
      <c r="BJ964" s="18"/>
      <c r="BK964" s="18"/>
      <c r="BL964" s="18"/>
      <c r="BM964" s="18"/>
      <c r="BN964" s="18"/>
      <c r="BO964" s="18"/>
      <c r="BP964" s="18"/>
      <c r="BQ964" s="18"/>
      <c r="BR964" s="18"/>
      <c r="BS964" s="18"/>
      <c r="BT964" s="18"/>
      <c r="BU964" s="18"/>
      <c r="BV964" s="18"/>
    </row>
    <row r="965" spans="1:74">
      <c r="A965" s="18"/>
      <c r="B965" s="19"/>
      <c r="BG965" s="18"/>
      <c r="BH965" s="18"/>
      <c r="BI965" s="18"/>
      <c r="BJ965" s="18"/>
      <c r="BK965" s="18"/>
      <c r="BL965" s="18"/>
      <c r="BM965" s="18"/>
      <c r="BN965" s="18"/>
      <c r="BO965" s="18"/>
      <c r="BP965" s="18"/>
      <c r="BQ965" s="18"/>
      <c r="BR965" s="18"/>
      <c r="BS965" s="18"/>
      <c r="BT965" s="18"/>
      <c r="BU965" s="18"/>
      <c r="BV965" s="18"/>
    </row>
    <row r="966" spans="1:74">
      <c r="A966" s="18"/>
      <c r="B966" s="19"/>
      <c r="BG966" s="18"/>
      <c r="BH966" s="18"/>
      <c r="BI966" s="18"/>
      <c r="BJ966" s="18"/>
      <c r="BK966" s="18"/>
      <c r="BL966" s="18"/>
      <c r="BM966" s="18"/>
      <c r="BN966" s="18"/>
      <c r="BO966" s="18"/>
      <c r="BP966" s="18"/>
      <c r="BQ966" s="18"/>
      <c r="BR966" s="18"/>
      <c r="BS966" s="18"/>
      <c r="BT966" s="18"/>
      <c r="BU966" s="18"/>
      <c r="BV966" s="18"/>
    </row>
    <row r="967" spans="1:74">
      <c r="A967" s="69"/>
      <c r="B967" s="19"/>
      <c r="BG967" s="18"/>
      <c r="BH967" s="18"/>
      <c r="BI967" s="18"/>
      <c r="BJ967" s="18"/>
      <c r="BK967" s="18"/>
      <c r="BL967" s="18"/>
      <c r="BM967" s="18"/>
      <c r="BN967" s="18"/>
      <c r="BO967" s="18"/>
      <c r="BP967" s="18"/>
      <c r="BQ967" s="18"/>
      <c r="BR967" s="18"/>
      <c r="BS967" s="18"/>
      <c r="BT967" s="18"/>
      <c r="BU967" s="18"/>
      <c r="BV967" s="18"/>
    </row>
    <row r="968" spans="1:74">
      <c r="A968" s="18"/>
      <c r="B968" s="19"/>
      <c r="BG968" s="18"/>
      <c r="BH968" s="18"/>
      <c r="BI968" s="18"/>
      <c r="BJ968" s="18"/>
      <c r="BK968" s="18"/>
      <c r="BL968" s="18"/>
      <c r="BM968" s="18"/>
      <c r="BN968" s="18"/>
      <c r="BO968" s="18"/>
      <c r="BP968" s="18"/>
      <c r="BQ968" s="18"/>
      <c r="BR968" s="18"/>
      <c r="BS968" s="18"/>
      <c r="BT968" s="18"/>
      <c r="BU968" s="18"/>
      <c r="BV968" s="18"/>
    </row>
    <row r="969" spans="1:74">
      <c r="A969" s="18"/>
      <c r="B969" s="19"/>
      <c r="BG969" s="18"/>
      <c r="BH969" s="18"/>
      <c r="BI969" s="18"/>
      <c r="BJ969" s="18"/>
      <c r="BK969" s="18"/>
      <c r="BL969" s="18"/>
      <c r="BM969" s="18"/>
      <c r="BN969" s="18"/>
      <c r="BO969" s="18"/>
      <c r="BP969" s="18"/>
      <c r="BQ969" s="18"/>
      <c r="BR969" s="18"/>
      <c r="BS969" s="18"/>
      <c r="BT969" s="18"/>
      <c r="BU969" s="18"/>
      <c r="BV969" s="18"/>
    </row>
    <row r="970" spans="1:74">
      <c r="A970" s="18"/>
      <c r="B970" s="19"/>
      <c r="BG970" s="18"/>
      <c r="BH970" s="18"/>
      <c r="BI970" s="18"/>
      <c r="BJ970" s="18"/>
      <c r="BK970" s="18"/>
      <c r="BL970" s="18"/>
      <c r="BM970" s="18"/>
      <c r="BN970" s="18"/>
      <c r="BO970" s="18"/>
      <c r="BP970" s="18"/>
      <c r="BQ970" s="18"/>
      <c r="BR970" s="18"/>
      <c r="BS970" s="18"/>
      <c r="BT970" s="18"/>
      <c r="BU970" s="18"/>
      <c r="BV970" s="18"/>
    </row>
    <row r="971" spans="1:74">
      <c r="A971" s="18"/>
      <c r="B971" s="19"/>
      <c r="BG971" s="18"/>
      <c r="BH971" s="18"/>
      <c r="BI971" s="18"/>
      <c r="BJ971" s="18"/>
      <c r="BK971" s="18"/>
      <c r="BL971" s="18"/>
      <c r="BM971" s="18"/>
      <c r="BN971" s="18"/>
      <c r="BO971" s="18"/>
      <c r="BP971" s="18"/>
      <c r="BQ971" s="18"/>
      <c r="BR971" s="18"/>
      <c r="BS971" s="18"/>
      <c r="BT971" s="18"/>
      <c r="BU971" s="18"/>
      <c r="BV971" s="18"/>
    </row>
    <row r="972" spans="1:74">
      <c r="A972" s="18"/>
      <c r="B972" s="19"/>
      <c r="BG972" s="18"/>
      <c r="BH972" s="18"/>
      <c r="BI972" s="18"/>
      <c r="BJ972" s="18"/>
      <c r="BK972" s="18"/>
      <c r="BL972" s="18"/>
      <c r="BM972" s="18"/>
      <c r="BN972" s="18"/>
      <c r="BO972" s="18"/>
      <c r="BP972" s="18"/>
      <c r="BQ972" s="18"/>
      <c r="BR972" s="18"/>
      <c r="BS972" s="18"/>
      <c r="BT972" s="18"/>
      <c r="BU972" s="18"/>
      <c r="BV972" s="18"/>
    </row>
    <row r="973" spans="1:74">
      <c r="A973" s="18"/>
      <c r="B973" s="19"/>
      <c r="BG973" s="18"/>
      <c r="BH973" s="18"/>
      <c r="BI973" s="18"/>
      <c r="BJ973" s="18"/>
      <c r="BK973" s="18"/>
      <c r="BL973" s="18"/>
      <c r="BM973" s="18"/>
      <c r="BN973" s="18"/>
      <c r="BO973" s="18"/>
      <c r="BP973" s="18"/>
      <c r="BQ973" s="18"/>
      <c r="BR973" s="18"/>
      <c r="BS973" s="18"/>
      <c r="BT973" s="18"/>
      <c r="BU973" s="18"/>
      <c r="BV973" s="18"/>
    </row>
    <row r="974" spans="1:74">
      <c r="A974" s="18"/>
      <c r="B974" s="19"/>
      <c r="BG974" s="18"/>
      <c r="BH974" s="18"/>
      <c r="BI974" s="18"/>
      <c r="BJ974" s="18"/>
      <c r="BK974" s="18"/>
      <c r="BL974" s="18"/>
      <c r="BM974" s="18"/>
      <c r="BN974" s="18"/>
      <c r="BO974" s="18"/>
      <c r="BP974" s="18"/>
      <c r="BQ974" s="18"/>
      <c r="BR974" s="18"/>
      <c r="BS974" s="18"/>
      <c r="BT974" s="18"/>
      <c r="BU974" s="18"/>
      <c r="BV974" s="18"/>
    </row>
    <row r="975" spans="1:74">
      <c r="A975" s="18"/>
      <c r="B975" s="19"/>
      <c r="BG975" s="18"/>
      <c r="BH975" s="18"/>
      <c r="BI975" s="18"/>
      <c r="BJ975" s="18"/>
      <c r="BK975" s="18"/>
      <c r="BL975" s="18"/>
      <c r="BM975" s="18"/>
      <c r="BN975" s="18"/>
      <c r="BO975" s="18"/>
      <c r="BP975" s="18"/>
      <c r="BQ975" s="18"/>
      <c r="BR975" s="18"/>
      <c r="BS975" s="18"/>
      <c r="BT975" s="18"/>
      <c r="BU975" s="18"/>
      <c r="BV975" s="18"/>
    </row>
    <row r="976" spans="1:74">
      <c r="A976" s="18"/>
      <c r="B976" s="19"/>
      <c r="BG976" s="18"/>
      <c r="BH976" s="18"/>
      <c r="BI976" s="18"/>
      <c r="BJ976" s="18"/>
      <c r="BK976" s="18"/>
      <c r="BL976" s="18"/>
      <c r="BM976" s="18"/>
      <c r="BN976" s="18"/>
      <c r="BO976" s="18"/>
      <c r="BP976" s="18"/>
      <c r="BQ976" s="18"/>
      <c r="BR976" s="18"/>
      <c r="BS976" s="18"/>
      <c r="BT976" s="18"/>
      <c r="BU976" s="18"/>
      <c r="BV976" s="18"/>
    </row>
    <row r="977" spans="1:74">
      <c r="A977" s="18"/>
      <c r="B977" s="19"/>
      <c r="BG977" s="18"/>
      <c r="BH977" s="18"/>
      <c r="BI977" s="18"/>
      <c r="BJ977" s="18"/>
      <c r="BK977" s="18"/>
      <c r="BL977" s="18"/>
      <c r="BM977" s="18"/>
      <c r="BN977" s="18"/>
      <c r="BO977" s="18"/>
      <c r="BP977" s="18"/>
      <c r="BQ977" s="18"/>
      <c r="BR977" s="18"/>
      <c r="BS977" s="18"/>
      <c r="BT977" s="18"/>
      <c r="BU977" s="18"/>
      <c r="BV977" s="18"/>
    </row>
    <row r="978" spans="1:74">
      <c r="A978" s="18"/>
      <c r="B978" s="19"/>
      <c r="BG978" s="18"/>
      <c r="BH978" s="18"/>
      <c r="BI978" s="18"/>
      <c r="BJ978" s="18"/>
      <c r="BK978" s="18"/>
      <c r="BL978" s="18"/>
      <c r="BM978" s="18"/>
      <c r="BN978" s="18"/>
      <c r="BO978" s="18"/>
      <c r="BP978" s="18"/>
      <c r="BQ978" s="18"/>
      <c r="BR978" s="18"/>
      <c r="BS978" s="18"/>
      <c r="BT978" s="18"/>
      <c r="BU978" s="18"/>
      <c r="BV978" s="18"/>
    </row>
    <row r="979" spans="1:74">
      <c r="A979" s="18"/>
      <c r="B979" s="19"/>
      <c r="BG979" s="18"/>
      <c r="BH979" s="18"/>
      <c r="BI979" s="18"/>
      <c r="BJ979" s="18"/>
      <c r="BK979" s="18"/>
      <c r="BL979" s="18"/>
      <c r="BM979" s="18"/>
      <c r="BN979" s="18"/>
      <c r="BO979" s="18"/>
      <c r="BP979" s="18"/>
      <c r="BQ979" s="18"/>
      <c r="BR979" s="18"/>
      <c r="BS979" s="18"/>
      <c r="BT979" s="18"/>
      <c r="BU979" s="18"/>
      <c r="BV979" s="18"/>
    </row>
    <row r="980" spans="1:74">
      <c r="A980" s="18"/>
      <c r="B980" s="19"/>
      <c r="BG980" s="18"/>
      <c r="BH980" s="18"/>
      <c r="BI980" s="18"/>
      <c r="BJ980" s="18"/>
      <c r="BK980" s="18"/>
      <c r="BL980" s="18"/>
      <c r="BM980" s="18"/>
      <c r="BN980" s="18"/>
      <c r="BO980" s="18"/>
      <c r="BP980" s="18"/>
      <c r="BQ980" s="18"/>
      <c r="BR980" s="18"/>
      <c r="BS980" s="18"/>
      <c r="BT980" s="18"/>
      <c r="BU980" s="18"/>
      <c r="BV980" s="18"/>
    </row>
    <row r="981" spans="1:74">
      <c r="A981" s="18"/>
      <c r="B981" s="19"/>
      <c r="BG981" s="18"/>
      <c r="BH981" s="18"/>
      <c r="BI981" s="18"/>
      <c r="BJ981" s="18"/>
      <c r="BK981" s="18"/>
      <c r="BL981" s="18"/>
      <c r="BM981" s="18"/>
      <c r="BN981" s="18"/>
      <c r="BO981" s="18"/>
      <c r="BP981" s="18"/>
      <c r="BQ981" s="18"/>
      <c r="BR981" s="18"/>
      <c r="BS981" s="18"/>
      <c r="BT981" s="18"/>
      <c r="BU981" s="18"/>
      <c r="BV981" s="18"/>
    </row>
    <row r="982" spans="1:74">
      <c r="A982" s="18"/>
      <c r="B982" s="19"/>
      <c r="BG982" s="18"/>
      <c r="BH982" s="18"/>
      <c r="BI982" s="18"/>
      <c r="BJ982" s="18"/>
      <c r="BK982" s="18"/>
      <c r="BL982" s="18"/>
      <c r="BM982" s="18"/>
      <c r="BN982" s="18"/>
      <c r="BO982" s="18"/>
      <c r="BP982" s="18"/>
      <c r="BQ982" s="18"/>
      <c r="BR982" s="18"/>
      <c r="BS982" s="18"/>
      <c r="BT982" s="18"/>
      <c r="BU982" s="18"/>
      <c r="BV982" s="18"/>
    </row>
    <row r="983" spans="1:74">
      <c r="A983" s="18"/>
      <c r="B983" s="19"/>
      <c r="BG983" s="18"/>
      <c r="BH983" s="18"/>
      <c r="BI983" s="18"/>
      <c r="BJ983" s="18"/>
      <c r="BK983" s="18"/>
      <c r="BL983" s="18"/>
      <c r="BM983" s="18"/>
      <c r="BN983" s="18"/>
      <c r="BO983" s="18"/>
      <c r="BP983" s="18"/>
      <c r="BQ983" s="18"/>
      <c r="BR983" s="18"/>
      <c r="BS983" s="18"/>
      <c r="BT983" s="18"/>
      <c r="BU983" s="18"/>
      <c r="BV983" s="18"/>
    </row>
    <row r="984" spans="1:74">
      <c r="A984" s="18"/>
      <c r="B984" s="19"/>
      <c r="BG984" s="18"/>
      <c r="BH984" s="18"/>
      <c r="BI984" s="18"/>
      <c r="BJ984" s="18"/>
      <c r="BK984" s="18"/>
      <c r="BL984" s="18"/>
      <c r="BM984" s="18"/>
      <c r="BN984" s="18"/>
      <c r="BO984" s="18"/>
      <c r="BP984" s="18"/>
      <c r="BQ984" s="18"/>
      <c r="BR984" s="18"/>
      <c r="BS984" s="18"/>
      <c r="BT984" s="18"/>
      <c r="BU984" s="18"/>
      <c r="BV984" s="18"/>
    </row>
    <row r="985" spans="1:74">
      <c r="A985" s="18"/>
      <c r="B985" s="19"/>
      <c r="BG985" s="18"/>
      <c r="BH985" s="18"/>
      <c r="BI985" s="18"/>
      <c r="BJ985" s="18"/>
      <c r="BK985" s="18"/>
      <c r="BL985" s="18"/>
      <c r="BM985" s="18"/>
      <c r="BN985" s="18"/>
      <c r="BO985" s="18"/>
      <c r="BP985" s="18"/>
      <c r="BQ985" s="18"/>
      <c r="BR985" s="18"/>
      <c r="BS985" s="18"/>
      <c r="BT985" s="18"/>
      <c r="BU985" s="18"/>
      <c r="BV985" s="18"/>
    </row>
    <row r="986" spans="1:74">
      <c r="A986" s="18"/>
      <c r="B986" s="19"/>
      <c r="BG986" s="18"/>
      <c r="BH986" s="18"/>
      <c r="BI986" s="18"/>
      <c r="BJ986" s="18"/>
      <c r="BK986" s="18"/>
      <c r="BL986" s="18"/>
      <c r="BM986" s="18"/>
      <c r="BN986" s="18"/>
      <c r="BO986" s="18"/>
      <c r="BP986" s="18"/>
      <c r="BQ986" s="18"/>
      <c r="BR986" s="18"/>
      <c r="BS986" s="18"/>
      <c r="BT986" s="18"/>
      <c r="BU986" s="18"/>
      <c r="BV986" s="18"/>
    </row>
    <row r="987" spans="1:74">
      <c r="A987" s="18"/>
      <c r="B987" s="19"/>
      <c r="BG987" s="18"/>
      <c r="BH987" s="18"/>
      <c r="BI987" s="18"/>
      <c r="BJ987" s="18"/>
      <c r="BK987" s="18"/>
      <c r="BL987" s="18"/>
      <c r="BM987" s="18"/>
      <c r="BN987" s="18"/>
      <c r="BO987" s="18"/>
      <c r="BP987" s="18"/>
      <c r="BQ987" s="18"/>
      <c r="BR987" s="18"/>
      <c r="BS987" s="18"/>
      <c r="BT987" s="18"/>
      <c r="BU987" s="18"/>
      <c r="BV987" s="18"/>
    </row>
    <row r="988" spans="1:74">
      <c r="A988" s="18"/>
      <c r="B988" s="19"/>
      <c r="BG988" s="18"/>
      <c r="BH988" s="18"/>
      <c r="BI988" s="18"/>
      <c r="BJ988" s="18"/>
      <c r="BK988" s="18"/>
      <c r="BL988" s="18"/>
      <c r="BM988" s="18"/>
      <c r="BN988" s="18"/>
      <c r="BO988" s="18"/>
      <c r="BP988" s="18"/>
      <c r="BQ988" s="18"/>
      <c r="BR988" s="18"/>
      <c r="BS988" s="18"/>
      <c r="BT988" s="18"/>
      <c r="BU988" s="18"/>
      <c r="BV988" s="18"/>
    </row>
    <row r="989" spans="1:74">
      <c r="A989" s="18"/>
      <c r="B989" s="19"/>
      <c r="BG989" s="18"/>
      <c r="BH989" s="18"/>
      <c r="BI989" s="18"/>
      <c r="BJ989" s="18"/>
      <c r="BK989" s="18"/>
      <c r="BL989" s="18"/>
      <c r="BM989" s="18"/>
      <c r="BN989" s="18"/>
      <c r="BO989" s="18"/>
      <c r="BP989" s="18"/>
      <c r="BQ989" s="18"/>
      <c r="BR989" s="18"/>
      <c r="BS989" s="18"/>
      <c r="BT989" s="18"/>
      <c r="BU989" s="18"/>
      <c r="BV989" s="18"/>
    </row>
    <row r="990" spans="1:74">
      <c r="A990" s="18"/>
      <c r="B990" s="19"/>
      <c r="BG990" s="18"/>
      <c r="BH990" s="18"/>
      <c r="BI990" s="18"/>
      <c r="BJ990" s="18"/>
      <c r="BK990" s="18"/>
      <c r="BL990" s="18"/>
      <c r="BM990" s="18"/>
      <c r="BN990" s="18"/>
      <c r="BO990" s="18"/>
      <c r="BP990" s="18"/>
      <c r="BQ990" s="18"/>
      <c r="BR990" s="18"/>
      <c r="BS990" s="18"/>
      <c r="BT990" s="18"/>
      <c r="BU990" s="18"/>
      <c r="BV990" s="18"/>
    </row>
    <row r="991" spans="1:74">
      <c r="A991" s="18"/>
      <c r="B991" s="19"/>
      <c r="BG991" s="18"/>
      <c r="BH991" s="18"/>
      <c r="BI991" s="18"/>
      <c r="BJ991" s="18"/>
      <c r="BK991" s="18"/>
      <c r="BL991" s="18"/>
      <c r="BM991" s="18"/>
      <c r="BN991" s="18"/>
      <c r="BO991" s="18"/>
      <c r="BP991" s="18"/>
      <c r="BQ991" s="18"/>
      <c r="BR991" s="18"/>
      <c r="BS991" s="18"/>
      <c r="BT991" s="18"/>
      <c r="BU991" s="18"/>
      <c r="BV991" s="18"/>
    </row>
    <row r="992" spans="1:74">
      <c r="A992" s="18"/>
      <c r="B992" s="19"/>
      <c r="BG992" s="18"/>
      <c r="BH992" s="18"/>
      <c r="BI992" s="18"/>
      <c r="BJ992" s="18"/>
      <c r="BK992" s="18"/>
      <c r="BL992" s="18"/>
      <c r="BM992" s="18"/>
      <c r="BN992" s="18"/>
      <c r="BO992" s="18"/>
      <c r="BP992" s="18"/>
      <c r="BQ992" s="18"/>
      <c r="BR992" s="18"/>
      <c r="BS992" s="18"/>
      <c r="BT992" s="18"/>
      <c r="BU992" s="18"/>
      <c r="BV992" s="18"/>
    </row>
    <row r="993" spans="1:74">
      <c r="A993" s="18"/>
      <c r="B993" s="19"/>
      <c r="BG993" s="18"/>
      <c r="BH993" s="18"/>
      <c r="BI993" s="18"/>
      <c r="BJ993" s="18"/>
      <c r="BK993" s="18"/>
      <c r="BL993" s="18"/>
      <c r="BM993" s="18"/>
      <c r="BN993" s="18"/>
      <c r="BO993" s="18"/>
      <c r="BP993" s="18"/>
      <c r="BQ993" s="18"/>
      <c r="BR993" s="18"/>
      <c r="BS993" s="18"/>
      <c r="BT993" s="18"/>
      <c r="BU993" s="18"/>
      <c r="BV993" s="18"/>
    </row>
    <row r="994" spans="1:74">
      <c r="A994" s="18"/>
      <c r="B994" s="19"/>
      <c r="BG994" s="18"/>
      <c r="BH994" s="18"/>
      <c r="BI994" s="18"/>
      <c r="BJ994" s="18"/>
      <c r="BK994" s="18"/>
      <c r="BL994" s="18"/>
      <c r="BM994" s="18"/>
      <c r="BN994" s="18"/>
      <c r="BO994" s="18"/>
      <c r="BP994" s="18"/>
      <c r="BQ994" s="18"/>
      <c r="BR994" s="18"/>
      <c r="BS994" s="18"/>
      <c r="BT994" s="18"/>
      <c r="BU994" s="18"/>
      <c r="BV994" s="18"/>
    </row>
    <row r="995" spans="1:74">
      <c r="A995" s="18"/>
      <c r="B995" s="19"/>
      <c r="BG995" s="18"/>
      <c r="BH995" s="18"/>
      <c r="BI995" s="18"/>
      <c r="BJ995" s="18"/>
      <c r="BK995" s="18"/>
      <c r="BL995" s="18"/>
      <c r="BM995" s="18"/>
      <c r="BN995" s="18"/>
      <c r="BO995" s="18"/>
      <c r="BP995" s="18"/>
      <c r="BQ995" s="18"/>
      <c r="BR995" s="18"/>
      <c r="BS995" s="18"/>
      <c r="BT995" s="18"/>
      <c r="BU995" s="18"/>
      <c r="BV995" s="18"/>
    </row>
    <row r="996" spans="1:74">
      <c r="A996" s="18"/>
      <c r="B996" s="19"/>
      <c r="BG996" s="18"/>
      <c r="BH996" s="18"/>
      <c r="BI996" s="18"/>
      <c r="BJ996" s="18"/>
      <c r="BK996" s="18"/>
      <c r="BL996" s="18"/>
      <c r="BM996" s="18"/>
      <c r="BN996" s="18"/>
      <c r="BO996" s="18"/>
      <c r="BP996" s="18"/>
      <c r="BQ996" s="18"/>
      <c r="BR996" s="18"/>
      <c r="BS996" s="18"/>
      <c r="BT996" s="18"/>
      <c r="BU996" s="18"/>
      <c r="BV996" s="18"/>
    </row>
    <row r="997" spans="1:74">
      <c r="A997" s="18"/>
      <c r="B997" s="19"/>
      <c r="S997" s="74"/>
      <c r="BG997" s="18"/>
      <c r="BH997" s="18"/>
      <c r="BI997" s="18"/>
      <c r="BJ997" s="18"/>
      <c r="BK997" s="18"/>
      <c r="BL997" s="18"/>
      <c r="BM997" s="18"/>
      <c r="BN997" s="18"/>
      <c r="BO997" s="18"/>
      <c r="BP997" s="18"/>
      <c r="BQ997" s="18"/>
      <c r="BR997" s="18"/>
      <c r="BS997" s="18"/>
      <c r="BT997" s="18"/>
      <c r="BU997" s="18"/>
      <c r="BV997" s="18"/>
    </row>
    <row r="998" spans="1:74">
      <c r="A998" s="18"/>
      <c r="B998" s="19"/>
      <c r="S998" s="74"/>
      <c r="BG998" s="18"/>
      <c r="BH998" s="18"/>
      <c r="BI998" s="18"/>
      <c r="BJ998" s="18"/>
      <c r="BK998" s="18"/>
      <c r="BL998" s="18"/>
      <c r="BM998" s="18"/>
      <c r="BN998" s="18"/>
      <c r="BO998" s="18"/>
      <c r="BP998" s="18"/>
      <c r="BQ998" s="18"/>
      <c r="BR998" s="18"/>
      <c r="BS998" s="18"/>
      <c r="BT998" s="18"/>
      <c r="BU998" s="18"/>
      <c r="BV998" s="18"/>
    </row>
    <row r="999" spans="1:74">
      <c r="A999" s="18"/>
      <c r="B999" s="19"/>
      <c r="S999" s="74"/>
      <c r="BG999" s="18"/>
      <c r="BH999" s="18"/>
      <c r="BI999" s="18"/>
      <c r="BJ999" s="18"/>
      <c r="BK999" s="18"/>
      <c r="BL999" s="18"/>
      <c r="BM999" s="18"/>
      <c r="BN999" s="18"/>
      <c r="BO999" s="18"/>
      <c r="BP999" s="18"/>
      <c r="BQ999" s="18"/>
      <c r="BR999" s="18"/>
      <c r="BS999" s="18"/>
      <c r="BT999" s="18"/>
      <c r="BU999" s="18"/>
      <c r="BV999" s="18"/>
    </row>
    <row r="1000" spans="1:74">
      <c r="A1000" s="18"/>
      <c r="B1000" s="19"/>
      <c r="S1000" s="74"/>
      <c r="BG1000" s="18"/>
      <c r="BH1000" s="18"/>
      <c r="BI1000" s="18"/>
      <c r="BJ1000" s="18"/>
      <c r="BK1000" s="18"/>
      <c r="BL1000" s="18"/>
      <c r="BM1000" s="18"/>
      <c r="BN1000" s="18"/>
      <c r="BO1000" s="18"/>
      <c r="BP1000" s="18"/>
      <c r="BQ1000" s="18"/>
      <c r="BR1000" s="18"/>
      <c r="BS1000" s="18"/>
      <c r="BT1000" s="18"/>
      <c r="BU1000" s="18"/>
      <c r="BV1000" s="18"/>
    </row>
    <row r="1001" spans="1:74">
      <c r="A1001" s="18"/>
      <c r="B1001" s="19"/>
      <c r="S1001" s="74"/>
      <c r="BG1001" s="18"/>
      <c r="BH1001" s="18"/>
      <c r="BI1001" s="18"/>
      <c r="BJ1001" s="18"/>
      <c r="BK1001" s="18"/>
      <c r="BL1001" s="18"/>
      <c r="BM1001" s="18"/>
      <c r="BN1001" s="18"/>
      <c r="BO1001" s="18"/>
      <c r="BP1001" s="18"/>
      <c r="BQ1001" s="18"/>
      <c r="BR1001" s="18"/>
      <c r="BS1001" s="18"/>
      <c r="BT1001" s="18"/>
      <c r="BU1001" s="18"/>
      <c r="BV1001" s="18"/>
    </row>
    <row r="1002" spans="1:74">
      <c r="A1002" s="18"/>
      <c r="B1002" s="19"/>
      <c r="S1002" s="74"/>
      <c r="BG1002" s="18"/>
      <c r="BH1002" s="18"/>
      <c r="BI1002" s="18"/>
      <c r="BJ1002" s="18"/>
      <c r="BK1002" s="18"/>
      <c r="BL1002" s="18"/>
      <c r="BM1002" s="18"/>
      <c r="BN1002" s="18"/>
      <c r="BO1002" s="18"/>
      <c r="BP1002" s="18"/>
      <c r="BQ1002" s="18"/>
      <c r="BR1002" s="18"/>
      <c r="BS1002" s="18"/>
      <c r="BT1002" s="18"/>
      <c r="BU1002" s="18"/>
      <c r="BV1002" s="18"/>
    </row>
    <row r="1003" spans="1:74">
      <c r="A1003" s="18"/>
      <c r="B1003" s="19"/>
      <c r="S1003" s="74"/>
      <c r="BG1003" s="18"/>
      <c r="BH1003" s="18"/>
      <c r="BI1003" s="18"/>
      <c r="BJ1003" s="18"/>
      <c r="BK1003" s="18"/>
      <c r="BL1003" s="18"/>
      <c r="BM1003" s="18"/>
      <c r="BN1003" s="18"/>
      <c r="BO1003" s="18"/>
      <c r="BP1003" s="18"/>
      <c r="BQ1003" s="18"/>
      <c r="BR1003" s="18"/>
      <c r="BS1003" s="18"/>
      <c r="BT1003" s="18"/>
      <c r="BU1003" s="18"/>
      <c r="BV1003" s="18"/>
    </row>
    <row r="1004" spans="1:74">
      <c r="A1004" s="18"/>
      <c r="B1004" s="19"/>
      <c r="BG1004" s="18"/>
      <c r="BH1004" s="18"/>
      <c r="BI1004" s="18"/>
      <c r="BJ1004" s="18"/>
      <c r="BK1004" s="18"/>
      <c r="BL1004" s="18"/>
      <c r="BM1004" s="18"/>
      <c r="BN1004" s="18"/>
      <c r="BO1004" s="18"/>
      <c r="BP1004" s="18"/>
      <c r="BQ1004" s="18"/>
      <c r="BR1004" s="18"/>
      <c r="BS1004" s="18"/>
      <c r="BT1004" s="18"/>
      <c r="BU1004" s="18"/>
      <c r="BV1004" s="18"/>
    </row>
    <row r="1005" spans="1:74">
      <c r="A1005" s="18"/>
      <c r="B1005" s="19"/>
      <c r="BG1005" s="18"/>
      <c r="BH1005" s="18"/>
      <c r="BI1005" s="18"/>
      <c r="BJ1005" s="18"/>
      <c r="BK1005" s="18"/>
      <c r="BL1005" s="18"/>
      <c r="BM1005" s="18"/>
      <c r="BN1005" s="18"/>
      <c r="BO1005" s="18"/>
      <c r="BP1005" s="18"/>
      <c r="BQ1005" s="18"/>
      <c r="BR1005" s="18"/>
      <c r="BS1005" s="18"/>
      <c r="BT1005" s="18"/>
      <c r="BU1005" s="18"/>
      <c r="BV1005" s="18"/>
    </row>
    <row r="1006" spans="1:74">
      <c r="A1006" s="18"/>
      <c r="B1006" s="19"/>
      <c r="BG1006" s="18"/>
      <c r="BH1006" s="18"/>
      <c r="BI1006" s="18"/>
      <c r="BJ1006" s="18"/>
      <c r="BK1006" s="18"/>
      <c r="BL1006" s="18"/>
      <c r="BM1006" s="18"/>
      <c r="BN1006" s="18"/>
      <c r="BO1006" s="18"/>
      <c r="BP1006" s="18"/>
      <c r="BQ1006" s="18"/>
      <c r="BR1006" s="18"/>
      <c r="BS1006" s="18"/>
      <c r="BT1006" s="18"/>
      <c r="BU1006" s="18"/>
      <c r="BV1006" s="18"/>
    </row>
    <row r="1007" spans="1:74">
      <c r="A1007" s="18"/>
      <c r="B1007" s="19"/>
      <c r="BG1007" s="18"/>
      <c r="BH1007" s="18"/>
      <c r="BI1007" s="18"/>
      <c r="BJ1007" s="18"/>
      <c r="BK1007" s="18"/>
      <c r="BL1007" s="18"/>
      <c r="BM1007" s="18"/>
      <c r="BN1007" s="18"/>
      <c r="BO1007" s="18"/>
      <c r="BP1007" s="18"/>
      <c r="BQ1007" s="18"/>
      <c r="BR1007" s="18"/>
      <c r="BS1007" s="18"/>
      <c r="BT1007" s="18"/>
      <c r="BU1007" s="18"/>
      <c r="BV1007" s="18"/>
    </row>
    <row r="1008" spans="1:74">
      <c r="A1008" s="18"/>
      <c r="B1008" s="19"/>
      <c r="BG1008" s="18"/>
      <c r="BH1008" s="18"/>
      <c r="BI1008" s="18"/>
      <c r="BJ1008" s="18"/>
      <c r="BK1008" s="18"/>
      <c r="BL1008" s="18"/>
      <c r="BM1008" s="18"/>
      <c r="BN1008" s="18"/>
      <c r="BO1008" s="18"/>
      <c r="BP1008" s="18"/>
      <c r="BQ1008" s="18"/>
      <c r="BR1008" s="18"/>
      <c r="BS1008" s="18"/>
      <c r="BT1008" s="18"/>
      <c r="BU1008" s="18"/>
      <c r="BV1008" s="18"/>
    </row>
    <row r="1009" spans="1:74">
      <c r="A1009" s="18"/>
      <c r="B1009" s="19"/>
      <c r="BG1009" s="18"/>
      <c r="BH1009" s="18"/>
      <c r="BI1009" s="18"/>
      <c r="BJ1009" s="18"/>
      <c r="BK1009" s="18"/>
      <c r="BL1009" s="18"/>
      <c r="BM1009" s="18"/>
      <c r="BN1009" s="18"/>
      <c r="BO1009" s="18"/>
      <c r="BP1009" s="18"/>
      <c r="BQ1009" s="18"/>
      <c r="BR1009" s="18"/>
      <c r="BS1009" s="18"/>
      <c r="BT1009" s="18"/>
      <c r="BU1009" s="18"/>
      <c r="BV1009" s="18"/>
    </row>
    <row r="1010" spans="1:74">
      <c r="A1010" s="18"/>
      <c r="B1010" s="19"/>
      <c r="BG1010" s="18"/>
      <c r="BH1010" s="18"/>
      <c r="BI1010" s="18"/>
      <c r="BJ1010" s="18"/>
      <c r="BK1010" s="18"/>
      <c r="BL1010" s="18"/>
      <c r="BM1010" s="18"/>
      <c r="BN1010" s="18"/>
      <c r="BO1010" s="18"/>
      <c r="BP1010" s="18"/>
      <c r="BQ1010" s="18"/>
      <c r="BR1010" s="18"/>
      <c r="BS1010" s="18"/>
      <c r="BT1010" s="18"/>
      <c r="BU1010" s="18"/>
      <c r="BV1010" s="18"/>
    </row>
    <row r="1011" spans="1:74">
      <c r="A1011" s="18"/>
      <c r="B1011" s="19"/>
      <c r="BG1011" s="18"/>
      <c r="BH1011" s="18"/>
      <c r="BI1011" s="18"/>
      <c r="BJ1011" s="18"/>
      <c r="BK1011" s="18"/>
      <c r="BL1011" s="18"/>
      <c r="BM1011" s="18"/>
      <c r="BN1011" s="18"/>
      <c r="BO1011" s="18"/>
      <c r="BP1011" s="18"/>
      <c r="BQ1011" s="18"/>
      <c r="BR1011" s="18"/>
      <c r="BS1011" s="18"/>
      <c r="BT1011" s="18"/>
      <c r="BU1011" s="18"/>
      <c r="BV1011" s="18"/>
    </row>
    <row r="1012" spans="1:74">
      <c r="A1012" s="18"/>
      <c r="B1012" s="19"/>
      <c r="BG1012" s="18"/>
      <c r="BH1012" s="18"/>
      <c r="BI1012" s="18"/>
      <c r="BJ1012" s="18"/>
      <c r="BK1012" s="18"/>
      <c r="BL1012" s="18"/>
      <c r="BM1012" s="18"/>
      <c r="BN1012" s="18"/>
      <c r="BO1012" s="18"/>
      <c r="BP1012" s="18"/>
      <c r="BQ1012" s="18"/>
      <c r="BR1012" s="18"/>
      <c r="BS1012" s="18"/>
      <c r="BT1012" s="18"/>
      <c r="BU1012" s="18"/>
      <c r="BV1012" s="18"/>
    </row>
    <row r="1013" spans="1:74">
      <c r="A1013" s="18"/>
      <c r="B1013" s="19"/>
      <c r="BG1013" s="18"/>
      <c r="BH1013" s="18"/>
      <c r="BI1013" s="18"/>
      <c r="BJ1013" s="18"/>
      <c r="BK1013" s="18"/>
      <c r="BL1013" s="18"/>
      <c r="BM1013" s="18"/>
      <c r="BN1013" s="18"/>
      <c r="BO1013" s="18"/>
      <c r="BP1013" s="18"/>
      <c r="BQ1013" s="18"/>
      <c r="BR1013" s="18"/>
      <c r="BS1013" s="18"/>
      <c r="BT1013" s="18"/>
      <c r="BU1013" s="18"/>
      <c r="BV1013" s="18"/>
    </row>
    <row r="1014" spans="1:74">
      <c r="A1014" s="18"/>
      <c r="B1014" s="19"/>
      <c r="BG1014" s="18"/>
      <c r="BH1014" s="18"/>
      <c r="BI1014" s="18"/>
      <c r="BJ1014" s="18"/>
      <c r="BK1014" s="18"/>
      <c r="BL1014" s="18"/>
      <c r="BM1014" s="18"/>
      <c r="BN1014" s="18"/>
      <c r="BO1014" s="18"/>
      <c r="BP1014" s="18"/>
      <c r="BQ1014" s="18"/>
      <c r="BR1014" s="18"/>
      <c r="BS1014" s="18"/>
      <c r="BT1014" s="18"/>
      <c r="BU1014" s="18"/>
      <c r="BV1014" s="18"/>
    </row>
    <row r="1015" spans="1:74">
      <c r="A1015" s="18"/>
      <c r="B1015" s="19"/>
      <c r="BG1015" s="18"/>
      <c r="BH1015" s="18"/>
      <c r="BI1015" s="18"/>
      <c r="BJ1015" s="18"/>
      <c r="BK1015" s="18"/>
      <c r="BL1015" s="18"/>
      <c r="BM1015" s="18"/>
      <c r="BN1015" s="18"/>
      <c r="BO1015" s="18"/>
      <c r="BP1015" s="18"/>
      <c r="BQ1015" s="18"/>
      <c r="BR1015" s="18"/>
      <c r="BS1015" s="18"/>
      <c r="BT1015" s="18"/>
      <c r="BU1015" s="18"/>
      <c r="BV1015" s="18"/>
    </row>
    <row r="1016" spans="1:74">
      <c r="A1016" s="18"/>
      <c r="B1016" s="19"/>
      <c r="BG1016" s="18"/>
      <c r="BH1016" s="18"/>
      <c r="BI1016" s="18"/>
      <c r="BJ1016" s="18"/>
      <c r="BK1016" s="18"/>
      <c r="BL1016" s="18"/>
      <c r="BM1016" s="18"/>
      <c r="BN1016" s="18"/>
      <c r="BO1016" s="18"/>
      <c r="BP1016" s="18"/>
      <c r="BQ1016" s="18"/>
      <c r="BR1016" s="18"/>
      <c r="BS1016" s="18"/>
      <c r="BT1016" s="18"/>
      <c r="BU1016" s="18"/>
      <c r="BV1016" s="18"/>
    </row>
    <row r="1017" spans="1:74">
      <c r="A1017" s="18"/>
      <c r="B1017" s="19"/>
      <c r="BG1017" s="18"/>
      <c r="BH1017" s="18"/>
      <c r="BI1017" s="18"/>
      <c r="BJ1017" s="18"/>
      <c r="BK1017" s="18"/>
      <c r="BL1017" s="18"/>
      <c r="BM1017" s="18"/>
      <c r="BN1017" s="18"/>
      <c r="BO1017" s="18"/>
      <c r="BP1017" s="18"/>
      <c r="BQ1017" s="18"/>
      <c r="BR1017" s="18"/>
      <c r="BS1017" s="18"/>
      <c r="BT1017" s="18"/>
      <c r="BU1017" s="18"/>
      <c r="BV1017" s="18"/>
    </row>
    <row r="1018" spans="1:74">
      <c r="A1018" s="18"/>
      <c r="B1018" s="19"/>
      <c r="BG1018" s="18"/>
      <c r="BH1018" s="18"/>
      <c r="BI1018" s="18"/>
      <c r="BJ1018" s="18"/>
      <c r="BK1018" s="18"/>
      <c r="BL1018" s="18"/>
      <c r="BM1018" s="18"/>
      <c r="BN1018" s="18"/>
      <c r="BO1018" s="18"/>
      <c r="BP1018" s="18"/>
      <c r="BQ1018" s="18"/>
      <c r="BR1018" s="18"/>
      <c r="BS1018" s="18"/>
      <c r="BT1018" s="18"/>
      <c r="BU1018" s="18"/>
      <c r="BV1018" s="18"/>
    </row>
    <row r="1019" spans="1:74">
      <c r="A1019" s="18"/>
      <c r="B1019" s="19"/>
      <c r="BG1019" s="18"/>
      <c r="BH1019" s="18"/>
      <c r="BI1019" s="18"/>
      <c r="BJ1019" s="18"/>
      <c r="BK1019" s="18"/>
      <c r="BL1019" s="18"/>
      <c r="BM1019" s="18"/>
      <c r="BN1019" s="18"/>
      <c r="BO1019" s="18"/>
      <c r="BP1019" s="18"/>
      <c r="BQ1019" s="18"/>
      <c r="BR1019" s="18"/>
      <c r="BS1019" s="18"/>
      <c r="BT1019" s="18"/>
      <c r="BU1019" s="18"/>
      <c r="BV1019" s="18"/>
    </row>
    <row r="1020" spans="1:74">
      <c r="A1020" s="18"/>
      <c r="B1020" s="19"/>
      <c r="BG1020" s="18"/>
      <c r="BH1020" s="18"/>
      <c r="BI1020" s="18"/>
      <c r="BJ1020" s="18"/>
      <c r="BK1020" s="18"/>
      <c r="BL1020" s="18"/>
      <c r="BM1020" s="18"/>
      <c r="BN1020" s="18"/>
      <c r="BO1020" s="18"/>
      <c r="BP1020" s="18"/>
      <c r="BQ1020" s="18"/>
      <c r="BR1020" s="18"/>
      <c r="BS1020" s="18"/>
      <c r="BT1020" s="18"/>
      <c r="BU1020" s="18"/>
      <c r="BV1020" s="18"/>
    </row>
    <row r="1021" spans="1:74">
      <c r="A1021" s="18"/>
      <c r="B1021" s="19"/>
      <c r="BG1021" s="18"/>
      <c r="BH1021" s="18"/>
      <c r="BI1021" s="18"/>
      <c r="BJ1021" s="18"/>
      <c r="BK1021" s="18"/>
      <c r="BL1021" s="18"/>
      <c r="BM1021" s="18"/>
      <c r="BN1021" s="18"/>
      <c r="BO1021" s="18"/>
      <c r="BP1021" s="18"/>
      <c r="BQ1021" s="18"/>
      <c r="BR1021" s="18"/>
      <c r="BS1021" s="18"/>
      <c r="BT1021" s="18"/>
      <c r="BU1021" s="18"/>
      <c r="BV1021" s="18"/>
    </row>
    <row r="1022" spans="1:74">
      <c r="A1022" s="18"/>
      <c r="B1022" s="19"/>
      <c r="BG1022" s="18"/>
      <c r="BH1022" s="18"/>
      <c r="BI1022" s="18"/>
      <c r="BJ1022" s="18"/>
      <c r="BK1022" s="18"/>
      <c r="BL1022" s="18"/>
      <c r="BM1022" s="18"/>
      <c r="BN1022" s="18"/>
      <c r="BO1022" s="18"/>
      <c r="BP1022" s="18"/>
      <c r="BQ1022" s="18"/>
      <c r="BR1022" s="18"/>
      <c r="BS1022" s="18"/>
      <c r="BT1022" s="18"/>
      <c r="BU1022" s="18"/>
      <c r="BV1022" s="18"/>
    </row>
    <row r="1023" spans="1:74">
      <c r="A1023" s="18"/>
      <c r="B1023" s="19"/>
      <c r="BG1023" s="18"/>
      <c r="BH1023" s="18"/>
      <c r="BI1023" s="18"/>
      <c r="BJ1023" s="18"/>
      <c r="BK1023" s="18"/>
      <c r="BL1023" s="18"/>
      <c r="BM1023" s="18"/>
      <c r="BN1023" s="18"/>
      <c r="BO1023" s="18"/>
      <c r="BP1023" s="18"/>
      <c r="BQ1023" s="18"/>
      <c r="BR1023" s="18"/>
      <c r="BS1023" s="18"/>
      <c r="BT1023" s="18"/>
      <c r="BU1023" s="18"/>
      <c r="BV1023" s="18"/>
    </row>
    <row r="1024" spans="1:74">
      <c r="A1024" s="18"/>
      <c r="B1024" s="19"/>
      <c r="BG1024" s="18"/>
      <c r="BH1024" s="18"/>
      <c r="BI1024" s="18"/>
      <c r="BJ1024" s="18"/>
      <c r="BK1024" s="18"/>
      <c r="BL1024" s="18"/>
      <c r="BM1024" s="18"/>
      <c r="BN1024" s="18"/>
      <c r="BO1024" s="18"/>
      <c r="BP1024" s="18"/>
      <c r="BQ1024" s="18"/>
      <c r="BR1024" s="18"/>
      <c r="BS1024" s="18"/>
      <c r="BT1024" s="18"/>
      <c r="BU1024" s="18"/>
      <c r="BV1024" s="18"/>
    </row>
    <row r="1025" spans="1:74">
      <c r="A1025" s="18"/>
      <c r="B1025" s="19"/>
      <c r="BG1025" s="18"/>
      <c r="BH1025" s="18"/>
      <c r="BI1025" s="18"/>
      <c r="BJ1025" s="18"/>
      <c r="BK1025" s="18"/>
      <c r="BL1025" s="18"/>
      <c r="BM1025" s="18"/>
      <c r="BN1025" s="18"/>
      <c r="BO1025" s="18"/>
      <c r="BP1025" s="18"/>
      <c r="BQ1025" s="18"/>
      <c r="BR1025" s="18"/>
      <c r="BS1025" s="18"/>
      <c r="BT1025" s="18"/>
      <c r="BU1025" s="18"/>
      <c r="BV1025" s="18"/>
    </row>
    <row r="1026" spans="1:74">
      <c r="A1026" s="18"/>
      <c r="B1026" s="19"/>
      <c r="BG1026" s="18"/>
      <c r="BH1026" s="18"/>
      <c r="BI1026" s="18"/>
      <c r="BJ1026" s="18"/>
      <c r="BK1026" s="18"/>
      <c r="BL1026" s="18"/>
      <c r="BM1026" s="18"/>
      <c r="BN1026" s="18"/>
      <c r="BO1026" s="18"/>
      <c r="BP1026" s="18"/>
      <c r="BQ1026" s="18"/>
      <c r="BR1026" s="18"/>
      <c r="BS1026" s="18"/>
      <c r="BT1026" s="18"/>
      <c r="BU1026" s="18"/>
      <c r="BV1026" s="18"/>
    </row>
    <row r="1027" spans="1:74">
      <c r="A1027" s="18"/>
      <c r="B1027" s="19"/>
      <c r="BG1027" s="18"/>
      <c r="BH1027" s="18"/>
      <c r="BI1027" s="18"/>
      <c r="BJ1027" s="18"/>
      <c r="BK1027" s="18"/>
      <c r="BL1027" s="18"/>
      <c r="BM1027" s="18"/>
      <c r="BN1027" s="18"/>
      <c r="BO1027" s="18"/>
      <c r="BP1027" s="18"/>
      <c r="BQ1027" s="18"/>
      <c r="BR1027" s="18"/>
      <c r="BS1027" s="18"/>
      <c r="BT1027" s="18"/>
      <c r="BU1027" s="18"/>
      <c r="BV1027" s="18"/>
    </row>
    <row r="1028" spans="1:74">
      <c r="A1028" s="18"/>
      <c r="B1028" s="19"/>
      <c r="BG1028" s="18"/>
      <c r="BH1028" s="18"/>
      <c r="BI1028" s="18"/>
      <c r="BJ1028" s="18"/>
      <c r="BK1028" s="18"/>
      <c r="BL1028" s="18"/>
      <c r="BM1028" s="18"/>
      <c r="BN1028" s="18"/>
      <c r="BO1028" s="18"/>
      <c r="BP1028" s="18"/>
      <c r="BQ1028" s="18"/>
      <c r="BR1028" s="18"/>
      <c r="BS1028" s="18"/>
      <c r="BT1028" s="18"/>
      <c r="BU1028" s="18"/>
      <c r="BV1028" s="18"/>
    </row>
    <row r="1029" spans="1:74">
      <c r="A1029" s="18"/>
      <c r="B1029" s="19"/>
      <c r="BG1029" s="18"/>
      <c r="BH1029" s="18"/>
      <c r="BI1029" s="18"/>
      <c r="BJ1029" s="18"/>
      <c r="BK1029" s="18"/>
      <c r="BL1029" s="18"/>
      <c r="BM1029" s="18"/>
      <c r="BN1029" s="18"/>
      <c r="BO1029" s="18"/>
      <c r="BP1029" s="18"/>
      <c r="BQ1029" s="18"/>
      <c r="BR1029" s="18"/>
      <c r="BS1029" s="18"/>
      <c r="BT1029" s="18"/>
      <c r="BU1029" s="18"/>
      <c r="BV1029" s="18"/>
    </row>
    <row r="1030" spans="1:74">
      <c r="A1030" s="18"/>
      <c r="B1030" s="19"/>
      <c r="BG1030" s="18"/>
      <c r="BH1030" s="18"/>
      <c r="BI1030" s="18"/>
      <c r="BJ1030" s="18"/>
      <c r="BK1030" s="18"/>
      <c r="BL1030" s="18"/>
      <c r="BM1030" s="18"/>
      <c r="BN1030" s="18"/>
      <c r="BO1030" s="18"/>
      <c r="BP1030" s="18"/>
      <c r="BQ1030" s="18"/>
      <c r="BR1030" s="18"/>
      <c r="BS1030" s="18"/>
      <c r="BT1030" s="18"/>
      <c r="BU1030" s="18"/>
      <c r="BV1030" s="18"/>
    </row>
    <row r="1031" spans="1:74">
      <c r="A1031" s="18"/>
      <c r="B1031" s="19"/>
      <c r="BG1031" s="18"/>
      <c r="BH1031" s="18"/>
      <c r="BI1031" s="18"/>
      <c r="BJ1031" s="18"/>
      <c r="BK1031" s="18"/>
      <c r="BL1031" s="18"/>
      <c r="BM1031" s="18"/>
      <c r="BN1031" s="18"/>
      <c r="BO1031" s="18"/>
      <c r="BP1031" s="18"/>
      <c r="BQ1031" s="18"/>
      <c r="BR1031" s="18"/>
      <c r="BS1031" s="18"/>
      <c r="BT1031" s="18"/>
      <c r="BU1031" s="18"/>
      <c r="BV1031" s="18"/>
    </row>
    <row r="1032" spans="1:74">
      <c r="A1032" s="18"/>
      <c r="B1032" s="19"/>
      <c r="BG1032" s="18"/>
      <c r="BH1032" s="18"/>
      <c r="BI1032" s="18"/>
      <c r="BJ1032" s="18"/>
      <c r="BK1032" s="18"/>
      <c r="BL1032" s="18"/>
      <c r="BM1032" s="18"/>
      <c r="BN1032" s="18"/>
      <c r="BO1032" s="18"/>
      <c r="BP1032" s="18"/>
      <c r="BQ1032" s="18"/>
      <c r="BR1032" s="18"/>
      <c r="BS1032" s="18"/>
      <c r="BT1032" s="18"/>
      <c r="BU1032" s="18"/>
      <c r="BV1032" s="18"/>
    </row>
    <row r="1033" spans="1:74">
      <c r="A1033" s="18"/>
      <c r="B1033" s="19"/>
      <c r="BG1033" s="18"/>
      <c r="BH1033" s="18"/>
      <c r="BI1033" s="18"/>
      <c r="BJ1033" s="18"/>
      <c r="BK1033" s="18"/>
      <c r="BL1033" s="18"/>
      <c r="BM1033" s="18"/>
      <c r="BN1033" s="18"/>
      <c r="BO1033" s="18"/>
      <c r="BP1033" s="18"/>
      <c r="BQ1033" s="18"/>
      <c r="BR1033" s="18"/>
      <c r="BS1033" s="18"/>
      <c r="BT1033" s="18"/>
      <c r="BU1033" s="18"/>
      <c r="BV1033" s="18"/>
    </row>
    <row r="1034" spans="1:74">
      <c r="A1034" s="18"/>
      <c r="B1034" s="19"/>
      <c r="BG1034" s="18"/>
      <c r="BH1034" s="18"/>
      <c r="BI1034" s="18"/>
      <c r="BJ1034" s="18"/>
      <c r="BK1034" s="18"/>
      <c r="BL1034" s="18"/>
      <c r="BM1034" s="18"/>
      <c r="BN1034" s="18"/>
      <c r="BO1034" s="18"/>
      <c r="BP1034" s="18"/>
      <c r="BQ1034" s="18"/>
      <c r="BR1034" s="18"/>
      <c r="BS1034" s="18"/>
      <c r="BT1034" s="18"/>
      <c r="BU1034" s="18"/>
      <c r="BV1034" s="18"/>
    </row>
    <row r="1035" spans="1:74">
      <c r="A1035" s="18"/>
      <c r="B1035" s="19"/>
      <c r="BG1035" s="18"/>
      <c r="BH1035" s="18"/>
      <c r="BI1035" s="18"/>
      <c r="BJ1035" s="18"/>
      <c r="BK1035" s="18"/>
      <c r="BL1035" s="18"/>
      <c r="BM1035" s="18"/>
      <c r="BN1035" s="18"/>
      <c r="BO1035" s="18"/>
      <c r="BP1035" s="18"/>
      <c r="BQ1035" s="18"/>
      <c r="BR1035" s="18"/>
      <c r="BS1035" s="18"/>
      <c r="BT1035" s="18"/>
      <c r="BU1035" s="18"/>
      <c r="BV1035" s="18"/>
    </row>
    <row r="1036" spans="1:74">
      <c r="A1036" s="18"/>
      <c r="B1036" s="19"/>
      <c r="BG1036" s="18"/>
      <c r="BH1036" s="18"/>
      <c r="BI1036" s="18"/>
      <c r="BJ1036" s="18"/>
      <c r="BK1036" s="18"/>
      <c r="BL1036" s="18"/>
      <c r="BM1036" s="18"/>
      <c r="BN1036" s="18"/>
      <c r="BO1036" s="18"/>
      <c r="BP1036" s="18"/>
      <c r="BQ1036" s="18"/>
      <c r="BR1036" s="18"/>
      <c r="BS1036" s="18"/>
      <c r="BT1036" s="18"/>
      <c r="BU1036" s="18"/>
      <c r="BV1036" s="18"/>
    </row>
    <row r="1037" spans="1:74">
      <c r="A1037" s="18"/>
      <c r="B1037" s="19"/>
      <c r="BG1037" s="18"/>
      <c r="BH1037" s="18"/>
      <c r="BI1037" s="18"/>
      <c r="BJ1037" s="18"/>
      <c r="BK1037" s="18"/>
      <c r="BL1037" s="18"/>
      <c r="BM1037" s="18"/>
      <c r="BN1037" s="18"/>
      <c r="BO1037" s="18"/>
      <c r="BP1037" s="18"/>
      <c r="BQ1037" s="18"/>
      <c r="BR1037" s="18"/>
      <c r="BS1037" s="18"/>
      <c r="BT1037" s="18"/>
      <c r="BU1037" s="18"/>
      <c r="BV1037" s="18"/>
    </row>
    <row r="1038" spans="1:74">
      <c r="A1038" s="18"/>
      <c r="B1038" s="19"/>
      <c r="BG1038" s="18"/>
      <c r="BH1038" s="18"/>
      <c r="BI1038" s="18"/>
      <c r="BJ1038" s="18"/>
      <c r="BK1038" s="18"/>
      <c r="BL1038" s="18"/>
      <c r="BM1038" s="18"/>
      <c r="BN1038" s="18"/>
      <c r="BO1038" s="18"/>
      <c r="BP1038" s="18"/>
      <c r="BQ1038" s="18"/>
      <c r="BR1038" s="18"/>
      <c r="BS1038" s="18"/>
      <c r="BT1038" s="18"/>
      <c r="BU1038" s="18"/>
      <c r="BV1038" s="18"/>
    </row>
    <row r="1039" spans="1:74">
      <c r="A1039" s="18"/>
      <c r="B1039" s="19"/>
      <c r="BG1039" s="18"/>
      <c r="BH1039" s="18"/>
      <c r="BI1039" s="18"/>
      <c r="BJ1039" s="18"/>
      <c r="BK1039" s="18"/>
      <c r="BL1039" s="18"/>
      <c r="BM1039" s="18"/>
      <c r="BN1039" s="18"/>
      <c r="BO1039" s="18"/>
      <c r="BP1039" s="18"/>
      <c r="BQ1039" s="18"/>
      <c r="BR1039" s="18"/>
      <c r="BS1039" s="18"/>
      <c r="BT1039" s="18"/>
      <c r="BU1039" s="18"/>
      <c r="BV1039" s="18"/>
    </row>
    <row r="1040" spans="1:74">
      <c r="A1040" s="18"/>
      <c r="B1040" s="19"/>
      <c r="BG1040" s="18"/>
      <c r="BH1040" s="18"/>
      <c r="BI1040" s="18"/>
      <c r="BJ1040" s="18"/>
      <c r="BK1040" s="18"/>
      <c r="BL1040" s="18"/>
      <c r="BM1040" s="18"/>
      <c r="BN1040" s="18"/>
      <c r="BO1040" s="18"/>
      <c r="BP1040" s="18"/>
      <c r="BQ1040" s="18"/>
      <c r="BR1040" s="18"/>
      <c r="BS1040" s="18"/>
      <c r="BT1040" s="18"/>
      <c r="BU1040" s="18"/>
      <c r="BV1040" s="18"/>
    </row>
    <row r="1041" spans="1:74">
      <c r="A1041" s="18"/>
      <c r="B1041" s="19"/>
      <c r="BG1041" s="18"/>
      <c r="BH1041" s="18"/>
      <c r="BI1041" s="18"/>
      <c r="BJ1041" s="18"/>
      <c r="BK1041" s="18"/>
      <c r="BL1041" s="18"/>
      <c r="BM1041" s="18"/>
      <c r="BN1041" s="18"/>
      <c r="BO1041" s="18"/>
      <c r="BP1041" s="18"/>
      <c r="BQ1041" s="18"/>
      <c r="BR1041" s="18"/>
      <c r="BS1041" s="18"/>
      <c r="BT1041" s="18"/>
      <c r="BU1041" s="18"/>
      <c r="BV1041" s="18"/>
    </row>
    <row r="1042" spans="1:74">
      <c r="A1042" s="18"/>
      <c r="B1042" s="19"/>
      <c r="BG1042" s="18"/>
      <c r="BH1042" s="18"/>
      <c r="BI1042" s="18"/>
      <c r="BJ1042" s="18"/>
      <c r="BK1042" s="18"/>
      <c r="BL1042" s="18"/>
      <c r="BM1042" s="18"/>
      <c r="BN1042" s="18"/>
      <c r="BO1042" s="18"/>
      <c r="BP1042" s="18"/>
      <c r="BQ1042" s="18"/>
      <c r="BR1042" s="18"/>
      <c r="BS1042" s="18"/>
      <c r="BT1042" s="18"/>
      <c r="BU1042" s="18"/>
      <c r="BV1042" s="18"/>
    </row>
    <row r="1043" spans="1:74">
      <c r="A1043" s="18"/>
      <c r="B1043" s="19"/>
      <c r="BG1043" s="18"/>
      <c r="BH1043" s="18"/>
      <c r="BI1043" s="18"/>
      <c r="BJ1043" s="18"/>
      <c r="BK1043" s="18"/>
      <c r="BL1043" s="18"/>
      <c r="BM1043" s="18"/>
      <c r="BN1043" s="18"/>
      <c r="BO1043" s="18"/>
      <c r="BP1043" s="18"/>
      <c r="BQ1043" s="18"/>
      <c r="BR1043" s="18"/>
      <c r="BS1043" s="18"/>
      <c r="BT1043" s="18"/>
      <c r="BU1043" s="18"/>
      <c r="BV1043" s="18"/>
    </row>
    <row r="1044" spans="1:74">
      <c r="A1044" s="18"/>
      <c r="B1044" s="19"/>
      <c r="BG1044" s="18"/>
      <c r="BH1044" s="18"/>
      <c r="BI1044" s="18"/>
      <c r="BJ1044" s="18"/>
      <c r="BK1044" s="18"/>
      <c r="BL1044" s="18"/>
      <c r="BM1044" s="18"/>
      <c r="BN1044" s="18"/>
      <c r="BO1044" s="18"/>
      <c r="BP1044" s="18"/>
      <c r="BQ1044" s="18"/>
      <c r="BR1044" s="18"/>
      <c r="BS1044" s="18"/>
      <c r="BT1044" s="18"/>
      <c r="BU1044" s="18"/>
      <c r="BV1044" s="18"/>
    </row>
    <row r="1045" spans="1:74">
      <c r="A1045" s="18"/>
      <c r="B1045" s="19"/>
      <c r="BG1045" s="18"/>
      <c r="BH1045" s="18"/>
      <c r="BI1045" s="18"/>
      <c r="BJ1045" s="18"/>
      <c r="BK1045" s="18"/>
      <c r="BL1045" s="18"/>
      <c r="BM1045" s="18"/>
      <c r="BN1045" s="18"/>
      <c r="BO1045" s="18"/>
      <c r="BP1045" s="18"/>
      <c r="BQ1045" s="18"/>
      <c r="BR1045" s="18"/>
      <c r="BS1045" s="18"/>
      <c r="BT1045" s="18"/>
      <c r="BU1045" s="18"/>
      <c r="BV1045" s="18"/>
    </row>
    <row r="1046" spans="1:74">
      <c r="A1046" s="18"/>
      <c r="B1046" s="19"/>
      <c r="BG1046" s="18"/>
      <c r="BH1046" s="18"/>
      <c r="BI1046" s="18"/>
      <c r="BJ1046" s="18"/>
      <c r="BK1046" s="18"/>
      <c r="BL1046" s="18"/>
      <c r="BM1046" s="18"/>
      <c r="BN1046" s="18"/>
      <c r="BO1046" s="18"/>
      <c r="BP1046" s="18"/>
      <c r="BQ1046" s="18"/>
      <c r="BR1046" s="18"/>
      <c r="BS1046" s="18"/>
      <c r="BT1046" s="18"/>
      <c r="BU1046" s="18"/>
      <c r="BV1046" s="18"/>
    </row>
    <row r="1047" spans="1:74">
      <c r="A1047" s="18"/>
      <c r="B1047" s="19"/>
      <c r="BG1047" s="18"/>
      <c r="BH1047" s="18"/>
      <c r="BI1047" s="18"/>
      <c r="BJ1047" s="18"/>
      <c r="BK1047" s="18"/>
      <c r="BL1047" s="18"/>
      <c r="BM1047" s="18"/>
      <c r="BN1047" s="18"/>
      <c r="BO1047" s="18"/>
      <c r="BP1047" s="18"/>
      <c r="BQ1047" s="18"/>
      <c r="BR1047" s="18"/>
      <c r="BS1047" s="18"/>
      <c r="BT1047" s="18"/>
      <c r="BU1047" s="18"/>
      <c r="BV1047" s="18"/>
    </row>
    <row r="1048" spans="1:74">
      <c r="A1048" s="18"/>
      <c r="B1048" s="19"/>
      <c r="BG1048" s="18"/>
      <c r="BH1048" s="18"/>
      <c r="BI1048" s="18"/>
      <c r="BJ1048" s="18"/>
      <c r="BK1048" s="18"/>
      <c r="BL1048" s="18"/>
      <c r="BM1048" s="18"/>
      <c r="BN1048" s="18"/>
      <c r="BO1048" s="18"/>
      <c r="BP1048" s="18"/>
      <c r="BQ1048" s="18"/>
      <c r="BR1048" s="18"/>
      <c r="BS1048" s="18"/>
      <c r="BT1048" s="18"/>
      <c r="BU1048" s="18"/>
      <c r="BV1048" s="18"/>
    </row>
    <row r="1049" spans="1:74">
      <c r="A1049" s="18"/>
      <c r="B1049" s="19"/>
      <c r="BG1049" s="18"/>
      <c r="BH1049" s="18"/>
      <c r="BI1049" s="18"/>
      <c r="BJ1049" s="18"/>
      <c r="BK1049" s="18"/>
      <c r="BL1049" s="18"/>
      <c r="BM1049" s="18"/>
      <c r="BN1049" s="18"/>
      <c r="BO1049" s="18"/>
      <c r="BP1049" s="18"/>
      <c r="BQ1049" s="18"/>
      <c r="BR1049" s="18"/>
      <c r="BS1049" s="18"/>
      <c r="BT1049" s="18"/>
      <c r="BU1049" s="18"/>
      <c r="BV1049" s="18"/>
    </row>
    <row r="1050" spans="1:74">
      <c r="A1050" s="18"/>
      <c r="B1050" s="19"/>
      <c r="BG1050" s="18"/>
      <c r="BH1050" s="18"/>
      <c r="BI1050" s="18"/>
      <c r="BJ1050" s="18"/>
      <c r="BK1050" s="18"/>
      <c r="BL1050" s="18"/>
      <c r="BM1050" s="18"/>
      <c r="BN1050" s="18"/>
      <c r="BO1050" s="18"/>
      <c r="BP1050" s="18"/>
      <c r="BQ1050" s="18"/>
      <c r="BR1050" s="18"/>
      <c r="BS1050" s="18"/>
      <c r="BT1050" s="18"/>
      <c r="BU1050" s="18"/>
      <c r="BV1050" s="18"/>
    </row>
    <row r="1051" spans="1:74">
      <c r="A1051" s="18"/>
      <c r="B1051" s="19"/>
      <c r="BG1051" s="18"/>
      <c r="BH1051" s="18"/>
      <c r="BI1051" s="18"/>
      <c r="BJ1051" s="18"/>
      <c r="BK1051" s="18"/>
      <c r="BL1051" s="18"/>
      <c r="BM1051" s="18"/>
      <c r="BN1051" s="18"/>
      <c r="BO1051" s="18"/>
      <c r="BP1051" s="18"/>
      <c r="BQ1051" s="18"/>
      <c r="BR1051" s="18"/>
      <c r="BS1051" s="18"/>
      <c r="BT1051" s="18"/>
      <c r="BU1051" s="18"/>
      <c r="BV1051" s="18"/>
    </row>
    <row r="1052" spans="1:74">
      <c r="A1052" s="18"/>
      <c r="B1052" s="19"/>
      <c r="BG1052" s="18"/>
      <c r="BH1052" s="18"/>
      <c r="BI1052" s="18"/>
      <c r="BJ1052" s="18"/>
      <c r="BK1052" s="18"/>
      <c r="BL1052" s="18"/>
      <c r="BM1052" s="18"/>
      <c r="BN1052" s="18"/>
      <c r="BO1052" s="18"/>
      <c r="BP1052" s="18"/>
      <c r="BQ1052" s="18"/>
      <c r="BR1052" s="18"/>
      <c r="BS1052" s="18"/>
      <c r="BT1052" s="18"/>
      <c r="BU1052" s="18"/>
      <c r="BV1052" s="18"/>
    </row>
    <row r="1053" spans="1:74">
      <c r="A1053" s="18"/>
      <c r="B1053" s="19"/>
      <c r="BG1053" s="18"/>
      <c r="BH1053" s="18"/>
      <c r="BI1053" s="18"/>
      <c r="BJ1053" s="18"/>
      <c r="BK1053" s="18"/>
      <c r="BL1053" s="18"/>
      <c r="BM1053" s="18"/>
      <c r="BN1053" s="18"/>
      <c r="BO1053" s="18"/>
      <c r="BP1053" s="18"/>
      <c r="BQ1053" s="18"/>
      <c r="BR1053" s="18"/>
      <c r="BS1053" s="18"/>
      <c r="BT1053" s="18"/>
      <c r="BU1053" s="18"/>
      <c r="BV1053" s="18"/>
    </row>
    <row r="1054" spans="1:74">
      <c r="A1054" s="18"/>
      <c r="B1054" s="19"/>
      <c r="BG1054" s="18"/>
      <c r="BH1054" s="18"/>
      <c r="BI1054" s="18"/>
      <c r="BJ1054" s="18"/>
      <c r="BK1054" s="18"/>
      <c r="BL1054" s="18"/>
      <c r="BM1054" s="18"/>
      <c r="BN1054" s="18"/>
      <c r="BO1054" s="18"/>
      <c r="BP1054" s="18"/>
      <c r="BQ1054" s="18"/>
      <c r="BR1054" s="18"/>
      <c r="BS1054" s="18"/>
      <c r="BT1054" s="18"/>
      <c r="BU1054" s="18"/>
      <c r="BV1054" s="18"/>
    </row>
    <row r="1055" spans="1:74">
      <c r="A1055" s="18"/>
      <c r="B1055" s="19"/>
      <c r="BG1055" s="18"/>
      <c r="BH1055" s="18"/>
      <c r="BI1055" s="18"/>
      <c r="BJ1055" s="18"/>
      <c r="BK1055" s="18"/>
      <c r="BL1055" s="18"/>
      <c r="BM1055" s="18"/>
      <c r="BN1055" s="18"/>
      <c r="BO1055" s="18"/>
      <c r="BP1055" s="18"/>
      <c r="BQ1055" s="18"/>
      <c r="BR1055" s="18"/>
      <c r="BS1055" s="18"/>
      <c r="BT1055" s="18"/>
      <c r="BU1055" s="18"/>
      <c r="BV1055" s="18"/>
    </row>
    <row r="1056" spans="1:74">
      <c r="A1056" s="18"/>
      <c r="B1056" s="19"/>
      <c r="BG1056" s="18"/>
      <c r="BH1056" s="18"/>
      <c r="BI1056" s="18"/>
      <c r="BJ1056" s="18"/>
      <c r="BK1056" s="18"/>
      <c r="BL1056" s="18"/>
      <c r="BM1056" s="18"/>
      <c r="BN1056" s="18"/>
      <c r="BO1056" s="18"/>
      <c r="BP1056" s="18"/>
      <c r="BQ1056" s="18"/>
      <c r="BR1056" s="18"/>
      <c r="BS1056" s="18"/>
      <c r="BT1056" s="18"/>
      <c r="BU1056" s="18"/>
      <c r="BV1056" s="18"/>
    </row>
    <row r="1057" spans="1:74">
      <c r="A1057" s="18"/>
      <c r="B1057" s="19"/>
      <c r="BG1057" s="18"/>
      <c r="BH1057" s="18"/>
      <c r="BI1057" s="18"/>
      <c r="BJ1057" s="18"/>
      <c r="BK1057" s="18"/>
      <c r="BL1057" s="18"/>
      <c r="BM1057" s="18"/>
      <c r="BN1057" s="18"/>
      <c r="BO1057" s="18"/>
      <c r="BP1057" s="18"/>
      <c r="BQ1057" s="18"/>
      <c r="BR1057" s="18"/>
      <c r="BS1057" s="18"/>
      <c r="BT1057" s="18"/>
      <c r="BU1057" s="18"/>
      <c r="BV1057" s="18"/>
    </row>
    <row r="1058" spans="1:74">
      <c r="A1058" s="18"/>
      <c r="B1058" s="19"/>
      <c r="BG1058" s="18"/>
      <c r="BH1058" s="18"/>
      <c r="BI1058" s="18"/>
      <c r="BJ1058" s="18"/>
      <c r="BK1058" s="18"/>
      <c r="BL1058" s="18"/>
      <c r="BM1058" s="18"/>
      <c r="BN1058" s="18"/>
      <c r="BO1058" s="18"/>
      <c r="BP1058" s="18"/>
      <c r="BQ1058" s="18"/>
      <c r="BR1058" s="18"/>
      <c r="BS1058" s="18"/>
      <c r="BT1058" s="18"/>
      <c r="BU1058" s="18"/>
      <c r="BV1058" s="18"/>
    </row>
    <row r="1059" spans="1:74">
      <c r="A1059" s="18"/>
      <c r="B1059" s="19"/>
      <c r="BG1059" s="18"/>
      <c r="BH1059" s="18"/>
      <c r="BI1059" s="18"/>
      <c r="BJ1059" s="18"/>
      <c r="BK1059" s="18"/>
      <c r="BL1059" s="18"/>
      <c r="BM1059" s="18"/>
      <c r="BN1059" s="18"/>
      <c r="BO1059" s="18"/>
      <c r="BP1059" s="18"/>
      <c r="BQ1059" s="18"/>
      <c r="BR1059" s="18"/>
      <c r="BS1059" s="18"/>
      <c r="BT1059" s="18"/>
      <c r="BU1059" s="18"/>
      <c r="BV1059" s="18"/>
    </row>
    <row r="1060" spans="1:74">
      <c r="A1060" s="18"/>
      <c r="B1060" s="19"/>
      <c r="BG1060" s="18"/>
      <c r="BH1060" s="18"/>
      <c r="BI1060" s="18"/>
      <c r="BJ1060" s="18"/>
      <c r="BK1060" s="18"/>
      <c r="BL1060" s="18"/>
      <c r="BM1060" s="18"/>
      <c r="BN1060" s="18"/>
      <c r="BO1060" s="18"/>
      <c r="BP1060" s="18"/>
      <c r="BQ1060" s="18"/>
      <c r="BR1060" s="18"/>
      <c r="BS1060" s="18"/>
      <c r="BT1060" s="18"/>
      <c r="BU1060" s="18"/>
      <c r="BV1060" s="18"/>
    </row>
    <row r="1061" spans="1:74">
      <c r="A1061" s="18"/>
      <c r="B1061" s="19"/>
      <c r="BG1061" s="18"/>
      <c r="BH1061" s="18"/>
      <c r="BI1061" s="18"/>
      <c r="BJ1061" s="18"/>
      <c r="BK1061" s="18"/>
      <c r="BL1061" s="18"/>
      <c r="BM1061" s="18"/>
      <c r="BN1061" s="18"/>
      <c r="BO1061" s="18"/>
      <c r="BP1061" s="18"/>
      <c r="BQ1061" s="18"/>
      <c r="BR1061" s="18"/>
      <c r="BS1061" s="18"/>
      <c r="BT1061" s="18"/>
      <c r="BU1061" s="18"/>
      <c r="BV1061" s="18"/>
    </row>
    <row r="1062" spans="1:74">
      <c r="A1062" s="18"/>
      <c r="B1062" s="19"/>
      <c r="BG1062" s="18"/>
      <c r="BH1062" s="18"/>
      <c r="BI1062" s="18"/>
      <c r="BJ1062" s="18"/>
      <c r="BK1062" s="18"/>
      <c r="BL1062" s="18"/>
      <c r="BM1062" s="18"/>
      <c r="BN1062" s="18"/>
      <c r="BO1062" s="18"/>
      <c r="BP1062" s="18"/>
      <c r="BQ1062" s="18"/>
      <c r="BR1062" s="18"/>
      <c r="BS1062" s="18"/>
      <c r="BT1062" s="18"/>
      <c r="BU1062" s="18"/>
      <c r="BV1062" s="18"/>
    </row>
    <row r="1063" spans="1:74">
      <c r="A1063" s="18"/>
      <c r="B1063" s="19"/>
      <c r="BG1063" s="18"/>
      <c r="BH1063" s="18"/>
      <c r="BI1063" s="18"/>
      <c r="BJ1063" s="18"/>
      <c r="BK1063" s="18"/>
      <c r="BL1063" s="18"/>
      <c r="BM1063" s="18"/>
      <c r="BN1063" s="18"/>
      <c r="BO1063" s="18"/>
      <c r="BP1063" s="18"/>
      <c r="BQ1063" s="18"/>
      <c r="BR1063" s="18"/>
      <c r="BS1063" s="18"/>
      <c r="BT1063" s="18"/>
      <c r="BU1063" s="18"/>
      <c r="BV1063" s="18"/>
    </row>
    <row r="1064" spans="1:74">
      <c r="A1064" s="18"/>
      <c r="B1064" s="19"/>
      <c r="BG1064" s="18"/>
      <c r="BH1064" s="18"/>
      <c r="BI1064" s="18"/>
      <c r="BJ1064" s="18"/>
      <c r="BK1064" s="18"/>
      <c r="BL1064" s="18"/>
      <c r="BM1064" s="18"/>
      <c r="BN1064" s="18"/>
      <c r="BO1064" s="18"/>
      <c r="BP1064" s="18"/>
      <c r="BQ1064" s="18"/>
      <c r="BR1064" s="18"/>
      <c r="BS1064" s="18"/>
      <c r="BT1064" s="18"/>
      <c r="BU1064" s="18"/>
      <c r="BV1064" s="18"/>
    </row>
    <row r="1065" spans="1:74">
      <c r="A1065" s="18"/>
      <c r="B1065" s="19"/>
      <c r="BG1065" s="18"/>
      <c r="BH1065" s="18"/>
      <c r="BI1065" s="18"/>
      <c r="BJ1065" s="18"/>
      <c r="BK1065" s="18"/>
      <c r="BL1065" s="18"/>
      <c r="BM1065" s="18"/>
      <c r="BN1065" s="18"/>
      <c r="BO1065" s="18"/>
      <c r="BP1065" s="18"/>
      <c r="BQ1065" s="18"/>
      <c r="BR1065" s="18"/>
      <c r="BS1065" s="18"/>
      <c r="BT1065" s="18"/>
      <c r="BU1065" s="18"/>
      <c r="BV1065" s="18"/>
    </row>
    <row r="1066" spans="1:74">
      <c r="A1066" s="18"/>
      <c r="B1066" s="19"/>
      <c r="BG1066" s="18"/>
      <c r="BH1066" s="18"/>
      <c r="BI1066" s="18"/>
      <c r="BJ1066" s="18"/>
      <c r="BK1066" s="18"/>
      <c r="BL1066" s="18"/>
      <c r="BM1066" s="18"/>
      <c r="BN1066" s="18"/>
      <c r="BO1066" s="18"/>
      <c r="BP1066" s="18"/>
      <c r="BQ1066" s="18"/>
      <c r="BR1066" s="18"/>
      <c r="BS1066" s="18"/>
      <c r="BT1066" s="18"/>
      <c r="BU1066" s="18"/>
      <c r="BV1066" s="18"/>
    </row>
    <row r="1067" spans="1:74">
      <c r="A1067" s="18"/>
      <c r="B1067" s="19"/>
      <c r="BG1067" s="18"/>
      <c r="BH1067" s="18"/>
      <c r="BI1067" s="18"/>
      <c r="BJ1067" s="18"/>
      <c r="BK1067" s="18"/>
      <c r="BL1067" s="18"/>
      <c r="BM1067" s="18"/>
      <c r="BN1067" s="18"/>
      <c r="BO1067" s="18"/>
      <c r="BP1067" s="18"/>
      <c r="BQ1067" s="18"/>
      <c r="BR1067" s="18"/>
      <c r="BS1067" s="18"/>
      <c r="BT1067" s="18"/>
      <c r="BU1067" s="18"/>
      <c r="BV1067" s="18"/>
    </row>
    <row r="1068" spans="1:74">
      <c r="A1068" s="18"/>
      <c r="B1068" s="19"/>
      <c r="BG1068" s="18"/>
      <c r="BH1068" s="18"/>
      <c r="BI1068" s="18"/>
      <c r="BJ1068" s="18"/>
      <c r="BK1068" s="18"/>
      <c r="BL1068" s="18"/>
      <c r="BM1068" s="18"/>
      <c r="BN1068" s="18"/>
      <c r="BO1068" s="18"/>
      <c r="BP1068" s="18"/>
      <c r="BQ1068" s="18"/>
      <c r="BR1068" s="18"/>
      <c r="BS1068" s="18"/>
      <c r="BT1068" s="18"/>
      <c r="BU1068" s="18"/>
      <c r="BV1068" s="18"/>
    </row>
    <row r="1069" spans="1:74">
      <c r="A1069" s="18"/>
      <c r="B1069" s="19"/>
      <c r="BG1069" s="18"/>
      <c r="BH1069" s="18"/>
      <c r="BI1069" s="18"/>
      <c r="BJ1069" s="18"/>
      <c r="BK1069" s="18"/>
      <c r="BL1069" s="18"/>
      <c r="BM1069" s="18"/>
      <c r="BN1069" s="18"/>
      <c r="BO1069" s="18"/>
      <c r="BP1069" s="18"/>
      <c r="BQ1069" s="18"/>
      <c r="BR1069" s="18"/>
      <c r="BS1069" s="18"/>
      <c r="BT1069" s="18"/>
      <c r="BU1069" s="18"/>
      <c r="BV1069" s="18"/>
    </row>
    <row r="1070" spans="1:74">
      <c r="A1070" s="18"/>
      <c r="B1070" s="19"/>
      <c r="BG1070" s="18"/>
      <c r="BH1070" s="18"/>
      <c r="BI1070" s="18"/>
      <c r="BJ1070" s="18"/>
      <c r="BK1070" s="18"/>
      <c r="BL1070" s="18"/>
      <c r="BM1070" s="18"/>
      <c r="BN1070" s="18"/>
      <c r="BO1070" s="18"/>
      <c r="BP1070" s="18"/>
      <c r="BQ1070" s="18"/>
      <c r="BR1070" s="18"/>
      <c r="BS1070" s="18"/>
      <c r="BT1070" s="18"/>
      <c r="BU1070" s="18"/>
      <c r="BV1070" s="18"/>
    </row>
    <row r="1071" spans="1:74">
      <c r="A1071" s="18"/>
      <c r="B1071" s="19"/>
      <c r="BG1071" s="18"/>
      <c r="BH1071" s="18"/>
      <c r="BI1071" s="18"/>
      <c r="BJ1071" s="18"/>
      <c r="BK1071" s="18"/>
      <c r="BL1071" s="18"/>
      <c r="BM1071" s="18"/>
      <c r="BN1071" s="18"/>
      <c r="BO1071" s="18"/>
      <c r="BP1071" s="18"/>
      <c r="BQ1071" s="18"/>
      <c r="BR1071" s="18"/>
      <c r="BS1071" s="18"/>
      <c r="BT1071" s="18"/>
      <c r="BU1071" s="18"/>
      <c r="BV1071" s="18"/>
    </row>
    <row r="1072" spans="1:74">
      <c r="A1072" s="18"/>
      <c r="B1072" s="19"/>
      <c r="BG1072" s="18"/>
      <c r="BH1072" s="18"/>
      <c r="BI1072" s="18"/>
      <c r="BJ1072" s="18"/>
      <c r="BK1072" s="18"/>
      <c r="BL1072" s="18"/>
      <c r="BM1072" s="18"/>
      <c r="BN1072" s="18"/>
      <c r="BO1072" s="18"/>
      <c r="BP1072" s="18"/>
      <c r="BQ1072" s="18"/>
      <c r="BR1072" s="18"/>
      <c r="BS1072" s="18"/>
      <c r="BT1072" s="18"/>
      <c r="BU1072" s="18"/>
      <c r="BV1072" s="18"/>
    </row>
    <row r="1073" spans="1:74">
      <c r="A1073" s="18"/>
      <c r="B1073" s="19"/>
      <c r="BG1073" s="18"/>
      <c r="BH1073" s="18"/>
      <c r="BI1073" s="18"/>
      <c r="BJ1073" s="18"/>
      <c r="BK1073" s="18"/>
      <c r="BL1073" s="18"/>
      <c r="BM1073" s="18"/>
      <c r="BN1073" s="18"/>
      <c r="BO1073" s="18"/>
      <c r="BP1073" s="18"/>
      <c r="BQ1073" s="18"/>
      <c r="BR1073" s="18"/>
      <c r="BS1073" s="18"/>
      <c r="BT1073" s="18"/>
      <c r="BU1073" s="18"/>
      <c r="BV1073" s="18"/>
    </row>
    <row r="1074" spans="1:74">
      <c r="A1074" s="18"/>
      <c r="B1074" s="19"/>
      <c r="BG1074" s="18"/>
      <c r="BH1074" s="18"/>
      <c r="BI1074" s="18"/>
      <c r="BJ1074" s="18"/>
      <c r="BK1074" s="18"/>
      <c r="BL1074" s="18"/>
      <c r="BM1074" s="18"/>
      <c r="BN1074" s="18"/>
      <c r="BO1074" s="18"/>
      <c r="BP1074" s="18"/>
      <c r="BQ1074" s="18"/>
      <c r="BR1074" s="18"/>
      <c r="BS1074" s="18"/>
      <c r="BT1074" s="18"/>
      <c r="BU1074" s="18"/>
      <c r="BV1074" s="18"/>
    </row>
    <row r="1075" spans="1:74">
      <c r="A1075" s="18"/>
      <c r="B1075" s="19"/>
      <c r="BG1075" s="18"/>
      <c r="BH1075" s="18"/>
      <c r="BI1075" s="18"/>
      <c r="BJ1075" s="18"/>
      <c r="BK1075" s="18"/>
      <c r="BL1075" s="18"/>
      <c r="BM1075" s="18"/>
      <c r="BN1075" s="18"/>
      <c r="BO1075" s="18"/>
      <c r="BP1075" s="18"/>
      <c r="BQ1075" s="18"/>
      <c r="BR1075" s="18"/>
      <c r="BS1075" s="18"/>
      <c r="BT1075" s="18"/>
      <c r="BU1075" s="18"/>
      <c r="BV1075" s="18"/>
    </row>
    <row r="1076" spans="1:74">
      <c r="A1076" s="18"/>
      <c r="B1076" s="19"/>
      <c r="BG1076" s="18"/>
      <c r="BH1076" s="18"/>
      <c r="BI1076" s="18"/>
      <c r="BJ1076" s="18"/>
      <c r="BK1076" s="18"/>
      <c r="BL1076" s="18"/>
      <c r="BM1076" s="18"/>
      <c r="BN1076" s="18"/>
      <c r="BO1076" s="18"/>
      <c r="BP1076" s="18"/>
      <c r="BQ1076" s="18"/>
      <c r="BR1076" s="18"/>
      <c r="BS1076" s="18"/>
      <c r="BT1076" s="18"/>
      <c r="BU1076" s="18"/>
      <c r="BV1076" s="18"/>
    </row>
    <row r="1077" spans="1:74">
      <c r="A1077" s="18"/>
      <c r="B1077" s="19"/>
      <c r="BG1077" s="18"/>
      <c r="BH1077" s="18"/>
      <c r="BI1077" s="18"/>
      <c r="BJ1077" s="18"/>
      <c r="BK1077" s="18"/>
      <c r="BL1077" s="18"/>
      <c r="BM1077" s="18"/>
      <c r="BN1077" s="18"/>
      <c r="BO1077" s="18"/>
      <c r="BP1077" s="18"/>
      <c r="BQ1077" s="18"/>
      <c r="BR1077" s="18"/>
      <c r="BS1077" s="18"/>
      <c r="BT1077" s="18"/>
      <c r="BU1077" s="18"/>
      <c r="BV1077" s="18"/>
    </row>
    <row r="1078" spans="1:74">
      <c r="A1078" s="18"/>
      <c r="B1078" s="19"/>
      <c r="BG1078" s="18"/>
      <c r="BH1078" s="18"/>
      <c r="BI1078" s="18"/>
      <c r="BJ1078" s="18"/>
      <c r="BK1078" s="18"/>
      <c r="BL1078" s="18"/>
      <c r="BM1078" s="18"/>
      <c r="BN1078" s="18"/>
      <c r="BO1078" s="18"/>
      <c r="BP1078" s="18"/>
      <c r="BQ1078" s="18"/>
      <c r="BR1078" s="18"/>
      <c r="BS1078" s="18"/>
      <c r="BT1078" s="18"/>
      <c r="BU1078" s="18"/>
      <c r="BV1078" s="18"/>
    </row>
    <row r="1079" spans="1:74">
      <c r="A1079" s="18"/>
      <c r="B1079" s="19"/>
      <c r="BG1079" s="18"/>
      <c r="BH1079" s="18"/>
      <c r="BI1079" s="18"/>
      <c r="BJ1079" s="18"/>
      <c r="BK1079" s="18"/>
      <c r="BL1079" s="18"/>
      <c r="BM1079" s="18"/>
      <c r="BN1079" s="18"/>
      <c r="BO1079" s="18"/>
      <c r="BP1079" s="18"/>
      <c r="BQ1079" s="18"/>
      <c r="BR1079" s="18"/>
      <c r="BS1079" s="18"/>
      <c r="BT1079" s="18"/>
      <c r="BU1079" s="18"/>
      <c r="BV1079" s="18"/>
    </row>
    <row r="1080" spans="1:74">
      <c r="A1080" s="18"/>
      <c r="B1080" s="19"/>
      <c r="BG1080" s="18"/>
      <c r="BH1080" s="18"/>
      <c r="BI1080" s="18"/>
      <c r="BJ1080" s="18"/>
      <c r="BK1080" s="18"/>
      <c r="BL1080" s="18"/>
      <c r="BM1080" s="18"/>
      <c r="BN1080" s="18"/>
      <c r="BO1080" s="18"/>
      <c r="BP1080" s="18"/>
      <c r="BQ1080" s="18"/>
      <c r="BR1080" s="18"/>
      <c r="BS1080" s="18"/>
      <c r="BT1080" s="18"/>
      <c r="BU1080" s="18"/>
      <c r="BV1080" s="18"/>
    </row>
    <row r="1081" spans="1:74">
      <c r="A1081" s="18"/>
      <c r="B1081" s="19"/>
      <c r="BG1081" s="18"/>
      <c r="BH1081" s="18"/>
      <c r="BI1081" s="18"/>
      <c r="BJ1081" s="18"/>
      <c r="BK1081" s="18"/>
      <c r="BL1081" s="18"/>
      <c r="BM1081" s="18"/>
      <c r="BN1081" s="18"/>
      <c r="BO1081" s="18"/>
      <c r="BP1081" s="18"/>
      <c r="BQ1081" s="18"/>
      <c r="BR1081" s="18"/>
      <c r="BS1081" s="18"/>
      <c r="BT1081" s="18"/>
      <c r="BU1081" s="18"/>
      <c r="BV1081" s="18"/>
    </row>
    <row r="1082" spans="1:74">
      <c r="A1082" s="18"/>
      <c r="B1082" s="19"/>
      <c r="BG1082" s="18"/>
      <c r="BH1082" s="18"/>
      <c r="BI1082" s="18"/>
      <c r="BJ1082" s="18"/>
      <c r="BK1082" s="18"/>
      <c r="BL1082" s="18"/>
      <c r="BM1082" s="18"/>
      <c r="BN1082" s="18"/>
      <c r="BO1082" s="18"/>
      <c r="BP1082" s="18"/>
      <c r="BQ1082" s="18"/>
      <c r="BR1082" s="18"/>
      <c r="BS1082" s="18"/>
      <c r="BT1082" s="18"/>
      <c r="BU1082" s="18"/>
      <c r="BV1082" s="18"/>
    </row>
    <row r="1083" spans="1:74">
      <c r="A1083" s="18"/>
      <c r="B1083" s="19"/>
      <c r="BG1083" s="18"/>
      <c r="BH1083" s="18"/>
      <c r="BI1083" s="18"/>
      <c r="BJ1083" s="18"/>
      <c r="BK1083" s="18"/>
      <c r="BL1083" s="18"/>
      <c r="BM1083" s="18"/>
      <c r="BN1083" s="18"/>
      <c r="BO1083" s="18"/>
      <c r="BP1083" s="18"/>
      <c r="BQ1083" s="18"/>
      <c r="BR1083" s="18"/>
      <c r="BS1083" s="18"/>
      <c r="BT1083" s="18"/>
      <c r="BU1083" s="18"/>
      <c r="BV1083" s="18"/>
    </row>
    <row r="1084" spans="1:74">
      <c r="A1084" s="18"/>
      <c r="B1084" s="19"/>
      <c r="BG1084" s="18"/>
      <c r="BH1084" s="18"/>
      <c r="BI1084" s="18"/>
      <c r="BJ1084" s="18"/>
      <c r="BK1084" s="18"/>
      <c r="BL1084" s="18"/>
      <c r="BM1084" s="18"/>
      <c r="BN1084" s="18"/>
      <c r="BO1084" s="18"/>
      <c r="BP1084" s="18"/>
      <c r="BQ1084" s="18"/>
      <c r="BR1084" s="18"/>
      <c r="BS1084" s="18"/>
      <c r="BT1084" s="18"/>
      <c r="BU1084" s="18"/>
      <c r="BV1084" s="18"/>
    </row>
    <row r="1085" spans="1:74">
      <c r="A1085" s="18"/>
      <c r="B1085" s="19"/>
      <c r="BG1085" s="18"/>
      <c r="BH1085" s="18"/>
      <c r="BI1085" s="18"/>
      <c r="BJ1085" s="18"/>
      <c r="BK1085" s="18"/>
      <c r="BL1085" s="18"/>
      <c r="BM1085" s="18"/>
      <c r="BN1085" s="18"/>
      <c r="BO1085" s="18"/>
      <c r="BP1085" s="18"/>
      <c r="BQ1085" s="18"/>
      <c r="BR1085" s="18"/>
      <c r="BS1085" s="18"/>
      <c r="BT1085" s="18"/>
      <c r="BU1085" s="18"/>
      <c r="BV1085" s="18"/>
    </row>
    <row r="1086" spans="1:74">
      <c r="A1086" s="18"/>
      <c r="B1086" s="19"/>
      <c r="BG1086" s="18"/>
      <c r="BH1086" s="18"/>
      <c r="BI1086" s="18"/>
      <c r="BJ1086" s="18"/>
      <c r="BK1086" s="18"/>
      <c r="BL1086" s="18"/>
      <c r="BM1086" s="18"/>
      <c r="BN1086" s="18"/>
      <c r="BO1086" s="18"/>
      <c r="BP1086" s="18"/>
      <c r="BQ1086" s="18"/>
      <c r="BR1086" s="18"/>
      <c r="BS1086" s="18"/>
      <c r="BT1086" s="18"/>
      <c r="BU1086" s="18"/>
      <c r="BV1086" s="18"/>
    </row>
    <row r="1087" spans="1:74">
      <c r="A1087" s="18"/>
      <c r="B1087" s="19"/>
      <c r="BG1087" s="18"/>
      <c r="BH1087" s="18"/>
      <c r="BI1087" s="18"/>
      <c r="BJ1087" s="18"/>
      <c r="BK1087" s="18"/>
      <c r="BL1087" s="18"/>
      <c r="BM1087" s="18"/>
      <c r="BN1087" s="18"/>
      <c r="BO1087" s="18"/>
      <c r="BP1087" s="18"/>
      <c r="BQ1087" s="18"/>
      <c r="BR1087" s="18"/>
      <c r="BS1087" s="18"/>
      <c r="BT1087" s="18"/>
      <c r="BU1087" s="18"/>
      <c r="BV1087" s="18"/>
    </row>
    <row r="1088" spans="1:74">
      <c r="A1088" s="18"/>
      <c r="B1088" s="19"/>
      <c r="BG1088" s="18"/>
      <c r="BH1088" s="18"/>
      <c r="BI1088" s="18"/>
      <c r="BJ1088" s="18"/>
      <c r="BK1088" s="18"/>
      <c r="BL1088" s="18"/>
      <c r="BM1088" s="18"/>
      <c r="BN1088" s="18"/>
      <c r="BO1088" s="18"/>
      <c r="BP1088" s="18"/>
      <c r="BQ1088" s="18"/>
      <c r="BR1088" s="18"/>
      <c r="BS1088" s="18"/>
      <c r="BT1088" s="18"/>
      <c r="BU1088" s="18"/>
      <c r="BV1088" s="18"/>
    </row>
    <row r="1089" spans="1:74">
      <c r="A1089" s="18"/>
      <c r="B1089" s="19"/>
      <c r="BG1089" s="18"/>
      <c r="BH1089" s="18"/>
      <c r="BI1089" s="18"/>
      <c r="BJ1089" s="18"/>
      <c r="BK1089" s="18"/>
      <c r="BL1089" s="18"/>
      <c r="BM1089" s="18"/>
      <c r="BN1089" s="18"/>
      <c r="BO1089" s="18"/>
      <c r="BP1089" s="18"/>
      <c r="BQ1089" s="18"/>
      <c r="BR1089" s="18"/>
      <c r="BS1089" s="18"/>
      <c r="BT1089" s="18"/>
      <c r="BU1089" s="18"/>
      <c r="BV1089" s="18"/>
    </row>
    <row r="1090" spans="1:74">
      <c r="A1090" s="18"/>
      <c r="B1090" s="19"/>
      <c r="BG1090" s="18"/>
      <c r="BH1090" s="18"/>
      <c r="BI1090" s="18"/>
      <c r="BJ1090" s="18"/>
      <c r="BK1090" s="18"/>
      <c r="BL1090" s="18"/>
      <c r="BM1090" s="18"/>
      <c r="BN1090" s="18"/>
      <c r="BO1090" s="18"/>
      <c r="BP1090" s="18"/>
      <c r="BQ1090" s="18"/>
      <c r="BR1090" s="18"/>
      <c r="BS1090" s="18"/>
      <c r="BT1090" s="18"/>
      <c r="BU1090" s="18"/>
      <c r="BV1090" s="18"/>
    </row>
    <row r="1091" spans="1:74">
      <c r="A1091" s="18"/>
      <c r="B1091" s="19"/>
      <c r="BG1091" s="18"/>
      <c r="BH1091" s="18"/>
      <c r="BI1091" s="18"/>
      <c r="BJ1091" s="18"/>
      <c r="BK1091" s="18"/>
      <c r="BL1091" s="18"/>
      <c r="BM1091" s="18"/>
      <c r="BN1091" s="18"/>
      <c r="BO1091" s="18"/>
      <c r="BP1091" s="18"/>
      <c r="BQ1091" s="18"/>
      <c r="BR1091" s="18"/>
      <c r="BS1091" s="18"/>
      <c r="BT1091" s="18"/>
      <c r="BU1091" s="18"/>
      <c r="BV1091" s="18"/>
    </row>
    <row r="1092" spans="1:74">
      <c r="A1092" s="18"/>
      <c r="B1092" s="19"/>
      <c r="BG1092" s="18"/>
      <c r="BH1092" s="18"/>
      <c r="BI1092" s="18"/>
      <c r="BJ1092" s="18"/>
      <c r="BK1092" s="18"/>
      <c r="BL1092" s="18"/>
      <c r="BM1092" s="18"/>
      <c r="BN1092" s="18"/>
      <c r="BO1092" s="18"/>
      <c r="BP1092" s="18"/>
      <c r="BQ1092" s="18"/>
      <c r="BR1092" s="18"/>
      <c r="BS1092" s="18"/>
      <c r="BT1092" s="18"/>
      <c r="BU1092" s="18"/>
      <c r="BV1092" s="18"/>
    </row>
    <row r="1093" spans="1:74">
      <c r="A1093" s="18"/>
      <c r="B1093" s="19"/>
      <c r="BG1093" s="18"/>
      <c r="BH1093" s="18"/>
      <c r="BI1093" s="18"/>
      <c r="BJ1093" s="18"/>
      <c r="BK1093" s="18"/>
      <c r="BL1093" s="18"/>
      <c r="BM1093" s="18"/>
      <c r="BN1093" s="18"/>
      <c r="BO1093" s="18"/>
      <c r="BP1093" s="18"/>
      <c r="BQ1093" s="18"/>
      <c r="BR1093" s="18"/>
      <c r="BS1093" s="18"/>
      <c r="BT1093" s="18"/>
      <c r="BU1093" s="18"/>
      <c r="BV1093" s="18"/>
    </row>
    <row r="1094" spans="1:74">
      <c r="A1094" s="18"/>
      <c r="B1094" s="19"/>
      <c r="BG1094" s="18"/>
      <c r="BH1094" s="18"/>
      <c r="BI1094" s="18"/>
      <c r="BJ1094" s="18"/>
      <c r="BK1094" s="18"/>
      <c r="BL1094" s="18"/>
      <c r="BM1094" s="18"/>
      <c r="BN1094" s="18"/>
      <c r="BO1094" s="18"/>
      <c r="BP1094" s="18"/>
      <c r="BQ1094" s="18"/>
      <c r="BR1094" s="18"/>
      <c r="BS1094" s="18"/>
      <c r="BT1094" s="18"/>
      <c r="BU1094" s="18"/>
      <c r="BV1094" s="18"/>
    </row>
    <row r="1095" spans="1:74">
      <c r="A1095" s="18"/>
      <c r="B1095" s="19"/>
      <c r="BG1095" s="18"/>
      <c r="BH1095" s="18"/>
      <c r="BI1095" s="18"/>
      <c r="BJ1095" s="18"/>
      <c r="BK1095" s="18"/>
      <c r="BL1095" s="18"/>
      <c r="BM1095" s="18"/>
      <c r="BN1095" s="18"/>
      <c r="BO1095" s="18"/>
      <c r="BP1095" s="18"/>
      <c r="BQ1095" s="18"/>
      <c r="BR1095" s="18"/>
      <c r="BS1095" s="18"/>
      <c r="BT1095" s="18"/>
      <c r="BU1095" s="18"/>
      <c r="BV1095" s="18"/>
    </row>
    <row r="1096" spans="1:74">
      <c r="A1096" s="18"/>
      <c r="B1096" s="19"/>
      <c r="BG1096" s="18"/>
      <c r="BH1096" s="18"/>
      <c r="BI1096" s="18"/>
      <c r="BJ1096" s="18"/>
      <c r="BK1096" s="18"/>
      <c r="BL1096" s="18"/>
      <c r="BM1096" s="18"/>
      <c r="BN1096" s="18"/>
      <c r="BO1096" s="18"/>
      <c r="BP1096" s="18"/>
      <c r="BQ1096" s="18"/>
      <c r="BR1096" s="18"/>
      <c r="BS1096" s="18"/>
      <c r="BT1096" s="18"/>
      <c r="BU1096" s="18"/>
      <c r="BV1096" s="18"/>
    </row>
    <row r="1097" spans="1:74">
      <c r="A1097" s="18"/>
      <c r="B1097" s="19"/>
      <c r="BG1097" s="18"/>
      <c r="BH1097" s="18"/>
      <c r="BI1097" s="18"/>
      <c r="BJ1097" s="18"/>
      <c r="BK1097" s="18"/>
      <c r="BL1097" s="18"/>
      <c r="BM1097" s="18"/>
      <c r="BN1097" s="18"/>
      <c r="BO1097" s="18"/>
      <c r="BP1097" s="18"/>
      <c r="BQ1097" s="18"/>
      <c r="BR1097" s="18"/>
      <c r="BS1097" s="18"/>
      <c r="BT1097" s="18"/>
      <c r="BU1097" s="18"/>
      <c r="BV1097" s="18"/>
    </row>
    <row r="1098" spans="1:74">
      <c r="A1098" s="18"/>
      <c r="B1098" s="19"/>
      <c r="BG1098" s="18"/>
      <c r="BH1098" s="18"/>
      <c r="BI1098" s="18"/>
      <c r="BJ1098" s="18"/>
      <c r="BK1098" s="18"/>
      <c r="BL1098" s="18"/>
      <c r="BM1098" s="18"/>
      <c r="BN1098" s="18"/>
      <c r="BO1098" s="18"/>
      <c r="BP1098" s="18"/>
      <c r="BQ1098" s="18"/>
      <c r="BR1098" s="18"/>
      <c r="BS1098" s="18"/>
      <c r="BT1098" s="18"/>
      <c r="BU1098" s="18"/>
      <c r="BV1098" s="18"/>
    </row>
    <row r="1099" spans="1:74">
      <c r="A1099" s="18"/>
      <c r="B1099" s="19"/>
      <c r="BG1099" s="18"/>
      <c r="BH1099" s="18"/>
      <c r="BI1099" s="18"/>
      <c r="BJ1099" s="18"/>
      <c r="BK1099" s="18"/>
      <c r="BL1099" s="18"/>
      <c r="BM1099" s="18"/>
      <c r="BN1099" s="18"/>
      <c r="BO1099" s="18"/>
      <c r="BP1099" s="18"/>
      <c r="BQ1099" s="18"/>
      <c r="BR1099" s="18"/>
      <c r="BS1099" s="18"/>
      <c r="BT1099" s="18"/>
      <c r="BU1099" s="18"/>
      <c r="BV1099" s="18"/>
    </row>
    <row r="1100" spans="1:74">
      <c r="A1100" s="18"/>
      <c r="B1100" s="19"/>
      <c r="BG1100" s="18"/>
      <c r="BH1100" s="18"/>
      <c r="BI1100" s="18"/>
      <c r="BJ1100" s="18"/>
      <c r="BK1100" s="18"/>
      <c r="BL1100" s="18"/>
      <c r="BM1100" s="18"/>
      <c r="BN1100" s="18"/>
      <c r="BO1100" s="18"/>
      <c r="BP1100" s="18"/>
      <c r="BQ1100" s="18"/>
      <c r="BR1100" s="18"/>
      <c r="BS1100" s="18"/>
      <c r="BT1100" s="18"/>
      <c r="BU1100" s="18"/>
      <c r="BV1100" s="18"/>
    </row>
    <row r="1101" spans="1:74">
      <c r="A1101" s="18"/>
      <c r="B1101" s="19"/>
      <c r="BG1101" s="18"/>
      <c r="BH1101" s="18"/>
      <c r="BI1101" s="18"/>
      <c r="BJ1101" s="18"/>
      <c r="BK1101" s="18"/>
      <c r="BL1101" s="18"/>
      <c r="BM1101" s="18"/>
      <c r="BN1101" s="18"/>
      <c r="BO1101" s="18"/>
      <c r="BP1101" s="18"/>
      <c r="BQ1101" s="18"/>
      <c r="BR1101" s="18"/>
      <c r="BS1101" s="18"/>
      <c r="BT1101" s="18"/>
      <c r="BU1101" s="18"/>
      <c r="BV1101" s="18"/>
    </row>
    <row r="1102" spans="1:74">
      <c r="A1102" s="18"/>
      <c r="B1102" s="19"/>
      <c r="BG1102" s="18"/>
      <c r="BH1102" s="18"/>
      <c r="BI1102" s="18"/>
      <c r="BJ1102" s="18"/>
      <c r="BK1102" s="18"/>
      <c r="BL1102" s="18"/>
      <c r="BM1102" s="18"/>
      <c r="BN1102" s="18"/>
      <c r="BO1102" s="18"/>
      <c r="BP1102" s="18"/>
      <c r="BQ1102" s="18"/>
      <c r="BR1102" s="18"/>
      <c r="BS1102" s="18"/>
      <c r="BT1102" s="18"/>
      <c r="BU1102" s="18"/>
      <c r="BV1102" s="18"/>
    </row>
    <row r="1103" spans="1:74">
      <c r="A1103" s="18"/>
      <c r="B1103" s="19"/>
      <c r="BG1103" s="18"/>
      <c r="BH1103" s="18"/>
      <c r="BI1103" s="18"/>
      <c r="BJ1103" s="18"/>
      <c r="BK1103" s="18"/>
      <c r="BL1103" s="18"/>
      <c r="BM1103" s="18"/>
      <c r="BN1103" s="18"/>
      <c r="BO1103" s="18"/>
      <c r="BP1103" s="18"/>
      <c r="BQ1103" s="18"/>
      <c r="BR1103" s="18"/>
      <c r="BS1103" s="18"/>
      <c r="BT1103" s="18"/>
      <c r="BU1103" s="18"/>
      <c r="BV1103" s="18"/>
    </row>
    <row r="1104" spans="1:74">
      <c r="A1104" s="18"/>
      <c r="B1104" s="19"/>
      <c r="BG1104" s="18"/>
      <c r="BH1104" s="18"/>
      <c r="BI1104" s="18"/>
      <c r="BJ1104" s="18"/>
      <c r="BK1104" s="18"/>
      <c r="BL1104" s="18"/>
      <c r="BM1104" s="18"/>
      <c r="BN1104" s="18"/>
      <c r="BO1104" s="18"/>
      <c r="BP1104" s="18"/>
      <c r="BQ1104" s="18"/>
      <c r="BR1104" s="18"/>
      <c r="BS1104" s="18"/>
      <c r="BT1104" s="18"/>
      <c r="BU1104" s="18"/>
      <c r="BV1104" s="18"/>
    </row>
    <row r="1105" spans="1:74">
      <c r="A1105" s="18"/>
      <c r="B1105" s="19"/>
      <c r="BG1105" s="18"/>
      <c r="BH1105" s="18"/>
      <c r="BI1105" s="18"/>
      <c r="BJ1105" s="18"/>
      <c r="BK1105" s="18"/>
      <c r="BL1105" s="18"/>
      <c r="BM1105" s="18"/>
      <c r="BN1105" s="18"/>
      <c r="BO1105" s="18"/>
      <c r="BP1105" s="18"/>
      <c r="BQ1105" s="18"/>
      <c r="BR1105" s="18"/>
      <c r="BS1105" s="18"/>
      <c r="BT1105" s="18"/>
      <c r="BU1105" s="18"/>
      <c r="BV1105" s="18"/>
    </row>
    <row r="1106" spans="1:74">
      <c r="A1106" s="18"/>
      <c r="B1106" s="19"/>
      <c r="BG1106" s="18"/>
      <c r="BH1106" s="18"/>
      <c r="BI1106" s="18"/>
      <c r="BJ1106" s="18"/>
      <c r="BK1106" s="18"/>
      <c r="BL1106" s="18"/>
      <c r="BM1106" s="18"/>
      <c r="BN1106" s="18"/>
      <c r="BO1106" s="18"/>
      <c r="BP1106" s="18"/>
      <c r="BQ1106" s="18"/>
      <c r="BR1106" s="18"/>
      <c r="BS1106" s="18"/>
      <c r="BT1106" s="18"/>
      <c r="BU1106" s="18"/>
      <c r="BV1106" s="18"/>
    </row>
    <row r="1107" spans="1:74">
      <c r="A1107" s="18"/>
      <c r="B1107" s="19"/>
      <c r="BG1107" s="18"/>
      <c r="BH1107" s="18"/>
      <c r="BI1107" s="18"/>
      <c r="BJ1107" s="18"/>
      <c r="BK1107" s="18"/>
      <c r="BL1107" s="18"/>
      <c r="BM1107" s="18"/>
      <c r="BN1107" s="18"/>
      <c r="BO1107" s="18"/>
      <c r="BP1107" s="18"/>
      <c r="BQ1107" s="18"/>
      <c r="BR1107" s="18"/>
      <c r="BS1107" s="18"/>
      <c r="BT1107" s="18"/>
      <c r="BU1107" s="18"/>
      <c r="BV1107" s="18"/>
    </row>
    <row r="1108" spans="1:74">
      <c r="A1108" s="18"/>
      <c r="B1108" s="19"/>
      <c r="BG1108" s="18"/>
      <c r="BH1108" s="18"/>
      <c r="BI1108" s="18"/>
      <c r="BJ1108" s="18"/>
      <c r="BK1108" s="18"/>
      <c r="BL1108" s="18"/>
      <c r="BM1108" s="18"/>
      <c r="BN1108" s="18"/>
      <c r="BO1108" s="18"/>
      <c r="BP1108" s="18"/>
      <c r="BQ1108" s="18"/>
      <c r="BR1108" s="18"/>
      <c r="BS1108" s="18"/>
      <c r="BT1108" s="18"/>
      <c r="BU1108" s="18"/>
      <c r="BV1108" s="18"/>
    </row>
    <row r="1109" spans="1:74">
      <c r="A1109" s="18"/>
      <c r="B1109" s="19"/>
      <c r="BG1109" s="18"/>
      <c r="BH1109" s="18"/>
      <c r="BI1109" s="18"/>
      <c r="BJ1109" s="18"/>
      <c r="BK1109" s="18"/>
      <c r="BL1109" s="18"/>
      <c r="BM1109" s="18"/>
      <c r="BN1109" s="18"/>
      <c r="BO1109" s="18"/>
      <c r="BP1109" s="18"/>
      <c r="BQ1109" s="18"/>
      <c r="BR1109" s="18"/>
      <c r="BS1109" s="18"/>
      <c r="BT1109" s="18"/>
      <c r="BU1109" s="18"/>
      <c r="BV1109" s="18"/>
    </row>
    <row r="1110" spans="1:74">
      <c r="A1110" s="18"/>
      <c r="B1110" s="19"/>
      <c r="BG1110" s="18"/>
      <c r="BH1110" s="18"/>
      <c r="BI1110" s="18"/>
      <c r="BJ1110" s="18"/>
      <c r="BK1110" s="18"/>
      <c r="BL1110" s="18"/>
      <c r="BM1110" s="18"/>
      <c r="BN1110" s="18"/>
      <c r="BO1110" s="18"/>
      <c r="BP1110" s="18"/>
      <c r="BQ1110" s="18"/>
      <c r="BR1110" s="18"/>
      <c r="BS1110" s="18"/>
      <c r="BT1110" s="18"/>
      <c r="BU1110" s="18"/>
      <c r="BV1110" s="18"/>
    </row>
    <row r="1111" spans="1:74">
      <c r="A1111" s="18"/>
      <c r="B1111" s="19"/>
      <c r="BG1111" s="18"/>
      <c r="BH1111" s="18"/>
      <c r="BI1111" s="18"/>
      <c r="BJ1111" s="18"/>
      <c r="BK1111" s="18"/>
      <c r="BL1111" s="18"/>
      <c r="BM1111" s="18"/>
      <c r="BN1111" s="18"/>
      <c r="BO1111" s="18"/>
      <c r="BP1111" s="18"/>
      <c r="BQ1111" s="18"/>
      <c r="BR1111" s="18"/>
      <c r="BS1111" s="18"/>
      <c r="BT1111" s="18"/>
      <c r="BU1111" s="18"/>
      <c r="BV1111" s="18"/>
    </row>
    <row r="1112" spans="1:74">
      <c r="A1112" s="18"/>
      <c r="B1112" s="19"/>
      <c r="BG1112" s="18"/>
      <c r="BH1112" s="18"/>
      <c r="BI1112" s="18"/>
      <c r="BJ1112" s="18"/>
      <c r="BK1112" s="18"/>
      <c r="BL1112" s="18"/>
      <c r="BM1112" s="18"/>
      <c r="BN1112" s="18"/>
      <c r="BO1112" s="18"/>
      <c r="BP1112" s="18"/>
      <c r="BQ1112" s="18"/>
      <c r="BR1112" s="18"/>
      <c r="BS1112" s="18"/>
      <c r="BT1112" s="18"/>
      <c r="BU1112" s="18"/>
      <c r="BV1112" s="18"/>
    </row>
    <row r="1113" spans="1:74">
      <c r="A1113" s="18"/>
      <c r="B1113" s="19"/>
      <c r="BG1113" s="18"/>
      <c r="BH1113" s="18"/>
      <c r="BI1113" s="18"/>
      <c r="BJ1113" s="18"/>
      <c r="BK1113" s="18"/>
      <c r="BL1113" s="18"/>
      <c r="BM1113" s="18"/>
      <c r="BN1113" s="18"/>
      <c r="BO1113" s="18"/>
      <c r="BP1113" s="18"/>
      <c r="BQ1113" s="18"/>
      <c r="BR1113" s="18"/>
      <c r="BS1113" s="18"/>
      <c r="BT1113" s="18"/>
      <c r="BU1113" s="18"/>
      <c r="BV1113" s="18"/>
    </row>
    <row r="1114" spans="1:74">
      <c r="A1114" s="18"/>
      <c r="B1114" s="19"/>
      <c r="BG1114" s="18"/>
      <c r="BH1114" s="18"/>
      <c r="BI1114" s="18"/>
      <c r="BJ1114" s="18"/>
      <c r="BK1114" s="18"/>
      <c r="BL1114" s="18"/>
      <c r="BM1114" s="18"/>
      <c r="BN1114" s="18"/>
      <c r="BO1114" s="18"/>
      <c r="BP1114" s="18"/>
      <c r="BQ1114" s="18"/>
      <c r="BR1114" s="18"/>
      <c r="BS1114" s="18"/>
      <c r="BT1114" s="18"/>
      <c r="BU1114" s="18"/>
      <c r="BV1114" s="18"/>
    </row>
    <row r="1115" spans="1:74">
      <c r="A1115" s="18"/>
      <c r="B1115" s="19"/>
      <c r="BG1115" s="18"/>
      <c r="BH1115" s="18"/>
      <c r="BI1115" s="18"/>
      <c r="BJ1115" s="18"/>
      <c r="BK1115" s="18"/>
      <c r="BL1115" s="18"/>
      <c r="BM1115" s="18"/>
      <c r="BN1115" s="18"/>
      <c r="BO1115" s="18"/>
      <c r="BP1115" s="18"/>
      <c r="BQ1115" s="18"/>
      <c r="BR1115" s="18"/>
      <c r="BS1115" s="18"/>
      <c r="BT1115" s="18"/>
      <c r="BU1115" s="18"/>
      <c r="BV1115" s="18"/>
    </row>
    <row r="1116" spans="1:74">
      <c r="A1116" s="18"/>
      <c r="B1116" s="19"/>
      <c r="BG1116" s="18"/>
      <c r="BH1116" s="18"/>
      <c r="BI1116" s="18"/>
      <c r="BJ1116" s="18"/>
      <c r="BK1116" s="18"/>
      <c r="BL1116" s="18"/>
      <c r="BM1116" s="18"/>
      <c r="BN1116" s="18"/>
      <c r="BO1116" s="18"/>
      <c r="BP1116" s="18"/>
      <c r="BQ1116" s="18"/>
      <c r="BR1116" s="18"/>
      <c r="BS1116" s="18"/>
      <c r="BT1116" s="18"/>
      <c r="BU1116" s="18"/>
      <c r="BV1116" s="18"/>
    </row>
    <row r="1117" spans="1:74">
      <c r="A1117" s="18"/>
      <c r="B1117" s="19"/>
      <c r="BG1117" s="18"/>
      <c r="BH1117" s="18"/>
      <c r="BI1117" s="18"/>
      <c r="BJ1117" s="18"/>
      <c r="BK1117" s="18"/>
      <c r="BL1117" s="18"/>
      <c r="BM1117" s="18"/>
      <c r="BN1117" s="18"/>
      <c r="BO1117" s="18"/>
      <c r="BP1117" s="18"/>
      <c r="BQ1117" s="18"/>
      <c r="BR1117" s="18"/>
      <c r="BS1117" s="18"/>
      <c r="BT1117" s="18"/>
      <c r="BU1117" s="18"/>
      <c r="BV1117" s="18"/>
    </row>
    <row r="1118" spans="1:74">
      <c r="A1118" s="18"/>
      <c r="B1118" s="19"/>
      <c r="BG1118" s="18"/>
      <c r="BH1118" s="18"/>
      <c r="BI1118" s="18"/>
      <c r="BJ1118" s="18"/>
      <c r="BK1118" s="18"/>
      <c r="BL1118" s="18"/>
      <c r="BM1118" s="18"/>
      <c r="BN1118" s="18"/>
      <c r="BO1118" s="18"/>
      <c r="BP1118" s="18"/>
      <c r="BQ1118" s="18"/>
      <c r="BR1118" s="18"/>
      <c r="BS1118" s="18"/>
      <c r="BT1118" s="18"/>
      <c r="BU1118" s="18"/>
      <c r="BV1118" s="18"/>
    </row>
    <row r="1119" spans="1:74">
      <c r="A1119" s="18"/>
      <c r="B1119" s="19"/>
      <c r="BG1119" s="18"/>
      <c r="BH1119" s="18"/>
      <c r="BI1119" s="18"/>
      <c r="BJ1119" s="18"/>
      <c r="BK1119" s="18"/>
      <c r="BL1119" s="18"/>
      <c r="BM1119" s="18"/>
      <c r="BN1119" s="18"/>
      <c r="BO1119" s="18"/>
      <c r="BP1119" s="18"/>
      <c r="BQ1119" s="18"/>
      <c r="BR1119" s="18"/>
      <c r="BS1119" s="18"/>
      <c r="BT1119" s="18"/>
      <c r="BU1119" s="18"/>
      <c r="BV1119" s="18"/>
    </row>
    <row r="1120" spans="1:74">
      <c r="A1120" s="18"/>
      <c r="B1120" s="19"/>
      <c r="BG1120" s="18"/>
      <c r="BH1120" s="18"/>
      <c r="BI1120" s="18"/>
      <c r="BJ1120" s="18"/>
      <c r="BK1120" s="18"/>
      <c r="BL1120" s="18"/>
      <c r="BM1120" s="18"/>
      <c r="BN1120" s="18"/>
      <c r="BO1120" s="18"/>
      <c r="BP1120" s="18"/>
      <c r="BQ1120" s="18"/>
      <c r="BR1120" s="18"/>
      <c r="BS1120" s="18"/>
      <c r="BT1120" s="18"/>
      <c r="BU1120" s="18"/>
      <c r="BV1120" s="18"/>
    </row>
    <row r="1121" spans="1:74">
      <c r="A1121" s="18"/>
      <c r="B1121" s="19"/>
      <c r="BG1121" s="18"/>
      <c r="BH1121" s="18"/>
      <c r="BI1121" s="18"/>
      <c r="BJ1121" s="18"/>
      <c r="BK1121" s="18"/>
      <c r="BL1121" s="18"/>
      <c r="BM1121" s="18"/>
      <c r="BN1121" s="18"/>
      <c r="BO1121" s="18"/>
      <c r="BP1121" s="18"/>
      <c r="BQ1121" s="18"/>
      <c r="BR1121" s="18"/>
      <c r="BS1121" s="18"/>
      <c r="BT1121" s="18"/>
      <c r="BU1121" s="18"/>
      <c r="BV1121" s="18"/>
    </row>
    <row r="1122" spans="1:74">
      <c r="A1122" s="18"/>
      <c r="B1122" s="19"/>
      <c r="BG1122" s="18"/>
      <c r="BH1122" s="18"/>
      <c r="BI1122" s="18"/>
      <c r="BJ1122" s="18"/>
      <c r="BK1122" s="18"/>
      <c r="BL1122" s="18"/>
      <c r="BM1122" s="18"/>
      <c r="BN1122" s="18"/>
      <c r="BO1122" s="18"/>
      <c r="BP1122" s="18"/>
      <c r="BQ1122" s="18"/>
      <c r="BR1122" s="18"/>
      <c r="BS1122" s="18"/>
      <c r="BT1122" s="18"/>
      <c r="BU1122" s="18"/>
      <c r="BV1122" s="18"/>
    </row>
    <row r="1123" spans="1:74">
      <c r="A1123" s="18"/>
      <c r="B1123" s="19"/>
      <c r="BG1123" s="18"/>
      <c r="BH1123" s="18"/>
      <c r="BI1123" s="18"/>
      <c r="BJ1123" s="18"/>
      <c r="BK1123" s="18"/>
      <c r="BL1123" s="18"/>
      <c r="BM1123" s="18"/>
      <c r="BN1123" s="18"/>
      <c r="BO1123" s="18"/>
      <c r="BP1123" s="18"/>
      <c r="BQ1123" s="18"/>
      <c r="BR1123" s="18"/>
      <c r="BS1123" s="18"/>
      <c r="BT1123" s="18"/>
      <c r="BU1123" s="18"/>
      <c r="BV1123" s="18"/>
    </row>
    <row r="1124" spans="1:74">
      <c r="A1124" s="18"/>
      <c r="B1124" s="19"/>
      <c r="BG1124" s="18"/>
      <c r="BH1124" s="18"/>
      <c r="BI1124" s="18"/>
      <c r="BJ1124" s="18"/>
      <c r="BK1124" s="18"/>
      <c r="BL1124" s="18"/>
      <c r="BM1124" s="18"/>
      <c r="BN1124" s="18"/>
      <c r="BO1124" s="18"/>
      <c r="BP1124" s="18"/>
      <c r="BQ1124" s="18"/>
      <c r="BR1124" s="18"/>
      <c r="BS1124" s="18"/>
      <c r="BT1124" s="18"/>
      <c r="BU1124" s="18"/>
      <c r="BV1124" s="18"/>
    </row>
    <row r="1125" spans="1:74">
      <c r="A1125" s="18"/>
      <c r="B1125" s="19"/>
      <c r="BG1125" s="18"/>
      <c r="BH1125" s="18"/>
      <c r="BI1125" s="18"/>
      <c r="BJ1125" s="18"/>
      <c r="BK1125" s="18"/>
      <c r="BL1125" s="18"/>
      <c r="BM1125" s="18"/>
      <c r="BN1125" s="18"/>
      <c r="BO1125" s="18"/>
      <c r="BP1125" s="18"/>
      <c r="BQ1125" s="18"/>
      <c r="BR1125" s="18"/>
      <c r="BS1125" s="18"/>
      <c r="BT1125" s="18"/>
      <c r="BU1125" s="18"/>
      <c r="BV1125" s="18"/>
    </row>
    <row r="1126" spans="1:74">
      <c r="A1126" s="18"/>
      <c r="B1126" s="19"/>
      <c r="BG1126" s="18"/>
      <c r="BH1126" s="18"/>
      <c r="BI1126" s="18"/>
      <c r="BJ1126" s="18"/>
      <c r="BK1126" s="18"/>
      <c r="BL1126" s="18"/>
      <c r="BM1126" s="18"/>
      <c r="BN1126" s="18"/>
      <c r="BO1126" s="18"/>
      <c r="BP1126" s="18"/>
      <c r="BQ1126" s="18"/>
      <c r="BR1126" s="18"/>
      <c r="BS1126" s="18"/>
      <c r="BT1126" s="18"/>
      <c r="BU1126" s="18"/>
      <c r="BV1126" s="18"/>
    </row>
    <row r="1127" spans="1:74">
      <c r="A1127" s="18"/>
      <c r="B1127" s="19"/>
      <c r="BG1127" s="18"/>
      <c r="BH1127" s="18"/>
      <c r="BI1127" s="18"/>
      <c r="BJ1127" s="18"/>
      <c r="BK1127" s="18"/>
      <c r="BL1127" s="18"/>
      <c r="BM1127" s="18"/>
      <c r="BN1127" s="18"/>
      <c r="BO1127" s="18"/>
      <c r="BP1127" s="18"/>
      <c r="BQ1127" s="18"/>
      <c r="BR1127" s="18"/>
      <c r="BS1127" s="18"/>
      <c r="BT1127" s="18"/>
      <c r="BU1127" s="18"/>
      <c r="BV1127" s="18"/>
    </row>
    <row r="1128" spans="1:74">
      <c r="A1128" s="18"/>
      <c r="B1128" s="19"/>
      <c r="BG1128" s="18"/>
      <c r="BH1128" s="18"/>
      <c r="BI1128" s="18"/>
      <c r="BJ1128" s="18"/>
      <c r="BK1128" s="18"/>
      <c r="BL1128" s="18"/>
      <c r="BM1128" s="18"/>
      <c r="BN1128" s="18"/>
      <c r="BO1128" s="18"/>
      <c r="BP1128" s="18"/>
      <c r="BQ1128" s="18"/>
      <c r="BR1128" s="18"/>
      <c r="BS1128" s="18"/>
      <c r="BT1128" s="18"/>
      <c r="BU1128" s="18"/>
      <c r="BV1128" s="18"/>
    </row>
    <row r="1129" spans="1:74">
      <c r="A1129" s="18"/>
      <c r="B1129" s="19"/>
      <c r="BG1129" s="18"/>
      <c r="BH1129" s="18"/>
      <c r="BI1129" s="18"/>
      <c r="BJ1129" s="18"/>
      <c r="BK1129" s="18"/>
      <c r="BL1129" s="18"/>
      <c r="BM1129" s="18"/>
      <c r="BN1129" s="18"/>
      <c r="BO1129" s="18"/>
      <c r="BP1129" s="18"/>
      <c r="BQ1129" s="18"/>
      <c r="BR1129" s="18"/>
      <c r="BS1129" s="18"/>
      <c r="BT1129" s="18"/>
      <c r="BU1129" s="18"/>
      <c r="BV1129" s="18"/>
    </row>
    <row r="1130" spans="1:74">
      <c r="A1130" s="18"/>
      <c r="B1130" s="19"/>
      <c r="BG1130" s="18"/>
      <c r="BH1130" s="18"/>
      <c r="BI1130" s="18"/>
      <c r="BJ1130" s="18"/>
      <c r="BK1130" s="18"/>
      <c r="BL1130" s="18"/>
      <c r="BM1130" s="18"/>
      <c r="BN1130" s="18"/>
      <c r="BO1130" s="18"/>
      <c r="BP1130" s="18"/>
      <c r="BQ1130" s="18"/>
      <c r="BR1130" s="18"/>
      <c r="BS1130" s="18"/>
      <c r="BT1130" s="18"/>
      <c r="BU1130" s="18"/>
      <c r="BV1130" s="18"/>
    </row>
    <row r="1131" spans="1:74">
      <c r="A1131" s="18"/>
      <c r="B1131" s="19"/>
      <c r="BG1131" s="18"/>
      <c r="BH1131" s="18"/>
      <c r="BI1131" s="18"/>
      <c r="BJ1131" s="18"/>
      <c r="BK1131" s="18"/>
      <c r="BL1131" s="18"/>
      <c r="BM1131" s="18"/>
      <c r="BN1131" s="18"/>
      <c r="BO1131" s="18"/>
      <c r="BP1131" s="18"/>
      <c r="BQ1131" s="18"/>
      <c r="BR1131" s="18"/>
      <c r="BS1131" s="18"/>
      <c r="BT1131" s="18"/>
      <c r="BU1131" s="18"/>
      <c r="BV1131" s="18"/>
    </row>
    <row r="1132" spans="1:74">
      <c r="A1132" s="18"/>
      <c r="B1132" s="19"/>
      <c r="BG1132" s="18"/>
      <c r="BH1132" s="18"/>
      <c r="BI1132" s="18"/>
      <c r="BJ1132" s="18"/>
      <c r="BK1132" s="18"/>
      <c r="BL1132" s="18"/>
      <c r="BM1132" s="18"/>
      <c r="BN1132" s="18"/>
      <c r="BO1132" s="18"/>
      <c r="BP1132" s="18"/>
      <c r="BQ1132" s="18"/>
      <c r="BR1132" s="18"/>
      <c r="BS1132" s="18"/>
      <c r="BT1132" s="18"/>
      <c r="BU1132" s="18"/>
      <c r="BV1132" s="18"/>
    </row>
    <row r="1133" spans="1:74">
      <c r="A1133" s="18"/>
      <c r="B1133" s="19"/>
      <c r="BG1133" s="18"/>
      <c r="BH1133" s="18"/>
      <c r="BI1133" s="18"/>
      <c r="BJ1133" s="18"/>
      <c r="BK1133" s="18"/>
      <c r="BL1133" s="18"/>
      <c r="BM1133" s="18"/>
      <c r="BN1133" s="18"/>
      <c r="BO1133" s="18"/>
      <c r="BP1133" s="18"/>
      <c r="BQ1133" s="18"/>
      <c r="BR1133" s="18"/>
      <c r="BS1133" s="18"/>
      <c r="BT1133" s="18"/>
      <c r="BU1133" s="18"/>
      <c r="BV1133" s="18"/>
    </row>
    <row r="1134" spans="1:74">
      <c r="A1134" s="18"/>
      <c r="B1134" s="19"/>
      <c r="BG1134" s="18"/>
      <c r="BH1134" s="18"/>
      <c r="BI1134" s="18"/>
      <c r="BJ1134" s="18"/>
      <c r="BK1134" s="18"/>
      <c r="BL1134" s="18"/>
      <c r="BM1134" s="18"/>
      <c r="BN1134" s="18"/>
      <c r="BO1134" s="18"/>
      <c r="BP1134" s="18"/>
      <c r="BQ1134" s="18"/>
      <c r="BR1134" s="18"/>
      <c r="BS1134" s="18"/>
      <c r="BT1134" s="18"/>
      <c r="BU1134" s="18"/>
      <c r="BV1134" s="18"/>
    </row>
    <row r="1135" spans="1:74">
      <c r="A1135" s="18"/>
      <c r="B1135" s="19"/>
      <c r="BG1135" s="18"/>
      <c r="BH1135" s="18"/>
      <c r="BI1135" s="18"/>
      <c r="BJ1135" s="18"/>
      <c r="BK1135" s="18"/>
      <c r="BL1135" s="18"/>
      <c r="BM1135" s="18"/>
      <c r="BN1135" s="18"/>
      <c r="BO1135" s="18"/>
      <c r="BP1135" s="18"/>
      <c r="BQ1135" s="18"/>
      <c r="BR1135" s="18"/>
      <c r="BS1135" s="18"/>
      <c r="BT1135" s="18"/>
      <c r="BU1135" s="18"/>
      <c r="BV1135" s="18"/>
    </row>
    <row r="1136" spans="1:74">
      <c r="A1136" s="18"/>
      <c r="B1136" s="19"/>
      <c r="BG1136" s="18"/>
      <c r="BH1136" s="18"/>
      <c r="BI1136" s="18"/>
      <c r="BJ1136" s="18"/>
      <c r="BK1136" s="18"/>
      <c r="BL1136" s="18"/>
      <c r="BM1136" s="18"/>
      <c r="BN1136" s="18"/>
      <c r="BO1136" s="18"/>
      <c r="BP1136" s="18"/>
      <c r="BQ1136" s="18"/>
      <c r="BR1136" s="18"/>
      <c r="BS1136" s="18"/>
      <c r="BT1136" s="18"/>
      <c r="BU1136" s="18"/>
      <c r="BV1136" s="18"/>
    </row>
    <row r="1137" spans="1:74">
      <c r="A1137" s="18"/>
      <c r="B1137" s="19"/>
      <c r="BG1137" s="18"/>
      <c r="BH1137" s="18"/>
      <c r="BI1137" s="18"/>
      <c r="BJ1137" s="18"/>
      <c r="BK1137" s="18"/>
      <c r="BL1137" s="18"/>
      <c r="BM1137" s="18"/>
      <c r="BN1137" s="18"/>
      <c r="BO1137" s="18"/>
      <c r="BP1137" s="18"/>
      <c r="BQ1137" s="18"/>
      <c r="BR1137" s="18"/>
      <c r="BS1137" s="18"/>
      <c r="BT1137" s="18"/>
      <c r="BU1137" s="18"/>
      <c r="BV1137" s="18"/>
    </row>
    <row r="1138" spans="1:74">
      <c r="A1138" s="18"/>
      <c r="B1138" s="19"/>
      <c r="BG1138" s="18"/>
      <c r="BH1138" s="18"/>
      <c r="BI1138" s="18"/>
      <c r="BJ1138" s="18"/>
      <c r="BK1138" s="18"/>
      <c r="BL1138" s="18"/>
      <c r="BM1138" s="18"/>
      <c r="BN1138" s="18"/>
      <c r="BO1138" s="18"/>
      <c r="BP1138" s="18"/>
      <c r="BQ1138" s="18"/>
      <c r="BR1138" s="18"/>
      <c r="BS1138" s="18"/>
      <c r="BT1138" s="18"/>
      <c r="BU1138" s="18"/>
      <c r="BV1138" s="18"/>
    </row>
    <row r="1139" spans="1:74">
      <c r="A1139" s="18"/>
      <c r="B1139" s="19"/>
      <c r="BG1139" s="18"/>
      <c r="BH1139" s="18"/>
      <c r="BI1139" s="18"/>
      <c r="BJ1139" s="18"/>
      <c r="BK1139" s="18"/>
      <c r="BL1139" s="18"/>
      <c r="BM1139" s="18"/>
      <c r="BN1139" s="18"/>
      <c r="BO1139" s="18"/>
      <c r="BP1139" s="18"/>
      <c r="BQ1139" s="18"/>
      <c r="BR1139" s="18"/>
      <c r="BS1139" s="18"/>
      <c r="BT1139" s="18"/>
      <c r="BU1139" s="18"/>
      <c r="BV1139" s="18"/>
    </row>
    <row r="1140" spans="1:74">
      <c r="A1140" s="18"/>
      <c r="B1140" s="19"/>
      <c r="BG1140" s="18"/>
      <c r="BH1140" s="18"/>
      <c r="BI1140" s="18"/>
      <c r="BJ1140" s="18"/>
      <c r="BK1140" s="18"/>
      <c r="BL1140" s="18"/>
      <c r="BM1140" s="18"/>
      <c r="BN1140" s="18"/>
      <c r="BO1140" s="18"/>
      <c r="BP1140" s="18"/>
      <c r="BQ1140" s="18"/>
      <c r="BR1140" s="18"/>
      <c r="BS1140" s="18"/>
      <c r="BT1140" s="18"/>
      <c r="BU1140" s="18"/>
      <c r="BV1140" s="18"/>
    </row>
    <row r="1141" spans="1:74">
      <c r="A1141" s="18"/>
      <c r="B1141" s="19"/>
      <c r="BG1141" s="18"/>
      <c r="BH1141" s="18"/>
      <c r="BI1141" s="18"/>
      <c r="BJ1141" s="18"/>
      <c r="BK1141" s="18"/>
      <c r="BL1141" s="18"/>
      <c r="BM1141" s="18"/>
      <c r="BN1141" s="18"/>
      <c r="BO1141" s="18"/>
      <c r="BP1141" s="18"/>
      <c r="BQ1141" s="18"/>
      <c r="BR1141" s="18"/>
      <c r="BS1141" s="18"/>
      <c r="BT1141" s="18"/>
      <c r="BU1141" s="18"/>
      <c r="BV1141" s="18"/>
    </row>
    <row r="1142" spans="1:74">
      <c r="A1142" s="18"/>
      <c r="B1142" s="19"/>
      <c r="BG1142" s="18"/>
      <c r="BH1142" s="18"/>
      <c r="BI1142" s="18"/>
      <c r="BJ1142" s="18"/>
      <c r="BK1142" s="18"/>
      <c r="BL1142" s="18"/>
      <c r="BM1142" s="18"/>
      <c r="BN1142" s="18"/>
      <c r="BO1142" s="18"/>
      <c r="BP1142" s="18"/>
      <c r="BQ1142" s="18"/>
      <c r="BR1142" s="18"/>
      <c r="BS1142" s="18"/>
      <c r="BT1142" s="18"/>
      <c r="BU1142" s="18"/>
      <c r="BV1142" s="18"/>
    </row>
    <row r="1143" spans="1:74">
      <c r="A1143" s="18"/>
      <c r="B1143" s="19"/>
      <c r="BG1143" s="18"/>
      <c r="BH1143" s="18"/>
      <c r="BI1143" s="18"/>
      <c r="BJ1143" s="18"/>
      <c r="BK1143" s="18"/>
      <c r="BL1143" s="18"/>
      <c r="BM1143" s="18"/>
      <c r="BN1143" s="18"/>
      <c r="BO1143" s="18"/>
      <c r="BP1143" s="18"/>
      <c r="BQ1143" s="18"/>
      <c r="BR1143" s="18"/>
      <c r="BS1143" s="18"/>
      <c r="BT1143" s="18"/>
      <c r="BU1143" s="18"/>
      <c r="BV1143" s="18"/>
    </row>
    <row r="1144" spans="1:74">
      <c r="A1144" s="18"/>
      <c r="B1144" s="19"/>
      <c r="BG1144" s="18"/>
      <c r="BH1144" s="18"/>
      <c r="BI1144" s="18"/>
      <c r="BJ1144" s="18"/>
      <c r="BK1144" s="18"/>
      <c r="BL1144" s="18"/>
      <c r="BM1144" s="18"/>
      <c r="BN1144" s="18"/>
      <c r="BO1144" s="18"/>
      <c r="BP1144" s="18"/>
      <c r="BQ1144" s="18"/>
      <c r="BR1144" s="18"/>
      <c r="BS1144" s="18"/>
      <c r="BT1144" s="18"/>
      <c r="BU1144" s="18"/>
      <c r="BV1144" s="18"/>
    </row>
    <row r="1145" spans="1:74">
      <c r="A1145" s="18"/>
      <c r="B1145" s="19"/>
      <c r="BG1145" s="18"/>
      <c r="BH1145" s="18"/>
      <c r="BI1145" s="18"/>
      <c r="BJ1145" s="18"/>
      <c r="BK1145" s="18"/>
      <c r="BL1145" s="18"/>
      <c r="BM1145" s="18"/>
      <c r="BN1145" s="18"/>
      <c r="BO1145" s="18"/>
      <c r="BP1145" s="18"/>
      <c r="BQ1145" s="18"/>
      <c r="BR1145" s="18"/>
      <c r="BS1145" s="18"/>
      <c r="BT1145" s="18"/>
      <c r="BU1145" s="18"/>
      <c r="BV1145" s="18"/>
    </row>
    <row r="1146" spans="1:74">
      <c r="A1146" s="18"/>
      <c r="B1146" s="19"/>
      <c r="BG1146" s="18"/>
      <c r="BH1146" s="18"/>
      <c r="BI1146" s="18"/>
      <c r="BJ1146" s="18"/>
      <c r="BK1146" s="18"/>
      <c r="BL1146" s="18"/>
      <c r="BM1146" s="18"/>
      <c r="BN1146" s="18"/>
      <c r="BO1146" s="18"/>
      <c r="BP1146" s="18"/>
      <c r="BQ1146" s="18"/>
      <c r="BR1146" s="18"/>
      <c r="BS1146" s="18"/>
      <c r="BT1146" s="18"/>
      <c r="BU1146" s="18"/>
      <c r="BV1146" s="18"/>
    </row>
    <row r="1147" spans="1:74">
      <c r="A1147" s="18"/>
      <c r="B1147" s="19"/>
      <c r="BG1147" s="18"/>
      <c r="BH1147" s="18"/>
      <c r="BI1147" s="18"/>
      <c r="BJ1147" s="18"/>
      <c r="BK1147" s="18"/>
      <c r="BL1147" s="18"/>
      <c r="BM1147" s="18"/>
      <c r="BN1147" s="18"/>
      <c r="BO1147" s="18"/>
      <c r="BP1147" s="18"/>
      <c r="BQ1147" s="18"/>
      <c r="BR1147" s="18"/>
      <c r="BS1147" s="18"/>
      <c r="BT1147" s="18"/>
      <c r="BU1147" s="18"/>
      <c r="BV1147" s="18"/>
    </row>
    <row r="1148" spans="1:74">
      <c r="A1148" s="18"/>
      <c r="B1148" s="19"/>
      <c r="BG1148" s="18"/>
      <c r="BH1148" s="18"/>
      <c r="BI1148" s="18"/>
      <c r="BJ1148" s="18"/>
      <c r="BK1148" s="18"/>
      <c r="BL1148" s="18"/>
      <c r="BM1148" s="18"/>
      <c r="BN1148" s="18"/>
      <c r="BO1148" s="18"/>
      <c r="BP1148" s="18"/>
      <c r="BQ1148" s="18"/>
      <c r="BR1148" s="18"/>
      <c r="BS1148" s="18"/>
      <c r="BT1148" s="18"/>
      <c r="BU1148" s="18"/>
      <c r="BV1148" s="18"/>
    </row>
    <row r="1149" spans="1:74">
      <c r="A1149" s="18"/>
      <c r="B1149" s="19"/>
      <c r="BG1149" s="18"/>
      <c r="BH1149" s="18"/>
      <c r="BI1149" s="18"/>
      <c r="BJ1149" s="18"/>
      <c r="BK1149" s="18"/>
      <c r="BL1149" s="18"/>
      <c r="BM1149" s="18"/>
      <c r="BN1149" s="18"/>
      <c r="BO1149" s="18"/>
      <c r="BP1149" s="18"/>
      <c r="BQ1149" s="18"/>
      <c r="BR1149" s="18"/>
      <c r="BS1149" s="18"/>
      <c r="BT1149" s="18"/>
      <c r="BU1149" s="18"/>
      <c r="BV1149" s="18"/>
    </row>
    <row r="1150" spans="1:74">
      <c r="A1150" s="18"/>
      <c r="B1150" s="19"/>
      <c r="BG1150" s="18"/>
      <c r="BH1150" s="18"/>
      <c r="BI1150" s="18"/>
      <c r="BJ1150" s="18"/>
      <c r="BK1150" s="18"/>
      <c r="BL1150" s="18"/>
      <c r="BM1150" s="18"/>
      <c r="BN1150" s="18"/>
      <c r="BO1150" s="18"/>
      <c r="BP1150" s="18"/>
      <c r="BQ1150" s="18"/>
      <c r="BR1150" s="18"/>
      <c r="BS1150" s="18"/>
      <c r="BT1150" s="18"/>
      <c r="BU1150" s="18"/>
      <c r="BV1150" s="18"/>
    </row>
    <row r="1151" spans="1:74">
      <c r="A1151" s="18"/>
      <c r="B1151" s="19"/>
      <c r="BG1151" s="18"/>
      <c r="BH1151" s="18"/>
      <c r="BI1151" s="18"/>
      <c r="BJ1151" s="18"/>
      <c r="BK1151" s="18"/>
      <c r="BL1151" s="18"/>
      <c r="BM1151" s="18"/>
      <c r="BN1151" s="18"/>
      <c r="BO1151" s="18"/>
      <c r="BP1151" s="18"/>
      <c r="BQ1151" s="18"/>
      <c r="BR1151" s="18"/>
      <c r="BS1151" s="18"/>
      <c r="BT1151" s="18"/>
      <c r="BU1151" s="18"/>
      <c r="BV1151" s="18"/>
    </row>
    <row r="1152" spans="1:74">
      <c r="A1152" s="18"/>
      <c r="B1152" s="19"/>
      <c r="BG1152" s="18"/>
      <c r="BH1152" s="18"/>
      <c r="BI1152" s="18"/>
      <c r="BJ1152" s="18"/>
      <c r="BK1152" s="18"/>
      <c r="BL1152" s="18"/>
      <c r="BM1152" s="18"/>
      <c r="BN1152" s="18"/>
      <c r="BO1152" s="18"/>
      <c r="BP1152" s="18"/>
      <c r="BQ1152" s="18"/>
      <c r="BR1152" s="18"/>
      <c r="BS1152" s="18"/>
      <c r="BT1152" s="18"/>
      <c r="BU1152" s="18"/>
      <c r="BV1152" s="18"/>
    </row>
    <row r="1153" spans="1:74">
      <c r="A1153" s="18"/>
      <c r="B1153" s="19"/>
      <c r="BG1153" s="18"/>
      <c r="BH1153" s="18"/>
      <c r="BI1153" s="18"/>
      <c r="BJ1153" s="18"/>
      <c r="BK1153" s="18"/>
      <c r="BL1153" s="18"/>
      <c r="BM1153" s="18"/>
      <c r="BN1153" s="18"/>
      <c r="BO1153" s="18"/>
      <c r="BP1153" s="18"/>
      <c r="BQ1153" s="18"/>
      <c r="BR1153" s="18"/>
      <c r="BS1153" s="18"/>
      <c r="BT1153" s="18"/>
      <c r="BU1153" s="18"/>
      <c r="BV1153" s="18"/>
    </row>
    <row r="1154" spans="1:74">
      <c r="A1154" s="18"/>
      <c r="B1154" s="19"/>
      <c r="BG1154" s="18"/>
      <c r="BH1154" s="18"/>
      <c r="BI1154" s="18"/>
      <c r="BJ1154" s="18"/>
      <c r="BK1154" s="18"/>
      <c r="BL1154" s="18"/>
      <c r="BM1154" s="18"/>
      <c r="BN1154" s="18"/>
      <c r="BO1154" s="18"/>
      <c r="BP1154" s="18"/>
      <c r="BQ1154" s="18"/>
      <c r="BR1154" s="18"/>
      <c r="BS1154" s="18"/>
      <c r="BT1154" s="18"/>
      <c r="BU1154" s="18"/>
      <c r="BV1154" s="18"/>
    </row>
    <row r="1155" spans="1:74">
      <c r="A1155" s="18"/>
      <c r="B1155" s="19"/>
      <c r="BG1155" s="18"/>
      <c r="BH1155" s="18"/>
      <c r="BI1155" s="18"/>
      <c r="BJ1155" s="18"/>
      <c r="BK1155" s="18"/>
      <c r="BL1155" s="18"/>
      <c r="BM1155" s="18"/>
      <c r="BN1155" s="18"/>
      <c r="BO1155" s="18"/>
      <c r="BP1155" s="18"/>
      <c r="BQ1155" s="18"/>
      <c r="BR1155" s="18"/>
      <c r="BS1155" s="18"/>
      <c r="BT1155" s="18"/>
      <c r="BU1155" s="18"/>
      <c r="BV1155" s="18"/>
    </row>
    <row r="1156" spans="1:74">
      <c r="A1156" s="18"/>
      <c r="B1156" s="19"/>
      <c r="BG1156" s="18"/>
      <c r="BH1156" s="18"/>
      <c r="BI1156" s="18"/>
      <c r="BJ1156" s="18"/>
      <c r="BK1156" s="18"/>
      <c r="BL1156" s="18"/>
      <c r="BM1156" s="18"/>
      <c r="BN1156" s="18"/>
      <c r="BO1156" s="18"/>
      <c r="BP1156" s="18"/>
      <c r="BQ1156" s="18"/>
      <c r="BR1156" s="18"/>
      <c r="BS1156" s="18"/>
      <c r="BT1156" s="18"/>
      <c r="BU1156" s="18"/>
      <c r="BV1156" s="18"/>
    </row>
    <row r="1157" spans="1:74">
      <c r="A1157" s="18"/>
      <c r="B1157" s="19"/>
      <c r="BG1157" s="18"/>
      <c r="BH1157" s="18"/>
      <c r="BI1157" s="18"/>
      <c r="BJ1157" s="18"/>
      <c r="BK1157" s="18"/>
      <c r="BL1157" s="18"/>
      <c r="BM1157" s="18"/>
      <c r="BN1157" s="18"/>
      <c r="BO1157" s="18"/>
      <c r="BP1157" s="18"/>
      <c r="BQ1157" s="18"/>
      <c r="BR1157" s="18"/>
      <c r="BS1157" s="18"/>
      <c r="BT1157" s="18"/>
      <c r="BU1157" s="18"/>
      <c r="BV1157" s="18"/>
    </row>
    <row r="1158" spans="1:74">
      <c r="A1158" s="18"/>
      <c r="B1158" s="19"/>
      <c r="BG1158" s="18"/>
      <c r="BH1158" s="18"/>
      <c r="BI1158" s="18"/>
      <c r="BJ1158" s="18"/>
      <c r="BK1158" s="18"/>
      <c r="BL1158" s="18"/>
      <c r="BM1158" s="18"/>
      <c r="BN1158" s="18"/>
      <c r="BO1158" s="18"/>
      <c r="BP1158" s="18"/>
      <c r="BQ1158" s="18"/>
      <c r="BR1158" s="18"/>
      <c r="BS1158" s="18"/>
      <c r="BT1158" s="18"/>
      <c r="BU1158" s="18"/>
      <c r="BV1158" s="18"/>
    </row>
    <row r="1159" spans="1:74">
      <c r="A1159" s="18"/>
      <c r="B1159" s="19"/>
      <c r="BG1159" s="18"/>
      <c r="BH1159" s="18"/>
      <c r="BI1159" s="18"/>
      <c r="BJ1159" s="18"/>
      <c r="BK1159" s="18"/>
      <c r="BL1159" s="18"/>
      <c r="BM1159" s="18"/>
      <c r="BN1159" s="18"/>
      <c r="BO1159" s="18"/>
      <c r="BP1159" s="18"/>
      <c r="BQ1159" s="18"/>
      <c r="BR1159" s="18"/>
      <c r="BS1159" s="18"/>
      <c r="BT1159" s="18"/>
      <c r="BU1159" s="18"/>
      <c r="BV1159" s="18"/>
    </row>
    <row r="1160" spans="1:74">
      <c r="A1160" s="18"/>
      <c r="B1160" s="19"/>
      <c r="BG1160" s="18"/>
      <c r="BH1160" s="18"/>
      <c r="BI1160" s="18"/>
      <c r="BJ1160" s="18"/>
      <c r="BK1160" s="18"/>
      <c r="BL1160" s="18"/>
      <c r="BM1160" s="18"/>
      <c r="BN1160" s="18"/>
      <c r="BO1160" s="18"/>
      <c r="BP1160" s="18"/>
      <c r="BQ1160" s="18"/>
      <c r="BR1160" s="18"/>
      <c r="BS1160" s="18"/>
      <c r="BT1160" s="18"/>
      <c r="BU1160" s="18"/>
      <c r="BV1160" s="18"/>
    </row>
    <row r="1161" spans="1:74">
      <c r="A1161" s="18"/>
      <c r="B1161" s="19"/>
      <c r="BG1161" s="18"/>
      <c r="BH1161" s="18"/>
      <c r="BI1161" s="18"/>
      <c r="BJ1161" s="18"/>
      <c r="BK1161" s="18"/>
      <c r="BL1161" s="18"/>
      <c r="BM1161" s="18"/>
      <c r="BN1161" s="18"/>
      <c r="BO1161" s="18"/>
      <c r="BP1161" s="18"/>
      <c r="BQ1161" s="18"/>
      <c r="BR1161" s="18"/>
      <c r="BS1161" s="18"/>
      <c r="BT1161" s="18"/>
      <c r="BU1161" s="18"/>
      <c r="BV1161" s="18"/>
    </row>
    <row r="1162" spans="1:74">
      <c r="A1162" s="18"/>
      <c r="B1162" s="19"/>
      <c r="BG1162" s="18"/>
      <c r="BH1162" s="18"/>
      <c r="BI1162" s="18"/>
      <c r="BJ1162" s="18"/>
      <c r="BK1162" s="18"/>
      <c r="BL1162" s="18"/>
      <c r="BM1162" s="18"/>
      <c r="BN1162" s="18"/>
      <c r="BO1162" s="18"/>
      <c r="BP1162" s="18"/>
      <c r="BQ1162" s="18"/>
      <c r="BR1162" s="18"/>
      <c r="BS1162" s="18"/>
      <c r="BT1162" s="18"/>
      <c r="BU1162" s="18"/>
      <c r="BV1162" s="18"/>
    </row>
    <row r="1163" spans="1:74">
      <c r="A1163" s="18"/>
      <c r="B1163" s="19"/>
      <c r="BG1163" s="18"/>
      <c r="BH1163" s="18"/>
      <c r="BI1163" s="18"/>
      <c r="BJ1163" s="18"/>
      <c r="BK1163" s="18"/>
      <c r="BL1163" s="18"/>
      <c r="BM1163" s="18"/>
      <c r="BN1163" s="18"/>
      <c r="BO1163" s="18"/>
      <c r="BP1163" s="18"/>
      <c r="BQ1163" s="18"/>
      <c r="BR1163" s="18"/>
      <c r="BS1163" s="18"/>
      <c r="BT1163" s="18"/>
      <c r="BU1163" s="18"/>
      <c r="BV1163" s="18"/>
    </row>
    <row r="1164" spans="1:74">
      <c r="A1164" s="18"/>
      <c r="B1164" s="19"/>
      <c r="BG1164" s="18"/>
      <c r="BH1164" s="18"/>
      <c r="BI1164" s="18"/>
      <c r="BJ1164" s="18"/>
      <c r="BK1164" s="18"/>
      <c r="BL1164" s="18"/>
      <c r="BM1164" s="18"/>
      <c r="BN1164" s="18"/>
      <c r="BO1164" s="18"/>
      <c r="BP1164" s="18"/>
      <c r="BQ1164" s="18"/>
      <c r="BR1164" s="18"/>
      <c r="BS1164" s="18"/>
      <c r="BT1164" s="18"/>
      <c r="BU1164" s="18"/>
      <c r="BV1164" s="18"/>
    </row>
    <row r="1165" spans="1:74">
      <c r="A1165" s="18"/>
      <c r="B1165" s="19"/>
      <c r="BG1165" s="18"/>
      <c r="BH1165" s="18"/>
      <c r="BI1165" s="18"/>
      <c r="BJ1165" s="18"/>
      <c r="BK1165" s="18"/>
      <c r="BL1165" s="18"/>
      <c r="BM1165" s="18"/>
      <c r="BN1165" s="18"/>
      <c r="BO1165" s="18"/>
      <c r="BP1165" s="18"/>
      <c r="BQ1165" s="18"/>
      <c r="BR1165" s="18"/>
      <c r="BS1165" s="18"/>
      <c r="BT1165" s="18"/>
      <c r="BU1165" s="18"/>
      <c r="BV1165" s="18"/>
    </row>
    <row r="1166" spans="1:74">
      <c r="A1166" s="18"/>
      <c r="B1166" s="19"/>
      <c r="BG1166" s="18"/>
      <c r="BH1166" s="18"/>
      <c r="BI1166" s="18"/>
      <c r="BJ1166" s="18"/>
      <c r="BK1166" s="18"/>
      <c r="BL1166" s="18"/>
      <c r="BM1166" s="18"/>
      <c r="BN1166" s="18"/>
      <c r="BO1166" s="18"/>
      <c r="BP1166" s="18"/>
      <c r="BQ1166" s="18"/>
      <c r="BR1166" s="18"/>
      <c r="BS1166" s="18"/>
      <c r="BT1166" s="18"/>
      <c r="BU1166" s="18"/>
      <c r="BV1166" s="18"/>
    </row>
    <row r="1167" spans="1:74">
      <c r="A1167" s="18"/>
      <c r="B1167" s="19"/>
      <c r="BG1167" s="18"/>
      <c r="BH1167" s="18"/>
      <c r="BI1167" s="18"/>
      <c r="BJ1167" s="18"/>
      <c r="BK1167" s="18"/>
      <c r="BL1167" s="18"/>
      <c r="BM1167" s="18"/>
      <c r="BN1167" s="18"/>
      <c r="BO1167" s="18"/>
      <c r="BP1167" s="18"/>
      <c r="BQ1167" s="18"/>
      <c r="BR1167" s="18"/>
      <c r="BS1167" s="18"/>
      <c r="BT1167" s="18"/>
      <c r="BU1167" s="18"/>
      <c r="BV1167" s="18"/>
    </row>
    <row r="1168" spans="1:74">
      <c r="A1168" s="18"/>
      <c r="B1168" s="19"/>
      <c r="BG1168" s="18"/>
      <c r="BH1168" s="18"/>
      <c r="BI1168" s="18"/>
      <c r="BJ1168" s="18"/>
      <c r="BK1168" s="18"/>
      <c r="BL1168" s="18"/>
      <c r="BM1168" s="18"/>
      <c r="BN1168" s="18"/>
      <c r="BO1168" s="18"/>
      <c r="BP1168" s="18"/>
      <c r="BQ1168" s="18"/>
      <c r="BR1168" s="18"/>
      <c r="BS1168" s="18"/>
      <c r="BT1168" s="18"/>
      <c r="BU1168" s="18"/>
      <c r="BV1168" s="18"/>
    </row>
    <row r="1169" spans="1:74">
      <c r="A1169" s="18"/>
      <c r="B1169" s="19"/>
      <c r="BG1169" s="18"/>
      <c r="BH1169" s="18"/>
      <c r="BI1169" s="18"/>
      <c r="BJ1169" s="18"/>
      <c r="BK1169" s="18"/>
      <c r="BL1169" s="18"/>
      <c r="BM1169" s="18"/>
      <c r="BN1169" s="18"/>
      <c r="BO1169" s="18"/>
      <c r="BP1169" s="18"/>
      <c r="BQ1169" s="18"/>
      <c r="BR1169" s="18"/>
      <c r="BS1169" s="18"/>
      <c r="BT1169" s="18"/>
      <c r="BU1169" s="18"/>
      <c r="BV1169" s="18"/>
    </row>
    <row r="1170" spans="1:74">
      <c r="A1170" s="18"/>
      <c r="B1170" s="19"/>
      <c r="BG1170" s="18"/>
      <c r="BH1170" s="18"/>
      <c r="BI1170" s="18"/>
      <c r="BJ1170" s="18"/>
      <c r="BK1170" s="18"/>
      <c r="BL1170" s="18"/>
      <c r="BM1170" s="18"/>
      <c r="BN1170" s="18"/>
      <c r="BO1170" s="18"/>
      <c r="BP1170" s="18"/>
      <c r="BQ1170" s="18"/>
      <c r="BR1170" s="18"/>
      <c r="BS1170" s="18"/>
      <c r="BT1170" s="18"/>
      <c r="BU1170" s="18"/>
      <c r="BV1170" s="18"/>
    </row>
    <row r="1171" spans="1:74">
      <c r="A1171" s="18"/>
      <c r="B1171" s="19"/>
      <c r="BG1171" s="18"/>
      <c r="BH1171" s="18"/>
      <c r="BI1171" s="18"/>
      <c r="BJ1171" s="18"/>
      <c r="BK1171" s="18"/>
      <c r="BL1171" s="18"/>
      <c r="BM1171" s="18"/>
      <c r="BN1171" s="18"/>
      <c r="BO1171" s="18"/>
      <c r="BP1171" s="18"/>
      <c r="BQ1171" s="18"/>
      <c r="BR1171" s="18"/>
      <c r="BS1171" s="18"/>
      <c r="BT1171" s="18"/>
      <c r="BU1171" s="18"/>
      <c r="BV1171" s="18"/>
    </row>
    <row r="1172" spans="1:74">
      <c r="A1172" s="18"/>
      <c r="B1172" s="19"/>
      <c r="BG1172" s="18"/>
      <c r="BH1172" s="18"/>
      <c r="BI1172" s="18"/>
      <c r="BJ1172" s="18"/>
      <c r="BK1172" s="18"/>
      <c r="BL1172" s="18"/>
      <c r="BM1172" s="18"/>
      <c r="BN1172" s="18"/>
      <c r="BO1172" s="18"/>
      <c r="BP1172" s="18"/>
      <c r="BQ1172" s="18"/>
      <c r="BR1172" s="18"/>
      <c r="BS1172" s="18"/>
      <c r="BT1172" s="18"/>
      <c r="BU1172" s="18"/>
      <c r="BV1172" s="18"/>
    </row>
    <row r="1173" spans="1:74">
      <c r="A1173" s="18"/>
      <c r="B1173" s="19"/>
      <c r="BG1173" s="18"/>
      <c r="BH1173" s="18"/>
      <c r="BI1173" s="18"/>
      <c r="BJ1173" s="18"/>
      <c r="BK1173" s="18"/>
      <c r="BL1173" s="18"/>
      <c r="BM1173" s="18"/>
      <c r="BN1173" s="18"/>
      <c r="BO1173" s="18"/>
      <c r="BP1173" s="18"/>
      <c r="BQ1173" s="18"/>
      <c r="BR1173" s="18"/>
      <c r="BS1173" s="18"/>
      <c r="BT1173" s="18"/>
      <c r="BU1173" s="18"/>
      <c r="BV1173" s="18"/>
    </row>
    <row r="1174" spans="1:74">
      <c r="A1174" s="18"/>
      <c r="B1174" s="19"/>
      <c r="BG1174" s="18"/>
      <c r="BH1174" s="18"/>
      <c r="BI1174" s="18"/>
      <c r="BJ1174" s="18"/>
      <c r="BK1174" s="18"/>
      <c r="BL1174" s="18"/>
      <c r="BM1174" s="18"/>
      <c r="BN1174" s="18"/>
      <c r="BO1174" s="18"/>
      <c r="BP1174" s="18"/>
      <c r="BQ1174" s="18"/>
      <c r="BR1174" s="18"/>
      <c r="BS1174" s="18"/>
      <c r="BT1174" s="18"/>
      <c r="BU1174" s="18"/>
      <c r="BV1174" s="18"/>
    </row>
    <row r="1175" spans="1:74">
      <c r="A1175" s="18"/>
      <c r="B1175" s="19"/>
      <c r="BG1175" s="18"/>
      <c r="BH1175" s="18"/>
      <c r="BI1175" s="18"/>
      <c r="BJ1175" s="18"/>
      <c r="BK1175" s="18"/>
      <c r="BL1175" s="18"/>
      <c r="BM1175" s="18"/>
      <c r="BN1175" s="18"/>
      <c r="BO1175" s="18"/>
      <c r="BP1175" s="18"/>
      <c r="BQ1175" s="18"/>
      <c r="BR1175" s="18"/>
      <c r="BS1175" s="18"/>
      <c r="BT1175" s="18"/>
      <c r="BU1175" s="18"/>
      <c r="BV1175" s="18"/>
    </row>
    <row r="1176" spans="1:74">
      <c r="A1176" s="18"/>
      <c r="B1176" s="19"/>
      <c r="BG1176" s="18"/>
      <c r="BH1176" s="18"/>
      <c r="BI1176" s="18"/>
      <c r="BJ1176" s="18"/>
      <c r="BK1176" s="18"/>
      <c r="BL1176" s="18"/>
      <c r="BM1176" s="18"/>
      <c r="BN1176" s="18"/>
      <c r="BO1176" s="18"/>
      <c r="BP1176" s="18"/>
      <c r="BQ1176" s="18"/>
      <c r="BR1176" s="18"/>
      <c r="BS1176" s="18"/>
      <c r="BT1176" s="18"/>
      <c r="BU1176" s="18"/>
      <c r="BV1176" s="18"/>
    </row>
    <row r="1177" spans="1:74">
      <c r="A1177" s="18"/>
      <c r="B1177" s="19"/>
      <c r="BG1177" s="18"/>
      <c r="BH1177" s="18"/>
      <c r="BI1177" s="18"/>
      <c r="BJ1177" s="18"/>
      <c r="BK1177" s="18"/>
      <c r="BL1177" s="18"/>
      <c r="BM1177" s="18"/>
      <c r="BN1177" s="18"/>
      <c r="BO1177" s="18"/>
      <c r="BP1177" s="18"/>
      <c r="BQ1177" s="18"/>
      <c r="BR1177" s="18"/>
      <c r="BS1177" s="18"/>
      <c r="BT1177" s="18"/>
      <c r="BU1177" s="18"/>
      <c r="BV1177" s="18"/>
    </row>
    <row r="1178" spans="1:74">
      <c r="A1178" s="18"/>
      <c r="B1178" s="19"/>
      <c r="BG1178" s="18"/>
      <c r="BH1178" s="18"/>
      <c r="BI1178" s="18"/>
      <c r="BJ1178" s="18"/>
      <c r="BK1178" s="18"/>
      <c r="BL1178" s="18"/>
      <c r="BM1178" s="18"/>
      <c r="BN1178" s="18"/>
      <c r="BO1178" s="18"/>
      <c r="BP1178" s="18"/>
      <c r="BQ1178" s="18"/>
      <c r="BR1178" s="18"/>
      <c r="BS1178" s="18"/>
      <c r="BT1178" s="18"/>
      <c r="BU1178" s="18"/>
      <c r="BV1178" s="18"/>
    </row>
    <row r="1179" spans="1:74">
      <c r="A1179" s="18"/>
      <c r="B1179" s="19"/>
      <c r="BG1179" s="18"/>
      <c r="BH1179" s="18"/>
      <c r="BI1179" s="18"/>
      <c r="BJ1179" s="18"/>
      <c r="BK1179" s="18"/>
      <c r="BL1179" s="18"/>
      <c r="BM1179" s="18"/>
      <c r="BN1179" s="18"/>
      <c r="BO1179" s="18"/>
      <c r="BP1179" s="18"/>
      <c r="BQ1179" s="18"/>
      <c r="BR1179" s="18"/>
      <c r="BS1179" s="18"/>
      <c r="BT1179" s="18"/>
      <c r="BU1179" s="18"/>
      <c r="BV1179" s="18"/>
    </row>
    <row r="1180" spans="1:74">
      <c r="A1180" s="18"/>
      <c r="B1180" s="19"/>
      <c r="BG1180" s="18"/>
      <c r="BH1180" s="18"/>
      <c r="BI1180" s="18"/>
      <c r="BJ1180" s="18"/>
      <c r="BK1180" s="18"/>
      <c r="BL1180" s="18"/>
      <c r="BM1180" s="18"/>
      <c r="BN1180" s="18"/>
      <c r="BO1180" s="18"/>
      <c r="BP1180" s="18"/>
      <c r="BQ1180" s="18"/>
      <c r="BR1180" s="18"/>
      <c r="BS1180" s="18"/>
      <c r="BT1180" s="18"/>
      <c r="BU1180" s="18"/>
      <c r="BV1180" s="18"/>
    </row>
    <row r="1181" spans="1:74">
      <c r="A1181" s="18"/>
      <c r="B1181" s="19"/>
      <c r="BG1181" s="18"/>
      <c r="BH1181" s="18"/>
      <c r="BI1181" s="18"/>
      <c r="BJ1181" s="18"/>
      <c r="BK1181" s="18"/>
      <c r="BL1181" s="18"/>
      <c r="BM1181" s="18"/>
      <c r="BN1181" s="18"/>
      <c r="BO1181" s="18"/>
      <c r="BP1181" s="18"/>
      <c r="BQ1181" s="18"/>
      <c r="BR1181" s="18"/>
      <c r="BS1181" s="18"/>
      <c r="BT1181" s="18"/>
      <c r="BU1181" s="18"/>
      <c r="BV1181" s="18"/>
    </row>
    <row r="1182" spans="1:74">
      <c r="A1182" s="18"/>
      <c r="B1182" s="19"/>
      <c r="BG1182" s="18"/>
      <c r="BH1182" s="18"/>
      <c r="BI1182" s="18"/>
      <c r="BJ1182" s="18"/>
      <c r="BK1182" s="18"/>
      <c r="BL1182" s="18"/>
      <c r="BM1182" s="18"/>
      <c r="BN1182" s="18"/>
      <c r="BO1182" s="18"/>
      <c r="BP1182" s="18"/>
      <c r="BQ1182" s="18"/>
      <c r="BR1182" s="18"/>
      <c r="BS1182" s="18"/>
      <c r="BT1182" s="18"/>
      <c r="BU1182" s="18"/>
      <c r="BV1182" s="18"/>
    </row>
    <row r="1183" spans="1:74">
      <c r="A1183" s="18"/>
      <c r="B1183" s="19"/>
      <c r="BG1183" s="18"/>
      <c r="BH1183" s="18"/>
      <c r="BI1183" s="18"/>
      <c r="BJ1183" s="18"/>
      <c r="BK1183" s="18"/>
      <c r="BL1183" s="18"/>
      <c r="BM1183" s="18"/>
      <c r="BN1183" s="18"/>
      <c r="BO1183" s="18"/>
      <c r="BP1183" s="18"/>
      <c r="BQ1183" s="18"/>
      <c r="BR1183" s="18"/>
      <c r="BS1183" s="18"/>
      <c r="BT1183" s="18"/>
      <c r="BU1183" s="18"/>
      <c r="BV1183" s="18"/>
    </row>
    <row r="1184" spans="1:74">
      <c r="A1184" s="18"/>
      <c r="B1184" s="19"/>
      <c r="BG1184" s="18"/>
      <c r="BH1184" s="18"/>
      <c r="BI1184" s="18"/>
      <c r="BJ1184" s="18"/>
      <c r="BK1184" s="18"/>
      <c r="BL1184" s="18"/>
      <c r="BM1184" s="18"/>
      <c r="BN1184" s="18"/>
      <c r="BO1184" s="18"/>
      <c r="BP1184" s="18"/>
      <c r="BQ1184" s="18"/>
      <c r="BR1184" s="18"/>
      <c r="BS1184" s="18"/>
      <c r="BT1184" s="18"/>
      <c r="BU1184" s="18"/>
      <c r="BV1184" s="18"/>
    </row>
    <row r="1185" spans="1:74">
      <c r="A1185" s="18"/>
      <c r="B1185" s="19"/>
      <c r="BG1185" s="18"/>
      <c r="BH1185" s="18"/>
      <c r="BI1185" s="18"/>
      <c r="BJ1185" s="18"/>
      <c r="BK1185" s="18"/>
      <c r="BL1185" s="18"/>
      <c r="BM1185" s="18"/>
      <c r="BN1185" s="18"/>
      <c r="BO1185" s="18"/>
      <c r="BP1185" s="18"/>
      <c r="BQ1185" s="18"/>
      <c r="BR1185" s="18"/>
      <c r="BS1185" s="18"/>
      <c r="BT1185" s="18"/>
      <c r="BU1185" s="18"/>
      <c r="BV1185" s="18"/>
    </row>
    <row r="1186" spans="1:74">
      <c r="A1186" s="18"/>
      <c r="B1186" s="19"/>
      <c r="BG1186" s="18"/>
      <c r="BH1186" s="18"/>
      <c r="BI1186" s="18"/>
      <c r="BJ1186" s="18"/>
      <c r="BK1186" s="18"/>
      <c r="BL1186" s="18"/>
      <c r="BM1186" s="18"/>
      <c r="BN1186" s="18"/>
      <c r="BO1186" s="18"/>
      <c r="BP1186" s="18"/>
      <c r="BQ1186" s="18"/>
      <c r="BR1186" s="18"/>
      <c r="BS1186" s="18"/>
      <c r="BT1186" s="18"/>
      <c r="BU1186" s="18"/>
      <c r="BV1186" s="18"/>
    </row>
    <row r="1187" spans="1:74">
      <c r="A1187" s="18"/>
      <c r="B1187" s="19"/>
      <c r="BG1187" s="18"/>
      <c r="BH1187" s="18"/>
      <c r="BI1187" s="18"/>
      <c r="BJ1187" s="18"/>
      <c r="BK1187" s="18"/>
      <c r="BL1187" s="18"/>
      <c r="BM1187" s="18"/>
      <c r="BN1187" s="18"/>
      <c r="BO1187" s="18"/>
      <c r="BP1187" s="18"/>
      <c r="BQ1187" s="18"/>
      <c r="BR1187" s="18"/>
      <c r="BS1187" s="18"/>
      <c r="BT1187" s="18"/>
      <c r="BU1187" s="18"/>
      <c r="BV1187" s="18"/>
    </row>
    <row r="1188" spans="1:74">
      <c r="A1188" s="18"/>
      <c r="B1188" s="19"/>
      <c r="BG1188" s="18"/>
      <c r="BH1188" s="18"/>
      <c r="BI1188" s="18"/>
      <c r="BJ1188" s="18"/>
      <c r="BK1188" s="18"/>
      <c r="BL1188" s="18"/>
      <c r="BM1188" s="18"/>
      <c r="BN1188" s="18"/>
      <c r="BO1188" s="18"/>
      <c r="BP1188" s="18"/>
      <c r="BQ1188" s="18"/>
      <c r="BR1188" s="18"/>
      <c r="BS1188" s="18"/>
      <c r="BT1188" s="18"/>
      <c r="BU1188" s="18"/>
      <c r="BV1188" s="18"/>
    </row>
    <row r="1189" spans="1:74">
      <c r="A1189" s="18"/>
      <c r="B1189" s="19"/>
      <c r="BG1189" s="18"/>
      <c r="BH1189" s="18"/>
      <c r="BI1189" s="18"/>
      <c r="BJ1189" s="18"/>
      <c r="BK1189" s="18"/>
      <c r="BL1189" s="18"/>
      <c r="BM1189" s="18"/>
      <c r="BN1189" s="18"/>
      <c r="BO1189" s="18"/>
      <c r="BP1189" s="18"/>
      <c r="BQ1189" s="18"/>
      <c r="BR1189" s="18"/>
      <c r="BS1189" s="18"/>
      <c r="BT1189" s="18"/>
      <c r="BU1189" s="18"/>
      <c r="BV1189" s="18"/>
    </row>
    <row r="1190" spans="1:74">
      <c r="A1190" s="18"/>
      <c r="B1190" s="19"/>
      <c r="BG1190" s="18"/>
      <c r="BH1190" s="18"/>
      <c r="BI1190" s="18"/>
      <c r="BJ1190" s="18"/>
      <c r="BK1190" s="18"/>
      <c r="BL1190" s="18"/>
      <c r="BM1190" s="18"/>
      <c r="BN1190" s="18"/>
      <c r="BO1190" s="18"/>
      <c r="BP1190" s="18"/>
      <c r="BQ1190" s="18"/>
      <c r="BR1190" s="18"/>
      <c r="BS1190" s="18"/>
      <c r="BT1190" s="18"/>
      <c r="BU1190" s="18"/>
      <c r="BV1190" s="18"/>
    </row>
    <row r="1191" spans="1:74">
      <c r="A1191" s="18"/>
      <c r="B1191" s="19"/>
      <c r="BG1191" s="18"/>
      <c r="BH1191" s="18"/>
      <c r="BI1191" s="18"/>
      <c r="BJ1191" s="18"/>
      <c r="BK1191" s="18"/>
      <c r="BL1191" s="18"/>
      <c r="BM1191" s="18"/>
      <c r="BN1191" s="18"/>
      <c r="BO1191" s="18"/>
      <c r="BP1191" s="18"/>
      <c r="BQ1191" s="18"/>
      <c r="BR1191" s="18"/>
      <c r="BS1191" s="18"/>
      <c r="BT1191" s="18"/>
      <c r="BU1191" s="18"/>
      <c r="BV1191" s="18"/>
    </row>
    <row r="1192" spans="1:74">
      <c r="A1192" s="18"/>
      <c r="B1192" s="19"/>
      <c r="BG1192" s="18"/>
      <c r="BH1192" s="18"/>
      <c r="BI1192" s="18"/>
      <c r="BJ1192" s="18"/>
      <c r="BK1192" s="18"/>
      <c r="BL1192" s="18"/>
      <c r="BM1192" s="18"/>
      <c r="BN1192" s="18"/>
      <c r="BO1192" s="18"/>
      <c r="BP1192" s="18"/>
      <c r="BQ1192" s="18"/>
      <c r="BR1192" s="18"/>
      <c r="BS1192" s="18"/>
      <c r="BT1192" s="18"/>
      <c r="BU1192" s="18"/>
      <c r="BV1192" s="18"/>
    </row>
    <row r="1193" spans="1:74">
      <c r="A1193" s="18"/>
      <c r="B1193" s="19"/>
      <c r="BG1193" s="18"/>
      <c r="BH1193" s="18"/>
      <c r="BI1193" s="18"/>
      <c r="BJ1193" s="18"/>
      <c r="BK1193" s="18"/>
      <c r="BL1193" s="18"/>
      <c r="BM1193" s="18"/>
      <c r="BN1193" s="18"/>
      <c r="BO1193" s="18"/>
      <c r="BP1193" s="18"/>
      <c r="BQ1193" s="18"/>
      <c r="BR1193" s="18"/>
      <c r="BS1193" s="18"/>
      <c r="BT1193" s="18"/>
      <c r="BU1193" s="18"/>
      <c r="BV1193" s="18"/>
    </row>
    <row r="1194" spans="1:74">
      <c r="A1194" s="18"/>
      <c r="B1194" s="19"/>
      <c r="BG1194" s="18"/>
      <c r="BH1194" s="18"/>
      <c r="BI1194" s="18"/>
      <c r="BJ1194" s="18"/>
      <c r="BK1194" s="18"/>
      <c r="BL1194" s="18"/>
      <c r="BM1194" s="18"/>
      <c r="BN1194" s="18"/>
      <c r="BO1194" s="18"/>
      <c r="BP1194" s="18"/>
      <c r="BQ1194" s="18"/>
      <c r="BR1194" s="18"/>
      <c r="BS1194" s="18"/>
      <c r="BT1194" s="18"/>
      <c r="BU1194" s="18"/>
      <c r="BV1194" s="18"/>
    </row>
    <row r="1195" spans="1:74">
      <c r="A1195" s="18"/>
      <c r="B1195" s="19"/>
      <c r="BG1195" s="18"/>
      <c r="BH1195" s="18"/>
      <c r="BI1195" s="18"/>
      <c r="BJ1195" s="18"/>
      <c r="BK1195" s="18"/>
      <c r="BL1195" s="18"/>
      <c r="BM1195" s="18"/>
      <c r="BN1195" s="18"/>
      <c r="BO1195" s="18"/>
      <c r="BP1195" s="18"/>
      <c r="BQ1195" s="18"/>
      <c r="BR1195" s="18"/>
      <c r="BS1195" s="18"/>
      <c r="BT1195" s="18"/>
      <c r="BU1195" s="18"/>
      <c r="BV1195" s="18"/>
    </row>
    <row r="1196" spans="1:74">
      <c r="A1196" s="18"/>
      <c r="B1196" s="19"/>
      <c r="BG1196" s="18"/>
      <c r="BH1196" s="18"/>
      <c r="BI1196" s="18"/>
      <c r="BJ1196" s="18"/>
      <c r="BK1196" s="18"/>
      <c r="BL1196" s="18"/>
      <c r="BM1196" s="18"/>
      <c r="BN1196" s="18"/>
      <c r="BO1196" s="18"/>
      <c r="BP1196" s="18"/>
      <c r="BQ1196" s="18"/>
      <c r="BR1196" s="18"/>
      <c r="BS1196" s="18"/>
      <c r="BT1196" s="18"/>
      <c r="BU1196" s="18"/>
      <c r="BV1196" s="18"/>
    </row>
    <row r="1197" spans="1:74">
      <c r="A1197" s="18"/>
      <c r="B1197" s="19"/>
      <c r="BG1197" s="18"/>
      <c r="BH1197" s="18"/>
      <c r="BI1197" s="18"/>
      <c r="BJ1197" s="18"/>
      <c r="BK1197" s="18"/>
      <c r="BL1197" s="18"/>
      <c r="BM1197" s="18"/>
      <c r="BN1197" s="18"/>
      <c r="BO1197" s="18"/>
      <c r="BP1197" s="18"/>
      <c r="BQ1197" s="18"/>
      <c r="BR1197" s="18"/>
      <c r="BS1197" s="18"/>
      <c r="BT1197" s="18"/>
      <c r="BU1197" s="18"/>
      <c r="BV1197" s="18"/>
    </row>
    <row r="1198" spans="1:74">
      <c r="A1198" s="18"/>
      <c r="B1198" s="19"/>
      <c r="BG1198" s="18"/>
      <c r="BH1198" s="18"/>
      <c r="BI1198" s="18"/>
      <c r="BJ1198" s="18"/>
      <c r="BK1198" s="18"/>
      <c r="BL1198" s="18"/>
      <c r="BM1198" s="18"/>
      <c r="BN1198" s="18"/>
      <c r="BO1198" s="18"/>
      <c r="BP1198" s="18"/>
      <c r="BQ1198" s="18"/>
      <c r="BR1198" s="18"/>
      <c r="BS1198" s="18"/>
      <c r="BT1198" s="18"/>
      <c r="BU1198" s="18"/>
      <c r="BV1198" s="18"/>
    </row>
    <row r="1199" spans="1:74">
      <c r="A1199" s="18"/>
      <c r="B1199" s="19"/>
      <c r="BG1199" s="18"/>
      <c r="BH1199" s="18"/>
      <c r="BI1199" s="18"/>
      <c r="BJ1199" s="18"/>
      <c r="BK1199" s="18"/>
      <c r="BL1199" s="18"/>
      <c r="BM1199" s="18"/>
      <c r="BN1199" s="18"/>
      <c r="BO1199" s="18"/>
      <c r="BP1199" s="18"/>
      <c r="BQ1199" s="18"/>
      <c r="BR1199" s="18"/>
      <c r="BS1199" s="18"/>
      <c r="BT1199" s="18"/>
      <c r="BU1199" s="18"/>
      <c r="BV1199" s="18"/>
    </row>
    <row r="1200" spans="1:74">
      <c r="A1200" s="18"/>
      <c r="B1200" s="19"/>
      <c r="BG1200" s="18"/>
      <c r="BH1200" s="18"/>
      <c r="BI1200" s="18"/>
      <c r="BJ1200" s="18"/>
      <c r="BK1200" s="18"/>
      <c r="BL1200" s="18"/>
      <c r="BM1200" s="18"/>
      <c r="BN1200" s="18"/>
      <c r="BO1200" s="18"/>
      <c r="BP1200" s="18"/>
      <c r="BQ1200" s="18"/>
      <c r="BR1200" s="18"/>
      <c r="BS1200" s="18"/>
      <c r="BT1200" s="18"/>
      <c r="BU1200" s="18"/>
      <c r="BV1200" s="18"/>
    </row>
    <row r="1201" spans="1:74">
      <c r="A1201" s="18"/>
      <c r="B1201" s="19"/>
      <c r="BG1201" s="18"/>
      <c r="BH1201" s="18"/>
      <c r="BI1201" s="18"/>
      <c r="BJ1201" s="18"/>
      <c r="BK1201" s="18"/>
      <c r="BL1201" s="18"/>
      <c r="BM1201" s="18"/>
      <c r="BN1201" s="18"/>
      <c r="BO1201" s="18"/>
      <c r="BP1201" s="18"/>
      <c r="BQ1201" s="18"/>
      <c r="BR1201" s="18"/>
      <c r="BS1201" s="18"/>
      <c r="BT1201" s="18"/>
      <c r="BU1201" s="18"/>
      <c r="BV1201" s="18"/>
    </row>
    <row r="1202" spans="1:74">
      <c r="A1202" s="18"/>
      <c r="B1202" s="19"/>
      <c r="BG1202" s="18"/>
      <c r="BH1202" s="18"/>
      <c r="BI1202" s="18"/>
      <c r="BJ1202" s="18"/>
      <c r="BK1202" s="18"/>
      <c r="BL1202" s="18"/>
      <c r="BM1202" s="18"/>
      <c r="BN1202" s="18"/>
      <c r="BO1202" s="18"/>
      <c r="BP1202" s="18"/>
      <c r="BQ1202" s="18"/>
      <c r="BR1202" s="18"/>
      <c r="BS1202" s="18"/>
      <c r="BT1202" s="18"/>
      <c r="BU1202" s="18"/>
      <c r="BV1202" s="18"/>
    </row>
    <row r="1203" spans="1:74">
      <c r="A1203" s="18"/>
      <c r="B1203" s="19"/>
      <c r="BG1203" s="18"/>
      <c r="BH1203" s="18"/>
      <c r="BI1203" s="18"/>
      <c r="BJ1203" s="18"/>
      <c r="BK1203" s="18"/>
      <c r="BL1203" s="18"/>
      <c r="BM1203" s="18"/>
      <c r="BN1203" s="18"/>
      <c r="BO1203" s="18"/>
      <c r="BP1203" s="18"/>
      <c r="BQ1203" s="18"/>
      <c r="BR1203" s="18"/>
      <c r="BS1203" s="18"/>
      <c r="BT1203" s="18"/>
      <c r="BU1203" s="18"/>
      <c r="BV1203" s="18"/>
    </row>
    <row r="1204" spans="1:74">
      <c r="A1204" s="18"/>
      <c r="B1204" s="19"/>
      <c r="BG1204" s="18"/>
      <c r="BH1204" s="18"/>
      <c r="BI1204" s="18"/>
      <c r="BJ1204" s="18"/>
      <c r="BK1204" s="18"/>
      <c r="BL1204" s="18"/>
      <c r="BM1204" s="18"/>
      <c r="BN1204" s="18"/>
      <c r="BO1204" s="18"/>
      <c r="BP1204" s="18"/>
      <c r="BQ1204" s="18"/>
      <c r="BR1204" s="18"/>
      <c r="BS1204" s="18"/>
      <c r="BT1204" s="18"/>
      <c r="BU1204" s="18"/>
      <c r="BV1204" s="18"/>
    </row>
    <row r="1205" spans="1:74">
      <c r="A1205" s="18"/>
      <c r="B1205" s="19"/>
      <c r="BG1205" s="18"/>
      <c r="BH1205" s="18"/>
      <c r="BI1205" s="18"/>
      <c r="BJ1205" s="18"/>
      <c r="BK1205" s="18"/>
      <c r="BL1205" s="18"/>
      <c r="BM1205" s="18"/>
      <c r="BN1205" s="18"/>
      <c r="BO1205" s="18"/>
      <c r="BP1205" s="18"/>
      <c r="BQ1205" s="18"/>
      <c r="BR1205" s="18"/>
      <c r="BS1205" s="18"/>
      <c r="BT1205" s="18"/>
      <c r="BU1205" s="18"/>
      <c r="BV1205" s="18"/>
    </row>
    <row r="1206" spans="1:74">
      <c r="A1206" s="18"/>
      <c r="B1206" s="19"/>
      <c r="BG1206" s="18"/>
      <c r="BH1206" s="18"/>
      <c r="BI1206" s="18"/>
      <c r="BJ1206" s="18"/>
      <c r="BK1206" s="18"/>
      <c r="BL1206" s="18"/>
      <c r="BM1206" s="18"/>
      <c r="BN1206" s="18"/>
      <c r="BO1206" s="18"/>
      <c r="BP1206" s="18"/>
      <c r="BQ1206" s="18"/>
      <c r="BR1206" s="18"/>
      <c r="BS1206" s="18"/>
      <c r="BT1206" s="18"/>
      <c r="BU1206" s="18"/>
      <c r="BV1206" s="18"/>
    </row>
    <row r="1207" spans="1:74">
      <c r="A1207" s="18"/>
      <c r="B1207" s="19"/>
      <c r="BG1207" s="18"/>
      <c r="BH1207" s="18"/>
      <c r="BI1207" s="18"/>
      <c r="BJ1207" s="18"/>
      <c r="BK1207" s="18"/>
      <c r="BL1207" s="18"/>
      <c r="BM1207" s="18"/>
      <c r="BN1207" s="18"/>
      <c r="BO1207" s="18"/>
      <c r="BP1207" s="18"/>
      <c r="BQ1207" s="18"/>
      <c r="BR1207" s="18"/>
      <c r="BS1207" s="18"/>
      <c r="BT1207" s="18"/>
      <c r="BU1207" s="18"/>
      <c r="BV1207" s="18"/>
    </row>
    <row r="1208" spans="1:74">
      <c r="A1208" s="18"/>
      <c r="B1208" s="19"/>
      <c r="BG1208" s="18"/>
      <c r="BH1208" s="18"/>
      <c r="BI1208" s="18"/>
      <c r="BJ1208" s="18"/>
      <c r="BK1208" s="18"/>
      <c r="BL1208" s="18"/>
      <c r="BM1208" s="18"/>
      <c r="BN1208" s="18"/>
      <c r="BO1208" s="18"/>
      <c r="BP1208" s="18"/>
      <c r="BQ1208" s="18"/>
      <c r="BR1208" s="18"/>
      <c r="BS1208" s="18"/>
      <c r="BT1208" s="18"/>
      <c r="BU1208" s="18"/>
      <c r="BV1208" s="18"/>
    </row>
    <row r="1209" spans="1:74">
      <c r="A1209" s="18"/>
      <c r="B1209" s="19"/>
      <c r="BG1209" s="18"/>
      <c r="BH1209" s="18"/>
      <c r="BI1209" s="18"/>
      <c r="BJ1209" s="18"/>
      <c r="BK1209" s="18"/>
      <c r="BL1209" s="18"/>
      <c r="BM1209" s="18"/>
      <c r="BN1209" s="18"/>
      <c r="BO1209" s="18"/>
      <c r="BP1209" s="18"/>
      <c r="BQ1209" s="18"/>
      <c r="BR1209" s="18"/>
      <c r="BS1209" s="18"/>
      <c r="BT1209" s="18"/>
      <c r="BU1209" s="18"/>
      <c r="BV1209" s="18"/>
    </row>
    <row r="1210" spans="1:74">
      <c r="A1210" s="18"/>
      <c r="B1210" s="19"/>
      <c r="BG1210" s="18"/>
      <c r="BH1210" s="18"/>
      <c r="BI1210" s="18"/>
      <c r="BJ1210" s="18"/>
      <c r="BK1210" s="18"/>
      <c r="BL1210" s="18"/>
      <c r="BM1210" s="18"/>
      <c r="BN1210" s="18"/>
      <c r="BO1210" s="18"/>
      <c r="BP1210" s="18"/>
      <c r="BQ1210" s="18"/>
      <c r="BR1210" s="18"/>
      <c r="BS1210" s="18"/>
      <c r="BT1210" s="18"/>
      <c r="BU1210" s="18"/>
      <c r="BV1210" s="18"/>
    </row>
    <row r="1211" spans="1:74">
      <c r="A1211" s="18"/>
      <c r="B1211" s="19"/>
      <c r="BG1211" s="18"/>
      <c r="BH1211" s="18"/>
      <c r="BI1211" s="18"/>
      <c r="BJ1211" s="18"/>
      <c r="BK1211" s="18"/>
      <c r="BL1211" s="18"/>
      <c r="BM1211" s="18"/>
      <c r="BN1211" s="18"/>
      <c r="BO1211" s="18"/>
      <c r="BP1211" s="18"/>
      <c r="BQ1211" s="18"/>
      <c r="BR1211" s="18"/>
      <c r="BS1211" s="18"/>
      <c r="BT1211" s="18"/>
      <c r="BU1211" s="18"/>
      <c r="BV1211" s="18"/>
    </row>
    <row r="1212" spans="1:74">
      <c r="A1212" s="18"/>
      <c r="B1212" s="19"/>
      <c r="BG1212" s="18"/>
      <c r="BH1212" s="18"/>
      <c r="BI1212" s="18"/>
      <c r="BJ1212" s="18"/>
      <c r="BK1212" s="18"/>
      <c r="BL1212" s="18"/>
      <c r="BM1212" s="18"/>
      <c r="BN1212" s="18"/>
      <c r="BO1212" s="18"/>
      <c r="BP1212" s="18"/>
      <c r="BQ1212" s="18"/>
      <c r="BR1212" s="18"/>
      <c r="BS1212" s="18"/>
      <c r="BT1212" s="18"/>
      <c r="BU1212" s="18"/>
      <c r="BV1212" s="18"/>
    </row>
    <row r="1213" spans="1:74">
      <c r="A1213" s="18"/>
      <c r="B1213" s="19"/>
      <c r="BG1213" s="18"/>
      <c r="BH1213" s="18"/>
      <c r="BI1213" s="18"/>
      <c r="BJ1213" s="18"/>
      <c r="BK1213" s="18"/>
      <c r="BL1213" s="18"/>
      <c r="BM1213" s="18"/>
      <c r="BN1213" s="18"/>
      <c r="BO1213" s="18"/>
      <c r="BP1213" s="18"/>
      <c r="BQ1213" s="18"/>
      <c r="BR1213" s="18"/>
      <c r="BS1213" s="18"/>
      <c r="BT1213" s="18"/>
      <c r="BU1213" s="18"/>
      <c r="BV1213" s="18"/>
    </row>
    <row r="1214" spans="1:74">
      <c r="A1214" s="18"/>
      <c r="B1214" s="19"/>
      <c r="BG1214" s="18"/>
      <c r="BH1214" s="18"/>
      <c r="BI1214" s="18"/>
      <c r="BJ1214" s="18"/>
      <c r="BK1214" s="18"/>
      <c r="BL1214" s="18"/>
      <c r="BM1214" s="18"/>
      <c r="BN1214" s="18"/>
      <c r="BO1214" s="18"/>
      <c r="BP1214" s="18"/>
      <c r="BQ1214" s="18"/>
      <c r="BR1214" s="18"/>
      <c r="BS1214" s="18"/>
      <c r="BT1214" s="18"/>
      <c r="BU1214" s="18"/>
      <c r="BV1214" s="18"/>
    </row>
    <row r="1215" spans="1:74">
      <c r="A1215" s="18"/>
      <c r="B1215" s="19"/>
      <c r="BG1215" s="18"/>
      <c r="BH1215" s="18"/>
      <c r="BI1215" s="18"/>
      <c r="BJ1215" s="18"/>
      <c r="BK1215" s="18"/>
      <c r="BL1215" s="18"/>
      <c r="BM1215" s="18"/>
      <c r="BN1215" s="18"/>
      <c r="BO1215" s="18"/>
      <c r="BP1215" s="18"/>
      <c r="BQ1215" s="18"/>
      <c r="BR1215" s="18"/>
      <c r="BS1215" s="18"/>
      <c r="BT1215" s="18"/>
      <c r="BU1215" s="18"/>
      <c r="BV1215" s="18"/>
    </row>
    <row r="1216" spans="1:74">
      <c r="A1216" s="18"/>
      <c r="B1216" s="19"/>
      <c r="BG1216" s="18"/>
      <c r="BH1216" s="18"/>
      <c r="BI1216" s="18"/>
      <c r="BJ1216" s="18"/>
      <c r="BK1216" s="18"/>
      <c r="BL1216" s="18"/>
      <c r="BM1216" s="18"/>
      <c r="BN1216" s="18"/>
      <c r="BO1216" s="18"/>
      <c r="BP1216" s="18"/>
      <c r="BQ1216" s="18"/>
      <c r="BR1216" s="18"/>
      <c r="BS1216" s="18"/>
      <c r="BT1216" s="18"/>
      <c r="BU1216" s="18"/>
      <c r="BV1216" s="18"/>
    </row>
    <row r="1217" spans="1:74">
      <c r="A1217" s="18"/>
      <c r="B1217" s="19"/>
      <c r="BG1217" s="18"/>
      <c r="BH1217" s="18"/>
      <c r="BI1217" s="18"/>
      <c r="BJ1217" s="18"/>
      <c r="BK1217" s="18"/>
      <c r="BL1217" s="18"/>
      <c r="BM1217" s="18"/>
      <c r="BN1217" s="18"/>
      <c r="BO1217" s="18"/>
      <c r="BP1217" s="18"/>
      <c r="BQ1217" s="18"/>
      <c r="BR1217" s="18"/>
      <c r="BS1217" s="18"/>
      <c r="BT1217" s="18"/>
      <c r="BU1217" s="18"/>
      <c r="BV1217" s="18"/>
    </row>
    <row r="1218" spans="1:74">
      <c r="A1218" s="18"/>
      <c r="B1218" s="19"/>
      <c r="BG1218" s="18"/>
      <c r="BH1218" s="18"/>
      <c r="BI1218" s="18"/>
      <c r="BJ1218" s="18"/>
      <c r="BK1218" s="18"/>
      <c r="BL1218" s="18"/>
      <c r="BM1218" s="18"/>
      <c r="BN1218" s="18"/>
      <c r="BO1218" s="18"/>
      <c r="BP1218" s="18"/>
      <c r="BQ1218" s="18"/>
      <c r="BR1218" s="18"/>
      <c r="BS1218" s="18"/>
      <c r="BT1218" s="18"/>
      <c r="BU1218" s="18"/>
      <c r="BV1218" s="18"/>
    </row>
    <row r="1219" spans="1:74">
      <c r="A1219" s="18"/>
      <c r="B1219" s="19"/>
      <c r="BG1219" s="18"/>
      <c r="BH1219" s="18"/>
      <c r="BI1219" s="18"/>
      <c r="BJ1219" s="18"/>
      <c r="BK1219" s="18"/>
      <c r="BL1219" s="18"/>
      <c r="BM1219" s="18"/>
      <c r="BN1219" s="18"/>
      <c r="BO1219" s="18"/>
      <c r="BP1219" s="18"/>
      <c r="BQ1219" s="18"/>
      <c r="BR1219" s="18"/>
      <c r="BS1219" s="18"/>
      <c r="BT1219" s="18"/>
      <c r="BU1219" s="18"/>
      <c r="BV1219" s="18"/>
    </row>
    <row r="1220" spans="1:74">
      <c r="A1220" s="18"/>
      <c r="B1220" s="19"/>
      <c r="BG1220" s="18"/>
      <c r="BH1220" s="18"/>
      <c r="BI1220" s="18"/>
      <c r="BJ1220" s="18"/>
      <c r="BK1220" s="18"/>
      <c r="BL1220" s="18"/>
      <c r="BM1220" s="18"/>
      <c r="BN1220" s="18"/>
      <c r="BO1220" s="18"/>
      <c r="BP1220" s="18"/>
      <c r="BQ1220" s="18"/>
      <c r="BR1220" s="18"/>
      <c r="BS1220" s="18"/>
      <c r="BT1220" s="18"/>
      <c r="BU1220" s="18"/>
      <c r="BV1220" s="18"/>
    </row>
    <row r="1221" spans="1:74">
      <c r="A1221" s="18"/>
      <c r="B1221" s="19"/>
      <c r="BG1221" s="18"/>
      <c r="BH1221" s="18"/>
      <c r="BI1221" s="18"/>
      <c r="BJ1221" s="18"/>
      <c r="BK1221" s="18"/>
      <c r="BL1221" s="18"/>
      <c r="BM1221" s="18"/>
      <c r="BN1221" s="18"/>
      <c r="BO1221" s="18"/>
      <c r="BP1221" s="18"/>
      <c r="BQ1221" s="18"/>
      <c r="BR1221" s="18"/>
      <c r="BS1221" s="18"/>
      <c r="BT1221" s="18"/>
      <c r="BU1221" s="18"/>
      <c r="BV1221" s="18"/>
    </row>
    <row r="1222" spans="1:74">
      <c r="A1222" s="18"/>
      <c r="B1222" s="19"/>
      <c r="BG1222" s="18"/>
      <c r="BH1222" s="18"/>
      <c r="BI1222" s="18"/>
      <c r="BJ1222" s="18"/>
      <c r="BK1222" s="18"/>
      <c r="BL1222" s="18"/>
      <c r="BM1222" s="18"/>
      <c r="BN1222" s="18"/>
      <c r="BO1222" s="18"/>
      <c r="BP1222" s="18"/>
      <c r="BQ1222" s="18"/>
      <c r="BR1222" s="18"/>
      <c r="BS1222" s="18"/>
      <c r="BT1222" s="18"/>
      <c r="BU1222" s="18"/>
      <c r="BV1222" s="18"/>
    </row>
    <row r="1223" spans="1:74">
      <c r="A1223" s="18"/>
      <c r="B1223" s="19"/>
      <c r="BG1223" s="18"/>
      <c r="BH1223" s="18"/>
      <c r="BI1223" s="18"/>
      <c r="BJ1223" s="18"/>
      <c r="BK1223" s="18"/>
      <c r="BL1223" s="18"/>
      <c r="BM1223" s="18"/>
      <c r="BN1223" s="18"/>
      <c r="BO1223" s="18"/>
      <c r="BP1223" s="18"/>
      <c r="BQ1223" s="18"/>
      <c r="BR1223" s="18"/>
      <c r="BS1223" s="18"/>
      <c r="BT1223" s="18"/>
      <c r="BU1223" s="18"/>
      <c r="BV1223" s="18"/>
    </row>
    <row r="1224" spans="1:74">
      <c r="A1224" s="18"/>
      <c r="B1224" s="19"/>
      <c r="BG1224" s="18"/>
      <c r="BH1224" s="18"/>
      <c r="BI1224" s="18"/>
      <c r="BJ1224" s="18"/>
      <c r="BK1224" s="18"/>
      <c r="BL1224" s="18"/>
      <c r="BM1224" s="18"/>
      <c r="BN1224" s="18"/>
      <c r="BO1224" s="18"/>
      <c r="BP1224" s="18"/>
      <c r="BQ1224" s="18"/>
      <c r="BR1224" s="18"/>
      <c r="BS1224" s="18"/>
      <c r="BT1224" s="18"/>
      <c r="BU1224" s="18"/>
      <c r="BV1224" s="18"/>
    </row>
    <row r="1225" spans="1:74">
      <c r="A1225" s="18"/>
      <c r="B1225" s="19"/>
      <c r="BG1225" s="18"/>
      <c r="BH1225" s="18"/>
      <c r="BI1225" s="18"/>
      <c r="BJ1225" s="18"/>
      <c r="BK1225" s="18"/>
      <c r="BL1225" s="18"/>
      <c r="BM1225" s="18"/>
      <c r="BN1225" s="18"/>
      <c r="BO1225" s="18"/>
      <c r="BP1225" s="18"/>
      <c r="BQ1225" s="18"/>
      <c r="BR1225" s="18"/>
      <c r="BS1225" s="18"/>
      <c r="BT1225" s="18"/>
      <c r="BU1225" s="18"/>
      <c r="BV1225" s="18"/>
    </row>
    <row r="1226" spans="1:74">
      <c r="A1226" s="18"/>
      <c r="B1226" s="19"/>
      <c r="BG1226" s="18"/>
      <c r="BH1226" s="18"/>
      <c r="BI1226" s="18"/>
      <c r="BJ1226" s="18"/>
      <c r="BK1226" s="18"/>
      <c r="BL1226" s="18"/>
      <c r="BM1226" s="18"/>
      <c r="BN1226" s="18"/>
      <c r="BO1226" s="18"/>
      <c r="BP1226" s="18"/>
      <c r="BQ1226" s="18"/>
      <c r="BR1226" s="18"/>
      <c r="BS1226" s="18"/>
      <c r="BT1226" s="18"/>
      <c r="BU1226" s="18"/>
      <c r="BV1226" s="18"/>
    </row>
    <row r="1227" spans="1:74">
      <c r="A1227" s="18"/>
      <c r="B1227" s="19"/>
      <c r="BG1227" s="18"/>
      <c r="BH1227" s="18"/>
      <c r="BI1227" s="18"/>
      <c r="BJ1227" s="18"/>
      <c r="BK1227" s="18"/>
      <c r="BL1227" s="18"/>
      <c r="BM1227" s="18"/>
      <c r="BN1227" s="18"/>
      <c r="BO1227" s="18"/>
      <c r="BP1227" s="18"/>
      <c r="BQ1227" s="18"/>
      <c r="BR1227" s="18"/>
      <c r="BS1227" s="18"/>
      <c r="BT1227" s="18"/>
      <c r="BU1227" s="18"/>
      <c r="BV1227" s="18"/>
    </row>
    <row r="1228" spans="1:74">
      <c r="A1228" s="18"/>
      <c r="B1228" s="19"/>
      <c r="BG1228" s="18"/>
      <c r="BH1228" s="18"/>
      <c r="BI1228" s="18"/>
      <c r="BJ1228" s="18"/>
      <c r="BK1228" s="18"/>
      <c r="BL1228" s="18"/>
      <c r="BM1228" s="18"/>
      <c r="BN1228" s="18"/>
      <c r="BO1228" s="18"/>
      <c r="BP1228" s="18"/>
      <c r="BQ1228" s="18"/>
      <c r="BR1228" s="18"/>
      <c r="BS1228" s="18"/>
      <c r="BT1228" s="18"/>
      <c r="BU1228" s="18"/>
      <c r="BV1228" s="18"/>
    </row>
    <row r="1229" spans="1:74">
      <c r="A1229" s="18"/>
      <c r="B1229" s="19"/>
      <c r="BG1229" s="18"/>
      <c r="BH1229" s="18"/>
      <c r="BI1229" s="18"/>
      <c r="BJ1229" s="18"/>
      <c r="BK1229" s="18"/>
      <c r="BL1229" s="18"/>
      <c r="BM1229" s="18"/>
      <c r="BN1229" s="18"/>
      <c r="BO1229" s="18"/>
      <c r="BP1229" s="18"/>
      <c r="BQ1229" s="18"/>
      <c r="BR1229" s="18"/>
      <c r="BS1229" s="18"/>
      <c r="BT1229" s="18"/>
      <c r="BU1229" s="18"/>
      <c r="BV1229" s="18"/>
    </row>
    <row r="1230" spans="1:74">
      <c r="A1230" s="18"/>
      <c r="B1230" s="19"/>
      <c r="BG1230" s="18"/>
      <c r="BH1230" s="18"/>
      <c r="BI1230" s="18"/>
      <c r="BJ1230" s="18"/>
      <c r="BK1230" s="18"/>
      <c r="BL1230" s="18"/>
      <c r="BM1230" s="18"/>
      <c r="BN1230" s="18"/>
      <c r="BO1230" s="18"/>
      <c r="BP1230" s="18"/>
      <c r="BQ1230" s="18"/>
      <c r="BR1230" s="18"/>
      <c r="BS1230" s="18"/>
      <c r="BT1230" s="18"/>
      <c r="BU1230" s="18"/>
      <c r="BV1230" s="18"/>
    </row>
    <row r="1231" spans="1:74">
      <c r="A1231" s="18"/>
      <c r="B1231" s="19"/>
      <c r="BG1231" s="18"/>
      <c r="BH1231" s="18"/>
      <c r="BI1231" s="18"/>
      <c r="BJ1231" s="18"/>
      <c r="BK1231" s="18"/>
      <c r="BL1231" s="18"/>
      <c r="BM1231" s="18"/>
      <c r="BN1231" s="18"/>
      <c r="BO1231" s="18"/>
      <c r="BP1231" s="18"/>
      <c r="BQ1231" s="18"/>
      <c r="BR1231" s="18"/>
      <c r="BS1231" s="18"/>
      <c r="BT1231" s="18"/>
      <c r="BU1231" s="18"/>
      <c r="BV1231" s="18"/>
    </row>
    <row r="1232" spans="1:74">
      <c r="A1232" s="18"/>
      <c r="B1232" s="19"/>
      <c r="BG1232" s="18"/>
      <c r="BH1232" s="18"/>
      <c r="BI1232" s="18"/>
      <c r="BJ1232" s="18"/>
      <c r="BK1232" s="18"/>
      <c r="BL1232" s="18"/>
      <c r="BM1232" s="18"/>
      <c r="BN1232" s="18"/>
      <c r="BO1232" s="18"/>
      <c r="BP1232" s="18"/>
      <c r="BQ1232" s="18"/>
      <c r="BR1232" s="18"/>
      <c r="BS1232" s="18"/>
      <c r="BT1232" s="18"/>
      <c r="BU1232" s="18"/>
      <c r="BV1232" s="18"/>
    </row>
    <row r="1233" spans="1:74">
      <c r="A1233" s="18"/>
      <c r="B1233" s="19"/>
      <c r="BG1233" s="18"/>
      <c r="BH1233" s="18"/>
      <c r="BI1233" s="18"/>
      <c r="BJ1233" s="18"/>
      <c r="BK1233" s="18"/>
      <c r="BL1233" s="18"/>
      <c r="BM1233" s="18"/>
      <c r="BN1233" s="18"/>
      <c r="BO1233" s="18"/>
      <c r="BP1233" s="18"/>
      <c r="BQ1233" s="18"/>
      <c r="BR1233" s="18"/>
      <c r="BS1233" s="18"/>
      <c r="BT1233" s="18"/>
      <c r="BU1233" s="18"/>
      <c r="BV1233" s="18"/>
    </row>
    <row r="1234" spans="1:74">
      <c r="A1234" s="18"/>
      <c r="B1234" s="19"/>
      <c r="BG1234" s="18"/>
      <c r="BH1234" s="18"/>
      <c r="BI1234" s="18"/>
      <c r="BJ1234" s="18"/>
      <c r="BK1234" s="18"/>
      <c r="BL1234" s="18"/>
      <c r="BM1234" s="18"/>
      <c r="BN1234" s="18"/>
      <c r="BO1234" s="18"/>
      <c r="BP1234" s="18"/>
      <c r="BQ1234" s="18"/>
      <c r="BR1234" s="18"/>
      <c r="BS1234" s="18"/>
      <c r="BT1234" s="18"/>
      <c r="BU1234" s="18"/>
      <c r="BV1234" s="18"/>
    </row>
    <row r="1235" spans="1:74">
      <c r="A1235" s="18"/>
      <c r="B1235" s="19"/>
      <c r="BG1235" s="18"/>
      <c r="BH1235" s="18"/>
      <c r="BI1235" s="18"/>
      <c r="BJ1235" s="18"/>
      <c r="BK1235" s="18"/>
      <c r="BL1235" s="18"/>
      <c r="BM1235" s="18"/>
      <c r="BN1235" s="18"/>
      <c r="BO1235" s="18"/>
      <c r="BP1235" s="18"/>
      <c r="BQ1235" s="18"/>
      <c r="BR1235" s="18"/>
      <c r="BS1235" s="18"/>
      <c r="BT1235" s="18"/>
      <c r="BU1235" s="18"/>
      <c r="BV1235" s="18"/>
    </row>
    <row r="1236" spans="1:74">
      <c r="A1236" s="18"/>
      <c r="B1236" s="19"/>
      <c r="BG1236" s="18"/>
      <c r="BH1236" s="18"/>
      <c r="BI1236" s="18"/>
      <c r="BJ1236" s="18"/>
      <c r="BK1236" s="18"/>
      <c r="BL1236" s="18"/>
      <c r="BM1236" s="18"/>
      <c r="BN1236" s="18"/>
      <c r="BO1236" s="18"/>
      <c r="BP1236" s="18"/>
      <c r="BQ1236" s="18"/>
      <c r="BR1236" s="18"/>
      <c r="BS1236" s="18"/>
      <c r="BT1236" s="18"/>
      <c r="BU1236" s="18"/>
      <c r="BV1236" s="18"/>
    </row>
    <row r="1237" spans="1:74">
      <c r="A1237" s="18"/>
      <c r="B1237" s="19"/>
      <c r="BG1237" s="18"/>
      <c r="BH1237" s="18"/>
      <c r="BI1237" s="18"/>
      <c r="BJ1237" s="18"/>
      <c r="BK1237" s="18"/>
      <c r="BL1237" s="18"/>
      <c r="BM1237" s="18"/>
      <c r="BN1237" s="18"/>
      <c r="BO1237" s="18"/>
      <c r="BP1237" s="18"/>
      <c r="BQ1237" s="18"/>
      <c r="BR1237" s="18"/>
      <c r="BS1237" s="18"/>
      <c r="BT1237" s="18"/>
      <c r="BU1237" s="18"/>
      <c r="BV1237" s="18"/>
    </row>
    <row r="1238" spans="1:74">
      <c r="A1238" s="18"/>
      <c r="B1238" s="19"/>
      <c r="BG1238" s="18"/>
      <c r="BH1238" s="18"/>
      <c r="BI1238" s="18"/>
      <c r="BJ1238" s="18"/>
      <c r="BK1238" s="18"/>
      <c r="BL1238" s="18"/>
      <c r="BM1238" s="18"/>
      <c r="BN1238" s="18"/>
      <c r="BO1238" s="18"/>
      <c r="BP1238" s="18"/>
      <c r="BQ1238" s="18"/>
      <c r="BR1238" s="18"/>
      <c r="BS1238" s="18"/>
      <c r="BT1238" s="18"/>
      <c r="BU1238" s="18"/>
      <c r="BV1238" s="18"/>
    </row>
    <row r="1239" spans="1:74">
      <c r="A1239" s="18"/>
      <c r="B1239" s="19"/>
      <c r="BG1239" s="18"/>
      <c r="BH1239" s="18"/>
      <c r="BI1239" s="18"/>
      <c r="BJ1239" s="18"/>
      <c r="BK1239" s="18"/>
      <c r="BL1239" s="18"/>
      <c r="BM1239" s="18"/>
      <c r="BN1239" s="18"/>
      <c r="BO1239" s="18"/>
      <c r="BP1239" s="18"/>
      <c r="BQ1239" s="18"/>
      <c r="BR1239" s="18"/>
      <c r="BS1239" s="18"/>
      <c r="BT1239" s="18"/>
      <c r="BU1239" s="18"/>
      <c r="BV1239" s="18"/>
    </row>
    <row r="1240" spans="1:74">
      <c r="A1240" s="18"/>
      <c r="B1240" s="19"/>
      <c r="BG1240" s="18"/>
      <c r="BH1240" s="18"/>
      <c r="BI1240" s="18"/>
      <c r="BJ1240" s="18"/>
      <c r="BK1240" s="18"/>
      <c r="BL1240" s="18"/>
      <c r="BM1240" s="18"/>
      <c r="BN1240" s="18"/>
      <c r="BO1240" s="18"/>
      <c r="BP1240" s="18"/>
      <c r="BQ1240" s="18"/>
      <c r="BR1240" s="18"/>
      <c r="BS1240" s="18"/>
      <c r="BT1240" s="18"/>
      <c r="BU1240" s="18"/>
      <c r="BV1240" s="18"/>
    </row>
    <row r="1241" spans="1:74">
      <c r="A1241" s="18"/>
      <c r="B1241" s="19"/>
      <c r="BG1241" s="18"/>
      <c r="BH1241" s="18"/>
      <c r="BI1241" s="18"/>
      <c r="BJ1241" s="18"/>
      <c r="BK1241" s="18"/>
      <c r="BL1241" s="18"/>
      <c r="BM1241" s="18"/>
      <c r="BN1241" s="18"/>
      <c r="BO1241" s="18"/>
      <c r="BP1241" s="18"/>
      <c r="BQ1241" s="18"/>
      <c r="BR1241" s="18"/>
      <c r="BS1241" s="18"/>
      <c r="BT1241" s="18"/>
      <c r="BU1241" s="18"/>
      <c r="BV1241" s="18"/>
    </row>
    <row r="1242" spans="1:74">
      <c r="A1242" s="18"/>
      <c r="B1242" s="19"/>
      <c r="BG1242" s="18"/>
      <c r="BH1242" s="18"/>
      <c r="BI1242" s="18"/>
      <c r="BJ1242" s="18"/>
      <c r="BK1242" s="18"/>
      <c r="BL1242" s="18"/>
      <c r="BM1242" s="18"/>
      <c r="BN1242" s="18"/>
      <c r="BO1242" s="18"/>
      <c r="BP1242" s="18"/>
      <c r="BQ1242" s="18"/>
      <c r="BR1242" s="18"/>
      <c r="BS1242" s="18"/>
      <c r="BT1242" s="18"/>
      <c r="BU1242" s="18"/>
      <c r="BV1242" s="18"/>
    </row>
    <row r="1243" spans="1:74">
      <c r="A1243" s="18"/>
      <c r="B1243" s="19"/>
      <c r="BG1243" s="18"/>
      <c r="BH1243" s="18"/>
      <c r="BI1243" s="18"/>
      <c r="BJ1243" s="18"/>
      <c r="BK1243" s="18"/>
      <c r="BL1243" s="18"/>
      <c r="BM1243" s="18"/>
      <c r="BN1243" s="18"/>
      <c r="BO1243" s="18"/>
      <c r="BP1243" s="18"/>
      <c r="BQ1243" s="18"/>
      <c r="BR1243" s="18"/>
      <c r="BS1243" s="18"/>
      <c r="BT1243" s="18"/>
      <c r="BU1243" s="18"/>
      <c r="BV1243" s="18"/>
    </row>
    <row r="1244" spans="1:74">
      <c r="A1244" s="18"/>
      <c r="B1244" s="19"/>
      <c r="BG1244" s="18"/>
      <c r="BH1244" s="18"/>
      <c r="BI1244" s="18"/>
      <c r="BJ1244" s="18"/>
      <c r="BK1244" s="18"/>
      <c r="BL1244" s="18"/>
      <c r="BM1244" s="18"/>
      <c r="BN1244" s="18"/>
      <c r="BO1244" s="18"/>
      <c r="BP1244" s="18"/>
      <c r="BQ1244" s="18"/>
      <c r="BR1244" s="18"/>
      <c r="BS1244" s="18"/>
      <c r="BT1244" s="18"/>
      <c r="BU1244" s="18"/>
      <c r="BV1244" s="18"/>
    </row>
    <row r="1245" spans="1:74">
      <c r="A1245" s="18"/>
      <c r="B1245" s="19"/>
      <c r="BG1245" s="18"/>
      <c r="BH1245" s="18"/>
      <c r="BI1245" s="18"/>
      <c r="BJ1245" s="18"/>
      <c r="BK1245" s="18"/>
      <c r="BL1245" s="18"/>
      <c r="BM1245" s="18"/>
      <c r="BN1245" s="18"/>
      <c r="BO1245" s="18"/>
      <c r="BP1245" s="18"/>
      <c r="BQ1245" s="18"/>
      <c r="BR1245" s="18"/>
      <c r="BS1245" s="18"/>
      <c r="BT1245" s="18"/>
      <c r="BU1245" s="18"/>
      <c r="BV1245" s="18"/>
    </row>
    <row r="1246" spans="1:74">
      <c r="A1246" s="18"/>
      <c r="B1246" s="19"/>
      <c r="BG1246" s="18"/>
      <c r="BH1246" s="18"/>
      <c r="BI1246" s="18"/>
      <c r="BJ1246" s="18"/>
      <c r="BK1246" s="18"/>
      <c r="BL1246" s="18"/>
      <c r="BM1246" s="18"/>
      <c r="BN1246" s="18"/>
      <c r="BO1246" s="18"/>
      <c r="BP1246" s="18"/>
      <c r="BQ1246" s="18"/>
      <c r="BR1246" s="18"/>
      <c r="BS1246" s="18"/>
      <c r="BT1246" s="18"/>
      <c r="BU1246" s="18"/>
      <c r="BV1246" s="18"/>
    </row>
    <row r="1247" spans="1:74">
      <c r="A1247" s="18"/>
      <c r="B1247" s="19"/>
      <c r="BG1247" s="18"/>
      <c r="BH1247" s="18"/>
      <c r="BI1247" s="18"/>
      <c r="BJ1247" s="18"/>
      <c r="BK1247" s="18"/>
      <c r="BL1247" s="18"/>
      <c r="BM1247" s="18"/>
      <c r="BN1247" s="18"/>
      <c r="BO1247" s="18"/>
      <c r="BP1247" s="18"/>
      <c r="BQ1247" s="18"/>
      <c r="BR1247" s="18"/>
      <c r="BS1247" s="18"/>
      <c r="BT1247" s="18"/>
      <c r="BU1247" s="18"/>
      <c r="BV1247" s="18"/>
    </row>
    <row r="1248" spans="1:74">
      <c r="A1248" s="18"/>
      <c r="B1248" s="19"/>
      <c r="BG1248" s="18"/>
      <c r="BH1248" s="18"/>
      <c r="BI1248" s="18"/>
      <c r="BJ1248" s="18"/>
      <c r="BK1248" s="18"/>
      <c r="BL1248" s="18"/>
      <c r="BM1248" s="18"/>
      <c r="BN1248" s="18"/>
      <c r="BO1248" s="18"/>
      <c r="BP1248" s="18"/>
      <c r="BQ1248" s="18"/>
      <c r="BR1248" s="18"/>
      <c r="BS1248" s="18"/>
      <c r="BT1248" s="18"/>
      <c r="BU1248" s="18"/>
      <c r="BV1248" s="18"/>
    </row>
    <row r="1249" spans="1:74">
      <c r="A1249" s="18"/>
      <c r="B1249" s="19"/>
      <c r="BG1249" s="18"/>
      <c r="BH1249" s="18"/>
      <c r="BI1249" s="18"/>
      <c r="BJ1249" s="18"/>
      <c r="BK1249" s="18"/>
      <c r="BL1249" s="18"/>
      <c r="BM1249" s="18"/>
      <c r="BN1249" s="18"/>
      <c r="BO1249" s="18"/>
      <c r="BP1249" s="18"/>
      <c r="BQ1249" s="18"/>
      <c r="BR1249" s="18"/>
      <c r="BS1249" s="18"/>
      <c r="BT1249" s="18"/>
      <c r="BU1249" s="18"/>
      <c r="BV1249" s="18"/>
    </row>
    <row r="1250" spans="1:74">
      <c r="A1250" s="18"/>
      <c r="B1250" s="19"/>
      <c r="BG1250" s="18"/>
      <c r="BH1250" s="18"/>
      <c r="BI1250" s="18"/>
      <c r="BJ1250" s="18"/>
      <c r="BK1250" s="18"/>
      <c r="BL1250" s="18"/>
      <c r="BM1250" s="18"/>
      <c r="BN1250" s="18"/>
      <c r="BO1250" s="18"/>
      <c r="BP1250" s="18"/>
      <c r="BQ1250" s="18"/>
      <c r="BR1250" s="18"/>
      <c r="BS1250" s="18"/>
      <c r="BT1250" s="18"/>
      <c r="BU1250" s="18"/>
      <c r="BV1250" s="18"/>
    </row>
    <row r="1251" spans="1:74">
      <c r="A1251" s="18"/>
      <c r="B1251" s="19"/>
      <c r="BG1251" s="18"/>
      <c r="BH1251" s="18"/>
      <c r="BI1251" s="18"/>
      <c r="BJ1251" s="18"/>
      <c r="BK1251" s="18"/>
      <c r="BL1251" s="18"/>
      <c r="BM1251" s="18"/>
      <c r="BN1251" s="18"/>
      <c r="BO1251" s="18"/>
      <c r="BP1251" s="18"/>
      <c r="BQ1251" s="18"/>
      <c r="BR1251" s="18"/>
      <c r="BS1251" s="18"/>
      <c r="BT1251" s="18"/>
      <c r="BU1251" s="18"/>
      <c r="BV1251" s="18"/>
    </row>
    <row r="1252" spans="1:74">
      <c r="A1252" s="18"/>
      <c r="B1252" s="19"/>
      <c r="BG1252" s="18"/>
      <c r="BH1252" s="18"/>
      <c r="BI1252" s="18"/>
      <c r="BJ1252" s="18"/>
      <c r="BK1252" s="18"/>
      <c r="BL1252" s="18"/>
      <c r="BM1252" s="18"/>
      <c r="BN1252" s="18"/>
      <c r="BO1252" s="18"/>
      <c r="BP1252" s="18"/>
      <c r="BQ1252" s="18"/>
      <c r="BR1252" s="18"/>
      <c r="BS1252" s="18"/>
      <c r="BT1252" s="18"/>
      <c r="BU1252" s="18"/>
      <c r="BV1252" s="18"/>
    </row>
    <row r="1253" spans="1:74">
      <c r="A1253" s="18"/>
      <c r="B1253" s="19"/>
      <c r="BG1253" s="18"/>
      <c r="BH1253" s="18"/>
      <c r="BI1253" s="18"/>
      <c r="BJ1253" s="18"/>
      <c r="BK1253" s="18"/>
      <c r="BL1253" s="18"/>
      <c r="BM1253" s="18"/>
      <c r="BN1253" s="18"/>
      <c r="BO1253" s="18"/>
      <c r="BP1253" s="18"/>
      <c r="BQ1253" s="18"/>
      <c r="BR1253" s="18"/>
      <c r="BS1253" s="18"/>
      <c r="BT1253" s="18"/>
      <c r="BU1253" s="18"/>
      <c r="BV1253" s="18"/>
    </row>
    <row r="1254" spans="1:74">
      <c r="A1254" s="18"/>
      <c r="B1254" s="19"/>
      <c r="BG1254" s="18"/>
      <c r="BH1254" s="18"/>
      <c r="BI1254" s="18"/>
      <c r="BJ1254" s="18"/>
      <c r="BK1254" s="18"/>
      <c r="BL1254" s="18"/>
      <c r="BM1254" s="18"/>
      <c r="BN1254" s="18"/>
      <c r="BO1254" s="18"/>
      <c r="BP1254" s="18"/>
      <c r="BQ1254" s="18"/>
      <c r="BR1254" s="18"/>
      <c r="BS1254" s="18"/>
      <c r="BT1254" s="18"/>
      <c r="BU1254" s="18"/>
      <c r="BV1254" s="18"/>
    </row>
    <row r="1255" spans="1:74">
      <c r="A1255" s="18"/>
      <c r="B1255" s="19"/>
      <c r="BG1255" s="18"/>
      <c r="BH1255" s="18"/>
      <c r="BI1255" s="18"/>
      <c r="BJ1255" s="18"/>
      <c r="BK1255" s="18"/>
      <c r="BL1255" s="18"/>
      <c r="BM1255" s="18"/>
      <c r="BN1255" s="18"/>
      <c r="BO1255" s="18"/>
      <c r="BP1255" s="18"/>
      <c r="BQ1255" s="18"/>
      <c r="BR1255" s="18"/>
      <c r="BS1255" s="18"/>
      <c r="BT1255" s="18"/>
      <c r="BU1255" s="18"/>
      <c r="BV1255" s="18"/>
    </row>
    <row r="1256" spans="1:74">
      <c r="A1256" s="18"/>
      <c r="B1256" s="19"/>
      <c r="BG1256" s="18"/>
      <c r="BH1256" s="18"/>
      <c r="BI1256" s="18"/>
      <c r="BJ1256" s="18"/>
      <c r="BK1256" s="18"/>
      <c r="BL1256" s="18"/>
      <c r="BM1256" s="18"/>
      <c r="BN1256" s="18"/>
      <c r="BO1256" s="18"/>
      <c r="BP1256" s="18"/>
      <c r="BQ1256" s="18"/>
      <c r="BR1256" s="18"/>
      <c r="BS1256" s="18"/>
      <c r="BT1256" s="18"/>
      <c r="BU1256" s="18"/>
      <c r="BV1256" s="18"/>
    </row>
    <row r="1257" spans="1:74">
      <c r="A1257" s="18"/>
      <c r="B1257" s="19"/>
      <c r="BG1257" s="18"/>
      <c r="BH1257" s="18"/>
      <c r="BI1257" s="18"/>
      <c r="BJ1257" s="18"/>
      <c r="BK1257" s="18"/>
      <c r="BL1257" s="18"/>
      <c r="BM1257" s="18"/>
      <c r="BN1257" s="18"/>
      <c r="BO1257" s="18"/>
      <c r="BP1257" s="18"/>
      <c r="BQ1257" s="18"/>
      <c r="BR1257" s="18"/>
      <c r="BS1257" s="18"/>
      <c r="BT1257" s="18"/>
      <c r="BU1257" s="18"/>
      <c r="BV1257" s="18"/>
    </row>
    <row r="1258" spans="1:74">
      <c r="A1258" s="18"/>
      <c r="B1258" s="19"/>
      <c r="BG1258" s="18"/>
      <c r="BH1258" s="18"/>
      <c r="BI1258" s="18"/>
      <c r="BJ1258" s="18"/>
      <c r="BK1258" s="18"/>
      <c r="BL1258" s="18"/>
      <c r="BM1258" s="18"/>
      <c r="BN1258" s="18"/>
      <c r="BO1258" s="18"/>
      <c r="BP1258" s="18"/>
      <c r="BQ1258" s="18"/>
      <c r="BR1258" s="18"/>
      <c r="BS1258" s="18"/>
      <c r="BT1258" s="18"/>
      <c r="BU1258" s="18"/>
      <c r="BV1258" s="18"/>
    </row>
    <row r="1259" spans="1:74">
      <c r="A1259" s="18"/>
      <c r="B1259" s="19"/>
      <c r="BG1259" s="18"/>
      <c r="BH1259" s="18"/>
      <c r="BI1259" s="18"/>
      <c r="BJ1259" s="18"/>
      <c r="BK1259" s="18"/>
      <c r="BL1259" s="18"/>
      <c r="BM1259" s="18"/>
      <c r="BN1259" s="18"/>
      <c r="BO1259" s="18"/>
      <c r="BP1259" s="18"/>
      <c r="BQ1259" s="18"/>
      <c r="BR1259" s="18"/>
      <c r="BS1259" s="18"/>
      <c r="BT1259" s="18"/>
      <c r="BU1259" s="18"/>
      <c r="BV1259" s="18"/>
    </row>
    <row r="1260" spans="1:74">
      <c r="A1260" s="18"/>
      <c r="B1260" s="19"/>
      <c r="BG1260" s="18"/>
      <c r="BH1260" s="18"/>
      <c r="BI1260" s="18"/>
      <c r="BJ1260" s="18"/>
      <c r="BK1260" s="18"/>
      <c r="BL1260" s="18"/>
      <c r="BM1260" s="18"/>
      <c r="BN1260" s="18"/>
      <c r="BO1260" s="18"/>
      <c r="BP1260" s="18"/>
      <c r="BQ1260" s="18"/>
      <c r="BR1260" s="18"/>
      <c r="BS1260" s="18"/>
      <c r="BT1260" s="18"/>
      <c r="BU1260" s="18"/>
      <c r="BV1260" s="18"/>
    </row>
    <row r="1261" spans="1:74">
      <c r="A1261" s="18"/>
      <c r="B1261" s="19"/>
      <c r="BG1261" s="18"/>
      <c r="BH1261" s="18"/>
      <c r="BI1261" s="18"/>
      <c r="BJ1261" s="18"/>
      <c r="BK1261" s="18"/>
      <c r="BL1261" s="18"/>
      <c r="BM1261" s="18"/>
      <c r="BN1261" s="18"/>
      <c r="BO1261" s="18"/>
      <c r="BP1261" s="18"/>
      <c r="BQ1261" s="18"/>
      <c r="BR1261" s="18"/>
      <c r="BS1261" s="18"/>
      <c r="BT1261" s="18"/>
      <c r="BU1261" s="18"/>
      <c r="BV1261" s="18"/>
    </row>
    <row r="1262" spans="1:74">
      <c r="A1262" s="18"/>
      <c r="B1262" s="19"/>
      <c r="BG1262" s="18"/>
      <c r="BH1262" s="18"/>
      <c r="BI1262" s="18"/>
      <c r="BJ1262" s="18"/>
      <c r="BK1262" s="18"/>
      <c r="BL1262" s="18"/>
      <c r="BM1262" s="18"/>
      <c r="BN1262" s="18"/>
      <c r="BO1262" s="18"/>
      <c r="BP1262" s="18"/>
      <c r="BQ1262" s="18"/>
      <c r="BR1262" s="18"/>
      <c r="BS1262" s="18"/>
      <c r="BT1262" s="18"/>
      <c r="BU1262" s="18"/>
      <c r="BV1262" s="18"/>
    </row>
    <row r="1263" spans="1:74">
      <c r="A1263" s="18"/>
      <c r="B1263" s="19"/>
      <c r="BG1263" s="18"/>
      <c r="BH1263" s="18"/>
      <c r="BI1263" s="18"/>
      <c r="BJ1263" s="18"/>
      <c r="BK1263" s="18"/>
      <c r="BL1263" s="18"/>
      <c r="BM1263" s="18"/>
      <c r="BN1263" s="18"/>
      <c r="BO1263" s="18"/>
      <c r="BP1263" s="18"/>
      <c r="BQ1263" s="18"/>
      <c r="BR1263" s="18"/>
      <c r="BS1263" s="18"/>
      <c r="BT1263" s="18"/>
      <c r="BU1263" s="18"/>
      <c r="BV1263" s="18"/>
    </row>
    <row r="1264" spans="1:74">
      <c r="A1264" s="18"/>
      <c r="B1264" s="19"/>
      <c r="BG1264" s="18"/>
      <c r="BH1264" s="18"/>
      <c r="BI1264" s="18"/>
      <c r="BJ1264" s="18"/>
      <c r="BK1264" s="18"/>
      <c r="BL1264" s="18"/>
      <c r="BM1264" s="18"/>
      <c r="BN1264" s="18"/>
      <c r="BO1264" s="18"/>
      <c r="BP1264" s="18"/>
      <c r="BQ1264" s="18"/>
      <c r="BR1264" s="18"/>
      <c r="BS1264" s="18"/>
      <c r="BT1264" s="18"/>
      <c r="BU1264" s="18"/>
      <c r="BV1264" s="18"/>
    </row>
    <row r="1265" spans="1:74">
      <c r="A1265" s="18"/>
      <c r="B1265" s="19"/>
      <c r="BG1265" s="18"/>
      <c r="BH1265" s="18"/>
      <c r="BI1265" s="18"/>
      <c r="BJ1265" s="18"/>
      <c r="BK1265" s="18"/>
      <c r="BL1265" s="18"/>
      <c r="BM1265" s="18"/>
      <c r="BN1265" s="18"/>
      <c r="BO1265" s="18"/>
      <c r="BP1265" s="18"/>
      <c r="BQ1265" s="18"/>
      <c r="BR1265" s="18"/>
      <c r="BS1265" s="18"/>
      <c r="BT1265" s="18"/>
      <c r="BU1265" s="18"/>
      <c r="BV1265" s="18"/>
    </row>
    <row r="1266" spans="1:74">
      <c r="A1266" s="18"/>
      <c r="B1266" s="19"/>
      <c r="BG1266" s="18"/>
      <c r="BH1266" s="18"/>
      <c r="BI1266" s="18"/>
      <c r="BJ1266" s="18"/>
      <c r="BK1266" s="18"/>
      <c r="BL1266" s="18"/>
      <c r="BM1266" s="18"/>
      <c r="BN1266" s="18"/>
      <c r="BO1266" s="18"/>
      <c r="BP1266" s="18"/>
      <c r="BQ1266" s="18"/>
      <c r="BR1266" s="18"/>
      <c r="BS1266" s="18"/>
      <c r="BT1266" s="18"/>
      <c r="BU1266" s="18"/>
      <c r="BV1266" s="18"/>
    </row>
    <row r="1267" spans="1:74">
      <c r="A1267" s="18"/>
      <c r="B1267" s="19"/>
      <c r="BG1267" s="18"/>
      <c r="BH1267" s="18"/>
      <c r="BI1267" s="18"/>
      <c r="BJ1267" s="18"/>
      <c r="BK1267" s="18"/>
      <c r="BL1267" s="18"/>
      <c r="BM1267" s="18"/>
      <c r="BN1267" s="18"/>
      <c r="BO1267" s="18"/>
      <c r="BP1267" s="18"/>
      <c r="BQ1267" s="18"/>
      <c r="BR1267" s="18"/>
      <c r="BS1267" s="18"/>
      <c r="BT1267" s="18"/>
      <c r="BU1267" s="18"/>
      <c r="BV1267" s="18"/>
    </row>
    <row r="1268" spans="1:74">
      <c r="A1268" s="18"/>
      <c r="B1268" s="19"/>
      <c r="BG1268" s="18"/>
      <c r="BH1268" s="18"/>
      <c r="BI1268" s="18"/>
      <c r="BJ1268" s="18"/>
      <c r="BK1268" s="18"/>
      <c r="BL1268" s="18"/>
      <c r="BM1268" s="18"/>
      <c r="BN1268" s="18"/>
      <c r="BO1268" s="18"/>
      <c r="BP1268" s="18"/>
      <c r="BQ1268" s="18"/>
      <c r="BR1268" s="18"/>
      <c r="BS1268" s="18"/>
      <c r="BT1268" s="18"/>
      <c r="BU1268" s="18"/>
      <c r="BV1268" s="18"/>
    </row>
    <row r="1269" spans="1:74">
      <c r="A1269" s="18"/>
      <c r="B1269" s="19"/>
      <c r="BG1269" s="18"/>
      <c r="BH1269" s="18"/>
      <c r="BI1269" s="18"/>
      <c r="BJ1269" s="18"/>
      <c r="BK1269" s="18"/>
      <c r="BL1269" s="18"/>
      <c r="BM1269" s="18"/>
      <c r="BN1269" s="18"/>
      <c r="BO1269" s="18"/>
      <c r="BP1269" s="18"/>
      <c r="BQ1269" s="18"/>
      <c r="BR1269" s="18"/>
      <c r="BS1269" s="18"/>
      <c r="BT1269" s="18"/>
      <c r="BU1269" s="18"/>
      <c r="BV1269" s="18"/>
    </row>
    <row r="1270" spans="1:74">
      <c r="A1270" s="18"/>
      <c r="B1270" s="19"/>
      <c r="BG1270" s="18"/>
      <c r="BH1270" s="18"/>
      <c r="BI1270" s="18"/>
      <c r="BJ1270" s="18"/>
      <c r="BK1270" s="18"/>
      <c r="BL1270" s="18"/>
      <c r="BM1270" s="18"/>
      <c r="BN1270" s="18"/>
      <c r="BO1270" s="18"/>
      <c r="BP1270" s="18"/>
      <c r="BQ1270" s="18"/>
      <c r="BR1270" s="18"/>
      <c r="BS1270" s="18"/>
      <c r="BT1270" s="18"/>
      <c r="BU1270" s="18"/>
      <c r="BV1270" s="18"/>
    </row>
    <row r="1271" spans="1:74">
      <c r="A1271" s="18"/>
      <c r="B1271" s="19"/>
      <c r="BG1271" s="18"/>
      <c r="BH1271" s="18"/>
      <c r="BI1271" s="18"/>
      <c r="BJ1271" s="18"/>
      <c r="BK1271" s="18"/>
      <c r="BL1271" s="18"/>
      <c r="BM1271" s="18"/>
      <c r="BN1271" s="18"/>
      <c r="BO1271" s="18"/>
      <c r="BP1271" s="18"/>
      <c r="BQ1271" s="18"/>
      <c r="BR1271" s="18"/>
      <c r="BS1271" s="18"/>
      <c r="BT1271" s="18"/>
      <c r="BU1271" s="18"/>
      <c r="BV1271" s="18"/>
    </row>
    <row r="1272" spans="1:74">
      <c r="A1272" s="18"/>
      <c r="B1272" s="19"/>
      <c r="BG1272" s="18"/>
      <c r="BH1272" s="18"/>
      <c r="BI1272" s="18"/>
      <c r="BJ1272" s="18"/>
      <c r="BK1272" s="18"/>
      <c r="BL1272" s="18"/>
      <c r="BM1272" s="18"/>
      <c r="BN1272" s="18"/>
      <c r="BO1272" s="18"/>
      <c r="BP1272" s="18"/>
      <c r="BQ1272" s="18"/>
      <c r="BR1272" s="18"/>
      <c r="BS1272" s="18"/>
      <c r="BT1272" s="18"/>
      <c r="BU1272" s="18"/>
      <c r="BV1272" s="18"/>
    </row>
    <row r="1273" spans="1:74">
      <c r="A1273" s="18"/>
      <c r="B1273" s="19"/>
      <c r="BG1273" s="18"/>
      <c r="BH1273" s="18"/>
      <c r="BI1273" s="18"/>
      <c r="BJ1273" s="18"/>
      <c r="BK1273" s="18"/>
      <c r="BL1273" s="18"/>
      <c r="BM1273" s="18"/>
      <c r="BN1273" s="18"/>
      <c r="BO1273" s="18"/>
      <c r="BP1273" s="18"/>
      <c r="BQ1273" s="18"/>
      <c r="BR1273" s="18"/>
      <c r="BS1273" s="18"/>
      <c r="BT1273" s="18"/>
      <c r="BU1273" s="18"/>
      <c r="BV1273" s="18"/>
    </row>
    <row r="1274" spans="1:74">
      <c r="A1274" s="18"/>
      <c r="B1274" s="19"/>
      <c r="BG1274" s="18"/>
      <c r="BH1274" s="18"/>
      <c r="BI1274" s="18"/>
      <c r="BJ1274" s="18"/>
      <c r="BK1274" s="18"/>
      <c r="BL1274" s="18"/>
      <c r="BM1274" s="18"/>
      <c r="BN1274" s="18"/>
      <c r="BO1274" s="18"/>
      <c r="BP1274" s="18"/>
      <c r="BQ1274" s="18"/>
      <c r="BR1274" s="18"/>
      <c r="BS1274" s="18"/>
      <c r="BT1274" s="18"/>
      <c r="BU1274" s="18"/>
      <c r="BV1274" s="18"/>
    </row>
    <row r="1275" spans="1:74">
      <c r="A1275" s="18"/>
      <c r="B1275" s="19"/>
      <c r="BG1275" s="18"/>
      <c r="BH1275" s="18"/>
      <c r="BI1275" s="18"/>
      <c r="BJ1275" s="18"/>
      <c r="BK1275" s="18"/>
      <c r="BL1275" s="18"/>
      <c r="BM1275" s="18"/>
      <c r="BN1275" s="18"/>
      <c r="BO1275" s="18"/>
      <c r="BP1275" s="18"/>
      <c r="BQ1275" s="18"/>
      <c r="BR1275" s="18"/>
      <c r="BS1275" s="18"/>
      <c r="BT1275" s="18"/>
      <c r="BU1275" s="18"/>
      <c r="BV1275" s="18"/>
    </row>
    <row r="1276" spans="1:74">
      <c r="A1276" s="18"/>
      <c r="B1276" s="19"/>
      <c r="BG1276" s="18"/>
      <c r="BH1276" s="18"/>
      <c r="BI1276" s="18"/>
      <c r="BJ1276" s="18"/>
      <c r="BK1276" s="18"/>
      <c r="BL1276" s="18"/>
      <c r="BM1276" s="18"/>
      <c r="BN1276" s="18"/>
      <c r="BO1276" s="18"/>
      <c r="BP1276" s="18"/>
      <c r="BQ1276" s="18"/>
      <c r="BR1276" s="18"/>
      <c r="BS1276" s="18"/>
      <c r="BT1276" s="18"/>
      <c r="BU1276" s="18"/>
      <c r="BV1276" s="18"/>
    </row>
    <row r="1277" spans="1:74">
      <c r="A1277" s="18"/>
      <c r="B1277" s="19"/>
      <c r="BG1277" s="18"/>
      <c r="BH1277" s="18"/>
      <c r="BI1277" s="18"/>
      <c r="BJ1277" s="18"/>
      <c r="BK1277" s="18"/>
      <c r="BL1277" s="18"/>
      <c r="BM1277" s="18"/>
      <c r="BN1277" s="18"/>
      <c r="BO1277" s="18"/>
      <c r="BP1277" s="18"/>
      <c r="BQ1277" s="18"/>
      <c r="BR1277" s="18"/>
      <c r="BS1277" s="18"/>
      <c r="BT1277" s="18"/>
      <c r="BU1277" s="18"/>
      <c r="BV1277" s="18"/>
    </row>
    <row r="1278" spans="1:74">
      <c r="A1278" s="18"/>
      <c r="B1278" s="19"/>
      <c r="BG1278" s="18"/>
      <c r="BH1278" s="18"/>
      <c r="BI1278" s="18"/>
      <c r="BJ1278" s="18"/>
      <c r="BK1278" s="18"/>
      <c r="BL1278" s="18"/>
      <c r="BM1278" s="18"/>
      <c r="BN1278" s="18"/>
      <c r="BO1278" s="18"/>
      <c r="BP1278" s="18"/>
      <c r="BQ1278" s="18"/>
      <c r="BR1278" s="18"/>
      <c r="BS1278" s="18"/>
      <c r="BT1278" s="18"/>
      <c r="BU1278" s="18"/>
      <c r="BV1278" s="18"/>
    </row>
    <row r="1279" spans="1:74">
      <c r="A1279" s="18"/>
      <c r="B1279" s="19"/>
      <c r="BG1279" s="18"/>
      <c r="BH1279" s="18"/>
      <c r="BI1279" s="18"/>
      <c r="BJ1279" s="18"/>
      <c r="BK1279" s="18"/>
      <c r="BL1279" s="18"/>
      <c r="BM1279" s="18"/>
      <c r="BN1279" s="18"/>
      <c r="BO1279" s="18"/>
      <c r="BP1279" s="18"/>
      <c r="BQ1279" s="18"/>
      <c r="BR1279" s="18"/>
      <c r="BS1279" s="18"/>
      <c r="BT1279" s="18"/>
      <c r="BU1279" s="18"/>
      <c r="BV1279" s="18"/>
    </row>
    <row r="1280" spans="1:74">
      <c r="A1280" s="18"/>
      <c r="B1280" s="19"/>
      <c r="BG1280" s="18"/>
      <c r="BH1280" s="18"/>
      <c r="BI1280" s="18"/>
      <c r="BJ1280" s="18"/>
      <c r="BK1280" s="18"/>
      <c r="BL1280" s="18"/>
      <c r="BM1280" s="18"/>
      <c r="BN1280" s="18"/>
      <c r="BO1280" s="18"/>
      <c r="BP1280" s="18"/>
      <c r="BQ1280" s="18"/>
      <c r="BR1280" s="18"/>
      <c r="BS1280" s="18"/>
      <c r="BT1280" s="18"/>
      <c r="BU1280" s="18"/>
      <c r="BV1280" s="18"/>
    </row>
    <row r="1281" spans="1:74">
      <c r="A1281" s="18"/>
      <c r="B1281" s="19"/>
      <c r="BG1281" s="18"/>
      <c r="BH1281" s="18"/>
      <c r="BI1281" s="18"/>
      <c r="BJ1281" s="18"/>
      <c r="BK1281" s="18"/>
      <c r="BL1281" s="18"/>
      <c r="BM1281" s="18"/>
      <c r="BN1281" s="18"/>
      <c r="BO1281" s="18"/>
      <c r="BP1281" s="18"/>
      <c r="BQ1281" s="18"/>
      <c r="BR1281" s="18"/>
      <c r="BS1281" s="18"/>
      <c r="BT1281" s="18"/>
      <c r="BU1281" s="18"/>
      <c r="BV1281" s="18"/>
    </row>
    <row r="1282" spans="1:74">
      <c r="A1282" s="18"/>
      <c r="B1282" s="19"/>
      <c r="BG1282" s="18"/>
      <c r="BH1282" s="18"/>
      <c r="BI1282" s="18"/>
      <c r="BJ1282" s="18"/>
      <c r="BK1282" s="18"/>
      <c r="BL1282" s="18"/>
      <c r="BM1282" s="18"/>
      <c r="BN1282" s="18"/>
      <c r="BO1282" s="18"/>
      <c r="BP1282" s="18"/>
      <c r="BQ1282" s="18"/>
      <c r="BR1282" s="18"/>
      <c r="BS1282" s="18"/>
      <c r="BT1282" s="18"/>
      <c r="BU1282" s="18"/>
      <c r="BV1282" s="18"/>
    </row>
    <row r="1283" spans="1:74">
      <c r="A1283" s="18"/>
      <c r="B1283" s="19"/>
      <c r="BG1283" s="18"/>
      <c r="BH1283" s="18"/>
      <c r="BI1283" s="18"/>
      <c r="BJ1283" s="18"/>
      <c r="BK1283" s="18"/>
      <c r="BL1283" s="18"/>
      <c r="BM1283" s="18"/>
      <c r="BN1283" s="18"/>
      <c r="BO1283" s="18"/>
      <c r="BP1283" s="18"/>
      <c r="BQ1283" s="18"/>
      <c r="BR1283" s="18"/>
      <c r="BS1283" s="18"/>
      <c r="BT1283" s="18"/>
      <c r="BU1283" s="18"/>
      <c r="BV1283" s="18"/>
    </row>
    <row r="1284" spans="1:74">
      <c r="A1284" s="18"/>
      <c r="B1284" s="19"/>
      <c r="BG1284" s="18"/>
      <c r="BH1284" s="18"/>
      <c r="BI1284" s="18"/>
      <c r="BJ1284" s="18"/>
      <c r="BK1284" s="18"/>
      <c r="BL1284" s="18"/>
      <c r="BM1284" s="18"/>
      <c r="BN1284" s="18"/>
      <c r="BO1284" s="18"/>
      <c r="BP1284" s="18"/>
      <c r="BQ1284" s="18"/>
      <c r="BR1284" s="18"/>
      <c r="BS1284" s="18"/>
      <c r="BT1284" s="18"/>
      <c r="BU1284" s="18"/>
      <c r="BV1284" s="18"/>
    </row>
    <row r="1285" spans="1:74">
      <c r="A1285" s="18"/>
      <c r="B1285" s="19"/>
      <c r="BG1285" s="18"/>
      <c r="BH1285" s="18"/>
      <c r="BI1285" s="18"/>
      <c r="BJ1285" s="18"/>
      <c r="BK1285" s="18"/>
      <c r="BL1285" s="18"/>
      <c r="BM1285" s="18"/>
      <c r="BN1285" s="18"/>
      <c r="BO1285" s="18"/>
      <c r="BP1285" s="18"/>
      <c r="BQ1285" s="18"/>
      <c r="BR1285" s="18"/>
      <c r="BS1285" s="18"/>
      <c r="BT1285" s="18"/>
      <c r="BU1285" s="18"/>
      <c r="BV1285" s="18"/>
    </row>
    <row r="1286" spans="1:74">
      <c r="A1286" s="18"/>
      <c r="B1286" s="19"/>
      <c r="BG1286" s="18"/>
      <c r="BH1286" s="18"/>
      <c r="BI1286" s="18"/>
      <c r="BJ1286" s="18"/>
      <c r="BK1286" s="18"/>
      <c r="BL1286" s="18"/>
      <c r="BM1286" s="18"/>
      <c r="BN1286" s="18"/>
      <c r="BO1286" s="18"/>
      <c r="BP1286" s="18"/>
      <c r="BQ1286" s="18"/>
      <c r="BR1286" s="18"/>
      <c r="BS1286" s="18"/>
      <c r="BT1286" s="18"/>
      <c r="BU1286" s="18"/>
      <c r="BV1286" s="18"/>
    </row>
    <row r="1287" spans="1:74">
      <c r="A1287" s="18"/>
      <c r="B1287" s="19"/>
      <c r="BG1287" s="18"/>
      <c r="BH1287" s="18"/>
      <c r="BI1287" s="18"/>
      <c r="BJ1287" s="18"/>
      <c r="BK1287" s="18"/>
      <c r="BL1287" s="18"/>
      <c r="BM1287" s="18"/>
      <c r="BN1287" s="18"/>
      <c r="BO1287" s="18"/>
      <c r="BP1287" s="18"/>
      <c r="BQ1287" s="18"/>
      <c r="BR1287" s="18"/>
      <c r="BS1287" s="18"/>
      <c r="BT1287" s="18"/>
      <c r="BU1287" s="18"/>
      <c r="BV1287" s="18"/>
    </row>
    <row r="1288" spans="1:74">
      <c r="A1288" s="18"/>
      <c r="B1288" s="19"/>
      <c r="BG1288" s="18"/>
      <c r="BH1288" s="18"/>
      <c r="BI1288" s="18"/>
      <c r="BJ1288" s="18"/>
      <c r="BK1288" s="18"/>
      <c r="BL1288" s="18"/>
      <c r="BM1288" s="18"/>
      <c r="BN1288" s="18"/>
      <c r="BO1288" s="18"/>
      <c r="BP1288" s="18"/>
      <c r="BQ1288" s="18"/>
      <c r="BR1288" s="18"/>
      <c r="BS1288" s="18"/>
      <c r="BT1288" s="18"/>
      <c r="BU1288" s="18"/>
      <c r="BV1288" s="18"/>
    </row>
    <row r="1289" spans="1:74">
      <c r="A1289" s="18"/>
      <c r="B1289" s="19"/>
      <c r="BG1289" s="18"/>
      <c r="BH1289" s="18"/>
      <c r="BI1289" s="18"/>
      <c r="BJ1289" s="18"/>
      <c r="BK1289" s="18"/>
      <c r="BL1289" s="18"/>
      <c r="BM1289" s="18"/>
      <c r="BN1289" s="18"/>
      <c r="BO1289" s="18"/>
      <c r="BP1289" s="18"/>
      <c r="BQ1289" s="18"/>
      <c r="BR1289" s="18"/>
      <c r="BS1289" s="18"/>
      <c r="BT1289" s="18"/>
      <c r="BU1289" s="18"/>
      <c r="BV1289" s="18"/>
    </row>
    <row r="1290" spans="1:74">
      <c r="A1290" s="18"/>
      <c r="B1290" s="19"/>
      <c r="BG1290" s="18"/>
      <c r="BH1290" s="18"/>
      <c r="BI1290" s="18"/>
      <c r="BJ1290" s="18"/>
      <c r="BK1290" s="18"/>
      <c r="BL1290" s="18"/>
      <c r="BM1290" s="18"/>
      <c r="BN1290" s="18"/>
      <c r="BO1290" s="18"/>
      <c r="BP1290" s="18"/>
      <c r="BQ1290" s="18"/>
      <c r="BR1290" s="18"/>
      <c r="BS1290" s="18"/>
      <c r="BT1290" s="18"/>
      <c r="BU1290" s="18"/>
      <c r="BV1290" s="18"/>
    </row>
    <row r="1291" spans="1:74">
      <c r="A1291" s="18"/>
      <c r="B1291" s="19"/>
      <c r="BG1291" s="18"/>
      <c r="BH1291" s="18"/>
      <c r="BI1291" s="18"/>
      <c r="BJ1291" s="18"/>
      <c r="BK1291" s="18"/>
      <c r="BL1291" s="18"/>
      <c r="BM1291" s="18"/>
      <c r="BN1291" s="18"/>
      <c r="BO1291" s="18"/>
      <c r="BP1291" s="18"/>
      <c r="BQ1291" s="18"/>
      <c r="BR1291" s="18"/>
      <c r="BS1291" s="18"/>
      <c r="BT1291" s="18"/>
      <c r="BU1291" s="18"/>
      <c r="BV1291" s="18"/>
    </row>
    <row r="1292" spans="1:74">
      <c r="A1292" s="18"/>
      <c r="B1292" s="19"/>
      <c r="BG1292" s="18"/>
      <c r="BH1292" s="18"/>
      <c r="BI1292" s="18"/>
      <c r="BJ1292" s="18"/>
      <c r="BK1292" s="18"/>
      <c r="BL1292" s="18"/>
      <c r="BM1292" s="18"/>
      <c r="BN1292" s="18"/>
      <c r="BO1292" s="18"/>
      <c r="BP1292" s="18"/>
      <c r="BQ1292" s="18"/>
      <c r="BR1292" s="18"/>
      <c r="BS1292" s="18"/>
      <c r="BT1292" s="18"/>
      <c r="BU1292" s="18"/>
      <c r="BV1292" s="18"/>
    </row>
    <row r="1293" spans="1:74">
      <c r="A1293" s="18"/>
      <c r="B1293" s="19"/>
      <c r="BG1293" s="18"/>
      <c r="BH1293" s="18"/>
      <c r="BI1293" s="18"/>
      <c r="BJ1293" s="18"/>
      <c r="BK1293" s="18"/>
      <c r="BL1293" s="18"/>
      <c r="BM1293" s="18"/>
      <c r="BN1293" s="18"/>
      <c r="BO1293" s="18"/>
      <c r="BP1293" s="18"/>
      <c r="BQ1293" s="18"/>
      <c r="BR1293" s="18"/>
      <c r="BS1293" s="18"/>
      <c r="BT1293" s="18"/>
      <c r="BU1293" s="18"/>
      <c r="BV1293" s="18"/>
    </row>
    <row r="1294" spans="1:74">
      <c r="A1294" s="18"/>
      <c r="B1294" s="19"/>
      <c r="BG1294" s="18"/>
      <c r="BH1294" s="18"/>
      <c r="BI1294" s="18"/>
      <c r="BJ1294" s="18"/>
      <c r="BK1294" s="18"/>
      <c r="BL1294" s="18"/>
      <c r="BM1294" s="18"/>
      <c r="BN1294" s="18"/>
      <c r="BO1294" s="18"/>
      <c r="BP1294" s="18"/>
      <c r="BQ1294" s="18"/>
      <c r="BR1294" s="18"/>
      <c r="BS1294" s="18"/>
      <c r="BT1294" s="18"/>
      <c r="BU1294" s="18"/>
      <c r="BV1294" s="18"/>
    </row>
    <row r="1295" spans="1:74">
      <c r="A1295" s="18"/>
      <c r="B1295" s="19"/>
      <c r="BG1295" s="18"/>
      <c r="BH1295" s="18"/>
      <c r="BI1295" s="18"/>
      <c r="BJ1295" s="18"/>
      <c r="BK1295" s="18"/>
      <c r="BL1295" s="18"/>
      <c r="BM1295" s="18"/>
      <c r="BN1295" s="18"/>
      <c r="BO1295" s="18"/>
      <c r="BP1295" s="18"/>
      <c r="BQ1295" s="18"/>
      <c r="BR1295" s="18"/>
      <c r="BS1295" s="18"/>
      <c r="BT1295" s="18"/>
      <c r="BU1295" s="18"/>
      <c r="BV1295" s="18"/>
    </row>
    <row r="1296" spans="1:74">
      <c r="A1296" s="18"/>
      <c r="B1296" s="19"/>
      <c r="BG1296" s="18"/>
      <c r="BH1296" s="18"/>
      <c r="BI1296" s="18"/>
      <c r="BJ1296" s="18"/>
      <c r="BK1296" s="18"/>
      <c r="BL1296" s="18"/>
      <c r="BM1296" s="18"/>
      <c r="BN1296" s="18"/>
      <c r="BO1296" s="18"/>
      <c r="BP1296" s="18"/>
      <c r="BQ1296" s="18"/>
      <c r="BR1296" s="18"/>
      <c r="BS1296" s="18"/>
      <c r="BT1296" s="18"/>
      <c r="BU1296" s="18"/>
      <c r="BV1296" s="18"/>
    </row>
    <row r="1297" spans="1:74">
      <c r="A1297" s="18"/>
      <c r="B1297" s="19"/>
      <c r="BG1297" s="18"/>
      <c r="BH1297" s="18"/>
      <c r="BI1297" s="18"/>
      <c r="BJ1297" s="18"/>
      <c r="BK1297" s="18"/>
      <c r="BL1297" s="18"/>
      <c r="BM1297" s="18"/>
      <c r="BN1297" s="18"/>
      <c r="BO1297" s="18"/>
      <c r="BP1297" s="18"/>
      <c r="BQ1297" s="18"/>
      <c r="BR1297" s="18"/>
      <c r="BS1297" s="18"/>
      <c r="BT1297" s="18"/>
      <c r="BU1297" s="18"/>
      <c r="BV1297" s="18"/>
    </row>
    <row r="1298" spans="1:74">
      <c r="A1298" s="18"/>
      <c r="B1298" s="19"/>
      <c r="BG1298" s="18"/>
      <c r="BH1298" s="18"/>
      <c r="BI1298" s="18"/>
      <c r="BJ1298" s="18"/>
      <c r="BK1298" s="18"/>
      <c r="BL1298" s="18"/>
      <c r="BM1298" s="18"/>
      <c r="BN1298" s="18"/>
      <c r="BO1298" s="18"/>
      <c r="BP1298" s="18"/>
      <c r="BQ1298" s="18"/>
      <c r="BR1298" s="18"/>
      <c r="BS1298" s="18"/>
      <c r="BT1298" s="18"/>
      <c r="BU1298" s="18"/>
      <c r="BV1298" s="18"/>
    </row>
    <row r="1299" spans="1:74">
      <c r="A1299" s="18"/>
      <c r="B1299" s="19"/>
      <c r="BG1299" s="18"/>
      <c r="BH1299" s="18"/>
      <c r="BI1299" s="18"/>
      <c r="BJ1299" s="18"/>
      <c r="BK1299" s="18"/>
      <c r="BL1299" s="18"/>
      <c r="BM1299" s="18"/>
      <c r="BN1299" s="18"/>
      <c r="BO1299" s="18"/>
      <c r="BP1299" s="18"/>
      <c r="BQ1299" s="18"/>
      <c r="BR1299" s="18"/>
      <c r="BS1299" s="18"/>
      <c r="BT1299" s="18"/>
      <c r="BU1299" s="18"/>
      <c r="BV1299" s="18"/>
    </row>
    <row r="1300" spans="1:74">
      <c r="A1300" s="18"/>
      <c r="B1300" s="19"/>
      <c r="BG1300" s="18"/>
      <c r="BH1300" s="18"/>
      <c r="BI1300" s="18"/>
      <c r="BJ1300" s="18"/>
      <c r="BK1300" s="18"/>
      <c r="BL1300" s="18"/>
      <c r="BM1300" s="18"/>
      <c r="BN1300" s="18"/>
      <c r="BO1300" s="18"/>
      <c r="BP1300" s="18"/>
      <c r="BQ1300" s="18"/>
      <c r="BR1300" s="18"/>
      <c r="BS1300" s="18"/>
      <c r="BT1300" s="18"/>
      <c r="BU1300" s="18"/>
      <c r="BV1300" s="18"/>
    </row>
    <row r="1301" spans="1:74">
      <c r="A1301" s="18"/>
      <c r="B1301" s="19"/>
      <c r="BG1301" s="18"/>
      <c r="BH1301" s="18"/>
      <c r="BI1301" s="18"/>
      <c r="BJ1301" s="18"/>
      <c r="BK1301" s="18"/>
      <c r="BL1301" s="18"/>
      <c r="BM1301" s="18"/>
      <c r="BN1301" s="18"/>
      <c r="BO1301" s="18"/>
      <c r="BP1301" s="18"/>
      <c r="BQ1301" s="18"/>
      <c r="BR1301" s="18"/>
      <c r="BS1301" s="18"/>
      <c r="BT1301" s="18"/>
      <c r="BU1301" s="18"/>
      <c r="BV1301" s="18"/>
    </row>
    <row r="1302" spans="1:74">
      <c r="A1302" s="18"/>
      <c r="B1302" s="19"/>
      <c r="BG1302" s="18"/>
      <c r="BH1302" s="18"/>
      <c r="BI1302" s="18"/>
      <c r="BJ1302" s="18"/>
      <c r="BK1302" s="18"/>
      <c r="BL1302" s="18"/>
      <c r="BM1302" s="18"/>
      <c r="BN1302" s="18"/>
      <c r="BO1302" s="18"/>
      <c r="BP1302" s="18"/>
      <c r="BQ1302" s="18"/>
      <c r="BR1302" s="18"/>
      <c r="BS1302" s="18"/>
      <c r="BT1302" s="18"/>
      <c r="BU1302" s="18"/>
      <c r="BV1302" s="18"/>
    </row>
    <row r="1303" spans="1:74">
      <c r="A1303" s="18"/>
      <c r="B1303" s="19"/>
      <c r="BG1303" s="18"/>
      <c r="BH1303" s="18"/>
      <c r="BI1303" s="18"/>
      <c r="BJ1303" s="18"/>
      <c r="BK1303" s="18"/>
      <c r="BL1303" s="18"/>
      <c r="BM1303" s="18"/>
      <c r="BN1303" s="18"/>
      <c r="BO1303" s="18"/>
      <c r="BP1303" s="18"/>
      <c r="BQ1303" s="18"/>
      <c r="BR1303" s="18"/>
      <c r="BS1303" s="18"/>
      <c r="BT1303" s="18"/>
      <c r="BU1303" s="18"/>
      <c r="BV1303" s="18"/>
    </row>
    <row r="1304" spans="1:74">
      <c r="A1304" s="18"/>
      <c r="B1304" s="19"/>
      <c r="BG1304" s="18"/>
      <c r="BH1304" s="18"/>
      <c r="BI1304" s="18"/>
      <c r="BJ1304" s="18"/>
      <c r="BK1304" s="18"/>
      <c r="BL1304" s="18"/>
      <c r="BM1304" s="18"/>
      <c r="BN1304" s="18"/>
      <c r="BO1304" s="18"/>
      <c r="BP1304" s="18"/>
      <c r="BQ1304" s="18"/>
      <c r="BR1304" s="18"/>
      <c r="BS1304" s="18"/>
      <c r="BT1304" s="18"/>
      <c r="BU1304" s="18"/>
      <c r="BV1304" s="18"/>
    </row>
    <row r="1305" spans="1:74">
      <c r="A1305" s="18"/>
      <c r="B1305" s="19"/>
      <c r="BG1305" s="18"/>
      <c r="BH1305" s="18"/>
      <c r="BI1305" s="18"/>
      <c r="BJ1305" s="18"/>
      <c r="BK1305" s="18"/>
      <c r="BL1305" s="18"/>
      <c r="BM1305" s="18"/>
      <c r="BN1305" s="18"/>
      <c r="BO1305" s="18"/>
      <c r="BP1305" s="18"/>
      <c r="BQ1305" s="18"/>
      <c r="BR1305" s="18"/>
      <c r="BS1305" s="18"/>
      <c r="BT1305" s="18"/>
      <c r="BU1305" s="18"/>
      <c r="BV1305" s="18"/>
    </row>
    <row r="1306" spans="1:74">
      <c r="A1306" s="18"/>
      <c r="B1306" s="19"/>
      <c r="BG1306" s="18"/>
      <c r="BH1306" s="18"/>
      <c r="BI1306" s="18"/>
      <c r="BJ1306" s="18"/>
      <c r="BK1306" s="18"/>
      <c r="BL1306" s="18"/>
      <c r="BM1306" s="18"/>
      <c r="BN1306" s="18"/>
      <c r="BO1306" s="18"/>
      <c r="BP1306" s="18"/>
      <c r="BQ1306" s="18"/>
      <c r="BR1306" s="18"/>
      <c r="BS1306" s="18"/>
      <c r="BT1306" s="18"/>
      <c r="BU1306" s="18"/>
      <c r="BV1306" s="18"/>
    </row>
    <row r="1307" spans="1:74">
      <c r="A1307" s="18"/>
      <c r="B1307" s="19"/>
      <c r="BG1307" s="18"/>
      <c r="BH1307" s="18"/>
      <c r="BI1307" s="18"/>
      <c r="BJ1307" s="18"/>
      <c r="BK1307" s="18"/>
      <c r="BL1307" s="18"/>
      <c r="BM1307" s="18"/>
      <c r="BN1307" s="18"/>
      <c r="BO1307" s="18"/>
      <c r="BP1307" s="18"/>
      <c r="BQ1307" s="18"/>
      <c r="BR1307" s="18"/>
      <c r="BS1307" s="18"/>
      <c r="BT1307" s="18"/>
      <c r="BU1307" s="18"/>
      <c r="BV1307" s="18"/>
    </row>
    <row r="1308" spans="1:74">
      <c r="A1308" s="18"/>
      <c r="B1308" s="19"/>
      <c r="BG1308" s="18"/>
      <c r="BH1308" s="18"/>
      <c r="BI1308" s="18"/>
      <c r="BJ1308" s="18"/>
      <c r="BK1308" s="18"/>
      <c r="BL1308" s="18"/>
      <c r="BM1308" s="18"/>
      <c r="BN1308" s="18"/>
      <c r="BO1308" s="18"/>
      <c r="BP1308" s="18"/>
      <c r="BQ1308" s="18"/>
      <c r="BR1308" s="18"/>
      <c r="BS1308" s="18"/>
      <c r="BT1308" s="18"/>
      <c r="BU1308" s="18"/>
      <c r="BV1308" s="18"/>
    </row>
    <row r="1309" spans="1:74">
      <c r="A1309" s="18"/>
      <c r="B1309" s="19"/>
      <c r="BG1309" s="18"/>
      <c r="BH1309" s="18"/>
      <c r="BI1309" s="18"/>
      <c r="BJ1309" s="18"/>
      <c r="BK1309" s="18"/>
      <c r="BL1309" s="18"/>
      <c r="BM1309" s="18"/>
      <c r="BN1309" s="18"/>
      <c r="BO1309" s="18"/>
      <c r="BP1309" s="18"/>
      <c r="BQ1309" s="18"/>
      <c r="BR1309" s="18"/>
      <c r="BS1309" s="18"/>
      <c r="BT1309" s="18"/>
      <c r="BU1309" s="18"/>
      <c r="BV1309" s="18"/>
    </row>
    <row r="1310" spans="1:74">
      <c r="A1310" s="18"/>
      <c r="B1310" s="19"/>
      <c r="BG1310" s="18"/>
      <c r="BH1310" s="18"/>
      <c r="BI1310" s="18"/>
      <c r="BJ1310" s="18"/>
      <c r="BK1310" s="18"/>
      <c r="BL1310" s="18"/>
      <c r="BM1310" s="18"/>
      <c r="BN1310" s="18"/>
      <c r="BO1310" s="18"/>
      <c r="BP1310" s="18"/>
      <c r="BQ1310" s="18"/>
      <c r="BR1310" s="18"/>
      <c r="BS1310" s="18"/>
      <c r="BT1310" s="18"/>
      <c r="BU1310" s="18"/>
      <c r="BV1310" s="18"/>
    </row>
    <row r="1311" spans="1:74">
      <c r="A1311" s="18"/>
      <c r="B1311" s="19"/>
      <c r="BG1311" s="18"/>
      <c r="BH1311" s="18"/>
      <c r="BI1311" s="18"/>
      <c r="BJ1311" s="18"/>
      <c r="BK1311" s="18"/>
      <c r="BL1311" s="18"/>
      <c r="BM1311" s="18"/>
      <c r="BN1311" s="18"/>
      <c r="BO1311" s="18"/>
      <c r="BP1311" s="18"/>
      <c r="BQ1311" s="18"/>
      <c r="BR1311" s="18"/>
      <c r="BS1311" s="18"/>
      <c r="BT1311" s="18"/>
      <c r="BU1311" s="18"/>
      <c r="BV1311" s="18"/>
    </row>
    <row r="1312" spans="1:74">
      <c r="A1312" s="18"/>
      <c r="B1312" s="19"/>
      <c r="BG1312" s="18"/>
      <c r="BH1312" s="18"/>
      <c r="BI1312" s="18"/>
      <c r="BJ1312" s="18"/>
      <c r="BK1312" s="18"/>
      <c r="BL1312" s="18"/>
      <c r="BM1312" s="18"/>
      <c r="BN1312" s="18"/>
      <c r="BO1312" s="18"/>
      <c r="BP1312" s="18"/>
      <c r="BQ1312" s="18"/>
      <c r="BR1312" s="18"/>
      <c r="BS1312" s="18"/>
      <c r="BT1312" s="18"/>
      <c r="BU1312" s="18"/>
      <c r="BV1312" s="18"/>
    </row>
    <row r="1313" spans="1:74">
      <c r="A1313" s="18"/>
      <c r="B1313" s="19"/>
      <c r="BG1313" s="18"/>
      <c r="BH1313" s="18"/>
      <c r="BI1313" s="18"/>
      <c r="BJ1313" s="18"/>
      <c r="BK1313" s="18"/>
      <c r="BL1313" s="18"/>
      <c r="BM1313" s="18"/>
      <c r="BN1313" s="18"/>
      <c r="BO1313" s="18"/>
      <c r="BP1313" s="18"/>
      <c r="BQ1313" s="18"/>
      <c r="BR1313" s="18"/>
      <c r="BS1313" s="18"/>
      <c r="BT1313" s="18"/>
      <c r="BU1313" s="18"/>
      <c r="BV1313" s="18"/>
    </row>
    <row r="1314" spans="1:74">
      <c r="A1314" s="18"/>
      <c r="B1314" s="19"/>
      <c r="BG1314" s="18"/>
      <c r="BH1314" s="18"/>
      <c r="BI1314" s="18"/>
      <c r="BJ1314" s="18"/>
      <c r="BK1314" s="18"/>
      <c r="BL1314" s="18"/>
      <c r="BM1314" s="18"/>
      <c r="BN1314" s="18"/>
      <c r="BO1314" s="18"/>
      <c r="BP1314" s="18"/>
      <c r="BQ1314" s="18"/>
      <c r="BR1314" s="18"/>
      <c r="BS1314" s="18"/>
      <c r="BT1314" s="18"/>
      <c r="BU1314" s="18"/>
      <c r="BV1314" s="18"/>
    </row>
    <row r="1315" spans="1:74">
      <c r="A1315" s="18"/>
      <c r="B1315" s="19"/>
      <c r="BG1315" s="18"/>
      <c r="BH1315" s="18"/>
      <c r="BI1315" s="18"/>
      <c r="BJ1315" s="18"/>
      <c r="BK1315" s="18"/>
      <c r="BL1315" s="18"/>
      <c r="BM1315" s="18"/>
      <c r="BN1315" s="18"/>
      <c r="BO1315" s="18"/>
      <c r="BP1315" s="18"/>
      <c r="BQ1315" s="18"/>
      <c r="BR1315" s="18"/>
      <c r="BS1315" s="18"/>
      <c r="BT1315" s="18"/>
      <c r="BU1315" s="18"/>
      <c r="BV1315" s="18"/>
    </row>
    <row r="1316" spans="1:74">
      <c r="A1316" s="18"/>
      <c r="B1316" s="19"/>
      <c r="BG1316" s="18"/>
      <c r="BH1316" s="18"/>
      <c r="BI1316" s="18"/>
      <c r="BJ1316" s="18"/>
      <c r="BK1316" s="18"/>
      <c r="BL1316" s="18"/>
      <c r="BM1316" s="18"/>
      <c r="BN1316" s="18"/>
      <c r="BO1316" s="18"/>
      <c r="BP1316" s="18"/>
      <c r="BQ1316" s="18"/>
      <c r="BR1316" s="18"/>
      <c r="BS1316" s="18"/>
      <c r="BT1316" s="18"/>
      <c r="BU1316" s="18"/>
      <c r="BV1316" s="18"/>
    </row>
    <row r="1317" spans="1:74">
      <c r="A1317" s="18"/>
      <c r="B1317" s="19"/>
      <c r="BG1317" s="18"/>
      <c r="BH1317" s="18"/>
      <c r="BI1317" s="18"/>
      <c r="BJ1317" s="18"/>
      <c r="BK1317" s="18"/>
      <c r="BL1317" s="18"/>
      <c r="BM1317" s="18"/>
      <c r="BN1317" s="18"/>
      <c r="BO1317" s="18"/>
      <c r="BP1317" s="18"/>
      <c r="BQ1317" s="18"/>
      <c r="BR1317" s="18"/>
      <c r="BS1317" s="18"/>
      <c r="BT1317" s="18"/>
      <c r="BU1317" s="18"/>
      <c r="BV1317" s="18"/>
    </row>
    <row r="1318" spans="1:74">
      <c r="A1318" s="18"/>
      <c r="B1318" s="19"/>
      <c r="BG1318" s="18"/>
      <c r="BH1318" s="18"/>
      <c r="BI1318" s="18"/>
      <c r="BJ1318" s="18"/>
      <c r="BK1318" s="18"/>
      <c r="BL1318" s="18"/>
      <c r="BM1318" s="18"/>
      <c r="BN1318" s="18"/>
      <c r="BO1318" s="18"/>
      <c r="BP1318" s="18"/>
      <c r="BQ1318" s="18"/>
      <c r="BR1318" s="18"/>
      <c r="BS1318" s="18"/>
      <c r="BT1318" s="18"/>
      <c r="BU1318" s="18"/>
      <c r="BV1318" s="18"/>
    </row>
    <row r="1319" spans="1:74">
      <c r="A1319" s="18"/>
      <c r="B1319" s="19"/>
      <c r="BG1319" s="18"/>
      <c r="BH1319" s="18"/>
      <c r="BI1319" s="18"/>
      <c r="BJ1319" s="18"/>
      <c r="BK1319" s="18"/>
      <c r="BL1319" s="18"/>
      <c r="BM1319" s="18"/>
      <c r="BN1319" s="18"/>
      <c r="BO1319" s="18"/>
      <c r="BP1319" s="18"/>
      <c r="BQ1319" s="18"/>
      <c r="BR1319" s="18"/>
      <c r="BS1319" s="18"/>
      <c r="BT1319" s="18"/>
      <c r="BU1319" s="18"/>
      <c r="BV1319" s="18"/>
    </row>
    <row r="1320" spans="1:74">
      <c r="A1320" s="18"/>
      <c r="B1320" s="19"/>
      <c r="BG1320" s="18"/>
      <c r="BH1320" s="18"/>
      <c r="BI1320" s="18"/>
      <c r="BJ1320" s="18"/>
      <c r="BK1320" s="18"/>
      <c r="BL1320" s="18"/>
      <c r="BM1320" s="18"/>
      <c r="BN1320" s="18"/>
      <c r="BO1320" s="18"/>
      <c r="BP1320" s="18"/>
      <c r="BQ1320" s="18"/>
      <c r="BR1320" s="18"/>
      <c r="BS1320" s="18"/>
      <c r="BT1320" s="18"/>
      <c r="BU1320" s="18"/>
      <c r="BV1320" s="18"/>
    </row>
    <row r="1321" spans="1:74">
      <c r="A1321" s="18"/>
      <c r="B1321" s="19"/>
      <c r="BG1321" s="18"/>
      <c r="BH1321" s="18"/>
      <c r="BI1321" s="18"/>
      <c r="BJ1321" s="18"/>
      <c r="BK1321" s="18"/>
      <c r="BL1321" s="18"/>
      <c r="BM1321" s="18"/>
      <c r="BN1321" s="18"/>
      <c r="BO1321" s="18"/>
      <c r="BP1321" s="18"/>
      <c r="BQ1321" s="18"/>
      <c r="BR1321" s="18"/>
      <c r="BS1321" s="18"/>
      <c r="BT1321" s="18"/>
      <c r="BU1321" s="18"/>
      <c r="BV1321" s="18"/>
    </row>
    <row r="1322" spans="1:74">
      <c r="A1322" s="18"/>
      <c r="B1322" s="19"/>
      <c r="BG1322" s="18"/>
      <c r="BH1322" s="18"/>
      <c r="BI1322" s="18"/>
      <c r="BJ1322" s="18"/>
      <c r="BK1322" s="18"/>
      <c r="BL1322" s="18"/>
      <c r="BM1322" s="18"/>
      <c r="BN1322" s="18"/>
      <c r="BO1322" s="18"/>
      <c r="BP1322" s="18"/>
      <c r="BQ1322" s="18"/>
      <c r="BR1322" s="18"/>
      <c r="BS1322" s="18"/>
      <c r="BT1322" s="18"/>
      <c r="BU1322" s="18"/>
      <c r="BV1322" s="18"/>
    </row>
    <row r="1323" spans="1:74">
      <c r="A1323" s="18"/>
      <c r="B1323" s="19"/>
      <c r="BG1323" s="18"/>
      <c r="BH1323" s="18"/>
      <c r="BI1323" s="18"/>
      <c r="BJ1323" s="18"/>
      <c r="BK1323" s="18"/>
      <c r="BL1323" s="18"/>
      <c r="BM1323" s="18"/>
      <c r="BN1323" s="18"/>
      <c r="BO1323" s="18"/>
      <c r="BP1323" s="18"/>
      <c r="BQ1323" s="18"/>
      <c r="BR1323" s="18"/>
      <c r="BS1323" s="18"/>
      <c r="BT1323" s="18"/>
      <c r="BU1323" s="18"/>
      <c r="BV1323" s="18"/>
    </row>
    <row r="1324" spans="1:74">
      <c r="A1324" s="18"/>
      <c r="B1324" s="19"/>
      <c r="BG1324" s="18"/>
      <c r="BH1324" s="18"/>
      <c r="BI1324" s="18"/>
      <c r="BJ1324" s="18"/>
      <c r="BK1324" s="18"/>
      <c r="BL1324" s="18"/>
      <c r="BM1324" s="18"/>
      <c r="BN1324" s="18"/>
      <c r="BO1324" s="18"/>
      <c r="BP1324" s="18"/>
      <c r="BQ1324" s="18"/>
      <c r="BR1324" s="18"/>
      <c r="BS1324" s="18"/>
      <c r="BT1324" s="18"/>
      <c r="BU1324" s="18"/>
      <c r="BV1324" s="18"/>
    </row>
    <row r="1325" spans="1:74">
      <c r="A1325" s="18"/>
      <c r="B1325" s="19"/>
      <c r="BG1325" s="18"/>
      <c r="BH1325" s="18"/>
      <c r="BI1325" s="18"/>
      <c r="BJ1325" s="18"/>
      <c r="BK1325" s="18"/>
      <c r="BL1325" s="18"/>
      <c r="BM1325" s="18"/>
      <c r="BN1325" s="18"/>
      <c r="BO1325" s="18"/>
      <c r="BP1325" s="18"/>
      <c r="BQ1325" s="18"/>
      <c r="BR1325" s="18"/>
      <c r="BS1325" s="18"/>
      <c r="BT1325" s="18"/>
      <c r="BU1325" s="18"/>
      <c r="BV1325" s="18"/>
    </row>
    <row r="1326" spans="1:74">
      <c r="A1326" s="18"/>
      <c r="B1326" s="19"/>
      <c r="BG1326" s="18"/>
      <c r="BH1326" s="18"/>
      <c r="BI1326" s="18"/>
      <c r="BJ1326" s="18"/>
      <c r="BK1326" s="18"/>
      <c r="BL1326" s="18"/>
      <c r="BM1326" s="18"/>
      <c r="BN1326" s="18"/>
      <c r="BO1326" s="18"/>
      <c r="BP1326" s="18"/>
      <c r="BQ1326" s="18"/>
      <c r="BR1326" s="18"/>
      <c r="BS1326" s="18"/>
      <c r="BT1326" s="18"/>
      <c r="BU1326" s="18"/>
      <c r="BV1326" s="18"/>
    </row>
    <row r="1327" spans="1:74">
      <c r="A1327" s="18"/>
      <c r="B1327" s="19"/>
      <c r="BG1327" s="18"/>
      <c r="BH1327" s="18"/>
      <c r="BI1327" s="18"/>
      <c r="BJ1327" s="18"/>
      <c r="BK1327" s="18"/>
      <c r="BL1327" s="18"/>
      <c r="BM1327" s="18"/>
      <c r="BN1327" s="18"/>
      <c r="BO1327" s="18"/>
      <c r="BP1327" s="18"/>
      <c r="BQ1327" s="18"/>
      <c r="BR1327" s="18"/>
      <c r="BS1327" s="18"/>
      <c r="BT1327" s="18"/>
      <c r="BU1327" s="18"/>
      <c r="BV1327" s="18"/>
    </row>
    <row r="1328" spans="1:74">
      <c r="A1328" s="18"/>
      <c r="B1328" s="19"/>
      <c r="BG1328" s="18"/>
      <c r="BH1328" s="18"/>
      <c r="BI1328" s="18"/>
      <c r="BJ1328" s="18"/>
      <c r="BK1328" s="18"/>
      <c r="BL1328" s="18"/>
      <c r="BM1328" s="18"/>
      <c r="BN1328" s="18"/>
      <c r="BO1328" s="18"/>
      <c r="BP1328" s="18"/>
      <c r="BQ1328" s="18"/>
      <c r="BR1328" s="18"/>
      <c r="BS1328" s="18"/>
      <c r="BT1328" s="18"/>
      <c r="BU1328" s="18"/>
      <c r="BV1328" s="18"/>
    </row>
    <row r="1329" spans="1:74">
      <c r="A1329" s="18"/>
      <c r="B1329" s="19"/>
      <c r="BG1329" s="18"/>
      <c r="BH1329" s="18"/>
      <c r="BI1329" s="18"/>
      <c r="BJ1329" s="18"/>
      <c r="BK1329" s="18"/>
      <c r="BL1329" s="18"/>
      <c r="BM1329" s="18"/>
      <c r="BN1329" s="18"/>
      <c r="BO1329" s="18"/>
      <c r="BP1329" s="18"/>
      <c r="BQ1329" s="18"/>
      <c r="BR1329" s="18"/>
      <c r="BS1329" s="18"/>
      <c r="BT1329" s="18"/>
      <c r="BU1329" s="18"/>
      <c r="BV1329" s="18"/>
    </row>
    <row r="1330" spans="1:74">
      <c r="A1330" s="18"/>
      <c r="B1330" s="19"/>
      <c r="BG1330" s="18"/>
      <c r="BH1330" s="18"/>
      <c r="BI1330" s="18"/>
      <c r="BJ1330" s="18"/>
      <c r="BK1330" s="18"/>
      <c r="BL1330" s="18"/>
      <c r="BM1330" s="18"/>
      <c r="BN1330" s="18"/>
      <c r="BO1330" s="18"/>
      <c r="BP1330" s="18"/>
      <c r="BQ1330" s="18"/>
      <c r="BR1330" s="18"/>
      <c r="BS1330" s="18"/>
      <c r="BT1330" s="18"/>
      <c r="BU1330" s="18"/>
      <c r="BV1330" s="18"/>
    </row>
    <row r="1331" spans="1:74">
      <c r="A1331" s="18"/>
      <c r="B1331" s="19"/>
      <c r="BG1331" s="18"/>
      <c r="BH1331" s="18"/>
      <c r="BI1331" s="18"/>
      <c r="BJ1331" s="18"/>
      <c r="BK1331" s="18"/>
      <c r="BL1331" s="18"/>
      <c r="BM1331" s="18"/>
      <c r="BN1331" s="18"/>
      <c r="BO1331" s="18"/>
      <c r="BP1331" s="18"/>
      <c r="BQ1331" s="18"/>
      <c r="BR1331" s="18"/>
      <c r="BS1331" s="18"/>
      <c r="BT1331" s="18"/>
      <c r="BU1331" s="18"/>
      <c r="BV1331" s="18"/>
    </row>
    <row r="1332" spans="1:74">
      <c r="A1332" s="18"/>
      <c r="B1332" s="19"/>
      <c r="BG1332" s="18"/>
      <c r="BH1332" s="18"/>
      <c r="BI1332" s="18"/>
      <c r="BJ1332" s="18"/>
      <c r="BK1332" s="18"/>
      <c r="BL1332" s="18"/>
      <c r="BM1332" s="18"/>
      <c r="BN1332" s="18"/>
      <c r="BO1332" s="18"/>
      <c r="BP1332" s="18"/>
      <c r="BQ1332" s="18"/>
      <c r="BR1332" s="18"/>
      <c r="BS1332" s="18"/>
      <c r="BT1332" s="18"/>
      <c r="BU1332" s="18"/>
      <c r="BV1332" s="18"/>
    </row>
    <row r="1333" spans="1:74">
      <c r="A1333" s="18"/>
      <c r="B1333" s="19"/>
      <c r="BG1333" s="18"/>
      <c r="BH1333" s="18"/>
      <c r="BI1333" s="18"/>
      <c r="BJ1333" s="18"/>
      <c r="BK1333" s="18"/>
      <c r="BL1333" s="18"/>
      <c r="BM1333" s="18"/>
      <c r="BN1333" s="18"/>
      <c r="BO1333" s="18"/>
      <c r="BP1333" s="18"/>
      <c r="BQ1333" s="18"/>
      <c r="BR1333" s="18"/>
      <c r="BS1333" s="18"/>
      <c r="BT1333" s="18"/>
      <c r="BU1333" s="18"/>
      <c r="BV1333" s="18"/>
    </row>
    <row r="1334" spans="1:74">
      <c r="A1334" s="18"/>
      <c r="B1334" s="19"/>
      <c r="BG1334" s="18"/>
      <c r="BH1334" s="18"/>
      <c r="BI1334" s="18"/>
      <c r="BJ1334" s="18"/>
      <c r="BK1334" s="18"/>
      <c r="BL1334" s="18"/>
      <c r="BM1334" s="18"/>
      <c r="BN1334" s="18"/>
      <c r="BO1334" s="18"/>
      <c r="BP1334" s="18"/>
      <c r="BQ1334" s="18"/>
      <c r="BR1334" s="18"/>
      <c r="BS1334" s="18"/>
      <c r="BT1334" s="18"/>
      <c r="BU1334" s="18"/>
      <c r="BV1334" s="18"/>
    </row>
    <row r="1335" spans="1:74">
      <c r="A1335" s="18"/>
      <c r="B1335" s="19"/>
      <c r="BG1335" s="18"/>
      <c r="BH1335" s="18"/>
      <c r="BI1335" s="18"/>
      <c r="BJ1335" s="18"/>
      <c r="BK1335" s="18"/>
      <c r="BL1335" s="18"/>
      <c r="BM1335" s="18"/>
      <c r="BN1335" s="18"/>
      <c r="BO1335" s="18"/>
      <c r="BP1335" s="18"/>
      <c r="BQ1335" s="18"/>
      <c r="BR1335" s="18"/>
      <c r="BS1335" s="18"/>
      <c r="BT1335" s="18"/>
      <c r="BU1335" s="18"/>
      <c r="BV1335" s="18"/>
    </row>
    <row r="1336" spans="1:74">
      <c r="A1336" s="18"/>
      <c r="B1336" s="19"/>
      <c r="BG1336" s="18"/>
      <c r="BH1336" s="18"/>
      <c r="BI1336" s="18"/>
      <c r="BJ1336" s="18"/>
      <c r="BK1336" s="18"/>
      <c r="BL1336" s="18"/>
      <c r="BM1336" s="18"/>
      <c r="BN1336" s="18"/>
      <c r="BO1336" s="18"/>
      <c r="BP1336" s="18"/>
      <c r="BQ1336" s="18"/>
      <c r="BR1336" s="18"/>
      <c r="BS1336" s="18"/>
      <c r="BT1336" s="18"/>
      <c r="BU1336" s="18"/>
      <c r="BV1336" s="18"/>
    </row>
    <row r="1337" spans="1:74">
      <c r="A1337" s="18"/>
      <c r="B1337" s="19"/>
      <c r="BG1337" s="18"/>
      <c r="BH1337" s="18"/>
      <c r="BI1337" s="18"/>
      <c r="BJ1337" s="18"/>
      <c r="BK1337" s="18"/>
      <c r="BL1337" s="18"/>
      <c r="BM1337" s="18"/>
      <c r="BN1337" s="18"/>
      <c r="BO1337" s="18"/>
      <c r="BP1337" s="18"/>
      <c r="BQ1337" s="18"/>
      <c r="BR1337" s="18"/>
      <c r="BS1337" s="18"/>
      <c r="BT1337" s="18"/>
      <c r="BU1337" s="18"/>
      <c r="BV1337" s="18"/>
    </row>
    <row r="1338" spans="1:74">
      <c r="A1338" s="18"/>
      <c r="B1338" s="19"/>
      <c r="BG1338" s="18"/>
      <c r="BH1338" s="18"/>
      <c r="BI1338" s="18"/>
      <c r="BJ1338" s="18"/>
      <c r="BK1338" s="18"/>
      <c r="BL1338" s="18"/>
      <c r="BM1338" s="18"/>
      <c r="BN1338" s="18"/>
      <c r="BO1338" s="18"/>
      <c r="BP1338" s="18"/>
      <c r="BQ1338" s="18"/>
      <c r="BR1338" s="18"/>
      <c r="BS1338" s="18"/>
      <c r="BT1338" s="18"/>
      <c r="BU1338" s="18"/>
      <c r="BV1338" s="18"/>
    </row>
    <row r="1339" spans="1:74">
      <c r="A1339" s="18"/>
      <c r="B1339" s="19"/>
      <c r="BG1339" s="18"/>
      <c r="BH1339" s="18"/>
      <c r="BI1339" s="18"/>
      <c r="BJ1339" s="18"/>
      <c r="BK1339" s="18"/>
      <c r="BL1339" s="18"/>
      <c r="BM1339" s="18"/>
      <c r="BN1339" s="18"/>
      <c r="BO1339" s="18"/>
      <c r="BP1339" s="18"/>
      <c r="BQ1339" s="18"/>
      <c r="BR1339" s="18"/>
      <c r="BS1339" s="18"/>
      <c r="BT1339" s="18"/>
      <c r="BU1339" s="18"/>
      <c r="BV1339" s="18"/>
    </row>
    <row r="1340" spans="1:74">
      <c r="A1340" s="18"/>
      <c r="B1340" s="19"/>
      <c r="BG1340" s="18"/>
      <c r="BH1340" s="18"/>
      <c r="BI1340" s="18"/>
      <c r="BJ1340" s="18"/>
      <c r="BK1340" s="18"/>
      <c r="BL1340" s="18"/>
      <c r="BM1340" s="18"/>
      <c r="BN1340" s="18"/>
      <c r="BO1340" s="18"/>
      <c r="BP1340" s="18"/>
      <c r="BQ1340" s="18"/>
      <c r="BR1340" s="18"/>
      <c r="BS1340" s="18"/>
      <c r="BT1340" s="18"/>
      <c r="BU1340" s="18"/>
      <c r="BV1340" s="18"/>
    </row>
    <row r="1341" spans="1:74">
      <c r="A1341" s="18"/>
      <c r="B1341" s="19"/>
      <c r="BG1341" s="18"/>
      <c r="BH1341" s="18"/>
      <c r="BI1341" s="18"/>
      <c r="BJ1341" s="18"/>
      <c r="BK1341" s="18"/>
      <c r="BL1341" s="18"/>
      <c r="BM1341" s="18"/>
      <c r="BN1341" s="18"/>
      <c r="BO1341" s="18"/>
      <c r="BP1341" s="18"/>
      <c r="BQ1341" s="18"/>
      <c r="BR1341" s="18"/>
      <c r="BS1341" s="18"/>
      <c r="BT1341" s="18"/>
      <c r="BU1341" s="18"/>
      <c r="BV1341" s="18"/>
    </row>
    <row r="1342" spans="1:74">
      <c r="A1342" s="18"/>
      <c r="B1342" s="19"/>
      <c r="BG1342" s="18"/>
      <c r="BH1342" s="18"/>
      <c r="BI1342" s="18"/>
      <c r="BJ1342" s="18"/>
      <c r="BK1342" s="18"/>
      <c r="BL1342" s="18"/>
      <c r="BM1342" s="18"/>
      <c r="BN1342" s="18"/>
      <c r="BO1342" s="18"/>
      <c r="BP1342" s="18"/>
      <c r="BQ1342" s="18"/>
      <c r="BR1342" s="18"/>
      <c r="BS1342" s="18"/>
      <c r="BT1342" s="18"/>
      <c r="BU1342" s="18"/>
      <c r="BV1342" s="18"/>
    </row>
    <row r="1343" spans="1:74">
      <c r="A1343" s="18"/>
      <c r="B1343" s="19"/>
      <c r="BG1343" s="18"/>
      <c r="BH1343" s="18"/>
      <c r="BI1343" s="18"/>
      <c r="BJ1343" s="18"/>
      <c r="BK1343" s="18"/>
      <c r="BL1343" s="18"/>
      <c r="BM1343" s="18"/>
      <c r="BN1343" s="18"/>
      <c r="BO1343" s="18"/>
      <c r="BP1343" s="18"/>
      <c r="BQ1343" s="18"/>
      <c r="BR1343" s="18"/>
      <c r="BS1343" s="18"/>
      <c r="BT1343" s="18"/>
      <c r="BU1343" s="18"/>
      <c r="BV1343" s="18"/>
    </row>
    <row r="1344" spans="1:74">
      <c r="A1344" s="18"/>
      <c r="B1344" s="19"/>
      <c r="BG1344" s="18"/>
      <c r="BH1344" s="18"/>
      <c r="BI1344" s="18"/>
      <c r="BJ1344" s="18"/>
      <c r="BK1344" s="18"/>
      <c r="BL1344" s="18"/>
      <c r="BM1344" s="18"/>
      <c r="BN1344" s="18"/>
      <c r="BO1344" s="18"/>
      <c r="BP1344" s="18"/>
      <c r="BQ1344" s="18"/>
      <c r="BR1344" s="18"/>
      <c r="BS1344" s="18"/>
      <c r="BT1344" s="18"/>
      <c r="BU1344" s="18"/>
      <c r="BV1344" s="18"/>
    </row>
    <row r="1345" spans="1:74">
      <c r="A1345" s="18"/>
      <c r="B1345" s="19"/>
      <c r="BG1345" s="18"/>
      <c r="BH1345" s="18"/>
      <c r="BI1345" s="18"/>
      <c r="BJ1345" s="18"/>
      <c r="BK1345" s="18"/>
      <c r="BL1345" s="18"/>
      <c r="BM1345" s="18"/>
      <c r="BN1345" s="18"/>
      <c r="BO1345" s="18"/>
      <c r="BP1345" s="18"/>
      <c r="BQ1345" s="18"/>
      <c r="BR1345" s="18"/>
      <c r="BS1345" s="18"/>
      <c r="BT1345" s="18"/>
      <c r="BU1345" s="18"/>
      <c r="BV1345" s="18"/>
    </row>
    <row r="1346" spans="1:74">
      <c r="A1346" s="18"/>
      <c r="B1346" s="19"/>
      <c r="BG1346" s="18"/>
      <c r="BH1346" s="18"/>
      <c r="BI1346" s="18"/>
      <c r="BJ1346" s="18"/>
      <c r="BK1346" s="18"/>
      <c r="BL1346" s="18"/>
      <c r="BM1346" s="18"/>
      <c r="BN1346" s="18"/>
      <c r="BO1346" s="18"/>
      <c r="BP1346" s="18"/>
      <c r="BQ1346" s="18"/>
      <c r="BR1346" s="18"/>
      <c r="BS1346" s="18"/>
      <c r="BT1346" s="18"/>
      <c r="BU1346" s="18"/>
      <c r="BV1346" s="18"/>
    </row>
    <row r="1347" spans="1:74">
      <c r="A1347" s="18"/>
      <c r="B1347" s="19"/>
      <c r="BG1347" s="18"/>
      <c r="BH1347" s="18"/>
      <c r="BI1347" s="18"/>
      <c r="BJ1347" s="18"/>
      <c r="BK1347" s="18"/>
      <c r="BL1347" s="18"/>
      <c r="BM1347" s="18"/>
      <c r="BN1347" s="18"/>
      <c r="BO1347" s="18"/>
      <c r="BP1347" s="18"/>
      <c r="BQ1347" s="18"/>
      <c r="BR1347" s="18"/>
      <c r="BS1347" s="18"/>
      <c r="BT1347" s="18"/>
      <c r="BU1347" s="18"/>
      <c r="BV1347" s="18"/>
    </row>
    <row r="1348" spans="1:74">
      <c r="A1348" s="18"/>
      <c r="B1348" s="19"/>
      <c r="BG1348" s="18"/>
      <c r="BH1348" s="18"/>
      <c r="BI1348" s="18"/>
      <c r="BJ1348" s="18"/>
      <c r="BK1348" s="18"/>
      <c r="BL1348" s="18"/>
      <c r="BM1348" s="18"/>
      <c r="BN1348" s="18"/>
      <c r="BO1348" s="18"/>
      <c r="BP1348" s="18"/>
      <c r="BQ1348" s="18"/>
      <c r="BR1348" s="18"/>
      <c r="BS1348" s="18"/>
      <c r="BT1348" s="18"/>
      <c r="BU1348" s="18"/>
      <c r="BV1348" s="18"/>
    </row>
    <row r="1349" spans="1:74">
      <c r="A1349" s="18"/>
      <c r="B1349" s="19"/>
      <c r="BG1349" s="18"/>
      <c r="BH1349" s="18"/>
      <c r="BI1349" s="18"/>
      <c r="BJ1349" s="18"/>
      <c r="BK1349" s="18"/>
      <c r="BL1349" s="18"/>
      <c r="BM1349" s="18"/>
      <c r="BN1349" s="18"/>
      <c r="BO1349" s="18"/>
      <c r="BP1349" s="18"/>
      <c r="BQ1349" s="18"/>
      <c r="BR1349" s="18"/>
      <c r="BS1349" s="18"/>
      <c r="BT1349" s="18"/>
      <c r="BU1349" s="18"/>
      <c r="BV1349" s="18"/>
    </row>
    <row r="1350" spans="1:74">
      <c r="A1350" s="18"/>
      <c r="B1350" s="19"/>
      <c r="BG1350" s="18"/>
      <c r="BH1350" s="18"/>
      <c r="BI1350" s="18"/>
      <c r="BJ1350" s="18"/>
      <c r="BK1350" s="18"/>
      <c r="BL1350" s="18"/>
      <c r="BM1350" s="18"/>
      <c r="BN1350" s="18"/>
      <c r="BO1350" s="18"/>
      <c r="BP1350" s="18"/>
      <c r="BQ1350" s="18"/>
      <c r="BR1350" s="18"/>
      <c r="BS1350" s="18"/>
      <c r="BT1350" s="18"/>
      <c r="BU1350" s="18"/>
      <c r="BV1350" s="18"/>
    </row>
    <row r="1351" spans="1:74">
      <c r="A1351" s="18"/>
      <c r="B1351" s="19"/>
      <c r="BG1351" s="18"/>
      <c r="BH1351" s="18"/>
      <c r="BI1351" s="18"/>
      <c r="BJ1351" s="18"/>
      <c r="BK1351" s="18"/>
      <c r="BL1351" s="18"/>
      <c r="BM1351" s="18"/>
      <c r="BN1351" s="18"/>
      <c r="BO1351" s="18"/>
      <c r="BP1351" s="18"/>
      <c r="BQ1351" s="18"/>
      <c r="BR1351" s="18"/>
      <c r="BS1351" s="18"/>
      <c r="BT1351" s="18"/>
      <c r="BU1351" s="18"/>
      <c r="BV1351" s="18"/>
    </row>
    <row r="1352" spans="1:74">
      <c r="A1352" s="18"/>
      <c r="B1352" s="19"/>
      <c r="BG1352" s="18"/>
      <c r="BH1352" s="18"/>
      <c r="BI1352" s="18"/>
      <c r="BJ1352" s="18"/>
      <c r="BK1352" s="18"/>
      <c r="BL1352" s="18"/>
      <c r="BM1352" s="18"/>
      <c r="BN1352" s="18"/>
      <c r="BO1352" s="18"/>
      <c r="BP1352" s="18"/>
      <c r="BQ1352" s="18"/>
      <c r="BR1352" s="18"/>
      <c r="BS1352" s="18"/>
      <c r="BT1352" s="18"/>
      <c r="BU1352" s="18"/>
      <c r="BV1352" s="18"/>
    </row>
    <row r="1353" spans="1:74">
      <c r="A1353" s="18"/>
      <c r="B1353" s="19"/>
      <c r="BG1353" s="18"/>
      <c r="BH1353" s="18"/>
      <c r="BI1353" s="18"/>
      <c r="BJ1353" s="18"/>
      <c r="BK1353" s="18"/>
      <c r="BL1353" s="18"/>
      <c r="BM1353" s="18"/>
      <c r="BN1353" s="18"/>
      <c r="BO1353" s="18"/>
      <c r="BP1353" s="18"/>
      <c r="BQ1353" s="18"/>
      <c r="BR1353" s="18"/>
      <c r="BS1353" s="18"/>
      <c r="BT1353" s="18"/>
      <c r="BU1353" s="18"/>
      <c r="BV1353" s="18"/>
    </row>
    <row r="1354" spans="1:74">
      <c r="A1354" s="18"/>
      <c r="B1354" s="19"/>
      <c r="BG1354" s="18"/>
      <c r="BH1354" s="18"/>
      <c r="BI1354" s="18"/>
      <c r="BJ1354" s="18"/>
      <c r="BK1354" s="18"/>
      <c r="BL1354" s="18"/>
      <c r="BM1354" s="18"/>
      <c r="BN1354" s="18"/>
      <c r="BO1354" s="18"/>
      <c r="BP1354" s="18"/>
      <c r="BQ1354" s="18"/>
      <c r="BR1354" s="18"/>
      <c r="BS1354" s="18"/>
      <c r="BT1354" s="18"/>
      <c r="BU1354" s="18"/>
      <c r="BV1354" s="18"/>
    </row>
    <row r="1355" spans="1:74">
      <c r="A1355" s="18"/>
      <c r="B1355" s="19"/>
      <c r="BG1355" s="18"/>
      <c r="BH1355" s="18"/>
      <c r="BI1355" s="18"/>
      <c r="BJ1355" s="18"/>
      <c r="BK1355" s="18"/>
      <c r="BL1355" s="18"/>
      <c r="BM1355" s="18"/>
      <c r="BN1355" s="18"/>
      <c r="BO1355" s="18"/>
      <c r="BP1355" s="18"/>
      <c r="BQ1355" s="18"/>
      <c r="BR1355" s="18"/>
      <c r="BS1355" s="18"/>
      <c r="BT1355" s="18"/>
      <c r="BU1355" s="18"/>
      <c r="BV1355" s="18"/>
    </row>
    <row r="1356" spans="1:74">
      <c r="A1356" s="18"/>
      <c r="B1356" s="19"/>
      <c r="BG1356" s="18"/>
      <c r="BH1356" s="18"/>
      <c r="BI1356" s="18"/>
      <c r="BJ1356" s="18"/>
      <c r="BK1356" s="18"/>
      <c r="BL1356" s="18"/>
      <c r="BM1356" s="18"/>
      <c r="BN1356" s="18"/>
      <c r="BO1356" s="18"/>
      <c r="BP1356" s="18"/>
      <c r="BQ1356" s="18"/>
      <c r="BR1356" s="18"/>
      <c r="BS1356" s="18"/>
      <c r="BT1356" s="18"/>
      <c r="BU1356" s="18"/>
      <c r="BV1356" s="18"/>
    </row>
    <row r="1357" spans="1:74">
      <c r="A1357" s="18"/>
      <c r="B1357" s="19"/>
      <c r="BG1357" s="18"/>
      <c r="BH1357" s="18"/>
      <c r="BI1357" s="18"/>
      <c r="BJ1357" s="18"/>
      <c r="BK1357" s="18"/>
      <c r="BL1357" s="18"/>
      <c r="BM1357" s="18"/>
      <c r="BN1357" s="18"/>
      <c r="BO1357" s="18"/>
      <c r="BP1357" s="18"/>
      <c r="BQ1357" s="18"/>
      <c r="BR1357" s="18"/>
      <c r="BS1357" s="18"/>
      <c r="BT1357" s="18"/>
      <c r="BU1357" s="18"/>
      <c r="BV1357" s="18"/>
    </row>
    <row r="1358" spans="1:74">
      <c r="A1358" s="18"/>
      <c r="B1358" s="19"/>
      <c r="BG1358" s="18"/>
      <c r="BH1358" s="18"/>
      <c r="BI1358" s="18"/>
      <c r="BJ1358" s="18"/>
      <c r="BK1358" s="18"/>
      <c r="BL1358" s="18"/>
      <c r="BM1358" s="18"/>
      <c r="BN1358" s="18"/>
      <c r="BO1358" s="18"/>
      <c r="BP1358" s="18"/>
      <c r="BQ1358" s="18"/>
      <c r="BR1358" s="18"/>
      <c r="BS1358" s="18"/>
      <c r="BT1358" s="18"/>
      <c r="BU1358" s="18"/>
      <c r="BV1358" s="18"/>
    </row>
    <row r="1359" spans="1:74">
      <c r="A1359" s="18"/>
      <c r="B1359" s="19"/>
      <c r="BG1359" s="18"/>
      <c r="BH1359" s="18"/>
      <c r="BI1359" s="18"/>
      <c r="BJ1359" s="18"/>
      <c r="BK1359" s="18"/>
      <c r="BL1359" s="18"/>
      <c r="BM1359" s="18"/>
      <c r="BN1359" s="18"/>
      <c r="BO1359" s="18"/>
      <c r="BP1359" s="18"/>
      <c r="BQ1359" s="18"/>
      <c r="BR1359" s="18"/>
      <c r="BS1359" s="18"/>
      <c r="BT1359" s="18"/>
      <c r="BU1359" s="18"/>
      <c r="BV1359" s="18"/>
    </row>
    <row r="1360" spans="1:74">
      <c r="A1360" s="18"/>
      <c r="B1360" s="19"/>
      <c r="BG1360" s="18"/>
      <c r="BH1360" s="18"/>
      <c r="BI1360" s="18"/>
      <c r="BJ1360" s="18"/>
      <c r="BK1360" s="18"/>
      <c r="BL1360" s="18"/>
      <c r="BM1360" s="18"/>
      <c r="BN1360" s="18"/>
      <c r="BO1360" s="18"/>
      <c r="BP1360" s="18"/>
      <c r="BQ1360" s="18"/>
      <c r="BR1360" s="18"/>
      <c r="BS1360" s="18"/>
      <c r="BT1360" s="18"/>
      <c r="BU1360" s="18"/>
      <c r="BV1360" s="18"/>
    </row>
    <row r="1361" spans="1:74">
      <c r="A1361" s="18"/>
      <c r="B1361" s="19"/>
      <c r="BG1361" s="18"/>
      <c r="BH1361" s="18"/>
      <c r="BI1361" s="18"/>
      <c r="BJ1361" s="18"/>
      <c r="BK1361" s="18"/>
      <c r="BL1361" s="18"/>
      <c r="BM1361" s="18"/>
      <c r="BN1361" s="18"/>
      <c r="BO1361" s="18"/>
      <c r="BP1361" s="18"/>
      <c r="BQ1361" s="18"/>
      <c r="BR1361" s="18"/>
      <c r="BS1361" s="18"/>
      <c r="BT1361" s="18"/>
      <c r="BU1361" s="18"/>
      <c r="BV1361" s="18"/>
    </row>
    <row r="1362" spans="1:74">
      <c r="A1362" s="18"/>
      <c r="B1362" s="19"/>
      <c r="BG1362" s="18"/>
      <c r="BH1362" s="18"/>
      <c r="BI1362" s="18"/>
      <c r="BJ1362" s="18"/>
      <c r="BK1362" s="18"/>
      <c r="BL1362" s="18"/>
      <c r="BM1362" s="18"/>
      <c r="BN1362" s="18"/>
      <c r="BO1362" s="18"/>
      <c r="BP1362" s="18"/>
      <c r="BQ1362" s="18"/>
      <c r="BR1362" s="18"/>
      <c r="BS1362" s="18"/>
      <c r="BT1362" s="18"/>
      <c r="BU1362" s="18"/>
      <c r="BV1362" s="18"/>
    </row>
    <row r="1363" spans="1:74">
      <c r="A1363" s="18"/>
      <c r="B1363" s="19"/>
      <c r="BG1363" s="18"/>
      <c r="BH1363" s="18"/>
      <c r="BI1363" s="18"/>
      <c r="BJ1363" s="18"/>
      <c r="BK1363" s="18"/>
      <c r="BL1363" s="18"/>
      <c r="BM1363" s="18"/>
      <c r="BN1363" s="18"/>
      <c r="BO1363" s="18"/>
      <c r="BP1363" s="18"/>
      <c r="BQ1363" s="18"/>
      <c r="BR1363" s="18"/>
      <c r="BS1363" s="18"/>
      <c r="BT1363" s="18"/>
      <c r="BU1363" s="18"/>
      <c r="BV1363" s="18"/>
    </row>
    <row r="1364" spans="1:74">
      <c r="A1364" s="18"/>
      <c r="B1364" s="19"/>
      <c r="BG1364" s="18"/>
      <c r="BH1364" s="18"/>
      <c r="BI1364" s="18"/>
      <c r="BJ1364" s="18"/>
      <c r="BK1364" s="18"/>
      <c r="BL1364" s="18"/>
      <c r="BM1364" s="18"/>
      <c r="BN1364" s="18"/>
      <c r="BO1364" s="18"/>
      <c r="BP1364" s="18"/>
      <c r="BQ1364" s="18"/>
      <c r="BR1364" s="18"/>
      <c r="BS1364" s="18"/>
      <c r="BT1364" s="18"/>
      <c r="BU1364" s="18"/>
      <c r="BV1364" s="18"/>
    </row>
    <row r="1365" spans="1:74">
      <c r="A1365" s="18"/>
      <c r="B1365" s="19"/>
      <c r="BG1365" s="18"/>
      <c r="BH1365" s="18"/>
      <c r="BI1365" s="18"/>
      <c r="BJ1365" s="18"/>
      <c r="BK1365" s="18"/>
      <c r="BL1365" s="18"/>
      <c r="BM1365" s="18"/>
      <c r="BN1365" s="18"/>
      <c r="BO1365" s="18"/>
      <c r="BP1365" s="18"/>
      <c r="BQ1365" s="18"/>
      <c r="BR1365" s="18"/>
      <c r="BS1365" s="18"/>
      <c r="BT1365" s="18"/>
      <c r="BU1365" s="18"/>
      <c r="BV1365" s="18"/>
    </row>
    <row r="1366" spans="1:74">
      <c r="A1366" s="18"/>
      <c r="B1366" s="19"/>
      <c r="BG1366" s="18"/>
      <c r="BH1366" s="18"/>
      <c r="BI1366" s="18"/>
      <c r="BJ1366" s="18"/>
      <c r="BK1366" s="18"/>
      <c r="BL1366" s="18"/>
      <c r="BM1366" s="18"/>
      <c r="BN1366" s="18"/>
      <c r="BO1366" s="18"/>
      <c r="BP1366" s="18"/>
      <c r="BQ1366" s="18"/>
      <c r="BR1366" s="18"/>
      <c r="BS1366" s="18"/>
      <c r="BT1366" s="18"/>
      <c r="BU1366" s="18"/>
      <c r="BV1366" s="18"/>
    </row>
    <row r="1367" spans="1:74">
      <c r="A1367" s="18"/>
      <c r="B1367" s="19"/>
      <c r="BG1367" s="18"/>
      <c r="BH1367" s="18"/>
      <c r="BI1367" s="18"/>
      <c r="BJ1367" s="18"/>
      <c r="BK1367" s="18"/>
      <c r="BL1367" s="18"/>
      <c r="BM1367" s="18"/>
      <c r="BN1367" s="18"/>
      <c r="BO1367" s="18"/>
      <c r="BP1367" s="18"/>
      <c r="BQ1367" s="18"/>
      <c r="BR1367" s="18"/>
      <c r="BS1367" s="18"/>
      <c r="BT1367" s="18"/>
      <c r="BU1367" s="18"/>
      <c r="BV1367" s="18"/>
    </row>
    <row r="1368" spans="1:74">
      <c r="A1368" s="18"/>
      <c r="B1368" s="19"/>
      <c r="BG1368" s="18"/>
      <c r="BH1368" s="18"/>
      <c r="BI1368" s="18"/>
      <c r="BJ1368" s="18"/>
      <c r="BK1368" s="18"/>
      <c r="BL1368" s="18"/>
      <c r="BM1368" s="18"/>
      <c r="BN1368" s="18"/>
      <c r="BO1368" s="18"/>
      <c r="BP1368" s="18"/>
      <c r="BQ1368" s="18"/>
      <c r="BR1368" s="18"/>
      <c r="BS1368" s="18"/>
      <c r="BT1368" s="18"/>
      <c r="BU1368" s="18"/>
      <c r="BV1368" s="18"/>
    </row>
    <row r="1369" spans="1:74">
      <c r="A1369" s="18"/>
      <c r="B1369" s="19"/>
      <c r="BG1369" s="18"/>
      <c r="BH1369" s="18"/>
      <c r="BI1369" s="18"/>
      <c r="BJ1369" s="18"/>
      <c r="BK1369" s="18"/>
      <c r="BL1369" s="18"/>
      <c r="BM1369" s="18"/>
      <c r="BN1369" s="18"/>
      <c r="BO1369" s="18"/>
      <c r="BP1369" s="18"/>
      <c r="BQ1369" s="18"/>
      <c r="BR1369" s="18"/>
      <c r="BS1369" s="18"/>
      <c r="BT1369" s="18"/>
      <c r="BU1369" s="18"/>
      <c r="BV1369" s="18"/>
    </row>
    <row r="1370" spans="1:74">
      <c r="A1370" s="18"/>
      <c r="B1370" s="19"/>
      <c r="BG1370" s="18"/>
      <c r="BH1370" s="18"/>
      <c r="BI1370" s="18"/>
      <c r="BJ1370" s="18"/>
      <c r="BK1370" s="18"/>
      <c r="BL1370" s="18"/>
      <c r="BM1370" s="18"/>
      <c r="BN1370" s="18"/>
      <c r="BO1370" s="18"/>
      <c r="BP1370" s="18"/>
      <c r="BQ1370" s="18"/>
      <c r="BR1370" s="18"/>
      <c r="BS1370" s="18"/>
      <c r="BT1370" s="18"/>
      <c r="BU1370" s="18"/>
      <c r="BV1370" s="18"/>
    </row>
    <row r="1371" spans="1:74">
      <c r="A1371" s="18"/>
      <c r="B1371" s="19"/>
      <c r="BG1371" s="18"/>
      <c r="BH1371" s="18"/>
      <c r="BI1371" s="18"/>
      <c r="BJ1371" s="18"/>
      <c r="BK1371" s="18"/>
      <c r="BL1371" s="18"/>
      <c r="BM1371" s="18"/>
      <c r="BN1371" s="18"/>
      <c r="BO1371" s="18"/>
      <c r="BP1371" s="18"/>
      <c r="BQ1371" s="18"/>
      <c r="BR1371" s="18"/>
      <c r="BS1371" s="18"/>
      <c r="BT1371" s="18"/>
      <c r="BU1371" s="18"/>
      <c r="BV1371" s="18"/>
    </row>
    <row r="1372" spans="1:74">
      <c r="A1372" s="18"/>
      <c r="B1372" s="19"/>
      <c r="BG1372" s="18"/>
      <c r="BH1372" s="18"/>
      <c r="BI1372" s="18"/>
      <c r="BJ1372" s="18"/>
      <c r="BK1372" s="18"/>
      <c r="BL1372" s="18"/>
      <c r="BM1372" s="18"/>
      <c r="BN1372" s="18"/>
      <c r="BO1372" s="18"/>
      <c r="BP1372" s="18"/>
      <c r="BQ1372" s="18"/>
      <c r="BR1372" s="18"/>
      <c r="BS1372" s="18"/>
      <c r="BT1372" s="18"/>
      <c r="BU1372" s="18"/>
      <c r="BV1372" s="18"/>
    </row>
    <row r="1373" spans="1:74">
      <c r="A1373" s="18"/>
      <c r="B1373" s="19"/>
      <c r="BG1373" s="18"/>
      <c r="BH1373" s="18"/>
      <c r="BI1373" s="18"/>
      <c r="BJ1373" s="18"/>
      <c r="BK1373" s="18"/>
      <c r="BL1373" s="18"/>
      <c r="BM1373" s="18"/>
      <c r="BN1373" s="18"/>
      <c r="BO1373" s="18"/>
      <c r="BP1373" s="18"/>
      <c r="BQ1373" s="18"/>
      <c r="BR1373" s="18"/>
      <c r="BS1373" s="18"/>
      <c r="BT1373" s="18"/>
      <c r="BU1373" s="18"/>
      <c r="BV1373" s="18"/>
    </row>
    <row r="1374" spans="1:74">
      <c r="A1374" s="18"/>
      <c r="B1374" s="19"/>
      <c r="BG1374" s="18"/>
      <c r="BH1374" s="18"/>
      <c r="BI1374" s="18"/>
      <c r="BJ1374" s="18"/>
      <c r="BK1374" s="18"/>
      <c r="BL1374" s="18"/>
      <c r="BM1374" s="18"/>
      <c r="BN1374" s="18"/>
      <c r="BO1374" s="18"/>
      <c r="BP1374" s="18"/>
      <c r="BQ1374" s="18"/>
      <c r="BR1374" s="18"/>
      <c r="BS1374" s="18"/>
      <c r="BT1374" s="18"/>
      <c r="BU1374" s="18"/>
      <c r="BV1374" s="18"/>
    </row>
    <row r="1375" spans="1:74">
      <c r="A1375" s="18"/>
      <c r="B1375" s="19"/>
      <c r="BG1375" s="18"/>
      <c r="BH1375" s="18"/>
      <c r="BI1375" s="18"/>
      <c r="BJ1375" s="18"/>
      <c r="BK1375" s="18"/>
      <c r="BL1375" s="18"/>
      <c r="BM1375" s="18"/>
      <c r="BN1375" s="18"/>
      <c r="BO1375" s="18"/>
      <c r="BP1375" s="18"/>
      <c r="BQ1375" s="18"/>
      <c r="BR1375" s="18"/>
      <c r="BS1375" s="18"/>
      <c r="BT1375" s="18"/>
      <c r="BU1375" s="18"/>
      <c r="BV1375" s="18"/>
    </row>
    <row r="1376" spans="1:74">
      <c r="A1376" s="18"/>
      <c r="B1376" s="19"/>
      <c r="BG1376" s="18"/>
      <c r="BH1376" s="18"/>
      <c r="BI1376" s="18"/>
      <c r="BJ1376" s="18"/>
      <c r="BK1376" s="18"/>
      <c r="BL1376" s="18"/>
      <c r="BM1376" s="18"/>
      <c r="BN1376" s="18"/>
      <c r="BO1376" s="18"/>
      <c r="BP1376" s="18"/>
      <c r="BQ1376" s="18"/>
      <c r="BR1376" s="18"/>
      <c r="BS1376" s="18"/>
      <c r="BT1376" s="18"/>
      <c r="BU1376" s="18"/>
      <c r="BV1376" s="18"/>
    </row>
    <row r="1377" spans="1:74">
      <c r="A1377" s="18"/>
      <c r="B1377" s="19"/>
      <c r="BG1377" s="18"/>
      <c r="BH1377" s="18"/>
      <c r="BI1377" s="18"/>
      <c r="BJ1377" s="18"/>
      <c r="BK1377" s="18"/>
      <c r="BL1377" s="18"/>
      <c r="BM1377" s="18"/>
      <c r="BN1377" s="18"/>
      <c r="BO1377" s="18"/>
      <c r="BP1377" s="18"/>
      <c r="BQ1377" s="18"/>
      <c r="BR1377" s="18"/>
      <c r="BS1377" s="18"/>
      <c r="BT1377" s="18"/>
      <c r="BU1377" s="18"/>
      <c r="BV1377" s="18"/>
    </row>
    <row r="1378" spans="1:74">
      <c r="A1378" s="18"/>
      <c r="B1378" s="19"/>
      <c r="BG1378" s="18"/>
      <c r="BH1378" s="18"/>
      <c r="BI1378" s="18"/>
      <c r="BJ1378" s="18"/>
      <c r="BK1378" s="18"/>
      <c r="BL1378" s="18"/>
      <c r="BM1378" s="18"/>
      <c r="BN1378" s="18"/>
      <c r="BO1378" s="18"/>
      <c r="BP1378" s="18"/>
      <c r="BQ1378" s="18"/>
      <c r="BR1378" s="18"/>
      <c r="BS1378" s="18"/>
      <c r="BT1378" s="18"/>
      <c r="BU1378" s="18"/>
      <c r="BV1378" s="18"/>
    </row>
    <row r="1379" spans="1:74">
      <c r="A1379" s="18"/>
      <c r="B1379" s="19"/>
      <c r="BG1379" s="18"/>
      <c r="BH1379" s="18"/>
      <c r="BI1379" s="18"/>
      <c r="BJ1379" s="18"/>
      <c r="BK1379" s="18"/>
      <c r="BL1379" s="18"/>
      <c r="BM1379" s="18"/>
      <c r="BN1379" s="18"/>
      <c r="BO1379" s="18"/>
      <c r="BP1379" s="18"/>
      <c r="BQ1379" s="18"/>
      <c r="BR1379" s="18"/>
      <c r="BS1379" s="18"/>
      <c r="BT1379" s="18"/>
      <c r="BU1379" s="18"/>
      <c r="BV1379" s="18"/>
    </row>
    <row r="1380" spans="1:74">
      <c r="A1380" s="18"/>
      <c r="B1380" s="19"/>
      <c r="BG1380" s="18"/>
      <c r="BH1380" s="18"/>
      <c r="BI1380" s="18"/>
      <c r="BJ1380" s="18"/>
      <c r="BK1380" s="18"/>
      <c r="BL1380" s="18"/>
      <c r="BM1380" s="18"/>
      <c r="BN1380" s="18"/>
      <c r="BO1380" s="18"/>
      <c r="BP1380" s="18"/>
      <c r="BQ1380" s="18"/>
      <c r="BR1380" s="18"/>
      <c r="BS1380" s="18"/>
      <c r="BT1380" s="18"/>
      <c r="BU1380" s="18"/>
      <c r="BV1380" s="18"/>
    </row>
    <row r="1381" spans="1:74">
      <c r="A1381" s="18"/>
      <c r="B1381" s="19"/>
      <c r="BG1381" s="18"/>
      <c r="BH1381" s="18"/>
      <c r="BI1381" s="18"/>
      <c r="BJ1381" s="18"/>
      <c r="BK1381" s="18"/>
      <c r="BL1381" s="18"/>
      <c r="BM1381" s="18"/>
      <c r="BN1381" s="18"/>
      <c r="BO1381" s="18"/>
      <c r="BP1381" s="18"/>
      <c r="BQ1381" s="18"/>
      <c r="BR1381" s="18"/>
      <c r="BS1381" s="18"/>
      <c r="BT1381" s="18"/>
      <c r="BU1381" s="18"/>
      <c r="BV1381" s="18"/>
    </row>
    <row r="1382" spans="1:74">
      <c r="A1382" s="18"/>
      <c r="B1382" s="19"/>
      <c r="BG1382" s="18"/>
      <c r="BH1382" s="18"/>
      <c r="BI1382" s="18"/>
      <c r="BJ1382" s="18"/>
      <c r="BK1382" s="18"/>
      <c r="BL1382" s="18"/>
      <c r="BM1382" s="18"/>
      <c r="BN1382" s="18"/>
      <c r="BO1382" s="18"/>
      <c r="BP1382" s="18"/>
      <c r="BQ1382" s="18"/>
      <c r="BR1382" s="18"/>
      <c r="BS1382" s="18"/>
      <c r="BT1382" s="18"/>
      <c r="BU1382" s="18"/>
      <c r="BV1382" s="18"/>
    </row>
    <row r="1383" spans="1:74">
      <c r="A1383" s="18"/>
      <c r="B1383" s="19"/>
      <c r="BG1383" s="18"/>
      <c r="BH1383" s="18"/>
      <c r="BI1383" s="18"/>
      <c r="BJ1383" s="18"/>
      <c r="BK1383" s="18"/>
      <c r="BL1383" s="18"/>
      <c r="BM1383" s="18"/>
      <c r="BN1383" s="18"/>
      <c r="BO1383" s="18"/>
      <c r="BP1383" s="18"/>
      <c r="BQ1383" s="18"/>
      <c r="BR1383" s="18"/>
      <c r="BS1383" s="18"/>
      <c r="BT1383" s="18"/>
      <c r="BU1383" s="18"/>
      <c r="BV1383" s="18"/>
    </row>
    <row r="1384" spans="1:74">
      <c r="A1384" s="18"/>
      <c r="B1384" s="19"/>
      <c r="BG1384" s="18"/>
      <c r="BH1384" s="18"/>
      <c r="BI1384" s="18"/>
      <c r="BJ1384" s="18"/>
      <c r="BK1384" s="18"/>
      <c r="BL1384" s="18"/>
      <c r="BM1384" s="18"/>
      <c r="BN1384" s="18"/>
      <c r="BO1384" s="18"/>
      <c r="BP1384" s="18"/>
      <c r="BQ1384" s="18"/>
      <c r="BR1384" s="18"/>
      <c r="BS1384" s="18"/>
      <c r="BT1384" s="18"/>
      <c r="BU1384" s="18"/>
      <c r="BV1384" s="18"/>
    </row>
    <row r="1385" spans="1:74">
      <c r="A1385" s="18"/>
      <c r="B1385" s="19"/>
      <c r="BG1385" s="18"/>
      <c r="BH1385" s="18"/>
      <c r="BI1385" s="18"/>
      <c r="BJ1385" s="18"/>
      <c r="BK1385" s="18"/>
      <c r="BL1385" s="18"/>
      <c r="BM1385" s="18"/>
      <c r="BN1385" s="18"/>
      <c r="BO1385" s="18"/>
      <c r="BP1385" s="18"/>
      <c r="BQ1385" s="18"/>
      <c r="BR1385" s="18"/>
      <c r="BS1385" s="18"/>
      <c r="BT1385" s="18"/>
      <c r="BU1385" s="18"/>
      <c r="BV1385" s="18"/>
    </row>
    <row r="1386" spans="1:74">
      <c r="A1386" s="18"/>
      <c r="B1386" s="19"/>
      <c r="BG1386" s="18"/>
      <c r="BH1386" s="18"/>
      <c r="BI1386" s="18"/>
      <c r="BJ1386" s="18"/>
      <c r="BK1386" s="18"/>
      <c r="BL1386" s="18"/>
      <c r="BM1386" s="18"/>
      <c r="BN1386" s="18"/>
      <c r="BO1386" s="18"/>
      <c r="BP1386" s="18"/>
      <c r="BQ1386" s="18"/>
      <c r="BR1386" s="18"/>
      <c r="BS1386" s="18"/>
      <c r="BT1386" s="18"/>
      <c r="BU1386" s="18"/>
      <c r="BV1386" s="18"/>
    </row>
    <row r="1387" spans="1:74">
      <c r="A1387" s="18"/>
      <c r="B1387" s="19"/>
      <c r="BG1387" s="18"/>
      <c r="BH1387" s="18"/>
      <c r="BI1387" s="18"/>
      <c r="BJ1387" s="18"/>
      <c r="BK1387" s="18"/>
      <c r="BL1387" s="18"/>
      <c r="BM1387" s="18"/>
      <c r="BN1387" s="18"/>
      <c r="BO1387" s="18"/>
      <c r="BP1387" s="18"/>
      <c r="BQ1387" s="18"/>
      <c r="BR1387" s="18"/>
      <c r="BS1387" s="18"/>
      <c r="BT1387" s="18"/>
      <c r="BU1387" s="18"/>
      <c r="BV1387" s="18"/>
    </row>
    <row r="1388" spans="1:74">
      <c r="A1388" s="18"/>
      <c r="B1388" s="19"/>
      <c r="BG1388" s="18"/>
      <c r="BH1388" s="18"/>
      <c r="BI1388" s="18"/>
      <c r="BJ1388" s="18"/>
      <c r="BK1388" s="18"/>
      <c r="BL1388" s="18"/>
      <c r="BM1388" s="18"/>
      <c r="BN1388" s="18"/>
      <c r="BO1388" s="18"/>
      <c r="BP1388" s="18"/>
      <c r="BQ1388" s="18"/>
      <c r="BR1388" s="18"/>
      <c r="BS1388" s="18"/>
      <c r="BT1388" s="18"/>
      <c r="BU1388" s="18"/>
      <c r="BV1388" s="18"/>
    </row>
    <row r="1389" spans="1:74">
      <c r="A1389" s="18"/>
      <c r="B1389" s="19"/>
      <c r="BG1389" s="18"/>
      <c r="BH1389" s="18"/>
      <c r="BI1389" s="18"/>
      <c r="BJ1389" s="18"/>
      <c r="BK1389" s="18"/>
      <c r="BL1389" s="18"/>
      <c r="BM1389" s="18"/>
      <c r="BN1389" s="18"/>
      <c r="BO1389" s="18"/>
      <c r="BP1389" s="18"/>
      <c r="BQ1389" s="18"/>
      <c r="BR1389" s="18"/>
      <c r="BS1389" s="18"/>
      <c r="BT1389" s="18"/>
      <c r="BU1389" s="18"/>
      <c r="BV1389" s="18"/>
    </row>
    <row r="1390" spans="1:74">
      <c r="A1390" s="18"/>
      <c r="B1390" s="19"/>
      <c r="BG1390" s="18"/>
      <c r="BH1390" s="18"/>
      <c r="BI1390" s="18"/>
      <c r="BJ1390" s="18"/>
      <c r="BK1390" s="18"/>
      <c r="BL1390" s="18"/>
      <c r="BM1390" s="18"/>
      <c r="BN1390" s="18"/>
      <c r="BO1390" s="18"/>
      <c r="BP1390" s="18"/>
      <c r="BQ1390" s="18"/>
      <c r="BR1390" s="18"/>
      <c r="BS1390" s="18"/>
      <c r="BT1390" s="18"/>
      <c r="BU1390" s="18"/>
      <c r="BV1390" s="18"/>
    </row>
    <row r="1391" spans="1:74">
      <c r="A1391" s="18"/>
      <c r="B1391" s="19"/>
      <c r="BG1391" s="18"/>
      <c r="BH1391" s="18"/>
      <c r="BI1391" s="18"/>
      <c r="BJ1391" s="18"/>
      <c r="BK1391" s="18"/>
      <c r="BL1391" s="18"/>
      <c r="BM1391" s="18"/>
      <c r="BN1391" s="18"/>
      <c r="BO1391" s="18"/>
      <c r="BP1391" s="18"/>
      <c r="BQ1391" s="18"/>
      <c r="BR1391" s="18"/>
      <c r="BS1391" s="18"/>
      <c r="BT1391" s="18"/>
      <c r="BU1391" s="18"/>
      <c r="BV1391" s="18"/>
    </row>
    <row r="1392" spans="1:74">
      <c r="A1392" s="18"/>
      <c r="B1392" s="19"/>
      <c r="BG1392" s="18"/>
      <c r="BH1392" s="18"/>
      <c r="BI1392" s="18"/>
      <c r="BJ1392" s="18"/>
      <c r="BK1392" s="18"/>
      <c r="BL1392" s="18"/>
      <c r="BM1392" s="18"/>
      <c r="BN1392" s="18"/>
      <c r="BO1392" s="18"/>
      <c r="BP1392" s="18"/>
      <c r="BQ1392" s="18"/>
      <c r="BR1392" s="18"/>
      <c r="BS1392" s="18"/>
      <c r="BT1392" s="18"/>
      <c r="BU1392" s="18"/>
      <c r="BV1392" s="18"/>
    </row>
    <row r="1393" spans="1:74">
      <c r="A1393" s="18"/>
      <c r="B1393" s="19"/>
      <c r="BG1393" s="18"/>
      <c r="BH1393" s="18"/>
      <c r="BI1393" s="18"/>
      <c r="BJ1393" s="18"/>
      <c r="BK1393" s="18"/>
      <c r="BL1393" s="18"/>
      <c r="BM1393" s="18"/>
      <c r="BN1393" s="18"/>
      <c r="BO1393" s="18"/>
      <c r="BP1393" s="18"/>
      <c r="BQ1393" s="18"/>
      <c r="BR1393" s="18"/>
      <c r="BS1393" s="18"/>
      <c r="BT1393" s="18"/>
      <c r="BU1393" s="18"/>
      <c r="BV1393" s="18"/>
    </row>
    <row r="1394" spans="1:74">
      <c r="A1394" s="18"/>
      <c r="B1394" s="19"/>
      <c r="BG1394" s="18"/>
      <c r="BH1394" s="18"/>
      <c r="BI1394" s="18"/>
      <c r="BJ1394" s="18"/>
      <c r="BK1394" s="18"/>
      <c r="BL1394" s="18"/>
      <c r="BM1394" s="18"/>
      <c r="BN1394" s="18"/>
      <c r="BO1394" s="18"/>
      <c r="BP1394" s="18"/>
      <c r="BQ1394" s="18"/>
      <c r="BR1394" s="18"/>
      <c r="BS1394" s="18"/>
      <c r="BT1394" s="18"/>
      <c r="BU1394" s="18"/>
      <c r="BV1394" s="18"/>
    </row>
    <row r="1395" spans="1:74">
      <c r="A1395" s="18"/>
      <c r="B1395" s="19"/>
      <c r="BG1395" s="18"/>
      <c r="BH1395" s="18"/>
      <c r="BI1395" s="18"/>
      <c r="BJ1395" s="18"/>
      <c r="BK1395" s="18"/>
      <c r="BL1395" s="18"/>
      <c r="BM1395" s="18"/>
      <c r="BN1395" s="18"/>
      <c r="BO1395" s="18"/>
      <c r="BP1395" s="18"/>
      <c r="BQ1395" s="18"/>
      <c r="BR1395" s="18"/>
      <c r="BS1395" s="18"/>
      <c r="BT1395" s="18"/>
      <c r="BU1395" s="18"/>
      <c r="BV1395" s="18"/>
    </row>
    <row r="1396" spans="1:74">
      <c r="A1396" s="18"/>
      <c r="B1396" s="19"/>
      <c r="BG1396" s="18"/>
      <c r="BH1396" s="18"/>
      <c r="BI1396" s="18"/>
      <c r="BJ1396" s="18"/>
      <c r="BK1396" s="18"/>
      <c r="BL1396" s="18"/>
      <c r="BM1396" s="18"/>
      <c r="BN1396" s="18"/>
      <c r="BO1396" s="18"/>
      <c r="BP1396" s="18"/>
      <c r="BQ1396" s="18"/>
      <c r="BR1396" s="18"/>
      <c r="BS1396" s="18"/>
      <c r="BT1396" s="18"/>
      <c r="BU1396" s="18"/>
      <c r="BV1396" s="18"/>
    </row>
    <row r="1397" spans="1:74">
      <c r="A1397" s="18"/>
      <c r="B1397" s="19"/>
      <c r="BG1397" s="18"/>
      <c r="BH1397" s="18"/>
      <c r="BI1397" s="18"/>
      <c r="BJ1397" s="18"/>
      <c r="BK1397" s="18"/>
      <c r="BL1397" s="18"/>
      <c r="BM1397" s="18"/>
      <c r="BN1397" s="18"/>
      <c r="BO1397" s="18"/>
      <c r="BP1397" s="18"/>
      <c r="BQ1397" s="18"/>
      <c r="BR1397" s="18"/>
      <c r="BS1397" s="18"/>
      <c r="BT1397" s="18"/>
      <c r="BU1397" s="18"/>
      <c r="BV1397" s="18"/>
    </row>
    <row r="1398" spans="1:74">
      <c r="A1398" s="18"/>
      <c r="B1398" s="19"/>
      <c r="BG1398" s="18"/>
      <c r="BH1398" s="18"/>
      <c r="BI1398" s="18"/>
      <c r="BJ1398" s="18"/>
      <c r="BK1398" s="18"/>
      <c r="BL1398" s="18"/>
      <c r="BM1398" s="18"/>
      <c r="BN1398" s="18"/>
      <c r="BO1398" s="18"/>
      <c r="BP1398" s="18"/>
      <c r="BQ1398" s="18"/>
      <c r="BR1398" s="18"/>
      <c r="BS1398" s="18"/>
      <c r="BT1398" s="18"/>
      <c r="BU1398" s="18"/>
      <c r="BV1398" s="18"/>
    </row>
    <row r="1399" spans="1:74">
      <c r="A1399" s="18"/>
      <c r="B1399" s="19"/>
      <c r="BG1399" s="18"/>
      <c r="BH1399" s="18"/>
      <c r="BI1399" s="18"/>
      <c r="BJ1399" s="18"/>
      <c r="BK1399" s="18"/>
      <c r="BL1399" s="18"/>
      <c r="BM1399" s="18"/>
      <c r="BN1399" s="18"/>
      <c r="BO1399" s="18"/>
      <c r="BP1399" s="18"/>
      <c r="BQ1399" s="18"/>
      <c r="BR1399" s="18"/>
      <c r="BS1399" s="18"/>
      <c r="BT1399" s="18"/>
      <c r="BU1399" s="18"/>
      <c r="BV1399" s="18"/>
    </row>
    <row r="1400" spans="1:74">
      <c r="A1400" s="18"/>
      <c r="B1400" s="19"/>
      <c r="BG1400" s="18"/>
      <c r="BH1400" s="18"/>
      <c r="BI1400" s="18"/>
      <c r="BJ1400" s="18"/>
      <c r="BK1400" s="18"/>
      <c r="BL1400" s="18"/>
      <c r="BM1400" s="18"/>
      <c r="BN1400" s="18"/>
      <c r="BO1400" s="18"/>
      <c r="BP1400" s="18"/>
      <c r="BQ1400" s="18"/>
      <c r="BR1400" s="18"/>
      <c r="BS1400" s="18"/>
      <c r="BT1400" s="18"/>
      <c r="BU1400" s="18"/>
      <c r="BV1400" s="18"/>
    </row>
    <row r="1401" spans="1:74">
      <c r="A1401" s="18"/>
      <c r="B1401" s="19"/>
      <c r="BG1401" s="18"/>
      <c r="BH1401" s="18"/>
      <c r="BI1401" s="18"/>
      <c r="BJ1401" s="18"/>
      <c r="BK1401" s="18"/>
      <c r="BL1401" s="18"/>
      <c r="BM1401" s="18"/>
      <c r="BN1401" s="18"/>
      <c r="BO1401" s="18"/>
      <c r="BP1401" s="18"/>
      <c r="BQ1401" s="18"/>
      <c r="BR1401" s="18"/>
      <c r="BS1401" s="18"/>
      <c r="BT1401" s="18"/>
      <c r="BU1401" s="18"/>
      <c r="BV1401" s="18"/>
    </row>
    <row r="1402" spans="1:74">
      <c r="A1402" s="18"/>
      <c r="B1402" s="19"/>
      <c r="BG1402" s="18"/>
      <c r="BH1402" s="18"/>
      <c r="BI1402" s="18"/>
      <c r="BJ1402" s="18"/>
      <c r="BK1402" s="18"/>
      <c r="BL1402" s="18"/>
      <c r="BM1402" s="18"/>
      <c r="BN1402" s="18"/>
      <c r="BO1402" s="18"/>
      <c r="BP1402" s="18"/>
      <c r="BQ1402" s="18"/>
      <c r="BR1402" s="18"/>
      <c r="BS1402" s="18"/>
      <c r="BT1402" s="18"/>
      <c r="BU1402" s="18"/>
      <c r="BV1402" s="18"/>
    </row>
    <row r="1403" spans="1:74">
      <c r="A1403" s="18"/>
      <c r="B1403" s="19"/>
      <c r="BG1403" s="18"/>
      <c r="BH1403" s="18"/>
      <c r="BI1403" s="18"/>
      <c r="BJ1403" s="18"/>
      <c r="BK1403" s="18"/>
      <c r="BL1403" s="18"/>
      <c r="BM1403" s="18"/>
      <c r="BN1403" s="18"/>
      <c r="BO1403" s="18"/>
      <c r="BP1403" s="18"/>
      <c r="BQ1403" s="18"/>
      <c r="BR1403" s="18"/>
      <c r="BS1403" s="18"/>
      <c r="BT1403" s="18"/>
      <c r="BU1403" s="18"/>
      <c r="BV1403" s="18"/>
    </row>
    <row r="1404" spans="1:74">
      <c r="A1404" s="18"/>
      <c r="B1404" s="19"/>
      <c r="BG1404" s="18"/>
      <c r="BH1404" s="18"/>
      <c r="BI1404" s="18"/>
      <c r="BJ1404" s="18"/>
      <c r="BK1404" s="18"/>
      <c r="BL1404" s="18"/>
      <c r="BM1404" s="18"/>
      <c r="BN1404" s="18"/>
      <c r="BO1404" s="18"/>
      <c r="BP1404" s="18"/>
      <c r="BQ1404" s="18"/>
      <c r="BR1404" s="18"/>
      <c r="BS1404" s="18"/>
      <c r="BT1404" s="18"/>
      <c r="BU1404" s="18"/>
      <c r="BV1404" s="18"/>
    </row>
    <row r="1405" spans="1:74">
      <c r="A1405" s="18"/>
      <c r="B1405" s="19"/>
      <c r="BG1405" s="18"/>
      <c r="BH1405" s="18"/>
      <c r="BI1405" s="18"/>
      <c r="BJ1405" s="18"/>
      <c r="BK1405" s="18"/>
      <c r="BL1405" s="18"/>
      <c r="BM1405" s="18"/>
      <c r="BN1405" s="18"/>
      <c r="BO1405" s="18"/>
      <c r="BP1405" s="18"/>
      <c r="BQ1405" s="18"/>
      <c r="BR1405" s="18"/>
      <c r="BS1405" s="18"/>
      <c r="BT1405" s="18"/>
      <c r="BU1405" s="18"/>
      <c r="BV1405" s="18"/>
    </row>
    <row r="1406" spans="1:74">
      <c r="A1406" s="18"/>
      <c r="B1406" s="19"/>
      <c r="BG1406" s="18"/>
      <c r="BH1406" s="18"/>
      <c r="BI1406" s="18"/>
      <c r="BJ1406" s="18"/>
      <c r="BK1406" s="18"/>
      <c r="BL1406" s="18"/>
      <c r="BM1406" s="18"/>
      <c r="BN1406" s="18"/>
      <c r="BO1406" s="18"/>
      <c r="BP1406" s="18"/>
      <c r="BQ1406" s="18"/>
      <c r="BR1406" s="18"/>
      <c r="BS1406" s="18"/>
      <c r="BT1406" s="18"/>
      <c r="BU1406" s="18"/>
      <c r="BV1406" s="18"/>
    </row>
    <row r="1407" spans="1:74">
      <c r="A1407" s="18"/>
      <c r="B1407" s="19"/>
      <c r="BG1407" s="18"/>
      <c r="BH1407" s="18"/>
      <c r="BI1407" s="18"/>
      <c r="BJ1407" s="18"/>
      <c r="BK1407" s="18"/>
      <c r="BL1407" s="18"/>
      <c r="BM1407" s="18"/>
      <c r="BN1407" s="18"/>
      <c r="BO1407" s="18"/>
      <c r="BP1407" s="18"/>
      <c r="BQ1407" s="18"/>
      <c r="BR1407" s="18"/>
      <c r="BS1407" s="18"/>
      <c r="BT1407" s="18"/>
      <c r="BU1407" s="18"/>
      <c r="BV1407" s="18"/>
    </row>
    <row r="1408" spans="1:74">
      <c r="A1408" s="18"/>
      <c r="B1408" s="19"/>
      <c r="BG1408" s="18"/>
      <c r="BH1408" s="18"/>
      <c r="BI1408" s="18"/>
      <c r="BJ1408" s="18"/>
      <c r="BK1408" s="18"/>
      <c r="BL1408" s="18"/>
      <c r="BM1408" s="18"/>
      <c r="BN1408" s="18"/>
      <c r="BO1408" s="18"/>
      <c r="BP1408" s="18"/>
      <c r="BQ1408" s="18"/>
      <c r="BR1408" s="18"/>
      <c r="BS1408" s="18"/>
      <c r="BT1408" s="18"/>
      <c r="BU1408" s="18"/>
      <c r="BV1408" s="18"/>
    </row>
    <row r="1409" spans="1:74">
      <c r="A1409" s="18"/>
      <c r="B1409" s="19"/>
      <c r="BG1409" s="18"/>
      <c r="BH1409" s="18"/>
      <c r="BI1409" s="18"/>
      <c r="BJ1409" s="18"/>
      <c r="BK1409" s="18"/>
      <c r="BL1409" s="18"/>
      <c r="BM1409" s="18"/>
      <c r="BN1409" s="18"/>
      <c r="BO1409" s="18"/>
      <c r="BP1409" s="18"/>
      <c r="BQ1409" s="18"/>
      <c r="BR1409" s="18"/>
      <c r="BS1409" s="18"/>
      <c r="BT1409" s="18"/>
      <c r="BU1409" s="18"/>
      <c r="BV1409" s="18"/>
    </row>
    <row r="1410" spans="1:74">
      <c r="A1410" s="18"/>
      <c r="B1410" s="19"/>
      <c r="BG1410" s="18"/>
      <c r="BH1410" s="18"/>
      <c r="BI1410" s="18"/>
      <c r="BJ1410" s="18"/>
      <c r="BK1410" s="18"/>
      <c r="BL1410" s="18"/>
      <c r="BM1410" s="18"/>
      <c r="BN1410" s="18"/>
      <c r="BO1410" s="18"/>
      <c r="BP1410" s="18"/>
      <c r="BQ1410" s="18"/>
      <c r="BR1410" s="18"/>
      <c r="BS1410" s="18"/>
      <c r="BT1410" s="18"/>
      <c r="BU1410" s="18"/>
      <c r="BV1410" s="18"/>
    </row>
    <row r="1411" spans="1:74">
      <c r="A1411" s="18"/>
      <c r="B1411" s="19"/>
      <c r="BG1411" s="18"/>
      <c r="BH1411" s="18"/>
      <c r="BI1411" s="18"/>
      <c r="BJ1411" s="18"/>
      <c r="BK1411" s="18"/>
      <c r="BL1411" s="18"/>
      <c r="BM1411" s="18"/>
      <c r="BN1411" s="18"/>
      <c r="BO1411" s="18"/>
      <c r="BP1411" s="18"/>
      <c r="BQ1411" s="18"/>
      <c r="BR1411" s="18"/>
      <c r="BS1411" s="18"/>
      <c r="BT1411" s="18"/>
      <c r="BU1411" s="18"/>
      <c r="BV1411" s="18"/>
    </row>
    <row r="1412" spans="1:74">
      <c r="A1412" s="18"/>
      <c r="B1412" s="19"/>
      <c r="BG1412" s="18"/>
      <c r="BH1412" s="18"/>
      <c r="BI1412" s="18"/>
      <c r="BJ1412" s="18"/>
      <c r="BK1412" s="18"/>
      <c r="BL1412" s="18"/>
      <c r="BM1412" s="18"/>
      <c r="BN1412" s="18"/>
      <c r="BO1412" s="18"/>
      <c r="BP1412" s="18"/>
      <c r="BQ1412" s="18"/>
      <c r="BR1412" s="18"/>
      <c r="BS1412" s="18"/>
      <c r="BT1412" s="18"/>
      <c r="BU1412" s="18"/>
      <c r="BV1412" s="18"/>
    </row>
    <row r="1413" spans="1:74">
      <c r="A1413" s="18"/>
      <c r="B1413" s="19"/>
      <c r="BG1413" s="18"/>
      <c r="BH1413" s="18"/>
      <c r="BI1413" s="18"/>
      <c r="BJ1413" s="18"/>
      <c r="BK1413" s="18"/>
      <c r="BL1413" s="18"/>
      <c r="BM1413" s="18"/>
      <c r="BN1413" s="18"/>
      <c r="BO1413" s="18"/>
      <c r="BP1413" s="18"/>
      <c r="BQ1413" s="18"/>
      <c r="BR1413" s="18"/>
      <c r="BS1413" s="18"/>
      <c r="BT1413" s="18"/>
      <c r="BU1413" s="18"/>
      <c r="BV1413" s="18"/>
    </row>
    <row r="1414" spans="1:74">
      <c r="A1414" s="18"/>
      <c r="B1414" s="19"/>
      <c r="BG1414" s="18"/>
      <c r="BH1414" s="18"/>
      <c r="BI1414" s="18"/>
      <c r="BJ1414" s="18"/>
      <c r="BK1414" s="18"/>
      <c r="BL1414" s="18"/>
      <c r="BM1414" s="18"/>
      <c r="BN1414" s="18"/>
      <c r="BO1414" s="18"/>
      <c r="BP1414" s="18"/>
      <c r="BQ1414" s="18"/>
      <c r="BR1414" s="18"/>
      <c r="BS1414" s="18"/>
      <c r="BT1414" s="18"/>
      <c r="BU1414" s="18"/>
      <c r="BV1414" s="18"/>
    </row>
    <row r="1415" spans="1:74">
      <c r="A1415" s="18"/>
      <c r="B1415" s="19"/>
      <c r="BG1415" s="18"/>
      <c r="BH1415" s="18"/>
      <c r="BI1415" s="18"/>
      <c r="BJ1415" s="18"/>
      <c r="BK1415" s="18"/>
      <c r="BL1415" s="18"/>
      <c r="BM1415" s="18"/>
      <c r="BN1415" s="18"/>
      <c r="BO1415" s="18"/>
      <c r="BP1415" s="18"/>
      <c r="BQ1415" s="18"/>
      <c r="BR1415" s="18"/>
      <c r="BS1415" s="18"/>
      <c r="BT1415" s="18"/>
      <c r="BU1415" s="18"/>
      <c r="BV1415" s="18"/>
    </row>
    <row r="1416" spans="1:74">
      <c r="A1416" s="18"/>
      <c r="B1416" s="19"/>
      <c r="BG1416" s="18"/>
      <c r="BH1416" s="18"/>
      <c r="BI1416" s="18"/>
      <c r="BJ1416" s="18"/>
      <c r="BK1416" s="18"/>
      <c r="BL1416" s="18"/>
      <c r="BM1416" s="18"/>
      <c r="BN1416" s="18"/>
      <c r="BO1416" s="18"/>
      <c r="BP1416" s="18"/>
      <c r="BQ1416" s="18"/>
      <c r="BR1416" s="18"/>
      <c r="BS1416" s="18"/>
      <c r="BT1416" s="18"/>
      <c r="BU1416" s="18"/>
      <c r="BV1416" s="18"/>
    </row>
    <row r="1417" spans="1:74">
      <c r="A1417" s="18"/>
      <c r="B1417" s="19"/>
      <c r="BG1417" s="18"/>
      <c r="BH1417" s="18"/>
      <c r="BI1417" s="18"/>
      <c r="BJ1417" s="18"/>
      <c r="BK1417" s="18"/>
      <c r="BL1417" s="18"/>
      <c r="BM1417" s="18"/>
      <c r="BN1417" s="18"/>
      <c r="BO1417" s="18"/>
      <c r="BP1417" s="18"/>
      <c r="BQ1417" s="18"/>
      <c r="BR1417" s="18"/>
      <c r="BS1417" s="18"/>
      <c r="BT1417" s="18"/>
      <c r="BU1417" s="18"/>
      <c r="BV1417" s="18"/>
    </row>
    <row r="1418" spans="1:74">
      <c r="A1418" s="18"/>
      <c r="B1418" s="19"/>
      <c r="BG1418" s="18"/>
      <c r="BH1418" s="18"/>
      <c r="BI1418" s="18"/>
      <c r="BJ1418" s="18"/>
      <c r="BK1418" s="18"/>
      <c r="BL1418" s="18"/>
      <c r="BM1418" s="18"/>
      <c r="BN1418" s="18"/>
      <c r="BO1418" s="18"/>
      <c r="BP1418" s="18"/>
      <c r="BQ1418" s="18"/>
      <c r="BR1418" s="18"/>
      <c r="BS1418" s="18"/>
      <c r="BT1418" s="18"/>
      <c r="BU1418" s="18"/>
      <c r="BV1418" s="18"/>
    </row>
    <row r="1419" spans="1:74">
      <c r="A1419" s="18"/>
      <c r="B1419" s="19"/>
      <c r="BG1419" s="18"/>
      <c r="BH1419" s="18"/>
      <c r="BI1419" s="18"/>
      <c r="BJ1419" s="18"/>
      <c r="BK1419" s="18"/>
      <c r="BL1419" s="18"/>
      <c r="BM1419" s="18"/>
      <c r="BN1419" s="18"/>
      <c r="BO1419" s="18"/>
      <c r="BP1419" s="18"/>
      <c r="BQ1419" s="18"/>
      <c r="BR1419" s="18"/>
      <c r="BS1419" s="18"/>
      <c r="BT1419" s="18"/>
      <c r="BU1419" s="18"/>
      <c r="BV1419" s="18"/>
    </row>
    <row r="1420" spans="1:74">
      <c r="A1420" s="18"/>
      <c r="B1420" s="19"/>
      <c r="BG1420" s="18"/>
      <c r="BH1420" s="18"/>
      <c r="BI1420" s="18"/>
      <c r="BJ1420" s="18"/>
      <c r="BK1420" s="18"/>
      <c r="BL1420" s="18"/>
      <c r="BM1420" s="18"/>
      <c r="BN1420" s="18"/>
      <c r="BO1420" s="18"/>
      <c r="BP1420" s="18"/>
      <c r="BQ1420" s="18"/>
      <c r="BR1420" s="18"/>
      <c r="BS1420" s="18"/>
      <c r="BT1420" s="18"/>
      <c r="BU1420" s="18"/>
      <c r="BV1420" s="18"/>
    </row>
    <row r="1421" spans="1:74">
      <c r="A1421" s="18"/>
      <c r="B1421" s="19"/>
      <c r="BG1421" s="18"/>
      <c r="BH1421" s="18"/>
      <c r="BI1421" s="18"/>
      <c r="BJ1421" s="18"/>
      <c r="BK1421" s="18"/>
      <c r="BL1421" s="18"/>
      <c r="BM1421" s="18"/>
      <c r="BN1421" s="18"/>
      <c r="BO1421" s="18"/>
      <c r="BP1421" s="18"/>
      <c r="BQ1421" s="18"/>
      <c r="BR1421" s="18"/>
      <c r="BS1421" s="18"/>
      <c r="BT1421" s="18"/>
      <c r="BU1421" s="18"/>
      <c r="BV1421" s="18"/>
    </row>
    <row r="1422" spans="1:74">
      <c r="A1422" s="18"/>
      <c r="B1422" s="19"/>
      <c r="BG1422" s="18"/>
      <c r="BH1422" s="18"/>
      <c r="BI1422" s="18"/>
      <c r="BJ1422" s="18"/>
      <c r="BK1422" s="18"/>
      <c r="BL1422" s="18"/>
      <c r="BM1422" s="18"/>
      <c r="BN1422" s="18"/>
      <c r="BO1422" s="18"/>
      <c r="BP1422" s="18"/>
      <c r="BQ1422" s="18"/>
      <c r="BR1422" s="18"/>
      <c r="BS1422" s="18"/>
      <c r="BT1422" s="18"/>
      <c r="BU1422" s="18"/>
      <c r="BV1422" s="18"/>
    </row>
    <row r="1423" spans="1:74">
      <c r="A1423" s="18"/>
      <c r="B1423" s="19"/>
      <c r="BG1423" s="18"/>
      <c r="BH1423" s="18"/>
      <c r="BI1423" s="18"/>
      <c r="BJ1423" s="18"/>
      <c r="BK1423" s="18"/>
      <c r="BL1423" s="18"/>
      <c r="BM1423" s="18"/>
      <c r="BN1423" s="18"/>
      <c r="BO1423" s="18"/>
      <c r="BP1423" s="18"/>
      <c r="BQ1423" s="18"/>
      <c r="BR1423" s="18"/>
      <c r="BS1423" s="18"/>
      <c r="BT1423" s="18"/>
      <c r="BU1423" s="18"/>
      <c r="BV1423" s="18"/>
    </row>
    <row r="1424" spans="1:74">
      <c r="A1424" s="18"/>
      <c r="B1424" s="19"/>
      <c r="BG1424" s="18"/>
      <c r="BH1424" s="18"/>
      <c r="BI1424" s="18"/>
      <c r="BJ1424" s="18"/>
      <c r="BK1424" s="18"/>
      <c r="BL1424" s="18"/>
      <c r="BM1424" s="18"/>
      <c r="BN1424" s="18"/>
      <c r="BO1424" s="18"/>
      <c r="BP1424" s="18"/>
      <c r="BQ1424" s="18"/>
      <c r="BR1424" s="18"/>
      <c r="BS1424" s="18"/>
      <c r="BT1424" s="18"/>
      <c r="BU1424" s="18"/>
      <c r="BV1424" s="18"/>
    </row>
    <row r="1425" spans="1:74">
      <c r="A1425" s="18"/>
      <c r="B1425" s="19"/>
      <c r="BG1425" s="18"/>
      <c r="BH1425" s="18"/>
      <c r="BI1425" s="18"/>
      <c r="BJ1425" s="18"/>
      <c r="BK1425" s="18"/>
      <c r="BL1425" s="18"/>
      <c r="BM1425" s="18"/>
      <c r="BN1425" s="18"/>
      <c r="BO1425" s="18"/>
      <c r="BP1425" s="18"/>
      <c r="BQ1425" s="18"/>
      <c r="BR1425" s="18"/>
      <c r="BS1425" s="18"/>
      <c r="BT1425" s="18"/>
      <c r="BU1425" s="18"/>
      <c r="BV1425" s="18"/>
    </row>
    <row r="1426" spans="1:74">
      <c r="A1426" s="18"/>
      <c r="B1426" s="19"/>
      <c r="BG1426" s="18"/>
      <c r="BH1426" s="18"/>
      <c r="BI1426" s="18"/>
      <c r="BJ1426" s="18"/>
      <c r="BK1426" s="18"/>
      <c r="BL1426" s="18"/>
      <c r="BM1426" s="18"/>
      <c r="BN1426" s="18"/>
      <c r="BO1426" s="18"/>
      <c r="BP1426" s="18"/>
      <c r="BQ1426" s="18"/>
      <c r="BR1426" s="18"/>
      <c r="BS1426" s="18"/>
      <c r="BT1426" s="18"/>
      <c r="BU1426" s="18"/>
      <c r="BV1426" s="18"/>
    </row>
    <row r="1427" spans="1:74">
      <c r="A1427" s="18"/>
      <c r="B1427" s="19"/>
      <c r="BG1427" s="18"/>
      <c r="BH1427" s="18"/>
      <c r="BI1427" s="18"/>
      <c r="BJ1427" s="18"/>
      <c r="BK1427" s="18"/>
      <c r="BL1427" s="18"/>
      <c r="BM1427" s="18"/>
      <c r="BN1427" s="18"/>
      <c r="BO1427" s="18"/>
      <c r="BP1427" s="18"/>
      <c r="BQ1427" s="18"/>
      <c r="BR1427" s="18"/>
      <c r="BS1427" s="18"/>
      <c r="BT1427" s="18"/>
      <c r="BU1427" s="18"/>
      <c r="BV1427" s="18"/>
    </row>
    <row r="1428" spans="1:74">
      <c r="A1428" s="18"/>
      <c r="B1428" s="19"/>
      <c r="BG1428" s="18"/>
      <c r="BH1428" s="18"/>
      <c r="BI1428" s="18"/>
      <c r="BJ1428" s="18"/>
      <c r="BK1428" s="18"/>
      <c r="BL1428" s="18"/>
      <c r="BM1428" s="18"/>
      <c r="BN1428" s="18"/>
      <c r="BO1428" s="18"/>
      <c r="BP1428" s="18"/>
      <c r="BQ1428" s="18"/>
      <c r="BR1428" s="18"/>
      <c r="BS1428" s="18"/>
      <c r="BT1428" s="18"/>
      <c r="BU1428" s="18"/>
      <c r="BV1428" s="18"/>
    </row>
    <row r="1429" spans="1:74">
      <c r="A1429" s="18"/>
      <c r="B1429" s="19"/>
      <c r="BG1429" s="18"/>
      <c r="BH1429" s="18"/>
      <c r="BI1429" s="18"/>
      <c r="BJ1429" s="18"/>
      <c r="BK1429" s="18"/>
      <c r="BL1429" s="18"/>
      <c r="BM1429" s="18"/>
      <c r="BN1429" s="18"/>
      <c r="BO1429" s="18"/>
      <c r="BP1429" s="18"/>
      <c r="BQ1429" s="18"/>
      <c r="BR1429" s="18"/>
      <c r="BS1429" s="18"/>
      <c r="BT1429" s="18"/>
      <c r="BU1429" s="18"/>
      <c r="BV1429" s="18"/>
    </row>
    <row r="1430" spans="1:74">
      <c r="A1430" s="18"/>
      <c r="B1430" s="19"/>
      <c r="BG1430" s="18"/>
      <c r="BH1430" s="18"/>
      <c r="BI1430" s="18"/>
      <c r="BJ1430" s="18"/>
      <c r="BK1430" s="18"/>
      <c r="BL1430" s="18"/>
      <c r="BM1430" s="18"/>
      <c r="BN1430" s="18"/>
      <c r="BO1430" s="18"/>
      <c r="BP1430" s="18"/>
      <c r="BQ1430" s="18"/>
      <c r="BR1430" s="18"/>
      <c r="BS1430" s="18"/>
      <c r="BT1430" s="18"/>
      <c r="BU1430" s="18"/>
      <c r="BV1430" s="18"/>
    </row>
    <row r="1431" spans="1:74">
      <c r="A1431" s="18"/>
      <c r="B1431" s="19"/>
      <c r="BG1431" s="18"/>
      <c r="BH1431" s="18"/>
      <c r="BI1431" s="18"/>
      <c r="BJ1431" s="18"/>
      <c r="BK1431" s="18"/>
      <c r="BL1431" s="18"/>
      <c r="BM1431" s="18"/>
      <c r="BN1431" s="18"/>
      <c r="BO1431" s="18"/>
      <c r="BP1431" s="18"/>
      <c r="BQ1431" s="18"/>
      <c r="BR1431" s="18"/>
      <c r="BS1431" s="18"/>
      <c r="BT1431" s="18"/>
      <c r="BU1431" s="18"/>
      <c r="BV1431" s="18"/>
    </row>
    <row r="1432" spans="1:74">
      <c r="A1432" s="18"/>
      <c r="B1432" s="19"/>
      <c r="BG1432" s="18"/>
      <c r="BH1432" s="18"/>
      <c r="BI1432" s="18"/>
      <c r="BJ1432" s="18"/>
      <c r="BK1432" s="18"/>
      <c r="BL1432" s="18"/>
      <c r="BM1432" s="18"/>
      <c r="BN1432" s="18"/>
      <c r="BO1432" s="18"/>
      <c r="BP1432" s="18"/>
      <c r="BQ1432" s="18"/>
      <c r="BR1432" s="18"/>
      <c r="BS1432" s="18"/>
      <c r="BT1432" s="18"/>
      <c r="BU1432" s="18"/>
      <c r="BV1432" s="18"/>
    </row>
    <row r="1433" spans="1:74">
      <c r="A1433" s="18"/>
      <c r="B1433" s="19"/>
      <c r="BG1433" s="18"/>
      <c r="BH1433" s="18"/>
      <c r="BI1433" s="18"/>
      <c r="BJ1433" s="18"/>
      <c r="BK1433" s="18"/>
      <c r="BL1433" s="18"/>
      <c r="BM1433" s="18"/>
      <c r="BN1433" s="18"/>
      <c r="BO1433" s="18"/>
      <c r="BP1433" s="18"/>
      <c r="BQ1433" s="18"/>
      <c r="BR1433" s="18"/>
      <c r="BS1433" s="18"/>
      <c r="BT1433" s="18"/>
      <c r="BU1433" s="18"/>
      <c r="BV1433" s="18"/>
    </row>
    <row r="1434" spans="1:74">
      <c r="A1434" s="18"/>
      <c r="B1434" s="19"/>
      <c r="BG1434" s="18"/>
      <c r="BH1434" s="18"/>
      <c r="BI1434" s="18"/>
      <c r="BJ1434" s="18"/>
      <c r="BK1434" s="18"/>
      <c r="BL1434" s="18"/>
      <c r="BM1434" s="18"/>
      <c r="BN1434" s="18"/>
      <c r="BO1434" s="18"/>
      <c r="BP1434" s="18"/>
      <c r="BQ1434" s="18"/>
      <c r="BR1434" s="18"/>
      <c r="BS1434" s="18"/>
      <c r="BT1434" s="18"/>
      <c r="BU1434" s="18"/>
      <c r="BV1434" s="18"/>
    </row>
    <row r="1435" spans="1:74">
      <c r="A1435" s="18"/>
      <c r="B1435" s="19"/>
      <c r="BG1435" s="18"/>
      <c r="BH1435" s="18"/>
      <c r="BI1435" s="18"/>
      <c r="BJ1435" s="18"/>
      <c r="BK1435" s="18"/>
      <c r="BL1435" s="18"/>
      <c r="BM1435" s="18"/>
      <c r="BN1435" s="18"/>
      <c r="BO1435" s="18"/>
      <c r="BP1435" s="18"/>
      <c r="BQ1435" s="18"/>
      <c r="BR1435" s="18"/>
      <c r="BS1435" s="18"/>
      <c r="BT1435" s="18"/>
      <c r="BU1435" s="18"/>
      <c r="BV1435" s="18"/>
    </row>
    <row r="1436" spans="1:74">
      <c r="A1436" s="18"/>
      <c r="B1436" s="19"/>
      <c r="BG1436" s="18"/>
      <c r="BH1436" s="18"/>
      <c r="BI1436" s="18"/>
      <c r="BJ1436" s="18"/>
      <c r="BK1436" s="18"/>
      <c r="BL1436" s="18"/>
      <c r="BM1436" s="18"/>
      <c r="BN1436" s="18"/>
      <c r="BO1436" s="18"/>
      <c r="BP1436" s="18"/>
      <c r="BQ1436" s="18"/>
      <c r="BR1436" s="18"/>
      <c r="BS1436" s="18"/>
      <c r="BT1436" s="18"/>
      <c r="BU1436" s="18"/>
      <c r="BV1436" s="18"/>
    </row>
    <row r="1437" spans="1:74">
      <c r="A1437" s="18"/>
      <c r="B1437" s="19"/>
      <c r="BG1437" s="18"/>
      <c r="BH1437" s="18"/>
      <c r="BI1437" s="18"/>
      <c r="BJ1437" s="18"/>
      <c r="BK1437" s="18"/>
      <c r="BL1437" s="18"/>
      <c r="BM1437" s="18"/>
      <c r="BN1437" s="18"/>
      <c r="BO1437" s="18"/>
      <c r="BP1437" s="18"/>
      <c r="BQ1437" s="18"/>
      <c r="BR1437" s="18"/>
      <c r="BS1437" s="18"/>
      <c r="BT1437" s="18"/>
      <c r="BU1437" s="18"/>
      <c r="BV1437" s="18"/>
    </row>
    <row r="1438" spans="1:74">
      <c r="A1438" s="18"/>
      <c r="B1438" s="19"/>
      <c r="BG1438" s="18"/>
      <c r="BH1438" s="18"/>
      <c r="BI1438" s="18"/>
      <c r="BJ1438" s="18"/>
      <c r="BK1438" s="18"/>
      <c r="BL1438" s="18"/>
      <c r="BM1438" s="18"/>
      <c r="BN1438" s="18"/>
      <c r="BO1438" s="18"/>
      <c r="BP1438" s="18"/>
      <c r="BQ1438" s="18"/>
      <c r="BR1438" s="18"/>
      <c r="BS1438" s="18"/>
      <c r="BT1438" s="18"/>
      <c r="BU1438" s="18"/>
      <c r="BV1438" s="18"/>
    </row>
    <row r="1439" spans="1:74">
      <c r="A1439" s="18"/>
      <c r="B1439" s="19"/>
      <c r="BG1439" s="18"/>
      <c r="BH1439" s="18"/>
      <c r="BI1439" s="18"/>
      <c r="BJ1439" s="18"/>
      <c r="BK1439" s="18"/>
      <c r="BL1439" s="18"/>
      <c r="BM1439" s="18"/>
      <c r="BN1439" s="18"/>
      <c r="BO1439" s="18"/>
      <c r="BP1439" s="18"/>
      <c r="BQ1439" s="18"/>
      <c r="BR1439" s="18"/>
      <c r="BS1439" s="18"/>
      <c r="BT1439" s="18"/>
      <c r="BU1439" s="18"/>
      <c r="BV1439" s="18"/>
    </row>
    <row r="1440" spans="1:74">
      <c r="A1440" s="18"/>
      <c r="B1440" s="19"/>
      <c r="BG1440" s="18"/>
      <c r="BH1440" s="18"/>
      <c r="BI1440" s="18"/>
      <c r="BJ1440" s="18"/>
      <c r="BK1440" s="18"/>
      <c r="BL1440" s="18"/>
      <c r="BM1440" s="18"/>
      <c r="BN1440" s="18"/>
      <c r="BO1440" s="18"/>
      <c r="BP1440" s="18"/>
      <c r="BQ1440" s="18"/>
      <c r="BR1440" s="18"/>
      <c r="BS1440" s="18"/>
      <c r="BT1440" s="18"/>
      <c r="BU1440" s="18"/>
      <c r="BV1440" s="18"/>
    </row>
    <row r="1441" spans="1:74">
      <c r="A1441" s="18"/>
      <c r="B1441" s="19"/>
      <c r="BG1441" s="18"/>
      <c r="BH1441" s="18"/>
      <c r="BI1441" s="18"/>
      <c r="BJ1441" s="18"/>
      <c r="BK1441" s="18"/>
      <c r="BL1441" s="18"/>
      <c r="BM1441" s="18"/>
      <c r="BN1441" s="18"/>
      <c r="BO1441" s="18"/>
      <c r="BP1441" s="18"/>
      <c r="BQ1441" s="18"/>
      <c r="BR1441" s="18"/>
      <c r="BS1441" s="18"/>
      <c r="BT1441" s="18"/>
      <c r="BU1441" s="18"/>
      <c r="BV1441" s="18"/>
    </row>
    <row r="1442" spans="1:74">
      <c r="A1442" s="18"/>
      <c r="B1442" s="19"/>
      <c r="BG1442" s="18"/>
      <c r="BH1442" s="18"/>
      <c r="BI1442" s="18"/>
      <c r="BJ1442" s="18"/>
      <c r="BK1442" s="18"/>
      <c r="BL1442" s="18"/>
      <c r="BM1442" s="18"/>
      <c r="BN1442" s="18"/>
      <c r="BO1442" s="18"/>
      <c r="BP1442" s="18"/>
      <c r="BQ1442" s="18"/>
      <c r="BR1442" s="18"/>
      <c r="BS1442" s="18"/>
      <c r="BT1442" s="18"/>
      <c r="BU1442" s="18"/>
      <c r="BV1442" s="18"/>
    </row>
    <row r="1443" spans="1:74">
      <c r="A1443" s="18"/>
      <c r="B1443" s="19"/>
      <c r="BG1443" s="18"/>
      <c r="BH1443" s="18"/>
      <c r="BI1443" s="18"/>
      <c r="BJ1443" s="18"/>
      <c r="BK1443" s="18"/>
      <c r="BL1443" s="18"/>
      <c r="BM1443" s="18"/>
      <c r="BN1443" s="18"/>
      <c r="BO1443" s="18"/>
      <c r="BP1443" s="18"/>
      <c r="BQ1443" s="18"/>
      <c r="BR1443" s="18"/>
      <c r="BS1443" s="18"/>
      <c r="BT1443" s="18"/>
      <c r="BU1443" s="18"/>
      <c r="BV1443" s="18"/>
    </row>
    <row r="1444" spans="1:74">
      <c r="A1444" s="18"/>
      <c r="B1444" s="19"/>
      <c r="BG1444" s="18"/>
      <c r="BH1444" s="18"/>
      <c r="BI1444" s="18"/>
      <c r="BJ1444" s="18"/>
      <c r="BK1444" s="18"/>
      <c r="BL1444" s="18"/>
      <c r="BM1444" s="18"/>
      <c r="BN1444" s="18"/>
      <c r="BO1444" s="18"/>
      <c r="BP1444" s="18"/>
      <c r="BQ1444" s="18"/>
      <c r="BR1444" s="18"/>
      <c r="BS1444" s="18"/>
      <c r="BT1444" s="18"/>
      <c r="BU1444" s="18"/>
      <c r="BV1444" s="18"/>
    </row>
    <row r="1445" spans="1:74">
      <c r="A1445" s="18"/>
      <c r="B1445" s="19"/>
      <c r="BG1445" s="18"/>
      <c r="BH1445" s="18"/>
      <c r="BI1445" s="18"/>
      <c r="BJ1445" s="18"/>
      <c r="BK1445" s="18"/>
      <c r="BL1445" s="18"/>
      <c r="BM1445" s="18"/>
      <c r="BN1445" s="18"/>
      <c r="BO1445" s="18"/>
      <c r="BP1445" s="18"/>
      <c r="BQ1445" s="18"/>
      <c r="BR1445" s="18"/>
      <c r="BS1445" s="18"/>
      <c r="BT1445" s="18"/>
      <c r="BU1445" s="18"/>
      <c r="BV1445" s="18"/>
    </row>
    <row r="1446" spans="1:74">
      <c r="A1446" s="18"/>
      <c r="B1446" s="19"/>
      <c r="BG1446" s="18"/>
      <c r="BH1446" s="18"/>
      <c r="BI1446" s="18"/>
      <c r="BJ1446" s="18"/>
      <c r="BK1446" s="18"/>
      <c r="BL1446" s="18"/>
      <c r="BM1446" s="18"/>
      <c r="BN1446" s="18"/>
      <c r="BO1446" s="18"/>
      <c r="BP1446" s="18"/>
      <c r="BQ1446" s="18"/>
      <c r="BR1446" s="18"/>
      <c r="BS1446" s="18"/>
      <c r="BT1446" s="18"/>
      <c r="BU1446" s="18"/>
      <c r="BV1446" s="18"/>
    </row>
    <row r="1447" spans="1:74">
      <c r="A1447" s="18"/>
      <c r="B1447" s="19"/>
      <c r="BG1447" s="18"/>
      <c r="BH1447" s="18"/>
      <c r="BI1447" s="18"/>
      <c r="BJ1447" s="18"/>
      <c r="BK1447" s="18"/>
      <c r="BL1447" s="18"/>
      <c r="BM1447" s="18"/>
      <c r="BN1447" s="18"/>
      <c r="BO1447" s="18"/>
      <c r="BP1447" s="18"/>
      <c r="BQ1447" s="18"/>
      <c r="BR1447" s="18"/>
      <c r="BS1447" s="18"/>
      <c r="BT1447" s="18"/>
      <c r="BU1447" s="18"/>
      <c r="BV1447" s="18"/>
    </row>
    <row r="1448" spans="1:74">
      <c r="A1448" s="18"/>
      <c r="B1448" s="19"/>
      <c r="BG1448" s="18"/>
      <c r="BH1448" s="18"/>
      <c r="BI1448" s="18"/>
      <c r="BJ1448" s="18"/>
      <c r="BK1448" s="18"/>
      <c r="BL1448" s="18"/>
      <c r="BM1448" s="18"/>
      <c r="BN1448" s="18"/>
      <c r="BO1448" s="18"/>
      <c r="BP1448" s="18"/>
      <c r="BQ1448" s="18"/>
      <c r="BR1448" s="18"/>
      <c r="BS1448" s="18"/>
      <c r="BT1448" s="18"/>
      <c r="BU1448" s="18"/>
      <c r="BV1448" s="18"/>
    </row>
    <row r="1449" spans="1:74">
      <c r="A1449" s="18"/>
      <c r="B1449" s="19"/>
      <c r="BG1449" s="18"/>
      <c r="BH1449" s="18"/>
      <c r="BI1449" s="18"/>
      <c r="BJ1449" s="18"/>
      <c r="BK1449" s="18"/>
      <c r="BL1449" s="18"/>
      <c r="BM1449" s="18"/>
      <c r="BN1449" s="18"/>
      <c r="BO1449" s="18"/>
      <c r="BP1449" s="18"/>
      <c r="BQ1449" s="18"/>
      <c r="BR1449" s="18"/>
      <c r="BS1449" s="18"/>
      <c r="BT1449" s="18"/>
      <c r="BU1449" s="18"/>
      <c r="BV1449" s="18"/>
    </row>
    <row r="1450" spans="1:74">
      <c r="A1450" s="18"/>
      <c r="B1450" s="19"/>
      <c r="BG1450" s="18"/>
      <c r="BH1450" s="18"/>
      <c r="BI1450" s="18"/>
      <c r="BJ1450" s="18"/>
      <c r="BK1450" s="18"/>
      <c r="BL1450" s="18"/>
      <c r="BM1450" s="18"/>
      <c r="BN1450" s="18"/>
      <c r="BO1450" s="18"/>
      <c r="BP1450" s="18"/>
      <c r="BQ1450" s="18"/>
      <c r="BR1450" s="18"/>
      <c r="BS1450" s="18"/>
      <c r="BT1450" s="18"/>
      <c r="BU1450" s="18"/>
      <c r="BV1450" s="18"/>
    </row>
    <row r="1451" spans="1:74">
      <c r="A1451" s="18"/>
      <c r="B1451" s="19"/>
      <c r="BG1451" s="18"/>
      <c r="BH1451" s="18"/>
      <c r="BI1451" s="18"/>
      <c r="BJ1451" s="18"/>
      <c r="BK1451" s="18"/>
      <c r="BL1451" s="18"/>
      <c r="BM1451" s="18"/>
      <c r="BN1451" s="18"/>
      <c r="BO1451" s="18"/>
      <c r="BP1451" s="18"/>
      <c r="BQ1451" s="18"/>
      <c r="BR1451" s="18"/>
      <c r="BS1451" s="18"/>
      <c r="BT1451" s="18"/>
      <c r="BU1451" s="18"/>
      <c r="BV1451" s="18"/>
    </row>
    <row r="1452" spans="1:74">
      <c r="A1452" s="18"/>
      <c r="B1452" s="19"/>
      <c r="BG1452" s="18"/>
      <c r="BH1452" s="18"/>
      <c r="BI1452" s="18"/>
      <c r="BJ1452" s="18"/>
      <c r="BK1452" s="18"/>
      <c r="BL1452" s="18"/>
      <c r="BM1452" s="18"/>
      <c r="BN1452" s="18"/>
      <c r="BO1452" s="18"/>
      <c r="BP1452" s="18"/>
      <c r="BQ1452" s="18"/>
      <c r="BR1452" s="18"/>
      <c r="BS1452" s="18"/>
      <c r="BT1452" s="18"/>
      <c r="BU1452" s="18"/>
      <c r="BV1452" s="18"/>
    </row>
    <row r="1453" spans="1:74">
      <c r="A1453" s="18"/>
      <c r="B1453" s="19"/>
      <c r="BG1453" s="18"/>
      <c r="BH1453" s="18"/>
      <c r="BI1453" s="18"/>
      <c r="BJ1453" s="18"/>
      <c r="BK1453" s="18"/>
      <c r="BL1453" s="18"/>
      <c r="BM1453" s="18"/>
      <c r="BN1453" s="18"/>
      <c r="BO1453" s="18"/>
      <c r="BP1453" s="18"/>
      <c r="BQ1453" s="18"/>
      <c r="BR1453" s="18"/>
      <c r="BS1453" s="18"/>
      <c r="BT1453" s="18"/>
      <c r="BU1453" s="18"/>
      <c r="BV1453" s="18"/>
    </row>
    <row r="1454" spans="1:74">
      <c r="A1454" s="18"/>
      <c r="B1454" s="19"/>
      <c r="BG1454" s="18"/>
      <c r="BH1454" s="18"/>
      <c r="BI1454" s="18"/>
      <c r="BJ1454" s="18"/>
      <c r="BK1454" s="18"/>
      <c r="BL1454" s="18"/>
      <c r="BM1454" s="18"/>
      <c r="BN1454" s="18"/>
      <c r="BO1454" s="18"/>
      <c r="BP1454" s="18"/>
      <c r="BQ1454" s="18"/>
      <c r="BR1454" s="18"/>
      <c r="BS1454" s="18"/>
      <c r="BT1454" s="18"/>
      <c r="BU1454" s="18"/>
      <c r="BV1454" s="18"/>
    </row>
    <row r="1455" spans="1:74">
      <c r="A1455" s="18"/>
      <c r="B1455" s="19"/>
      <c r="BG1455" s="18"/>
      <c r="BH1455" s="18"/>
      <c r="BI1455" s="18"/>
      <c r="BJ1455" s="18"/>
      <c r="BK1455" s="18"/>
      <c r="BL1455" s="18"/>
      <c r="BM1455" s="18"/>
      <c r="BN1455" s="18"/>
      <c r="BO1455" s="18"/>
      <c r="BP1455" s="18"/>
      <c r="BQ1455" s="18"/>
      <c r="BR1455" s="18"/>
      <c r="BS1455" s="18"/>
      <c r="BT1455" s="18"/>
      <c r="BU1455" s="18"/>
      <c r="BV1455" s="18"/>
    </row>
    <row r="1456" spans="1:74">
      <c r="A1456" s="18"/>
      <c r="B1456" s="19"/>
      <c r="BG1456" s="18"/>
      <c r="BH1456" s="18"/>
      <c r="BI1456" s="18"/>
      <c r="BJ1456" s="18"/>
      <c r="BK1456" s="18"/>
      <c r="BL1456" s="18"/>
      <c r="BM1456" s="18"/>
      <c r="BN1456" s="18"/>
      <c r="BO1456" s="18"/>
      <c r="BP1456" s="18"/>
      <c r="BQ1456" s="18"/>
      <c r="BR1456" s="18"/>
      <c r="BS1456" s="18"/>
      <c r="BT1456" s="18"/>
      <c r="BU1456" s="18"/>
      <c r="BV1456" s="18"/>
    </row>
    <row r="1457" spans="1:74">
      <c r="A1457" s="18"/>
      <c r="B1457" s="19"/>
      <c r="BG1457" s="18"/>
      <c r="BH1457" s="18"/>
      <c r="BI1457" s="18"/>
      <c r="BJ1457" s="18"/>
      <c r="BK1457" s="18"/>
      <c r="BL1457" s="18"/>
      <c r="BM1457" s="18"/>
      <c r="BN1457" s="18"/>
      <c r="BO1457" s="18"/>
      <c r="BP1457" s="18"/>
      <c r="BQ1457" s="18"/>
      <c r="BR1457" s="18"/>
      <c r="BS1457" s="18"/>
      <c r="BT1457" s="18"/>
      <c r="BU1457" s="18"/>
      <c r="BV1457" s="18"/>
    </row>
    <row r="1458" spans="1:74">
      <c r="A1458" s="18"/>
      <c r="B1458" s="19"/>
      <c r="BG1458" s="18"/>
      <c r="BH1458" s="18"/>
      <c r="BI1458" s="18"/>
      <c r="BJ1458" s="18"/>
      <c r="BK1458" s="18"/>
      <c r="BL1458" s="18"/>
      <c r="BM1458" s="18"/>
      <c r="BN1458" s="18"/>
      <c r="BO1458" s="18"/>
      <c r="BP1458" s="18"/>
      <c r="BQ1458" s="18"/>
      <c r="BR1458" s="18"/>
      <c r="BS1458" s="18"/>
      <c r="BT1458" s="18"/>
      <c r="BU1458" s="18"/>
      <c r="BV1458" s="18"/>
    </row>
    <row r="1459" spans="1:74">
      <c r="A1459" s="18"/>
      <c r="B1459" s="19"/>
      <c r="BG1459" s="18"/>
      <c r="BH1459" s="18"/>
      <c r="BI1459" s="18"/>
      <c r="BJ1459" s="18"/>
      <c r="BK1459" s="18"/>
      <c r="BL1459" s="18"/>
      <c r="BM1459" s="18"/>
      <c r="BN1459" s="18"/>
      <c r="BO1459" s="18"/>
      <c r="BP1459" s="18"/>
      <c r="BQ1459" s="18"/>
      <c r="BR1459" s="18"/>
      <c r="BS1459" s="18"/>
      <c r="BT1459" s="18"/>
      <c r="BU1459" s="18"/>
      <c r="BV1459" s="18"/>
    </row>
    <row r="1460" spans="1:74">
      <c r="A1460" s="18"/>
      <c r="B1460" s="19"/>
      <c r="BG1460" s="18"/>
      <c r="BH1460" s="18"/>
      <c r="BI1460" s="18"/>
      <c r="BJ1460" s="18"/>
      <c r="BK1460" s="18"/>
      <c r="BL1460" s="18"/>
      <c r="BM1460" s="18"/>
      <c r="BN1460" s="18"/>
      <c r="BO1460" s="18"/>
      <c r="BP1460" s="18"/>
      <c r="BQ1460" s="18"/>
      <c r="BR1460" s="18"/>
      <c r="BS1460" s="18"/>
      <c r="BT1460" s="18"/>
      <c r="BU1460" s="18"/>
      <c r="BV1460" s="18"/>
    </row>
    <row r="1461" spans="1:74">
      <c r="A1461" s="18"/>
      <c r="B1461" s="19"/>
      <c r="BG1461" s="18"/>
      <c r="BH1461" s="18"/>
      <c r="BI1461" s="18"/>
      <c r="BJ1461" s="18"/>
      <c r="BK1461" s="18"/>
      <c r="BL1461" s="18"/>
      <c r="BM1461" s="18"/>
      <c r="BN1461" s="18"/>
      <c r="BO1461" s="18"/>
      <c r="BP1461" s="18"/>
      <c r="BQ1461" s="18"/>
      <c r="BR1461" s="18"/>
      <c r="BS1461" s="18"/>
      <c r="BT1461" s="18"/>
      <c r="BU1461" s="18"/>
      <c r="BV1461" s="18"/>
    </row>
    <row r="1462" spans="1:74">
      <c r="A1462" s="18"/>
      <c r="B1462" s="19"/>
      <c r="BG1462" s="18"/>
      <c r="BH1462" s="18"/>
      <c r="BI1462" s="18"/>
      <c r="BJ1462" s="18"/>
      <c r="BK1462" s="18"/>
      <c r="BL1462" s="18"/>
      <c r="BM1462" s="18"/>
      <c r="BN1462" s="18"/>
      <c r="BO1462" s="18"/>
      <c r="BP1462" s="18"/>
      <c r="BQ1462" s="18"/>
      <c r="BR1462" s="18"/>
      <c r="BS1462" s="18"/>
      <c r="BT1462" s="18"/>
      <c r="BU1462" s="18"/>
      <c r="BV1462" s="18"/>
    </row>
    <row r="1463" spans="1:74">
      <c r="A1463" s="18"/>
      <c r="B1463" s="19"/>
      <c r="BG1463" s="18"/>
      <c r="BH1463" s="18"/>
      <c r="BI1463" s="18"/>
      <c r="BJ1463" s="18"/>
      <c r="BK1463" s="18"/>
      <c r="BL1463" s="18"/>
      <c r="BM1463" s="18"/>
      <c r="BN1463" s="18"/>
      <c r="BO1463" s="18"/>
      <c r="BP1463" s="18"/>
      <c r="BQ1463" s="18"/>
      <c r="BR1463" s="18"/>
      <c r="BS1463" s="18"/>
      <c r="BT1463" s="18"/>
      <c r="BU1463" s="18"/>
      <c r="BV1463" s="18"/>
    </row>
    <row r="1464" spans="1:74">
      <c r="A1464" s="18"/>
      <c r="B1464" s="19"/>
      <c r="BG1464" s="18"/>
      <c r="BH1464" s="18"/>
      <c r="BI1464" s="18"/>
      <c r="BJ1464" s="18"/>
      <c r="BK1464" s="18"/>
      <c r="BL1464" s="18"/>
      <c r="BM1464" s="18"/>
      <c r="BN1464" s="18"/>
      <c r="BO1464" s="18"/>
      <c r="BP1464" s="18"/>
      <c r="BQ1464" s="18"/>
      <c r="BR1464" s="18"/>
      <c r="BS1464" s="18"/>
      <c r="BT1464" s="18"/>
      <c r="BU1464" s="18"/>
      <c r="BV1464" s="18"/>
    </row>
    <row r="1465" spans="1:74">
      <c r="A1465" s="18"/>
      <c r="B1465" s="19"/>
      <c r="BG1465" s="18"/>
      <c r="BH1465" s="18"/>
      <c r="BI1465" s="18"/>
      <c r="BJ1465" s="18"/>
      <c r="BK1465" s="18"/>
      <c r="BL1465" s="18"/>
      <c r="BM1465" s="18"/>
      <c r="BN1465" s="18"/>
      <c r="BO1465" s="18"/>
      <c r="BP1465" s="18"/>
      <c r="BQ1465" s="18"/>
      <c r="BR1465" s="18"/>
      <c r="BS1465" s="18"/>
      <c r="BT1465" s="18"/>
      <c r="BU1465" s="18"/>
      <c r="BV1465" s="18"/>
    </row>
    <row r="1466" spans="1:74">
      <c r="A1466" s="18"/>
      <c r="B1466" s="19"/>
      <c r="BG1466" s="18"/>
      <c r="BH1466" s="18"/>
      <c r="BI1466" s="18"/>
      <c r="BJ1466" s="18"/>
      <c r="BK1466" s="18"/>
      <c r="BL1466" s="18"/>
      <c r="BM1466" s="18"/>
      <c r="BN1466" s="18"/>
      <c r="BO1466" s="18"/>
      <c r="BP1466" s="18"/>
      <c r="BQ1466" s="18"/>
      <c r="BR1466" s="18"/>
      <c r="BS1466" s="18"/>
      <c r="BT1466" s="18"/>
      <c r="BU1466" s="18"/>
      <c r="BV1466" s="18"/>
    </row>
    <row r="1467" spans="1:74">
      <c r="A1467" s="18"/>
      <c r="B1467" s="19"/>
      <c r="BG1467" s="18"/>
      <c r="BH1467" s="18"/>
      <c r="BI1467" s="18"/>
      <c r="BJ1467" s="18"/>
      <c r="BK1467" s="18"/>
      <c r="BL1467" s="18"/>
      <c r="BM1467" s="18"/>
      <c r="BN1467" s="18"/>
      <c r="BO1467" s="18"/>
      <c r="BP1467" s="18"/>
      <c r="BQ1467" s="18"/>
      <c r="BR1467" s="18"/>
      <c r="BS1467" s="18"/>
      <c r="BT1467" s="18"/>
      <c r="BU1467" s="18"/>
      <c r="BV1467" s="18"/>
    </row>
    <row r="1468" spans="1:74">
      <c r="A1468" s="18"/>
      <c r="B1468" s="19"/>
      <c r="BG1468" s="18"/>
      <c r="BH1468" s="18"/>
      <c r="BI1468" s="18"/>
      <c r="BJ1468" s="18"/>
      <c r="BK1468" s="18"/>
      <c r="BL1468" s="18"/>
      <c r="BM1468" s="18"/>
      <c r="BN1468" s="18"/>
      <c r="BO1468" s="18"/>
      <c r="BP1468" s="18"/>
      <c r="BQ1468" s="18"/>
      <c r="BR1468" s="18"/>
      <c r="BS1468" s="18"/>
      <c r="BT1468" s="18"/>
      <c r="BU1468" s="18"/>
      <c r="BV1468" s="18"/>
    </row>
    <row r="1469" spans="1:74">
      <c r="A1469" s="18"/>
      <c r="B1469" s="19"/>
      <c r="BG1469" s="18"/>
      <c r="BH1469" s="18"/>
      <c r="BI1469" s="18"/>
      <c r="BJ1469" s="18"/>
      <c r="BK1469" s="18"/>
      <c r="BL1469" s="18"/>
      <c r="BM1469" s="18"/>
      <c r="BN1469" s="18"/>
      <c r="BO1469" s="18"/>
      <c r="BP1469" s="18"/>
      <c r="BQ1469" s="18"/>
      <c r="BR1469" s="18"/>
      <c r="BS1469" s="18"/>
      <c r="BT1469" s="18"/>
      <c r="BU1469" s="18"/>
      <c r="BV1469" s="18"/>
    </row>
    <row r="1470" spans="1:74">
      <c r="A1470" s="18"/>
      <c r="B1470" s="19"/>
      <c r="BG1470" s="18"/>
      <c r="BH1470" s="18"/>
      <c r="BI1470" s="18"/>
      <c r="BJ1470" s="18"/>
      <c r="BK1470" s="18"/>
      <c r="BL1470" s="18"/>
      <c r="BM1470" s="18"/>
      <c r="BN1470" s="18"/>
      <c r="BO1470" s="18"/>
      <c r="BP1470" s="18"/>
      <c r="BQ1470" s="18"/>
      <c r="BR1470" s="18"/>
      <c r="BS1470" s="18"/>
      <c r="BT1470" s="18"/>
      <c r="BU1470" s="18"/>
      <c r="BV1470" s="18"/>
    </row>
    <row r="1471" spans="1:74">
      <c r="A1471" s="18"/>
      <c r="B1471" s="19"/>
      <c r="BG1471" s="18"/>
      <c r="BH1471" s="18"/>
      <c r="BI1471" s="18"/>
      <c r="BJ1471" s="18"/>
      <c r="BK1471" s="18"/>
      <c r="BL1471" s="18"/>
      <c r="BM1471" s="18"/>
      <c r="BN1471" s="18"/>
      <c r="BO1471" s="18"/>
      <c r="BP1471" s="18"/>
      <c r="BQ1471" s="18"/>
      <c r="BR1471" s="18"/>
      <c r="BS1471" s="18"/>
      <c r="BT1471" s="18"/>
      <c r="BU1471" s="18"/>
      <c r="BV1471" s="18"/>
    </row>
    <row r="1472" spans="1:74">
      <c r="A1472" s="18"/>
      <c r="B1472" s="19"/>
      <c r="BG1472" s="18"/>
      <c r="BH1472" s="18"/>
      <c r="BI1472" s="18"/>
      <c r="BJ1472" s="18"/>
      <c r="BK1472" s="18"/>
      <c r="BL1472" s="18"/>
      <c r="BM1472" s="18"/>
      <c r="BN1472" s="18"/>
      <c r="BO1472" s="18"/>
      <c r="BP1472" s="18"/>
      <c r="BQ1472" s="18"/>
      <c r="BR1472" s="18"/>
      <c r="BS1472" s="18"/>
      <c r="BT1472" s="18"/>
      <c r="BU1472" s="18"/>
      <c r="BV1472" s="18"/>
    </row>
    <row r="1473" spans="1:74">
      <c r="A1473" s="18"/>
      <c r="B1473" s="19"/>
      <c r="BG1473" s="18"/>
      <c r="BH1473" s="18"/>
      <c r="BI1473" s="18"/>
      <c r="BJ1473" s="18"/>
      <c r="BK1473" s="18"/>
      <c r="BL1473" s="18"/>
      <c r="BM1473" s="18"/>
      <c r="BN1473" s="18"/>
      <c r="BO1473" s="18"/>
      <c r="BP1473" s="18"/>
      <c r="BQ1473" s="18"/>
      <c r="BR1473" s="18"/>
      <c r="BS1473" s="18"/>
      <c r="BT1473" s="18"/>
      <c r="BU1473" s="18"/>
      <c r="BV1473" s="18"/>
    </row>
    <row r="1474" spans="1:74">
      <c r="A1474" s="18"/>
      <c r="B1474" s="19"/>
      <c r="BG1474" s="18"/>
      <c r="BH1474" s="18"/>
      <c r="BI1474" s="18"/>
      <c r="BJ1474" s="18"/>
      <c r="BK1474" s="18"/>
      <c r="BL1474" s="18"/>
      <c r="BM1474" s="18"/>
      <c r="BN1474" s="18"/>
      <c r="BO1474" s="18"/>
      <c r="BP1474" s="18"/>
      <c r="BQ1474" s="18"/>
      <c r="BR1474" s="18"/>
      <c r="BS1474" s="18"/>
      <c r="BT1474" s="18"/>
      <c r="BU1474" s="18"/>
      <c r="BV1474" s="18"/>
    </row>
    <row r="1475" spans="1:74">
      <c r="A1475" s="18"/>
      <c r="B1475" s="19"/>
      <c r="BG1475" s="18"/>
      <c r="BH1475" s="18"/>
      <c r="BI1475" s="18"/>
      <c r="BJ1475" s="18"/>
      <c r="BK1475" s="18"/>
      <c r="BL1475" s="18"/>
      <c r="BM1475" s="18"/>
      <c r="BN1475" s="18"/>
      <c r="BO1475" s="18"/>
      <c r="BP1475" s="18"/>
      <c r="BQ1475" s="18"/>
      <c r="BR1475" s="18"/>
      <c r="BS1475" s="18"/>
      <c r="BT1475" s="18"/>
      <c r="BU1475" s="18"/>
      <c r="BV1475" s="18"/>
    </row>
    <row r="1476" spans="1:74">
      <c r="A1476" s="18"/>
      <c r="B1476" s="19"/>
      <c r="BG1476" s="18"/>
      <c r="BH1476" s="18"/>
      <c r="BI1476" s="18"/>
      <c r="BJ1476" s="18"/>
      <c r="BK1476" s="18"/>
      <c r="BL1476" s="18"/>
      <c r="BM1476" s="18"/>
      <c r="BN1476" s="18"/>
      <c r="BO1476" s="18"/>
      <c r="BP1476" s="18"/>
      <c r="BQ1476" s="18"/>
      <c r="BR1476" s="18"/>
      <c r="BS1476" s="18"/>
      <c r="BT1476" s="18"/>
      <c r="BU1476" s="18"/>
      <c r="BV1476" s="18"/>
    </row>
    <row r="1477" spans="1:74">
      <c r="A1477" s="18"/>
      <c r="B1477" s="19"/>
      <c r="BG1477" s="18"/>
      <c r="BH1477" s="18"/>
      <c r="BI1477" s="18"/>
      <c r="BJ1477" s="18"/>
      <c r="BK1477" s="18"/>
      <c r="BL1477" s="18"/>
      <c r="BM1477" s="18"/>
      <c r="BN1477" s="18"/>
      <c r="BO1477" s="18"/>
      <c r="BP1477" s="18"/>
      <c r="BQ1477" s="18"/>
      <c r="BR1477" s="18"/>
      <c r="BS1477" s="18"/>
      <c r="BT1477" s="18"/>
      <c r="BU1477" s="18"/>
      <c r="BV1477" s="18"/>
    </row>
    <row r="1478" spans="1:74">
      <c r="A1478" s="18"/>
      <c r="B1478" s="19"/>
      <c r="BG1478" s="18"/>
      <c r="BH1478" s="18"/>
      <c r="BI1478" s="18"/>
      <c r="BJ1478" s="18"/>
      <c r="BK1478" s="18"/>
      <c r="BL1478" s="18"/>
      <c r="BM1478" s="18"/>
      <c r="BN1478" s="18"/>
      <c r="BO1478" s="18"/>
      <c r="BP1478" s="18"/>
      <c r="BQ1478" s="18"/>
      <c r="BR1478" s="18"/>
      <c r="BS1478" s="18"/>
      <c r="BT1478" s="18"/>
      <c r="BU1478" s="18"/>
      <c r="BV1478" s="18"/>
    </row>
    <row r="1479" spans="1:74">
      <c r="A1479" s="18"/>
      <c r="B1479" s="19"/>
      <c r="BG1479" s="18"/>
      <c r="BH1479" s="18"/>
      <c r="BI1479" s="18"/>
      <c r="BJ1479" s="18"/>
      <c r="BK1479" s="18"/>
      <c r="BL1479" s="18"/>
      <c r="BM1479" s="18"/>
      <c r="BN1479" s="18"/>
      <c r="BO1479" s="18"/>
      <c r="BP1479" s="18"/>
      <c r="BQ1479" s="18"/>
      <c r="BR1479" s="18"/>
      <c r="BS1479" s="18"/>
      <c r="BT1479" s="18"/>
      <c r="BU1479" s="18"/>
      <c r="BV1479" s="18"/>
    </row>
    <row r="1480" spans="1:74">
      <c r="A1480" s="18"/>
      <c r="B1480" s="19"/>
      <c r="BG1480" s="18"/>
      <c r="BH1480" s="18"/>
      <c r="BI1480" s="18"/>
      <c r="BJ1480" s="18"/>
      <c r="BK1480" s="18"/>
      <c r="BL1480" s="18"/>
      <c r="BM1480" s="18"/>
      <c r="BN1480" s="18"/>
      <c r="BO1480" s="18"/>
      <c r="BP1480" s="18"/>
      <c r="BQ1480" s="18"/>
      <c r="BR1480" s="18"/>
      <c r="BS1480" s="18"/>
      <c r="BT1480" s="18"/>
      <c r="BU1480" s="18"/>
      <c r="BV1480" s="18"/>
    </row>
    <row r="1481" spans="1:74">
      <c r="A1481" s="18"/>
      <c r="B1481" s="19"/>
      <c r="BG1481" s="18"/>
      <c r="BH1481" s="18"/>
      <c r="BI1481" s="18"/>
      <c r="BJ1481" s="18"/>
      <c r="BK1481" s="18"/>
      <c r="BL1481" s="18"/>
      <c r="BM1481" s="18"/>
      <c r="BN1481" s="18"/>
      <c r="BO1481" s="18"/>
      <c r="BP1481" s="18"/>
      <c r="BQ1481" s="18"/>
      <c r="BR1481" s="18"/>
      <c r="BS1481" s="18"/>
      <c r="BT1481" s="18"/>
      <c r="BU1481" s="18"/>
      <c r="BV1481" s="18"/>
    </row>
    <row r="1482" spans="1:74">
      <c r="A1482" s="18"/>
      <c r="B1482" s="19"/>
      <c r="BG1482" s="18"/>
      <c r="BH1482" s="18"/>
      <c r="BI1482" s="18"/>
      <c r="BJ1482" s="18"/>
      <c r="BK1482" s="18"/>
      <c r="BL1482" s="18"/>
      <c r="BM1482" s="18"/>
      <c r="BN1482" s="18"/>
      <c r="BO1482" s="18"/>
      <c r="BP1482" s="18"/>
      <c r="BQ1482" s="18"/>
      <c r="BR1482" s="18"/>
      <c r="BS1482" s="18"/>
      <c r="BT1482" s="18"/>
      <c r="BU1482" s="18"/>
      <c r="BV1482" s="18"/>
    </row>
    <row r="1483" spans="1:74">
      <c r="A1483" s="18"/>
      <c r="B1483" s="19"/>
      <c r="BG1483" s="18"/>
      <c r="BH1483" s="18"/>
      <c r="BI1483" s="18"/>
      <c r="BJ1483" s="18"/>
      <c r="BK1483" s="18"/>
      <c r="BL1483" s="18"/>
      <c r="BM1483" s="18"/>
      <c r="BN1483" s="18"/>
      <c r="BO1483" s="18"/>
      <c r="BP1483" s="18"/>
      <c r="BQ1483" s="18"/>
      <c r="BR1483" s="18"/>
      <c r="BS1483" s="18"/>
      <c r="BT1483" s="18"/>
      <c r="BU1483" s="18"/>
      <c r="BV1483" s="18"/>
    </row>
    <row r="1484" spans="1:74">
      <c r="A1484" s="18"/>
      <c r="B1484" s="19"/>
      <c r="BG1484" s="18"/>
      <c r="BH1484" s="18"/>
      <c r="BI1484" s="18"/>
      <c r="BJ1484" s="18"/>
      <c r="BK1484" s="18"/>
      <c r="BL1484" s="18"/>
      <c r="BM1484" s="18"/>
      <c r="BN1484" s="18"/>
      <c r="BO1484" s="18"/>
      <c r="BP1484" s="18"/>
      <c r="BQ1484" s="18"/>
      <c r="BR1484" s="18"/>
      <c r="BS1484" s="18"/>
      <c r="BT1484" s="18"/>
      <c r="BU1484" s="18"/>
      <c r="BV1484" s="18"/>
    </row>
    <row r="1485" spans="1:74">
      <c r="A1485" s="18"/>
      <c r="B1485" s="19"/>
      <c r="BG1485" s="18"/>
      <c r="BH1485" s="18"/>
      <c r="BI1485" s="18"/>
      <c r="BJ1485" s="18"/>
      <c r="BK1485" s="18"/>
      <c r="BL1485" s="18"/>
      <c r="BM1485" s="18"/>
      <c r="BN1485" s="18"/>
      <c r="BO1485" s="18"/>
      <c r="BP1485" s="18"/>
      <c r="BQ1485" s="18"/>
      <c r="BR1485" s="18"/>
      <c r="BS1485" s="18"/>
      <c r="BT1485" s="18"/>
      <c r="BU1485" s="18"/>
      <c r="BV1485" s="18"/>
    </row>
    <row r="1486" spans="1:74">
      <c r="A1486" s="18"/>
      <c r="B1486" s="19"/>
      <c r="BG1486" s="18"/>
      <c r="BH1486" s="18"/>
      <c r="BI1486" s="18"/>
      <c r="BJ1486" s="18"/>
      <c r="BK1486" s="18"/>
      <c r="BL1486" s="18"/>
      <c r="BM1486" s="18"/>
      <c r="BN1486" s="18"/>
      <c r="BO1486" s="18"/>
      <c r="BP1486" s="18"/>
      <c r="BQ1486" s="18"/>
      <c r="BR1486" s="18"/>
      <c r="BS1486" s="18"/>
      <c r="BT1486" s="18"/>
      <c r="BU1486" s="18"/>
      <c r="BV1486" s="18"/>
    </row>
    <row r="1487" spans="1:74">
      <c r="A1487" s="18"/>
      <c r="B1487" s="19"/>
      <c r="BG1487" s="18"/>
      <c r="BH1487" s="18"/>
      <c r="BI1487" s="18"/>
      <c r="BJ1487" s="18"/>
      <c r="BK1487" s="18"/>
      <c r="BL1487" s="18"/>
      <c r="BM1487" s="18"/>
      <c r="BN1487" s="18"/>
      <c r="BO1487" s="18"/>
      <c r="BP1487" s="18"/>
      <c r="BQ1487" s="18"/>
      <c r="BR1487" s="18"/>
      <c r="BS1487" s="18"/>
      <c r="BT1487" s="18"/>
      <c r="BU1487" s="18"/>
      <c r="BV1487" s="18"/>
    </row>
    <row r="1488" spans="1:74">
      <c r="A1488" s="18"/>
      <c r="B1488" s="19"/>
      <c r="BG1488" s="18"/>
      <c r="BH1488" s="18"/>
      <c r="BI1488" s="18"/>
      <c r="BJ1488" s="18"/>
      <c r="BK1488" s="18"/>
      <c r="BL1488" s="18"/>
      <c r="BM1488" s="18"/>
      <c r="BN1488" s="18"/>
      <c r="BO1488" s="18"/>
      <c r="BP1488" s="18"/>
      <c r="BQ1488" s="18"/>
      <c r="BR1488" s="18"/>
      <c r="BS1488" s="18"/>
      <c r="BT1488" s="18"/>
      <c r="BU1488" s="18"/>
      <c r="BV1488" s="18"/>
    </row>
    <row r="1489" spans="1:74">
      <c r="A1489" s="18"/>
      <c r="B1489" s="19"/>
      <c r="BG1489" s="18"/>
      <c r="BH1489" s="18"/>
      <c r="BI1489" s="18"/>
      <c r="BJ1489" s="18"/>
      <c r="BK1489" s="18"/>
      <c r="BL1489" s="18"/>
      <c r="BM1489" s="18"/>
      <c r="BN1489" s="18"/>
      <c r="BO1489" s="18"/>
      <c r="BP1489" s="18"/>
      <c r="BQ1489" s="18"/>
      <c r="BR1489" s="18"/>
      <c r="BS1489" s="18"/>
      <c r="BT1489" s="18"/>
      <c r="BU1489" s="18"/>
      <c r="BV1489" s="18"/>
    </row>
    <row r="1490" spans="1:74">
      <c r="A1490" s="18"/>
      <c r="B1490" s="19"/>
      <c r="BG1490" s="18"/>
      <c r="BH1490" s="18"/>
      <c r="BI1490" s="18"/>
      <c r="BJ1490" s="18"/>
      <c r="BK1490" s="18"/>
      <c r="BL1490" s="18"/>
      <c r="BM1490" s="18"/>
      <c r="BN1490" s="18"/>
      <c r="BO1490" s="18"/>
      <c r="BP1490" s="18"/>
      <c r="BQ1490" s="18"/>
      <c r="BR1490" s="18"/>
      <c r="BS1490" s="18"/>
      <c r="BT1490" s="18"/>
      <c r="BU1490" s="18"/>
      <c r="BV1490" s="18"/>
    </row>
    <row r="1491" spans="1:74">
      <c r="A1491" s="18"/>
      <c r="B1491" s="19"/>
      <c r="BG1491" s="18"/>
      <c r="BH1491" s="18"/>
      <c r="BI1491" s="18"/>
      <c r="BJ1491" s="18"/>
      <c r="BK1491" s="18"/>
      <c r="BL1491" s="18"/>
      <c r="BM1491" s="18"/>
      <c r="BN1491" s="18"/>
      <c r="BO1491" s="18"/>
      <c r="BP1491" s="18"/>
      <c r="BQ1491" s="18"/>
      <c r="BR1491" s="18"/>
      <c r="BS1491" s="18"/>
      <c r="BT1491" s="18"/>
      <c r="BU1491" s="18"/>
      <c r="BV1491" s="18"/>
    </row>
    <row r="1492" spans="1:74">
      <c r="A1492" s="18"/>
      <c r="B1492" s="19"/>
      <c r="BG1492" s="18"/>
      <c r="BH1492" s="18"/>
      <c r="BI1492" s="18"/>
      <c r="BJ1492" s="18"/>
      <c r="BK1492" s="18"/>
      <c r="BL1492" s="18"/>
      <c r="BM1492" s="18"/>
      <c r="BN1492" s="18"/>
      <c r="BO1492" s="18"/>
      <c r="BP1492" s="18"/>
      <c r="BQ1492" s="18"/>
      <c r="BR1492" s="18"/>
      <c r="BS1492" s="18"/>
      <c r="BT1492" s="18"/>
      <c r="BU1492" s="18"/>
      <c r="BV1492" s="18"/>
    </row>
    <row r="1493" spans="1:74">
      <c r="A1493" s="18"/>
      <c r="B1493" s="19"/>
      <c r="BG1493" s="18"/>
      <c r="BH1493" s="18"/>
      <c r="BI1493" s="18"/>
      <c r="BJ1493" s="18"/>
      <c r="BK1493" s="18"/>
      <c r="BL1493" s="18"/>
      <c r="BM1493" s="18"/>
      <c r="BN1493" s="18"/>
      <c r="BO1493" s="18"/>
      <c r="BP1493" s="18"/>
      <c r="BQ1493" s="18"/>
      <c r="BR1493" s="18"/>
      <c r="BS1493" s="18"/>
      <c r="BT1493" s="18"/>
      <c r="BU1493" s="18"/>
      <c r="BV1493" s="18"/>
    </row>
    <row r="1494" spans="1:74">
      <c r="A1494" s="18"/>
      <c r="B1494" s="19"/>
      <c r="BG1494" s="18"/>
      <c r="BH1494" s="18"/>
      <c r="BI1494" s="18"/>
      <c r="BJ1494" s="18"/>
      <c r="BK1494" s="18"/>
      <c r="BL1494" s="18"/>
      <c r="BM1494" s="18"/>
      <c r="BN1494" s="18"/>
      <c r="BO1494" s="18"/>
      <c r="BP1494" s="18"/>
      <c r="BQ1494" s="18"/>
      <c r="BR1494" s="18"/>
      <c r="BS1494" s="18"/>
      <c r="BT1494" s="18"/>
      <c r="BU1494" s="18"/>
      <c r="BV1494" s="18"/>
    </row>
    <row r="1495" spans="1:74">
      <c r="A1495" s="18"/>
      <c r="B1495" s="19"/>
      <c r="BG1495" s="18"/>
      <c r="BH1495" s="18"/>
      <c r="BI1495" s="18"/>
      <c r="BJ1495" s="18"/>
      <c r="BK1495" s="18"/>
      <c r="BL1495" s="18"/>
      <c r="BM1495" s="18"/>
      <c r="BN1495" s="18"/>
      <c r="BO1495" s="18"/>
      <c r="BP1495" s="18"/>
      <c r="BQ1495" s="18"/>
      <c r="BR1495" s="18"/>
      <c r="BS1495" s="18"/>
      <c r="BT1495" s="18"/>
      <c r="BU1495" s="18"/>
      <c r="BV1495" s="18"/>
    </row>
    <row r="1496" spans="1:74">
      <c r="A1496" s="18"/>
      <c r="B1496" s="19"/>
      <c r="BG1496" s="18"/>
      <c r="BH1496" s="18"/>
      <c r="BI1496" s="18"/>
      <c r="BJ1496" s="18"/>
      <c r="BK1496" s="18"/>
      <c r="BL1496" s="18"/>
      <c r="BM1496" s="18"/>
      <c r="BN1496" s="18"/>
      <c r="BO1496" s="18"/>
      <c r="BP1496" s="18"/>
      <c r="BQ1496" s="18"/>
      <c r="BR1496" s="18"/>
      <c r="BS1496" s="18"/>
      <c r="BT1496" s="18"/>
      <c r="BU1496" s="18"/>
      <c r="BV1496" s="18"/>
    </row>
    <row r="1497" spans="1:74">
      <c r="A1497" s="18"/>
      <c r="B1497" s="19"/>
      <c r="BG1497" s="18"/>
      <c r="BH1497" s="18"/>
      <c r="BI1497" s="18"/>
      <c r="BJ1497" s="18"/>
      <c r="BK1497" s="18"/>
      <c r="BL1497" s="18"/>
      <c r="BM1497" s="18"/>
      <c r="BN1497" s="18"/>
      <c r="BO1497" s="18"/>
      <c r="BP1497" s="18"/>
      <c r="BQ1497" s="18"/>
      <c r="BR1497" s="18"/>
      <c r="BS1497" s="18"/>
      <c r="BT1497" s="18"/>
      <c r="BU1497" s="18"/>
      <c r="BV1497" s="18"/>
    </row>
    <row r="1498" spans="1:74">
      <c r="A1498" s="18"/>
      <c r="B1498" s="19"/>
      <c r="BG1498" s="18"/>
      <c r="BH1498" s="18"/>
      <c r="BI1498" s="18"/>
      <c r="BJ1498" s="18"/>
      <c r="BK1498" s="18"/>
      <c r="BL1498" s="18"/>
      <c r="BM1498" s="18"/>
      <c r="BN1498" s="18"/>
      <c r="BO1498" s="18"/>
      <c r="BP1498" s="18"/>
      <c r="BQ1498" s="18"/>
      <c r="BR1498" s="18"/>
      <c r="BS1498" s="18"/>
      <c r="BT1498" s="18"/>
      <c r="BU1498" s="18"/>
      <c r="BV1498" s="18"/>
    </row>
    <row r="1499" spans="1:74">
      <c r="A1499" s="69"/>
      <c r="B1499" s="19"/>
      <c r="BG1499" s="18"/>
      <c r="BH1499" s="18"/>
      <c r="BI1499" s="18"/>
      <c r="BJ1499" s="18"/>
      <c r="BK1499" s="18"/>
      <c r="BL1499" s="18"/>
      <c r="BM1499" s="18"/>
      <c r="BN1499" s="18"/>
      <c r="BO1499" s="18"/>
      <c r="BP1499" s="18"/>
      <c r="BQ1499" s="18"/>
      <c r="BR1499" s="18"/>
      <c r="BS1499" s="18"/>
      <c r="BT1499" s="18"/>
      <c r="BU1499" s="18"/>
      <c r="BV1499" s="18"/>
    </row>
    <row r="1500" spans="1:74">
      <c r="A1500" s="18"/>
      <c r="B1500" s="19"/>
      <c r="BG1500" s="18"/>
      <c r="BH1500" s="18"/>
      <c r="BI1500" s="18"/>
      <c r="BJ1500" s="18"/>
      <c r="BK1500" s="18"/>
      <c r="BL1500" s="18"/>
      <c r="BM1500" s="18"/>
      <c r="BN1500" s="18"/>
      <c r="BO1500" s="18"/>
      <c r="BP1500" s="18"/>
      <c r="BQ1500" s="18"/>
      <c r="BR1500" s="18"/>
      <c r="BS1500" s="18"/>
      <c r="BT1500" s="18"/>
      <c r="BU1500" s="18"/>
      <c r="BV1500" s="18"/>
    </row>
    <row r="1501" spans="1:74">
      <c r="A1501" s="18"/>
      <c r="B1501" s="19"/>
      <c r="BG1501" s="18"/>
      <c r="BH1501" s="18"/>
      <c r="BI1501" s="18"/>
      <c r="BJ1501" s="18"/>
      <c r="BK1501" s="18"/>
      <c r="BL1501" s="18"/>
      <c r="BM1501" s="18"/>
      <c r="BN1501" s="18"/>
      <c r="BO1501" s="18"/>
      <c r="BP1501" s="18"/>
      <c r="BQ1501" s="18"/>
      <c r="BR1501" s="18"/>
      <c r="BS1501" s="18"/>
      <c r="BT1501" s="18"/>
      <c r="BU1501" s="18"/>
      <c r="BV1501" s="18"/>
    </row>
    <row r="1502" spans="1:74">
      <c r="A1502" s="18"/>
      <c r="B1502" s="19"/>
      <c r="BG1502" s="18"/>
      <c r="BH1502" s="18"/>
      <c r="BI1502" s="18"/>
      <c r="BJ1502" s="18"/>
      <c r="BK1502" s="18"/>
      <c r="BL1502" s="18"/>
      <c r="BM1502" s="18"/>
      <c r="BN1502" s="18"/>
      <c r="BO1502" s="18"/>
      <c r="BP1502" s="18"/>
      <c r="BQ1502" s="18"/>
      <c r="BR1502" s="18"/>
      <c r="BS1502" s="18"/>
      <c r="BT1502" s="18"/>
      <c r="BU1502" s="18"/>
      <c r="BV1502" s="18"/>
    </row>
    <row r="1503" spans="1:74">
      <c r="A1503" s="18"/>
      <c r="B1503" s="19"/>
      <c r="BG1503" s="18"/>
      <c r="BH1503" s="18"/>
      <c r="BI1503" s="18"/>
      <c r="BJ1503" s="18"/>
      <c r="BK1503" s="18"/>
      <c r="BL1503" s="18"/>
      <c r="BM1503" s="18"/>
      <c r="BN1503" s="18"/>
      <c r="BO1503" s="18"/>
      <c r="BP1503" s="18"/>
      <c r="BQ1503" s="18"/>
      <c r="BR1503" s="18"/>
      <c r="BS1503" s="18"/>
      <c r="BT1503" s="18"/>
      <c r="BU1503" s="18"/>
      <c r="BV1503" s="18"/>
    </row>
    <row r="1504" spans="1:74">
      <c r="A1504" s="18"/>
      <c r="B1504" s="19"/>
      <c r="BG1504" s="18"/>
      <c r="BH1504" s="18"/>
      <c r="BI1504" s="18"/>
      <c r="BJ1504" s="18"/>
      <c r="BK1504" s="18"/>
      <c r="BL1504" s="18"/>
      <c r="BM1504" s="18"/>
      <c r="BN1504" s="18"/>
      <c r="BO1504" s="18"/>
      <c r="BP1504" s="18"/>
      <c r="BQ1504" s="18"/>
      <c r="BR1504" s="18"/>
      <c r="BS1504" s="18"/>
      <c r="BT1504" s="18"/>
      <c r="BU1504" s="18"/>
      <c r="BV1504" s="18"/>
    </row>
    <row r="1505" spans="1:74">
      <c r="A1505" s="18"/>
      <c r="B1505" s="19"/>
      <c r="BG1505" s="18"/>
      <c r="BH1505" s="18"/>
      <c r="BI1505" s="18"/>
      <c r="BJ1505" s="18"/>
      <c r="BK1505" s="18"/>
      <c r="BL1505" s="18"/>
      <c r="BM1505" s="18"/>
      <c r="BN1505" s="18"/>
      <c r="BO1505" s="18"/>
      <c r="BP1505" s="18"/>
      <c r="BQ1505" s="18"/>
      <c r="BR1505" s="18"/>
      <c r="BS1505" s="18"/>
      <c r="BT1505" s="18"/>
      <c r="BU1505" s="18"/>
      <c r="BV1505" s="18"/>
    </row>
    <row r="1506" spans="1:74">
      <c r="A1506" s="18"/>
      <c r="B1506" s="19"/>
      <c r="BG1506" s="18"/>
      <c r="BH1506" s="18"/>
      <c r="BI1506" s="18"/>
      <c r="BJ1506" s="18"/>
      <c r="BK1506" s="18"/>
      <c r="BL1506" s="18"/>
      <c r="BM1506" s="18"/>
      <c r="BN1506" s="18"/>
      <c r="BO1506" s="18"/>
      <c r="BP1506" s="18"/>
      <c r="BQ1506" s="18"/>
      <c r="BR1506" s="18"/>
      <c r="BS1506" s="18"/>
      <c r="BT1506" s="18"/>
      <c r="BU1506" s="18"/>
      <c r="BV1506" s="18"/>
    </row>
    <row r="1507" spans="1:74">
      <c r="A1507" s="18"/>
      <c r="B1507" s="19"/>
      <c r="BG1507" s="18"/>
      <c r="BH1507" s="18"/>
      <c r="BI1507" s="18"/>
      <c r="BJ1507" s="18"/>
      <c r="BK1507" s="18"/>
      <c r="BL1507" s="18"/>
      <c r="BM1507" s="18"/>
      <c r="BN1507" s="18"/>
      <c r="BO1507" s="18"/>
      <c r="BP1507" s="18"/>
      <c r="BQ1507" s="18"/>
      <c r="BR1507" s="18"/>
      <c r="BS1507" s="18"/>
      <c r="BT1507" s="18"/>
      <c r="BU1507" s="18"/>
      <c r="BV1507" s="18"/>
    </row>
    <row r="1508" spans="1:74">
      <c r="A1508" s="18"/>
      <c r="B1508" s="19"/>
      <c r="BG1508" s="18"/>
      <c r="BH1508" s="18"/>
      <c r="BI1508" s="18"/>
      <c r="BJ1508" s="18"/>
      <c r="BK1508" s="18"/>
      <c r="BL1508" s="18"/>
      <c r="BM1508" s="18"/>
      <c r="BN1508" s="18"/>
      <c r="BO1508" s="18"/>
      <c r="BP1508" s="18"/>
      <c r="BQ1508" s="18"/>
      <c r="BR1508" s="18"/>
      <c r="BS1508" s="18"/>
      <c r="BT1508" s="18"/>
      <c r="BU1508" s="18"/>
      <c r="BV1508" s="18"/>
    </row>
    <row r="1509" spans="1:74">
      <c r="A1509" s="18"/>
      <c r="B1509" s="19"/>
      <c r="BG1509" s="18"/>
      <c r="BH1509" s="18"/>
      <c r="BI1509" s="18"/>
      <c r="BJ1509" s="18"/>
      <c r="BK1509" s="18"/>
      <c r="BL1509" s="18"/>
      <c r="BM1509" s="18"/>
      <c r="BN1509" s="18"/>
      <c r="BO1509" s="18"/>
      <c r="BP1509" s="18"/>
      <c r="BQ1509" s="18"/>
      <c r="BR1509" s="18"/>
      <c r="BS1509" s="18"/>
      <c r="BT1509" s="18"/>
      <c r="BU1509" s="18"/>
      <c r="BV1509" s="18"/>
    </row>
    <row r="1510" spans="1:74">
      <c r="A1510" s="18"/>
      <c r="B1510" s="19"/>
      <c r="BG1510" s="18"/>
      <c r="BH1510" s="18"/>
      <c r="BI1510" s="18"/>
      <c r="BJ1510" s="18"/>
      <c r="BK1510" s="18"/>
      <c r="BL1510" s="18"/>
      <c r="BM1510" s="18"/>
      <c r="BN1510" s="18"/>
      <c r="BO1510" s="18"/>
      <c r="BP1510" s="18"/>
      <c r="BQ1510" s="18"/>
      <c r="BR1510" s="18"/>
      <c r="BS1510" s="18"/>
      <c r="BT1510" s="18"/>
      <c r="BU1510" s="18"/>
      <c r="BV1510" s="18"/>
    </row>
    <row r="1511" spans="1:74">
      <c r="A1511" s="18"/>
      <c r="B1511" s="19"/>
      <c r="BG1511" s="18"/>
      <c r="BH1511" s="18"/>
      <c r="BI1511" s="18"/>
      <c r="BJ1511" s="18"/>
      <c r="BK1511" s="18"/>
      <c r="BL1511" s="18"/>
      <c r="BM1511" s="18"/>
      <c r="BN1511" s="18"/>
      <c r="BO1511" s="18"/>
      <c r="BP1511" s="18"/>
      <c r="BQ1511" s="18"/>
      <c r="BR1511" s="18"/>
      <c r="BS1511" s="18"/>
      <c r="BT1511" s="18"/>
      <c r="BU1511" s="18"/>
      <c r="BV1511" s="18"/>
    </row>
    <row r="1512" spans="1:74">
      <c r="A1512" s="18"/>
      <c r="B1512" s="19"/>
      <c r="BG1512" s="18"/>
      <c r="BH1512" s="18"/>
      <c r="BI1512" s="18"/>
      <c r="BJ1512" s="18"/>
      <c r="BK1512" s="18"/>
      <c r="BL1512" s="18"/>
      <c r="BM1512" s="18"/>
      <c r="BN1512" s="18"/>
      <c r="BO1512" s="18"/>
      <c r="BP1512" s="18"/>
      <c r="BQ1512" s="18"/>
      <c r="BR1512" s="18"/>
      <c r="BS1512" s="18"/>
      <c r="BT1512" s="18"/>
      <c r="BU1512" s="18"/>
      <c r="BV1512" s="18"/>
    </row>
    <row r="1513" spans="1:74">
      <c r="A1513" s="18"/>
      <c r="B1513" s="19"/>
      <c r="BG1513" s="18"/>
      <c r="BH1513" s="18"/>
      <c r="BI1513" s="18"/>
      <c r="BJ1513" s="18"/>
      <c r="BK1513" s="18"/>
      <c r="BL1513" s="18"/>
      <c r="BM1513" s="18"/>
      <c r="BN1513" s="18"/>
      <c r="BO1513" s="18"/>
      <c r="BP1513" s="18"/>
      <c r="BQ1513" s="18"/>
      <c r="BR1513" s="18"/>
      <c r="BS1513" s="18"/>
      <c r="BT1513" s="18"/>
      <c r="BU1513" s="18"/>
      <c r="BV1513" s="18"/>
    </row>
    <row r="1514" spans="1:74">
      <c r="A1514" s="18"/>
      <c r="B1514" s="19"/>
      <c r="BG1514" s="18"/>
      <c r="BH1514" s="18"/>
      <c r="BI1514" s="18"/>
      <c r="BJ1514" s="18"/>
      <c r="BK1514" s="18"/>
      <c r="BL1514" s="18"/>
      <c r="BM1514" s="18"/>
      <c r="BN1514" s="18"/>
      <c r="BO1514" s="18"/>
      <c r="BP1514" s="18"/>
      <c r="BQ1514" s="18"/>
      <c r="BR1514" s="18"/>
      <c r="BS1514" s="18"/>
      <c r="BT1514" s="18"/>
      <c r="BU1514" s="18"/>
      <c r="BV1514" s="18"/>
    </row>
    <row r="1515" spans="1:74">
      <c r="A1515" s="18"/>
      <c r="B1515" s="19"/>
      <c r="BG1515" s="18"/>
      <c r="BH1515" s="18"/>
      <c r="BI1515" s="18"/>
      <c r="BJ1515" s="18"/>
      <c r="BK1515" s="18"/>
      <c r="BL1515" s="18"/>
      <c r="BM1515" s="18"/>
      <c r="BN1515" s="18"/>
      <c r="BO1515" s="18"/>
      <c r="BP1515" s="18"/>
      <c r="BQ1515" s="18"/>
      <c r="BR1515" s="18"/>
      <c r="BS1515" s="18"/>
      <c r="BT1515" s="18"/>
      <c r="BU1515" s="18"/>
      <c r="BV1515" s="18"/>
    </row>
    <row r="1516" spans="1:74">
      <c r="A1516" s="18"/>
      <c r="B1516" s="19"/>
      <c r="BG1516" s="18"/>
      <c r="BH1516" s="18"/>
      <c r="BI1516" s="18"/>
      <c r="BJ1516" s="18"/>
      <c r="BK1516" s="18"/>
      <c r="BL1516" s="18"/>
      <c r="BM1516" s="18"/>
      <c r="BN1516" s="18"/>
      <c r="BO1516" s="18"/>
      <c r="BP1516" s="18"/>
      <c r="BQ1516" s="18"/>
      <c r="BR1516" s="18"/>
      <c r="BS1516" s="18"/>
      <c r="BT1516" s="18"/>
      <c r="BU1516" s="18"/>
      <c r="BV1516" s="18"/>
    </row>
    <row r="1517" spans="1:74">
      <c r="A1517" s="18"/>
      <c r="B1517" s="19"/>
      <c r="BG1517" s="18"/>
      <c r="BH1517" s="18"/>
      <c r="BI1517" s="18"/>
      <c r="BJ1517" s="18"/>
      <c r="BK1517" s="18"/>
      <c r="BL1517" s="18"/>
      <c r="BM1517" s="18"/>
      <c r="BN1517" s="18"/>
      <c r="BO1517" s="18"/>
      <c r="BP1517" s="18"/>
      <c r="BQ1517" s="18"/>
      <c r="BR1517" s="18"/>
      <c r="BS1517" s="18"/>
      <c r="BT1517" s="18"/>
      <c r="BU1517" s="18"/>
      <c r="BV1517" s="18"/>
    </row>
    <row r="1518" spans="1:74">
      <c r="A1518" s="18"/>
      <c r="B1518" s="19"/>
      <c r="BG1518" s="18"/>
      <c r="BH1518" s="18"/>
      <c r="BI1518" s="18"/>
      <c r="BJ1518" s="18"/>
      <c r="BK1518" s="18"/>
      <c r="BL1518" s="18"/>
      <c r="BM1518" s="18"/>
      <c r="BN1518" s="18"/>
      <c r="BO1518" s="18"/>
      <c r="BP1518" s="18"/>
      <c r="BQ1518" s="18"/>
      <c r="BR1518" s="18"/>
      <c r="BS1518" s="18"/>
      <c r="BT1518" s="18"/>
      <c r="BU1518" s="18"/>
      <c r="BV1518" s="18"/>
    </row>
    <row r="1519" spans="1:74">
      <c r="A1519" s="18"/>
      <c r="B1519" s="19"/>
      <c r="BG1519" s="18"/>
      <c r="BH1519" s="18"/>
      <c r="BI1519" s="18"/>
      <c r="BJ1519" s="18"/>
      <c r="BK1519" s="18"/>
      <c r="BL1519" s="18"/>
      <c r="BM1519" s="18"/>
      <c r="BN1519" s="18"/>
      <c r="BO1519" s="18"/>
      <c r="BP1519" s="18"/>
      <c r="BQ1519" s="18"/>
      <c r="BR1519" s="18"/>
      <c r="BS1519" s="18"/>
      <c r="BT1519" s="18"/>
      <c r="BU1519" s="18"/>
      <c r="BV1519" s="18"/>
    </row>
    <row r="1520" spans="1:74">
      <c r="A1520" s="18"/>
      <c r="B1520" s="19"/>
      <c r="BG1520" s="18"/>
      <c r="BH1520" s="18"/>
      <c r="BI1520" s="18"/>
      <c r="BJ1520" s="18"/>
      <c r="BK1520" s="18"/>
      <c r="BL1520" s="18"/>
      <c r="BM1520" s="18"/>
      <c r="BN1520" s="18"/>
      <c r="BO1520" s="18"/>
      <c r="BP1520" s="18"/>
      <c r="BQ1520" s="18"/>
      <c r="BR1520" s="18"/>
      <c r="BS1520" s="18"/>
      <c r="BT1520" s="18"/>
      <c r="BU1520" s="18"/>
      <c r="BV1520" s="18"/>
    </row>
    <row r="1521" spans="1:74">
      <c r="A1521" s="18"/>
      <c r="B1521" s="19"/>
      <c r="BG1521" s="18"/>
      <c r="BH1521" s="18"/>
      <c r="BI1521" s="18"/>
      <c r="BJ1521" s="18"/>
      <c r="BK1521" s="18"/>
      <c r="BL1521" s="18"/>
      <c r="BM1521" s="18"/>
      <c r="BN1521" s="18"/>
      <c r="BO1521" s="18"/>
      <c r="BP1521" s="18"/>
      <c r="BQ1521" s="18"/>
      <c r="BR1521" s="18"/>
      <c r="BS1521" s="18"/>
      <c r="BT1521" s="18"/>
      <c r="BU1521" s="18"/>
      <c r="BV1521" s="18"/>
    </row>
    <row r="1522" spans="1:74">
      <c r="A1522" s="18"/>
      <c r="B1522" s="19"/>
      <c r="BG1522" s="18"/>
      <c r="BH1522" s="18"/>
      <c r="BI1522" s="18"/>
      <c r="BJ1522" s="18"/>
      <c r="BK1522" s="18"/>
      <c r="BL1522" s="18"/>
      <c r="BM1522" s="18"/>
      <c r="BN1522" s="18"/>
      <c r="BO1522" s="18"/>
      <c r="BP1522" s="18"/>
      <c r="BQ1522" s="18"/>
      <c r="BR1522" s="18"/>
      <c r="BS1522" s="18"/>
      <c r="BT1522" s="18"/>
      <c r="BU1522" s="18"/>
      <c r="BV1522" s="18"/>
    </row>
    <row r="1523" spans="1:74">
      <c r="A1523" s="18"/>
      <c r="B1523" s="19"/>
      <c r="BG1523" s="18"/>
      <c r="BH1523" s="18"/>
      <c r="BI1523" s="18"/>
      <c r="BJ1523" s="18"/>
      <c r="BK1523" s="18"/>
      <c r="BL1523" s="18"/>
      <c r="BM1523" s="18"/>
      <c r="BN1523" s="18"/>
      <c r="BO1523" s="18"/>
      <c r="BP1523" s="18"/>
      <c r="BQ1523" s="18"/>
      <c r="BR1523" s="18"/>
      <c r="BS1523" s="18"/>
      <c r="BT1523" s="18"/>
      <c r="BU1523" s="18"/>
      <c r="BV1523" s="18"/>
    </row>
    <row r="1524" spans="1:74">
      <c r="A1524" s="18"/>
      <c r="B1524" s="19"/>
      <c r="BG1524" s="18"/>
      <c r="BH1524" s="18"/>
      <c r="BI1524" s="18"/>
      <c r="BJ1524" s="18"/>
      <c r="BK1524" s="18"/>
      <c r="BL1524" s="18"/>
      <c r="BM1524" s="18"/>
      <c r="BN1524" s="18"/>
      <c r="BO1524" s="18"/>
      <c r="BP1524" s="18"/>
      <c r="BQ1524" s="18"/>
      <c r="BR1524" s="18"/>
      <c r="BS1524" s="18"/>
      <c r="BT1524" s="18"/>
      <c r="BU1524" s="18"/>
      <c r="BV1524" s="18"/>
    </row>
    <row r="1525" spans="1:74">
      <c r="A1525" s="18"/>
      <c r="B1525" s="19"/>
      <c r="BG1525" s="18"/>
      <c r="BH1525" s="18"/>
      <c r="BI1525" s="18"/>
      <c r="BJ1525" s="18"/>
      <c r="BK1525" s="18"/>
      <c r="BL1525" s="18"/>
      <c r="BM1525" s="18"/>
      <c r="BN1525" s="18"/>
      <c r="BO1525" s="18"/>
      <c r="BP1525" s="18"/>
      <c r="BQ1525" s="18"/>
      <c r="BR1525" s="18"/>
      <c r="BS1525" s="18"/>
      <c r="BT1525" s="18"/>
      <c r="BU1525" s="18"/>
      <c r="BV1525" s="18"/>
    </row>
    <row r="1526" spans="1:74">
      <c r="A1526" s="18"/>
      <c r="B1526" s="19"/>
      <c r="BG1526" s="18"/>
      <c r="BH1526" s="18"/>
      <c r="BI1526" s="18"/>
      <c r="BJ1526" s="18"/>
      <c r="BK1526" s="18"/>
      <c r="BL1526" s="18"/>
      <c r="BM1526" s="18"/>
      <c r="BN1526" s="18"/>
      <c r="BO1526" s="18"/>
      <c r="BP1526" s="18"/>
      <c r="BQ1526" s="18"/>
      <c r="BR1526" s="18"/>
      <c r="BS1526" s="18"/>
      <c r="BT1526" s="18"/>
      <c r="BU1526" s="18"/>
      <c r="BV1526" s="18"/>
    </row>
    <row r="1527" spans="1:74">
      <c r="A1527" s="18"/>
      <c r="B1527" s="19"/>
      <c r="BG1527" s="18"/>
      <c r="BH1527" s="18"/>
      <c r="BI1527" s="18"/>
      <c r="BJ1527" s="18"/>
      <c r="BK1527" s="18"/>
      <c r="BL1527" s="18"/>
      <c r="BM1527" s="18"/>
      <c r="BN1527" s="18"/>
      <c r="BO1527" s="18"/>
      <c r="BP1527" s="18"/>
      <c r="BQ1527" s="18"/>
      <c r="BR1527" s="18"/>
      <c r="BS1527" s="18"/>
      <c r="BT1527" s="18"/>
      <c r="BU1527" s="18"/>
      <c r="BV1527" s="18"/>
    </row>
    <row r="1528" spans="1:74">
      <c r="A1528" s="18"/>
      <c r="B1528" s="19"/>
      <c r="BG1528" s="18"/>
      <c r="BH1528" s="18"/>
      <c r="BI1528" s="18"/>
      <c r="BJ1528" s="18"/>
      <c r="BK1528" s="18"/>
      <c r="BL1528" s="18"/>
      <c r="BM1528" s="18"/>
      <c r="BN1528" s="18"/>
      <c r="BO1528" s="18"/>
      <c r="BP1528" s="18"/>
      <c r="BQ1528" s="18"/>
      <c r="BR1528" s="18"/>
      <c r="BS1528" s="18"/>
      <c r="BT1528" s="18"/>
      <c r="BU1528" s="18"/>
      <c r="BV1528" s="18"/>
    </row>
    <row r="1529" spans="1:74">
      <c r="A1529" s="18"/>
      <c r="B1529" s="19"/>
      <c r="BG1529" s="18"/>
      <c r="BH1529" s="18"/>
      <c r="BI1529" s="18"/>
      <c r="BJ1529" s="18"/>
      <c r="BK1529" s="18"/>
      <c r="BL1529" s="18"/>
      <c r="BM1529" s="18"/>
      <c r="BN1529" s="18"/>
      <c r="BO1529" s="18"/>
      <c r="BP1529" s="18"/>
      <c r="BQ1529" s="18"/>
      <c r="BR1529" s="18"/>
      <c r="BS1529" s="18"/>
      <c r="BT1529" s="18"/>
      <c r="BU1529" s="18"/>
      <c r="BV1529" s="18"/>
    </row>
    <row r="1530" spans="1:74">
      <c r="A1530" s="18"/>
      <c r="B1530" s="19"/>
      <c r="BG1530" s="18"/>
      <c r="BH1530" s="18"/>
      <c r="BI1530" s="18"/>
      <c r="BJ1530" s="18"/>
      <c r="BK1530" s="18"/>
      <c r="BL1530" s="18"/>
      <c r="BM1530" s="18"/>
      <c r="BN1530" s="18"/>
      <c r="BO1530" s="18"/>
      <c r="BP1530" s="18"/>
      <c r="BQ1530" s="18"/>
      <c r="BR1530" s="18"/>
      <c r="BS1530" s="18"/>
      <c r="BT1530" s="18"/>
      <c r="BU1530" s="18"/>
      <c r="BV1530" s="18"/>
    </row>
    <row r="1531" spans="1:74">
      <c r="A1531" s="18"/>
      <c r="B1531" s="19"/>
      <c r="BG1531" s="18"/>
      <c r="BH1531" s="18"/>
      <c r="BI1531" s="18"/>
      <c r="BJ1531" s="18"/>
      <c r="BK1531" s="18"/>
      <c r="BL1531" s="18"/>
      <c r="BM1531" s="18"/>
      <c r="BN1531" s="18"/>
      <c r="BO1531" s="18"/>
      <c r="BP1531" s="18"/>
      <c r="BQ1531" s="18"/>
      <c r="BR1531" s="18"/>
      <c r="BS1531" s="18"/>
      <c r="BT1531" s="18"/>
      <c r="BU1531" s="18"/>
      <c r="BV1531" s="18"/>
    </row>
    <row r="1532" spans="1:74">
      <c r="A1532" s="18"/>
      <c r="B1532" s="19"/>
      <c r="BG1532" s="18"/>
      <c r="BH1532" s="18"/>
      <c r="BI1532" s="18"/>
      <c r="BJ1532" s="18"/>
      <c r="BK1532" s="18"/>
      <c r="BL1532" s="18"/>
      <c r="BM1532" s="18"/>
      <c r="BN1532" s="18"/>
      <c r="BO1532" s="18"/>
      <c r="BP1532" s="18"/>
      <c r="BQ1532" s="18"/>
      <c r="BR1532" s="18"/>
      <c r="BS1532" s="18"/>
      <c r="BT1532" s="18"/>
      <c r="BU1532" s="18"/>
      <c r="BV1532" s="18"/>
    </row>
    <row r="1533" spans="1:74">
      <c r="A1533" s="18"/>
      <c r="B1533" s="19"/>
      <c r="BG1533" s="18"/>
      <c r="BH1533" s="18"/>
      <c r="BI1533" s="18"/>
      <c r="BJ1533" s="18"/>
      <c r="BK1533" s="18"/>
      <c r="BL1533" s="18"/>
      <c r="BM1533" s="18"/>
      <c r="BN1533" s="18"/>
      <c r="BO1533" s="18"/>
      <c r="BP1533" s="18"/>
      <c r="BQ1533" s="18"/>
      <c r="BR1533" s="18"/>
      <c r="BS1533" s="18"/>
      <c r="BT1533" s="18"/>
      <c r="BU1533" s="18"/>
      <c r="BV1533" s="18"/>
    </row>
    <row r="1534" spans="1:74">
      <c r="A1534" s="18"/>
      <c r="B1534" s="19"/>
      <c r="BG1534" s="18"/>
      <c r="BH1534" s="18"/>
      <c r="BI1534" s="18"/>
      <c r="BJ1534" s="18"/>
      <c r="BK1534" s="18"/>
      <c r="BL1534" s="18"/>
      <c r="BM1534" s="18"/>
      <c r="BN1534" s="18"/>
      <c r="BO1534" s="18"/>
      <c r="BP1534" s="18"/>
      <c r="BQ1534" s="18"/>
      <c r="BR1534" s="18"/>
      <c r="BS1534" s="18"/>
      <c r="BT1534" s="18"/>
      <c r="BU1534" s="18"/>
      <c r="BV1534" s="18"/>
    </row>
    <row r="1535" spans="1:74">
      <c r="A1535" s="18"/>
      <c r="B1535" s="19"/>
      <c r="BG1535" s="18"/>
      <c r="BH1535" s="18"/>
      <c r="BI1535" s="18"/>
      <c r="BJ1535" s="18"/>
      <c r="BK1535" s="18"/>
      <c r="BL1535" s="18"/>
      <c r="BM1535" s="18"/>
      <c r="BN1535" s="18"/>
      <c r="BO1535" s="18"/>
      <c r="BP1535" s="18"/>
      <c r="BQ1535" s="18"/>
      <c r="BR1535" s="18"/>
      <c r="BS1535" s="18"/>
      <c r="BT1535" s="18"/>
      <c r="BU1535" s="18"/>
      <c r="BV1535" s="18"/>
    </row>
    <row r="1536" spans="1:74">
      <c r="A1536" s="18"/>
      <c r="B1536" s="19"/>
      <c r="BG1536" s="18"/>
      <c r="BH1536" s="18"/>
      <c r="BI1536" s="18"/>
      <c r="BJ1536" s="18"/>
      <c r="BK1536" s="18"/>
      <c r="BL1536" s="18"/>
      <c r="BM1536" s="18"/>
      <c r="BN1536" s="18"/>
      <c r="BO1536" s="18"/>
      <c r="BP1536" s="18"/>
      <c r="BQ1536" s="18"/>
      <c r="BR1536" s="18"/>
      <c r="BS1536" s="18"/>
      <c r="BT1536" s="18"/>
      <c r="BU1536" s="18"/>
      <c r="BV1536" s="18"/>
    </row>
    <row r="1537" spans="1:74">
      <c r="A1537" s="18"/>
      <c r="B1537" s="19"/>
      <c r="BG1537" s="18"/>
      <c r="BH1537" s="18"/>
      <c r="BI1537" s="18"/>
      <c r="BJ1537" s="18"/>
      <c r="BK1537" s="18"/>
      <c r="BL1537" s="18"/>
      <c r="BM1537" s="18"/>
      <c r="BN1537" s="18"/>
      <c r="BO1537" s="18"/>
      <c r="BP1537" s="18"/>
      <c r="BQ1537" s="18"/>
      <c r="BR1537" s="18"/>
      <c r="BS1537" s="18"/>
      <c r="BT1537" s="18"/>
      <c r="BU1537" s="18"/>
      <c r="BV1537" s="18"/>
    </row>
    <row r="1538" spans="1:74">
      <c r="A1538" s="18"/>
      <c r="B1538" s="19"/>
      <c r="BG1538" s="18"/>
      <c r="BH1538" s="18"/>
      <c r="BI1538" s="18"/>
      <c r="BJ1538" s="18"/>
      <c r="BK1538" s="18"/>
      <c r="BL1538" s="18"/>
      <c r="BM1538" s="18"/>
      <c r="BN1538" s="18"/>
      <c r="BO1538" s="18"/>
      <c r="BP1538" s="18"/>
      <c r="BQ1538" s="18"/>
      <c r="BR1538" s="18"/>
      <c r="BS1538" s="18"/>
      <c r="BT1538" s="18"/>
      <c r="BU1538" s="18"/>
      <c r="BV1538" s="18"/>
    </row>
    <row r="1539" spans="1:74">
      <c r="A1539" s="18"/>
      <c r="B1539" s="19"/>
      <c r="BG1539" s="18"/>
      <c r="BH1539" s="18"/>
      <c r="BI1539" s="18"/>
      <c r="BJ1539" s="18"/>
      <c r="BK1539" s="18"/>
      <c r="BL1539" s="18"/>
      <c r="BM1539" s="18"/>
      <c r="BN1539" s="18"/>
      <c r="BO1539" s="18"/>
      <c r="BP1539" s="18"/>
      <c r="BQ1539" s="18"/>
      <c r="BR1539" s="18"/>
      <c r="BS1539" s="18"/>
      <c r="BT1539" s="18"/>
      <c r="BU1539" s="18"/>
      <c r="BV1539" s="18"/>
    </row>
    <row r="1540" spans="1:74">
      <c r="A1540" s="18"/>
      <c r="B1540" s="19"/>
      <c r="BG1540" s="18"/>
      <c r="BH1540" s="18"/>
      <c r="BI1540" s="18"/>
      <c r="BJ1540" s="18"/>
      <c r="BK1540" s="18"/>
      <c r="BL1540" s="18"/>
      <c r="BM1540" s="18"/>
      <c r="BN1540" s="18"/>
      <c r="BO1540" s="18"/>
      <c r="BP1540" s="18"/>
      <c r="BQ1540" s="18"/>
      <c r="BR1540" s="18"/>
      <c r="BS1540" s="18"/>
      <c r="BT1540" s="18"/>
      <c r="BU1540" s="18"/>
      <c r="BV1540" s="18"/>
    </row>
    <row r="1541" spans="1:74">
      <c r="A1541" s="18"/>
      <c r="B1541" s="19"/>
      <c r="BG1541" s="18"/>
      <c r="BH1541" s="18"/>
      <c r="BI1541" s="18"/>
      <c r="BJ1541" s="18"/>
      <c r="BK1541" s="18"/>
      <c r="BL1541" s="18"/>
      <c r="BM1541" s="18"/>
      <c r="BN1541" s="18"/>
      <c r="BO1541" s="18"/>
      <c r="BP1541" s="18"/>
      <c r="BQ1541" s="18"/>
      <c r="BR1541" s="18"/>
      <c r="BS1541" s="18"/>
      <c r="BT1541" s="18"/>
      <c r="BU1541" s="18"/>
      <c r="BV1541" s="18"/>
    </row>
    <row r="1542" spans="1:74">
      <c r="A1542" s="18"/>
      <c r="B1542" s="19"/>
      <c r="BG1542" s="18"/>
      <c r="BH1542" s="18"/>
      <c r="BI1542" s="18"/>
      <c r="BJ1542" s="18"/>
      <c r="BK1542" s="18"/>
      <c r="BL1542" s="18"/>
      <c r="BM1542" s="18"/>
      <c r="BN1542" s="18"/>
      <c r="BO1542" s="18"/>
      <c r="BP1542" s="18"/>
      <c r="BQ1542" s="18"/>
      <c r="BR1542" s="18"/>
      <c r="BS1542" s="18"/>
      <c r="BT1542" s="18"/>
      <c r="BU1542" s="18"/>
      <c r="BV1542" s="18"/>
    </row>
    <row r="1543" spans="1:74">
      <c r="A1543" s="18"/>
      <c r="B1543" s="19"/>
      <c r="BG1543" s="18"/>
      <c r="BH1543" s="18"/>
      <c r="BI1543" s="18"/>
      <c r="BJ1543" s="18"/>
      <c r="BK1543" s="18"/>
      <c r="BL1543" s="18"/>
      <c r="BM1543" s="18"/>
      <c r="BN1543" s="18"/>
      <c r="BO1543" s="18"/>
      <c r="BP1543" s="18"/>
      <c r="BQ1543" s="18"/>
      <c r="BR1543" s="18"/>
      <c r="BS1543" s="18"/>
      <c r="BT1543" s="18"/>
      <c r="BU1543" s="18"/>
      <c r="BV1543" s="18"/>
    </row>
    <row r="1544" spans="1:74">
      <c r="A1544" s="18"/>
      <c r="B1544" s="19"/>
      <c r="BG1544" s="18"/>
      <c r="BH1544" s="18"/>
      <c r="BI1544" s="18"/>
      <c r="BJ1544" s="18"/>
      <c r="BK1544" s="18"/>
      <c r="BL1544" s="18"/>
      <c r="BM1544" s="18"/>
      <c r="BN1544" s="18"/>
      <c r="BO1544" s="18"/>
      <c r="BP1544" s="18"/>
      <c r="BQ1544" s="18"/>
      <c r="BR1544" s="18"/>
      <c r="BS1544" s="18"/>
      <c r="BT1544" s="18"/>
      <c r="BU1544" s="18"/>
      <c r="BV1544" s="18"/>
    </row>
    <row r="1545" spans="1:74">
      <c r="A1545" s="18"/>
      <c r="B1545" s="19"/>
      <c r="BG1545" s="18"/>
      <c r="BH1545" s="18"/>
      <c r="BI1545" s="18"/>
      <c r="BJ1545" s="18"/>
      <c r="BK1545" s="18"/>
      <c r="BL1545" s="18"/>
      <c r="BM1545" s="18"/>
      <c r="BN1545" s="18"/>
      <c r="BO1545" s="18"/>
      <c r="BP1545" s="18"/>
      <c r="BQ1545" s="18"/>
      <c r="BR1545" s="18"/>
      <c r="BS1545" s="18"/>
      <c r="BT1545" s="18"/>
      <c r="BU1545" s="18"/>
      <c r="BV1545" s="18"/>
    </row>
    <row r="1546" spans="1:74">
      <c r="A1546" s="18"/>
      <c r="B1546" s="19"/>
      <c r="BG1546" s="18"/>
      <c r="BH1546" s="18"/>
      <c r="BI1546" s="18"/>
      <c r="BJ1546" s="18"/>
      <c r="BK1546" s="18"/>
      <c r="BL1546" s="18"/>
      <c r="BM1546" s="18"/>
      <c r="BN1546" s="18"/>
      <c r="BO1546" s="18"/>
      <c r="BP1546" s="18"/>
      <c r="BQ1546" s="18"/>
      <c r="BR1546" s="18"/>
      <c r="BS1546" s="18"/>
      <c r="BT1546" s="18"/>
      <c r="BU1546" s="18"/>
      <c r="BV1546" s="18"/>
    </row>
    <row r="1547" spans="1:74">
      <c r="A1547" s="18"/>
      <c r="B1547" s="19"/>
      <c r="BG1547" s="18"/>
      <c r="BH1547" s="18"/>
      <c r="BI1547" s="18"/>
      <c r="BJ1547" s="18"/>
      <c r="BK1547" s="18"/>
      <c r="BL1547" s="18"/>
      <c r="BM1547" s="18"/>
      <c r="BN1547" s="18"/>
      <c r="BO1547" s="18"/>
      <c r="BP1547" s="18"/>
      <c r="BQ1547" s="18"/>
      <c r="BR1547" s="18"/>
      <c r="BS1547" s="18"/>
      <c r="BT1547" s="18"/>
      <c r="BU1547" s="18"/>
      <c r="BV1547" s="18"/>
    </row>
    <row r="1548" spans="1:74">
      <c r="A1548" s="18"/>
      <c r="B1548" s="19"/>
      <c r="BG1548" s="18"/>
      <c r="BH1548" s="18"/>
      <c r="BI1548" s="18"/>
      <c r="BJ1548" s="18"/>
      <c r="BK1548" s="18"/>
      <c r="BL1548" s="18"/>
      <c r="BM1548" s="18"/>
      <c r="BN1548" s="18"/>
      <c r="BO1548" s="18"/>
      <c r="BP1548" s="18"/>
      <c r="BQ1548" s="18"/>
      <c r="BR1548" s="18"/>
      <c r="BS1548" s="18"/>
      <c r="BT1548" s="18"/>
      <c r="BU1548" s="18"/>
      <c r="BV1548" s="18"/>
    </row>
    <row r="1549" spans="1:74">
      <c r="A1549" s="18"/>
      <c r="B1549" s="19"/>
      <c r="BG1549" s="18"/>
      <c r="BH1549" s="18"/>
      <c r="BI1549" s="18"/>
      <c r="BJ1549" s="18"/>
      <c r="BK1549" s="18"/>
      <c r="BL1549" s="18"/>
      <c r="BM1549" s="18"/>
      <c r="BN1549" s="18"/>
      <c r="BO1549" s="18"/>
      <c r="BP1549" s="18"/>
      <c r="BQ1549" s="18"/>
      <c r="BR1549" s="18"/>
      <c r="BS1549" s="18"/>
      <c r="BT1549" s="18"/>
      <c r="BU1549" s="18"/>
      <c r="BV1549" s="18"/>
    </row>
    <row r="1550" spans="1:74">
      <c r="A1550" s="18"/>
      <c r="B1550" s="19"/>
      <c r="BG1550" s="18"/>
      <c r="BH1550" s="18"/>
      <c r="BI1550" s="18"/>
      <c r="BJ1550" s="18"/>
      <c r="BK1550" s="18"/>
      <c r="BL1550" s="18"/>
      <c r="BM1550" s="18"/>
      <c r="BN1550" s="18"/>
      <c r="BO1550" s="18"/>
      <c r="BP1550" s="18"/>
      <c r="BQ1550" s="18"/>
      <c r="BR1550" s="18"/>
      <c r="BS1550" s="18"/>
      <c r="BT1550" s="18"/>
      <c r="BU1550" s="18"/>
      <c r="BV1550" s="18"/>
    </row>
    <row r="1551" spans="1:74">
      <c r="A1551" s="18"/>
      <c r="B1551" s="19"/>
      <c r="BG1551" s="18"/>
      <c r="BH1551" s="18"/>
      <c r="BI1551" s="18"/>
      <c r="BJ1551" s="18"/>
      <c r="BK1551" s="18"/>
      <c r="BL1551" s="18"/>
      <c r="BM1551" s="18"/>
      <c r="BN1551" s="18"/>
      <c r="BO1551" s="18"/>
      <c r="BP1551" s="18"/>
      <c r="BQ1551" s="18"/>
      <c r="BR1551" s="18"/>
      <c r="BS1551" s="18"/>
      <c r="BT1551" s="18"/>
      <c r="BU1551" s="18"/>
      <c r="BV1551" s="18"/>
    </row>
    <row r="1552" spans="1:74">
      <c r="A1552" s="18"/>
      <c r="B1552" s="19"/>
      <c r="BG1552" s="18"/>
      <c r="BH1552" s="18"/>
      <c r="BI1552" s="18"/>
      <c r="BJ1552" s="18"/>
      <c r="BK1552" s="18"/>
      <c r="BL1552" s="18"/>
      <c r="BM1552" s="18"/>
      <c r="BN1552" s="18"/>
      <c r="BO1552" s="18"/>
      <c r="BP1552" s="18"/>
      <c r="BQ1552" s="18"/>
      <c r="BR1552" s="18"/>
      <c r="BS1552" s="18"/>
      <c r="BT1552" s="18"/>
      <c r="BU1552" s="18"/>
      <c r="BV1552" s="18"/>
    </row>
    <row r="1553" spans="1:74">
      <c r="A1553" s="18"/>
      <c r="B1553" s="19"/>
      <c r="BG1553" s="18"/>
      <c r="BH1553" s="18"/>
      <c r="BI1553" s="18"/>
      <c r="BJ1553" s="18"/>
      <c r="BK1553" s="18"/>
      <c r="BL1553" s="18"/>
      <c r="BM1553" s="18"/>
      <c r="BN1553" s="18"/>
      <c r="BO1553" s="18"/>
      <c r="BP1553" s="18"/>
      <c r="BQ1553" s="18"/>
      <c r="BR1553" s="18"/>
      <c r="BS1553" s="18"/>
      <c r="BT1553" s="18"/>
      <c r="BU1553" s="18"/>
      <c r="BV1553" s="18"/>
    </row>
    <row r="1554" spans="1:74">
      <c r="A1554" s="18"/>
      <c r="B1554" s="19"/>
      <c r="BG1554" s="18"/>
      <c r="BH1554" s="18"/>
      <c r="BI1554" s="18"/>
      <c r="BJ1554" s="18"/>
      <c r="BK1554" s="18"/>
      <c r="BL1554" s="18"/>
      <c r="BM1554" s="18"/>
      <c r="BN1554" s="18"/>
      <c r="BO1554" s="18"/>
      <c r="BP1554" s="18"/>
      <c r="BQ1554" s="18"/>
      <c r="BR1554" s="18"/>
      <c r="BS1554" s="18"/>
      <c r="BT1554" s="18"/>
      <c r="BU1554" s="18"/>
      <c r="BV1554" s="18"/>
    </row>
    <row r="1555" spans="1:74">
      <c r="A1555" s="18"/>
      <c r="B1555" s="19"/>
      <c r="BG1555" s="18"/>
      <c r="BH1555" s="18"/>
      <c r="BI1555" s="18"/>
      <c r="BJ1555" s="18"/>
      <c r="BK1555" s="18"/>
      <c r="BL1555" s="18"/>
      <c r="BM1555" s="18"/>
      <c r="BN1555" s="18"/>
      <c r="BO1555" s="18"/>
      <c r="BP1555" s="18"/>
      <c r="BQ1555" s="18"/>
      <c r="BR1555" s="18"/>
      <c r="BS1555" s="18"/>
      <c r="BT1555" s="18"/>
      <c r="BU1555" s="18"/>
      <c r="BV1555" s="18"/>
    </row>
    <row r="1556" spans="1:74">
      <c r="A1556" s="18"/>
      <c r="B1556" s="19"/>
      <c r="BG1556" s="18"/>
      <c r="BH1556" s="18"/>
      <c r="BI1556" s="18"/>
      <c r="BJ1556" s="18"/>
      <c r="BK1556" s="18"/>
      <c r="BL1556" s="18"/>
      <c r="BM1556" s="18"/>
      <c r="BN1556" s="18"/>
      <c r="BO1556" s="18"/>
      <c r="BP1556" s="18"/>
      <c r="BQ1556" s="18"/>
      <c r="BR1556" s="18"/>
      <c r="BS1556" s="18"/>
      <c r="BT1556" s="18"/>
      <c r="BU1556" s="18"/>
      <c r="BV1556" s="18"/>
    </row>
    <row r="1557" spans="1:74">
      <c r="A1557" s="18"/>
      <c r="B1557" s="19"/>
      <c r="BG1557" s="18"/>
      <c r="BH1557" s="18"/>
      <c r="BI1557" s="18"/>
      <c r="BJ1557" s="18"/>
      <c r="BK1557" s="18"/>
      <c r="BL1557" s="18"/>
      <c r="BM1557" s="18"/>
      <c r="BN1557" s="18"/>
      <c r="BO1557" s="18"/>
      <c r="BP1557" s="18"/>
      <c r="BQ1557" s="18"/>
      <c r="BR1557" s="18"/>
      <c r="BS1557" s="18"/>
      <c r="BT1557" s="18"/>
      <c r="BU1557" s="18"/>
      <c r="BV1557" s="18"/>
    </row>
    <row r="1558" spans="1:74">
      <c r="A1558" s="18"/>
      <c r="B1558" s="19"/>
      <c r="BG1558" s="18"/>
      <c r="BH1558" s="18"/>
      <c r="BI1558" s="18"/>
      <c r="BJ1558" s="18"/>
      <c r="BK1558" s="18"/>
      <c r="BL1558" s="18"/>
      <c r="BM1558" s="18"/>
      <c r="BN1558" s="18"/>
      <c r="BO1558" s="18"/>
      <c r="BP1558" s="18"/>
      <c r="BQ1558" s="18"/>
      <c r="BR1558" s="18"/>
      <c r="BS1558" s="18"/>
      <c r="BT1558" s="18"/>
      <c r="BU1558" s="18"/>
      <c r="BV1558" s="18"/>
    </row>
    <row r="1559" spans="1:74">
      <c r="A1559" s="18"/>
      <c r="B1559" s="19"/>
      <c r="BG1559" s="18"/>
      <c r="BH1559" s="18"/>
      <c r="BI1559" s="18"/>
      <c r="BJ1559" s="18"/>
      <c r="BK1559" s="18"/>
      <c r="BL1559" s="18"/>
      <c r="BM1559" s="18"/>
      <c r="BN1559" s="18"/>
      <c r="BO1559" s="18"/>
      <c r="BP1559" s="18"/>
      <c r="BQ1559" s="18"/>
      <c r="BR1559" s="18"/>
      <c r="BS1559" s="18"/>
      <c r="BT1559" s="18"/>
      <c r="BU1559" s="18"/>
      <c r="BV1559" s="18"/>
    </row>
    <row r="1560" spans="1:74">
      <c r="A1560" s="18"/>
      <c r="B1560" s="19"/>
      <c r="BG1560" s="18"/>
      <c r="BH1560" s="18"/>
      <c r="BI1560" s="18"/>
      <c r="BJ1560" s="18"/>
      <c r="BK1560" s="18"/>
      <c r="BL1560" s="18"/>
      <c r="BM1560" s="18"/>
      <c r="BN1560" s="18"/>
      <c r="BO1560" s="18"/>
      <c r="BP1560" s="18"/>
      <c r="BQ1560" s="18"/>
      <c r="BR1560" s="18"/>
      <c r="BS1560" s="18"/>
      <c r="BT1560" s="18"/>
      <c r="BU1560" s="18"/>
      <c r="BV1560" s="18"/>
    </row>
    <row r="1561" spans="1:74">
      <c r="A1561" s="18"/>
      <c r="B1561" s="19"/>
      <c r="BG1561" s="18"/>
      <c r="BH1561" s="18"/>
      <c r="BI1561" s="18"/>
      <c r="BJ1561" s="18"/>
      <c r="BK1561" s="18"/>
      <c r="BL1561" s="18"/>
      <c r="BM1561" s="18"/>
      <c r="BN1561" s="18"/>
      <c r="BO1561" s="18"/>
      <c r="BP1561" s="18"/>
      <c r="BQ1561" s="18"/>
      <c r="BR1561" s="18"/>
      <c r="BS1561" s="18"/>
      <c r="BT1561" s="18"/>
      <c r="BU1561" s="18"/>
      <c r="BV1561" s="18"/>
    </row>
    <row r="1562" spans="1:74">
      <c r="A1562" s="18"/>
      <c r="B1562" s="19"/>
      <c r="BG1562" s="18"/>
      <c r="BH1562" s="18"/>
      <c r="BI1562" s="18"/>
      <c r="BJ1562" s="18"/>
      <c r="BK1562" s="18"/>
      <c r="BL1562" s="18"/>
      <c r="BM1562" s="18"/>
      <c r="BN1562" s="18"/>
      <c r="BO1562" s="18"/>
      <c r="BP1562" s="18"/>
      <c r="BQ1562" s="18"/>
      <c r="BR1562" s="18"/>
      <c r="BS1562" s="18"/>
      <c r="BT1562" s="18"/>
      <c r="BU1562" s="18"/>
      <c r="BV1562" s="18"/>
    </row>
    <row r="1563" spans="1:74">
      <c r="A1563" s="18"/>
      <c r="B1563" s="19"/>
      <c r="BG1563" s="18"/>
      <c r="BH1563" s="18"/>
      <c r="BI1563" s="18"/>
      <c r="BJ1563" s="18"/>
      <c r="BK1563" s="18"/>
      <c r="BL1563" s="18"/>
      <c r="BM1563" s="18"/>
      <c r="BN1563" s="18"/>
      <c r="BO1563" s="18"/>
      <c r="BP1563" s="18"/>
      <c r="BQ1563" s="18"/>
      <c r="BR1563" s="18"/>
      <c r="BS1563" s="18"/>
      <c r="BT1563" s="18"/>
      <c r="BU1563" s="18"/>
      <c r="BV1563" s="18"/>
    </row>
    <row r="1564" spans="1:74">
      <c r="A1564" s="18"/>
      <c r="B1564" s="19"/>
      <c r="BG1564" s="18"/>
      <c r="BH1564" s="18"/>
      <c r="BI1564" s="18"/>
      <c r="BJ1564" s="18"/>
      <c r="BK1564" s="18"/>
      <c r="BL1564" s="18"/>
      <c r="BM1564" s="18"/>
      <c r="BN1564" s="18"/>
      <c r="BO1564" s="18"/>
      <c r="BP1564" s="18"/>
      <c r="BQ1564" s="18"/>
      <c r="BR1564" s="18"/>
      <c r="BS1564" s="18"/>
      <c r="BT1564" s="18"/>
      <c r="BU1564" s="18"/>
      <c r="BV1564" s="18"/>
    </row>
    <row r="1565" spans="1:74">
      <c r="A1565" s="18"/>
      <c r="B1565" s="19"/>
      <c r="BG1565" s="18"/>
      <c r="BH1565" s="18"/>
      <c r="BI1565" s="18"/>
      <c r="BJ1565" s="18"/>
      <c r="BK1565" s="18"/>
      <c r="BL1565" s="18"/>
      <c r="BM1565" s="18"/>
      <c r="BN1565" s="18"/>
      <c r="BO1565" s="18"/>
      <c r="BP1565" s="18"/>
      <c r="BQ1565" s="18"/>
      <c r="BR1565" s="18"/>
      <c r="BS1565" s="18"/>
      <c r="BT1565" s="18"/>
      <c r="BU1565" s="18"/>
      <c r="BV1565" s="18"/>
    </row>
    <row r="1566" spans="1:74">
      <c r="A1566" s="18"/>
      <c r="B1566" s="19"/>
      <c r="BG1566" s="18"/>
      <c r="BH1566" s="18"/>
      <c r="BI1566" s="18"/>
      <c r="BJ1566" s="18"/>
      <c r="BK1566" s="18"/>
      <c r="BL1566" s="18"/>
      <c r="BM1566" s="18"/>
      <c r="BN1566" s="18"/>
      <c r="BO1566" s="18"/>
      <c r="BP1566" s="18"/>
      <c r="BQ1566" s="18"/>
      <c r="BR1566" s="18"/>
      <c r="BS1566" s="18"/>
      <c r="BT1566" s="18"/>
      <c r="BU1566" s="18"/>
      <c r="BV1566" s="18"/>
    </row>
    <row r="1567" spans="1:74">
      <c r="A1567" s="18"/>
      <c r="B1567" s="19"/>
      <c r="BG1567" s="18"/>
      <c r="BH1567" s="18"/>
      <c r="BI1567" s="18"/>
      <c r="BJ1567" s="18"/>
      <c r="BK1567" s="18"/>
      <c r="BL1567" s="18"/>
      <c r="BM1567" s="18"/>
      <c r="BN1567" s="18"/>
      <c r="BO1567" s="18"/>
      <c r="BP1567" s="18"/>
      <c r="BQ1567" s="18"/>
      <c r="BR1567" s="18"/>
      <c r="BS1567" s="18"/>
      <c r="BT1567" s="18"/>
      <c r="BU1567" s="18"/>
      <c r="BV1567" s="18"/>
    </row>
    <row r="1568" spans="1:74">
      <c r="A1568" s="18"/>
      <c r="B1568" s="19"/>
      <c r="BG1568" s="18"/>
      <c r="BH1568" s="18"/>
      <c r="BI1568" s="18"/>
      <c r="BJ1568" s="18"/>
      <c r="BK1568" s="18"/>
      <c r="BL1568" s="18"/>
      <c r="BM1568" s="18"/>
      <c r="BN1568" s="18"/>
      <c r="BO1568" s="18"/>
      <c r="BP1568" s="18"/>
      <c r="BQ1568" s="18"/>
      <c r="BR1568" s="18"/>
      <c r="BS1568" s="18"/>
      <c r="BT1568" s="18"/>
      <c r="BU1568" s="18"/>
      <c r="BV1568" s="18"/>
    </row>
    <row r="1569" spans="1:74">
      <c r="A1569" s="18"/>
      <c r="B1569" s="19"/>
      <c r="BG1569" s="18"/>
      <c r="BH1569" s="18"/>
      <c r="BI1569" s="18"/>
      <c r="BJ1569" s="18"/>
      <c r="BK1569" s="18"/>
      <c r="BL1569" s="18"/>
      <c r="BM1569" s="18"/>
      <c r="BN1569" s="18"/>
      <c r="BO1569" s="18"/>
      <c r="BP1569" s="18"/>
      <c r="BQ1569" s="18"/>
      <c r="BR1569" s="18"/>
      <c r="BS1569" s="18"/>
      <c r="BT1569" s="18"/>
      <c r="BU1569" s="18"/>
      <c r="BV1569" s="18"/>
    </row>
    <row r="1570" spans="1:74">
      <c r="A1570" s="18"/>
      <c r="B1570" s="19"/>
      <c r="BG1570" s="18"/>
      <c r="BH1570" s="18"/>
      <c r="BI1570" s="18"/>
      <c r="BJ1570" s="18"/>
      <c r="BK1570" s="18"/>
      <c r="BL1570" s="18"/>
      <c r="BM1570" s="18"/>
      <c r="BN1570" s="18"/>
      <c r="BO1570" s="18"/>
      <c r="BP1570" s="18"/>
      <c r="BQ1570" s="18"/>
      <c r="BR1570" s="18"/>
      <c r="BS1570" s="18"/>
      <c r="BT1570" s="18"/>
      <c r="BU1570" s="18"/>
      <c r="BV1570" s="18"/>
    </row>
    <row r="1571" spans="1:74">
      <c r="A1571" s="18"/>
      <c r="B1571" s="19"/>
      <c r="BG1571" s="18"/>
      <c r="BH1571" s="18"/>
      <c r="BI1571" s="18"/>
      <c r="BJ1571" s="18"/>
      <c r="BK1571" s="18"/>
      <c r="BL1571" s="18"/>
      <c r="BM1571" s="18"/>
      <c r="BN1571" s="18"/>
      <c r="BO1571" s="18"/>
      <c r="BP1571" s="18"/>
      <c r="BQ1571" s="18"/>
      <c r="BR1571" s="18"/>
      <c r="BS1571" s="18"/>
      <c r="BT1571" s="18"/>
      <c r="BU1571" s="18"/>
      <c r="BV1571" s="18"/>
    </row>
    <row r="1572" spans="1:74">
      <c r="A1572" s="18"/>
      <c r="B1572" s="19"/>
      <c r="BG1572" s="18"/>
      <c r="BH1572" s="18"/>
      <c r="BI1572" s="18"/>
      <c r="BJ1572" s="18"/>
      <c r="BK1572" s="18"/>
      <c r="BL1572" s="18"/>
      <c r="BM1572" s="18"/>
      <c r="BN1572" s="18"/>
      <c r="BO1572" s="18"/>
      <c r="BP1572" s="18"/>
      <c r="BQ1572" s="18"/>
      <c r="BR1572" s="18"/>
      <c r="BS1572" s="18"/>
      <c r="BT1572" s="18"/>
      <c r="BU1572" s="18"/>
      <c r="BV1572" s="18"/>
    </row>
    <row r="1573" spans="1:74">
      <c r="A1573" s="18"/>
      <c r="B1573" s="19"/>
      <c r="BG1573" s="18"/>
      <c r="BH1573" s="18"/>
      <c r="BI1573" s="18"/>
      <c r="BJ1573" s="18"/>
      <c r="BK1573" s="18"/>
      <c r="BL1573" s="18"/>
      <c r="BM1573" s="18"/>
      <c r="BN1573" s="18"/>
      <c r="BO1573" s="18"/>
      <c r="BP1573" s="18"/>
      <c r="BQ1573" s="18"/>
      <c r="BR1573" s="18"/>
      <c r="BS1573" s="18"/>
      <c r="BT1573" s="18"/>
      <c r="BU1573" s="18"/>
      <c r="BV1573" s="18"/>
    </row>
    <row r="1574" spans="1:74">
      <c r="A1574" s="18"/>
      <c r="B1574" s="19"/>
      <c r="BG1574" s="18"/>
      <c r="BH1574" s="18"/>
      <c r="BI1574" s="18"/>
      <c r="BJ1574" s="18"/>
      <c r="BK1574" s="18"/>
      <c r="BL1574" s="18"/>
      <c r="BM1574" s="18"/>
      <c r="BN1574" s="18"/>
      <c r="BO1574" s="18"/>
      <c r="BP1574" s="18"/>
      <c r="BQ1574" s="18"/>
      <c r="BR1574" s="18"/>
      <c r="BS1574" s="18"/>
      <c r="BT1574" s="18"/>
      <c r="BU1574" s="18"/>
      <c r="BV1574" s="18"/>
    </row>
    <row r="1575" spans="1:74">
      <c r="A1575" s="18"/>
      <c r="B1575" s="19"/>
      <c r="BG1575" s="18"/>
      <c r="BH1575" s="18"/>
      <c r="BI1575" s="18"/>
      <c r="BJ1575" s="18"/>
      <c r="BK1575" s="18"/>
      <c r="BL1575" s="18"/>
      <c r="BM1575" s="18"/>
      <c r="BN1575" s="18"/>
      <c r="BO1575" s="18"/>
      <c r="BP1575" s="18"/>
      <c r="BQ1575" s="18"/>
      <c r="BR1575" s="18"/>
      <c r="BS1575" s="18"/>
      <c r="BT1575" s="18"/>
      <c r="BU1575" s="18"/>
      <c r="BV1575" s="18"/>
    </row>
    <row r="1576" spans="1:74">
      <c r="A1576" s="18"/>
      <c r="B1576" s="19"/>
      <c r="BG1576" s="18"/>
      <c r="BH1576" s="18"/>
      <c r="BI1576" s="18"/>
      <c r="BJ1576" s="18"/>
      <c r="BK1576" s="18"/>
      <c r="BL1576" s="18"/>
      <c r="BM1576" s="18"/>
      <c r="BN1576" s="18"/>
      <c r="BO1576" s="18"/>
      <c r="BP1576" s="18"/>
      <c r="BQ1576" s="18"/>
      <c r="BR1576" s="18"/>
      <c r="BS1576" s="18"/>
      <c r="BT1576" s="18"/>
      <c r="BU1576" s="18"/>
      <c r="BV1576" s="18"/>
    </row>
    <row r="1577" spans="1:74">
      <c r="A1577" s="18"/>
      <c r="B1577" s="19"/>
      <c r="BG1577" s="18"/>
      <c r="BH1577" s="18"/>
      <c r="BI1577" s="18"/>
      <c r="BJ1577" s="18"/>
      <c r="BK1577" s="18"/>
      <c r="BL1577" s="18"/>
      <c r="BM1577" s="18"/>
      <c r="BN1577" s="18"/>
      <c r="BO1577" s="18"/>
      <c r="BP1577" s="18"/>
      <c r="BQ1577" s="18"/>
      <c r="BR1577" s="18"/>
      <c r="BS1577" s="18"/>
      <c r="BT1577" s="18"/>
      <c r="BU1577" s="18"/>
      <c r="BV1577" s="18"/>
    </row>
    <row r="1578" spans="1:74">
      <c r="A1578" s="18"/>
      <c r="B1578" s="19"/>
      <c r="BG1578" s="18"/>
      <c r="BH1578" s="18"/>
      <c r="BI1578" s="18"/>
      <c r="BJ1578" s="18"/>
      <c r="BK1578" s="18"/>
      <c r="BL1578" s="18"/>
      <c r="BM1578" s="18"/>
      <c r="BN1578" s="18"/>
      <c r="BO1578" s="18"/>
      <c r="BP1578" s="18"/>
      <c r="BQ1578" s="18"/>
      <c r="BR1578" s="18"/>
      <c r="BS1578" s="18"/>
      <c r="BT1578" s="18"/>
      <c r="BU1578" s="18"/>
      <c r="BV1578" s="18"/>
    </row>
    <row r="1579" spans="1:74">
      <c r="A1579" s="18"/>
      <c r="B1579" s="19"/>
      <c r="BG1579" s="18"/>
      <c r="BH1579" s="18"/>
      <c r="BI1579" s="18"/>
      <c r="BJ1579" s="18"/>
      <c r="BK1579" s="18"/>
      <c r="BL1579" s="18"/>
      <c r="BM1579" s="18"/>
      <c r="BN1579" s="18"/>
      <c r="BO1579" s="18"/>
      <c r="BP1579" s="18"/>
      <c r="BQ1579" s="18"/>
      <c r="BR1579" s="18"/>
      <c r="BS1579" s="18"/>
      <c r="BT1579" s="18"/>
      <c r="BU1579" s="18"/>
      <c r="BV1579" s="18"/>
    </row>
    <row r="1580" spans="1:74">
      <c r="A1580" s="18"/>
      <c r="B1580" s="19"/>
      <c r="BG1580" s="18"/>
      <c r="BH1580" s="18"/>
      <c r="BI1580" s="18"/>
      <c r="BJ1580" s="18"/>
      <c r="BK1580" s="18"/>
      <c r="BL1580" s="18"/>
      <c r="BM1580" s="18"/>
      <c r="BN1580" s="18"/>
      <c r="BO1580" s="18"/>
      <c r="BP1580" s="18"/>
      <c r="BQ1580" s="18"/>
      <c r="BR1580" s="18"/>
      <c r="BS1580" s="18"/>
      <c r="BT1580" s="18"/>
      <c r="BU1580" s="18"/>
      <c r="BV1580" s="18"/>
    </row>
    <row r="1581" spans="1:74">
      <c r="A1581" s="18"/>
      <c r="B1581" s="19"/>
      <c r="BG1581" s="18"/>
      <c r="BH1581" s="18"/>
      <c r="BI1581" s="18"/>
      <c r="BJ1581" s="18"/>
      <c r="BK1581" s="18"/>
      <c r="BL1581" s="18"/>
      <c r="BM1581" s="18"/>
      <c r="BN1581" s="18"/>
      <c r="BO1581" s="18"/>
      <c r="BP1581" s="18"/>
      <c r="BQ1581" s="18"/>
      <c r="BR1581" s="18"/>
      <c r="BS1581" s="18"/>
      <c r="BT1581" s="18"/>
      <c r="BU1581" s="18"/>
      <c r="BV1581" s="18"/>
    </row>
    <row r="1582" spans="1:74">
      <c r="A1582" s="18"/>
      <c r="B1582" s="19"/>
      <c r="BG1582" s="18"/>
      <c r="BH1582" s="18"/>
      <c r="BI1582" s="18"/>
      <c r="BJ1582" s="18"/>
      <c r="BK1582" s="18"/>
      <c r="BL1582" s="18"/>
      <c r="BM1582" s="18"/>
      <c r="BN1582" s="18"/>
      <c r="BO1582" s="18"/>
      <c r="BP1582" s="18"/>
      <c r="BQ1582" s="18"/>
      <c r="BR1582" s="18"/>
      <c r="BS1582" s="18"/>
      <c r="BT1582" s="18"/>
      <c r="BU1582" s="18"/>
      <c r="BV1582" s="18"/>
    </row>
    <row r="1583" spans="1:74">
      <c r="A1583" s="18"/>
      <c r="B1583" s="19"/>
      <c r="BG1583" s="18"/>
      <c r="BH1583" s="18"/>
      <c r="BI1583" s="18"/>
      <c r="BJ1583" s="18"/>
      <c r="BK1583" s="18"/>
      <c r="BL1583" s="18"/>
      <c r="BM1583" s="18"/>
      <c r="BN1583" s="18"/>
      <c r="BO1583" s="18"/>
      <c r="BP1583" s="18"/>
      <c r="BQ1583" s="18"/>
      <c r="BR1583" s="18"/>
      <c r="BS1583" s="18"/>
      <c r="BT1583" s="18"/>
      <c r="BU1583" s="18"/>
      <c r="BV1583" s="18"/>
    </row>
    <row r="1584" spans="1:74">
      <c r="A1584" s="18"/>
      <c r="B1584" s="19"/>
      <c r="BG1584" s="18"/>
      <c r="BH1584" s="18"/>
      <c r="BI1584" s="18"/>
      <c r="BJ1584" s="18"/>
      <c r="BK1584" s="18"/>
      <c r="BL1584" s="18"/>
      <c r="BM1584" s="18"/>
      <c r="BN1584" s="18"/>
      <c r="BO1584" s="18"/>
      <c r="BP1584" s="18"/>
      <c r="BQ1584" s="18"/>
      <c r="BR1584" s="18"/>
      <c r="BS1584" s="18"/>
      <c r="BT1584" s="18"/>
      <c r="BU1584" s="18"/>
      <c r="BV1584" s="18"/>
    </row>
    <row r="1585" spans="1:74">
      <c r="A1585" s="18"/>
      <c r="B1585" s="19"/>
      <c r="BG1585" s="18"/>
      <c r="BH1585" s="18"/>
      <c r="BI1585" s="18"/>
      <c r="BJ1585" s="18"/>
      <c r="BK1585" s="18"/>
      <c r="BL1585" s="18"/>
      <c r="BM1585" s="18"/>
      <c r="BN1585" s="18"/>
      <c r="BO1585" s="18"/>
      <c r="BP1585" s="18"/>
      <c r="BQ1585" s="18"/>
      <c r="BR1585" s="18"/>
      <c r="BS1585" s="18"/>
      <c r="BT1585" s="18"/>
      <c r="BU1585" s="18"/>
      <c r="BV1585" s="18"/>
    </row>
    <row r="1586" spans="1:74">
      <c r="A1586" s="18"/>
      <c r="B1586" s="19"/>
      <c r="BG1586" s="18"/>
      <c r="BH1586" s="18"/>
      <c r="BI1586" s="18"/>
      <c r="BJ1586" s="18"/>
      <c r="BK1586" s="18"/>
      <c r="BL1586" s="18"/>
      <c r="BM1586" s="18"/>
      <c r="BN1586" s="18"/>
      <c r="BO1586" s="18"/>
      <c r="BP1586" s="18"/>
      <c r="BQ1586" s="18"/>
      <c r="BR1586" s="18"/>
      <c r="BS1586" s="18"/>
      <c r="BT1586" s="18"/>
      <c r="BU1586" s="18"/>
      <c r="BV1586" s="18"/>
    </row>
    <row r="1587" spans="1:74">
      <c r="A1587" s="18"/>
      <c r="B1587" s="19"/>
      <c r="BG1587" s="18"/>
      <c r="BH1587" s="18"/>
      <c r="BI1587" s="18"/>
      <c r="BJ1587" s="18"/>
      <c r="BK1587" s="18"/>
      <c r="BL1587" s="18"/>
      <c r="BM1587" s="18"/>
      <c r="BN1587" s="18"/>
      <c r="BO1587" s="18"/>
      <c r="BP1587" s="18"/>
      <c r="BQ1587" s="18"/>
      <c r="BR1587" s="18"/>
      <c r="BS1587" s="18"/>
      <c r="BT1587" s="18"/>
      <c r="BU1587" s="18"/>
      <c r="BV1587" s="18"/>
    </row>
    <row r="1588" spans="1:74">
      <c r="A1588" s="18"/>
      <c r="B1588" s="19"/>
      <c r="BG1588" s="18"/>
      <c r="BH1588" s="18"/>
      <c r="BI1588" s="18"/>
      <c r="BJ1588" s="18"/>
      <c r="BK1588" s="18"/>
      <c r="BL1588" s="18"/>
      <c r="BM1588" s="18"/>
      <c r="BN1588" s="18"/>
      <c r="BO1588" s="18"/>
      <c r="BP1588" s="18"/>
      <c r="BQ1588" s="18"/>
      <c r="BR1588" s="18"/>
      <c r="BS1588" s="18"/>
      <c r="BT1588" s="18"/>
      <c r="BU1588" s="18"/>
      <c r="BV1588" s="18"/>
    </row>
    <row r="1589" spans="1:74">
      <c r="A1589" s="18"/>
      <c r="B1589" s="19"/>
      <c r="BG1589" s="18"/>
      <c r="BH1589" s="18"/>
      <c r="BI1589" s="18"/>
      <c r="BJ1589" s="18"/>
      <c r="BK1589" s="18"/>
      <c r="BL1589" s="18"/>
      <c r="BM1589" s="18"/>
      <c r="BN1589" s="18"/>
      <c r="BO1589" s="18"/>
      <c r="BP1589" s="18"/>
      <c r="BQ1589" s="18"/>
      <c r="BR1589" s="18"/>
      <c r="BS1589" s="18"/>
      <c r="BT1589" s="18"/>
      <c r="BU1589" s="18"/>
      <c r="BV1589" s="18"/>
    </row>
    <row r="1590" spans="1:74">
      <c r="A1590" s="18"/>
      <c r="B1590" s="19"/>
      <c r="BG1590" s="18"/>
      <c r="BH1590" s="18"/>
      <c r="BI1590" s="18"/>
      <c r="BJ1590" s="18"/>
      <c r="BK1590" s="18"/>
      <c r="BL1590" s="18"/>
      <c r="BM1590" s="18"/>
      <c r="BN1590" s="18"/>
      <c r="BO1590" s="18"/>
      <c r="BP1590" s="18"/>
      <c r="BQ1590" s="18"/>
      <c r="BR1590" s="18"/>
      <c r="BS1590" s="18"/>
      <c r="BT1590" s="18"/>
      <c r="BU1590" s="18"/>
      <c r="BV1590" s="18"/>
    </row>
    <row r="1591" spans="1:74">
      <c r="A1591" s="18"/>
      <c r="B1591" s="19"/>
      <c r="BG1591" s="18"/>
      <c r="BH1591" s="18"/>
      <c r="BI1591" s="18"/>
      <c r="BJ1591" s="18"/>
      <c r="BK1591" s="18"/>
      <c r="BL1591" s="18"/>
      <c r="BM1591" s="18"/>
      <c r="BN1591" s="18"/>
      <c r="BO1591" s="18"/>
      <c r="BP1591" s="18"/>
      <c r="BQ1591" s="18"/>
      <c r="BR1591" s="18"/>
      <c r="BS1591" s="18"/>
      <c r="BT1591" s="18"/>
      <c r="BU1591" s="18"/>
      <c r="BV1591" s="18"/>
    </row>
    <row r="1592" spans="1:74">
      <c r="A1592" s="18"/>
      <c r="B1592" s="19"/>
      <c r="BG1592" s="18"/>
      <c r="BH1592" s="18"/>
      <c r="BI1592" s="18"/>
      <c r="BJ1592" s="18"/>
      <c r="BK1592" s="18"/>
      <c r="BL1592" s="18"/>
      <c r="BM1592" s="18"/>
      <c r="BN1592" s="18"/>
      <c r="BO1592" s="18"/>
      <c r="BP1592" s="18"/>
      <c r="BQ1592" s="18"/>
      <c r="BR1592" s="18"/>
      <c r="BS1592" s="18"/>
      <c r="BT1592" s="18"/>
      <c r="BU1592" s="18"/>
      <c r="BV1592" s="18"/>
    </row>
    <row r="1593" spans="1:74">
      <c r="A1593" s="18"/>
      <c r="B1593" s="19"/>
      <c r="BG1593" s="18"/>
      <c r="BH1593" s="18"/>
      <c r="BI1593" s="18"/>
      <c r="BJ1593" s="18"/>
      <c r="BK1593" s="18"/>
      <c r="BL1593" s="18"/>
      <c r="BM1593" s="18"/>
      <c r="BN1593" s="18"/>
      <c r="BO1593" s="18"/>
      <c r="BP1593" s="18"/>
      <c r="BQ1593" s="18"/>
      <c r="BR1593" s="18"/>
      <c r="BS1593" s="18"/>
      <c r="BT1593" s="18"/>
      <c r="BU1593" s="18"/>
      <c r="BV1593" s="18"/>
    </row>
    <row r="1594" spans="1:74">
      <c r="A1594" s="18"/>
      <c r="B1594" s="19"/>
      <c r="BG1594" s="18"/>
      <c r="BH1594" s="18"/>
      <c r="BI1594" s="18"/>
      <c r="BJ1594" s="18"/>
      <c r="BK1594" s="18"/>
      <c r="BL1594" s="18"/>
      <c r="BM1594" s="18"/>
      <c r="BN1594" s="18"/>
      <c r="BO1594" s="18"/>
      <c r="BP1594" s="18"/>
      <c r="BQ1594" s="18"/>
      <c r="BR1594" s="18"/>
      <c r="BS1594" s="18"/>
      <c r="BT1594" s="18"/>
      <c r="BU1594" s="18"/>
      <c r="BV1594" s="18"/>
    </row>
    <row r="1595" spans="1:74">
      <c r="A1595" s="18"/>
      <c r="B1595" s="19"/>
      <c r="BG1595" s="18"/>
      <c r="BH1595" s="18"/>
      <c r="BI1595" s="18"/>
      <c r="BJ1595" s="18"/>
      <c r="BK1595" s="18"/>
      <c r="BL1595" s="18"/>
      <c r="BM1595" s="18"/>
      <c r="BN1595" s="18"/>
      <c r="BO1595" s="18"/>
      <c r="BP1595" s="18"/>
      <c r="BQ1595" s="18"/>
      <c r="BR1595" s="18"/>
      <c r="BS1595" s="18"/>
      <c r="BT1595" s="18"/>
      <c r="BU1595" s="18"/>
      <c r="BV1595" s="18"/>
    </row>
    <row r="1596" spans="1:74">
      <c r="A1596" s="18"/>
      <c r="B1596" s="19"/>
      <c r="BG1596" s="18"/>
      <c r="BH1596" s="18"/>
      <c r="BI1596" s="18"/>
      <c r="BJ1596" s="18"/>
      <c r="BK1596" s="18"/>
      <c r="BL1596" s="18"/>
      <c r="BM1596" s="18"/>
      <c r="BN1596" s="18"/>
      <c r="BO1596" s="18"/>
      <c r="BP1596" s="18"/>
      <c r="BQ1596" s="18"/>
      <c r="BR1596" s="18"/>
      <c r="BS1596" s="18"/>
      <c r="BT1596" s="18"/>
      <c r="BU1596" s="18"/>
      <c r="BV1596" s="18"/>
    </row>
    <row r="1597" spans="1:74">
      <c r="A1597" s="18"/>
      <c r="B1597" s="19"/>
      <c r="BG1597" s="18"/>
      <c r="BH1597" s="18"/>
      <c r="BI1597" s="18"/>
      <c r="BJ1597" s="18"/>
      <c r="BK1597" s="18"/>
      <c r="BL1597" s="18"/>
      <c r="BM1597" s="18"/>
      <c r="BN1597" s="18"/>
      <c r="BO1597" s="18"/>
      <c r="BP1597" s="18"/>
      <c r="BQ1597" s="18"/>
      <c r="BR1597" s="18"/>
      <c r="BS1597" s="18"/>
      <c r="BT1597" s="18"/>
      <c r="BU1597" s="18"/>
      <c r="BV1597" s="18"/>
    </row>
    <row r="1598" spans="1:74">
      <c r="A1598" s="18"/>
      <c r="B1598" s="19"/>
      <c r="BG1598" s="18"/>
      <c r="BH1598" s="18"/>
      <c r="BI1598" s="18"/>
      <c r="BJ1598" s="18"/>
      <c r="BK1598" s="18"/>
      <c r="BL1598" s="18"/>
      <c r="BM1598" s="18"/>
      <c r="BN1598" s="18"/>
      <c r="BO1598" s="18"/>
      <c r="BP1598" s="18"/>
      <c r="BQ1598" s="18"/>
      <c r="BR1598" s="18"/>
      <c r="BS1598" s="18"/>
      <c r="BT1598" s="18"/>
      <c r="BU1598" s="18"/>
      <c r="BV1598" s="18"/>
    </row>
    <row r="1599" spans="1:74">
      <c r="A1599" s="18"/>
      <c r="B1599" s="19"/>
      <c r="BG1599" s="18"/>
      <c r="BH1599" s="18"/>
      <c r="BI1599" s="18"/>
      <c r="BJ1599" s="18"/>
      <c r="BK1599" s="18"/>
      <c r="BL1599" s="18"/>
      <c r="BM1599" s="18"/>
      <c r="BN1599" s="18"/>
      <c r="BO1599" s="18"/>
      <c r="BP1599" s="18"/>
      <c r="BQ1599" s="18"/>
      <c r="BR1599" s="18"/>
      <c r="BS1599" s="18"/>
      <c r="BT1599" s="18"/>
      <c r="BU1599" s="18"/>
      <c r="BV1599" s="18"/>
    </row>
    <row r="1600" spans="1:74">
      <c r="A1600" s="18"/>
      <c r="B1600" s="19"/>
      <c r="BG1600" s="18"/>
      <c r="BH1600" s="18"/>
      <c r="BI1600" s="18"/>
      <c r="BJ1600" s="18"/>
      <c r="BK1600" s="18"/>
      <c r="BL1600" s="18"/>
      <c r="BM1600" s="18"/>
      <c r="BN1600" s="18"/>
      <c r="BO1600" s="18"/>
      <c r="BP1600" s="18"/>
      <c r="BQ1600" s="18"/>
      <c r="BR1600" s="18"/>
      <c r="BS1600" s="18"/>
      <c r="BT1600" s="18"/>
      <c r="BU1600" s="18"/>
      <c r="BV1600" s="18"/>
    </row>
    <row r="1601" spans="1:74">
      <c r="A1601" s="18"/>
      <c r="B1601" s="19"/>
      <c r="BG1601" s="18"/>
      <c r="BH1601" s="18"/>
      <c r="BI1601" s="18"/>
      <c r="BJ1601" s="18"/>
      <c r="BK1601" s="18"/>
      <c r="BL1601" s="18"/>
      <c r="BM1601" s="18"/>
      <c r="BN1601" s="18"/>
      <c r="BO1601" s="18"/>
      <c r="BP1601" s="18"/>
      <c r="BQ1601" s="18"/>
      <c r="BR1601" s="18"/>
      <c r="BS1601" s="18"/>
      <c r="BT1601" s="18"/>
      <c r="BU1601" s="18"/>
      <c r="BV1601" s="18"/>
    </row>
    <row r="1602" spans="1:74">
      <c r="A1602" s="18"/>
      <c r="B1602" s="19"/>
      <c r="BG1602" s="18"/>
      <c r="BH1602" s="18"/>
      <c r="BI1602" s="18"/>
      <c r="BJ1602" s="18"/>
      <c r="BK1602" s="18"/>
      <c r="BL1602" s="18"/>
      <c r="BM1602" s="18"/>
      <c r="BN1602" s="18"/>
      <c r="BO1602" s="18"/>
      <c r="BP1602" s="18"/>
      <c r="BQ1602" s="18"/>
      <c r="BR1602" s="18"/>
      <c r="BS1602" s="18"/>
      <c r="BT1602" s="18"/>
      <c r="BU1602" s="18"/>
      <c r="BV1602" s="18"/>
    </row>
    <row r="1603" spans="1:74">
      <c r="A1603" s="18"/>
      <c r="B1603" s="19"/>
      <c r="BG1603" s="18"/>
      <c r="BH1603" s="18"/>
      <c r="BI1603" s="18"/>
      <c r="BJ1603" s="18"/>
      <c r="BK1603" s="18"/>
      <c r="BL1603" s="18"/>
      <c r="BM1603" s="18"/>
      <c r="BN1603" s="18"/>
      <c r="BO1603" s="18"/>
      <c r="BP1603" s="18"/>
      <c r="BQ1603" s="18"/>
      <c r="BR1603" s="18"/>
      <c r="BS1603" s="18"/>
      <c r="BT1603" s="18"/>
      <c r="BU1603" s="18"/>
      <c r="BV1603" s="18"/>
    </row>
    <row r="1604" spans="1:74">
      <c r="A1604" s="18"/>
      <c r="B1604" s="19"/>
      <c r="BG1604" s="18"/>
      <c r="BH1604" s="18"/>
      <c r="BI1604" s="18"/>
      <c r="BJ1604" s="18"/>
      <c r="BK1604" s="18"/>
      <c r="BL1604" s="18"/>
      <c r="BM1604" s="18"/>
      <c r="BN1604" s="18"/>
      <c r="BO1604" s="18"/>
      <c r="BP1604" s="18"/>
      <c r="BQ1604" s="18"/>
      <c r="BR1604" s="18"/>
      <c r="BS1604" s="18"/>
      <c r="BT1604" s="18"/>
      <c r="BU1604" s="18"/>
      <c r="BV1604" s="18"/>
    </row>
    <row r="1605" spans="1:74">
      <c r="A1605" s="18"/>
      <c r="B1605" s="19"/>
      <c r="BG1605" s="18"/>
      <c r="BH1605" s="18"/>
      <c r="BI1605" s="18"/>
      <c r="BJ1605" s="18"/>
      <c r="BK1605" s="18"/>
      <c r="BL1605" s="18"/>
      <c r="BM1605" s="18"/>
      <c r="BN1605" s="18"/>
      <c r="BO1605" s="18"/>
      <c r="BP1605" s="18"/>
      <c r="BQ1605" s="18"/>
      <c r="BR1605" s="18"/>
      <c r="BS1605" s="18"/>
      <c r="BT1605" s="18"/>
      <c r="BU1605" s="18"/>
      <c r="BV1605" s="18"/>
    </row>
    <row r="1606" spans="1:74">
      <c r="A1606" s="18"/>
      <c r="B1606" s="19"/>
      <c r="BG1606" s="18"/>
      <c r="BH1606" s="18"/>
      <c r="BI1606" s="18"/>
      <c r="BJ1606" s="18"/>
      <c r="BK1606" s="18"/>
      <c r="BL1606" s="18"/>
      <c r="BM1606" s="18"/>
      <c r="BN1606" s="18"/>
      <c r="BO1606" s="18"/>
      <c r="BP1606" s="18"/>
      <c r="BQ1606" s="18"/>
      <c r="BR1606" s="18"/>
      <c r="BS1606" s="18"/>
      <c r="BT1606" s="18"/>
      <c r="BU1606" s="18"/>
      <c r="BV1606" s="18"/>
    </row>
    <row r="1607" spans="1:74">
      <c r="A1607" s="18"/>
      <c r="B1607" s="19"/>
      <c r="BG1607" s="18"/>
      <c r="BH1607" s="18"/>
      <c r="BI1607" s="18"/>
      <c r="BJ1607" s="18"/>
      <c r="BK1607" s="18"/>
      <c r="BL1607" s="18"/>
      <c r="BM1607" s="18"/>
      <c r="BN1607" s="18"/>
      <c r="BO1607" s="18"/>
      <c r="BP1607" s="18"/>
      <c r="BQ1607" s="18"/>
      <c r="BR1607" s="18"/>
      <c r="BS1607" s="18"/>
      <c r="BT1607" s="18"/>
      <c r="BU1607" s="18"/>
      <c r="BV1607" s="18"/>
    </row>
    <row r="1608" spans="1:74">
      <c r="A1608" s="18"/>
      <c r="B1608" s="19"/>
      <c r="BG1608" s="18"/>
      <c r="BH1608" s="18"/>
      <c r="BI1608" s="18"/>
      <c r="BJ1608" s="18"/>
      <c r="BK1608" s="18"/>
      <c r="BL1608" s="18"/>
      <c r="BM1608" s="18"/>
      <c r="BN1608" s="18"/>
      <c r="BO1608" s="18"/>
      <c r="BP1608" s="18"/>
      <c r="BQ1608" s="18"/>
      <c r="BR1608" s="18"/>
      <c r="BS1608" s="18"/>
      <c r="BT1608" s="18"/>
      <c r="BU1608" s="18"/>
      <c r="BV1608" s="18"/>
    </row>
    <row r="1609" spans="1:74">
      <c r="A1609" s="18"/>
      <c r="B1609" s="19"/>
      <c r="BG1609" s="18"/>
      <c r="BH1609" s="18"/>
      <c r="BI1609" s="18"/>
      <c r="BJ1609" s="18"/>
      <c r="BK1609" s="18"/>
      <c r="BL1609" s="18"/>
      <c r="BM1609" s="18"/>
      <c r="BN1609" s="18"/>
      <c r="BO1609" s="18"/>
      <c r="BP1609" s="18"/>
      <c r="BQ1609" s="18"/>
      <c r="BR1609" s="18"/>
      <c r="BS1609" s="18"/>
      <c r="BT1609" s="18"/>
      <c r="BU1609" s="18"/>
      <c r="BV1609" s="18"/>
    </row>
    <row r="1610" spans="1:74">
      <c r="A1610" s="18"/>
      <c r="B1610" s="19"/>
      <c r="BG1610" s="18"/>
      <c r="BH1610" s="18"/>
      <c r="BI1610" s="18"/>
      <c r="BJ1610" s="18"/>
      <c r="BK1610" s="18"/>
      <c r="BL1610" s="18"/>
      <c r="BM1610" s="18"/>
      <c r="BN1610" s="18"/>
      <c r="BO1610" s="18"/>
      <c r="BP1610" s="18"/>
      <c r="BQ1610" s="18"/>
      <c r="BR1610" s="18"/>
      <c r="BS1610" s="18"/>
      <c r="BT1610" s="18"/>
      <c r="BU1610" s="18"/>
      <c r="BV1610" s="18"/>
    </row>
    <row r="1611" spans="1:74">
      <c r="A1611" s="18"/>
      <c r="B1611" s="19"/>
      <c r="BG1611" s="18"/>
      <c r="BH1611" s="18"/>
      <c r="BI1611" s="18"/>
      <c r="BJ1611" s="18"/>
      <c r="BK1611" s="18"/>
      <c r="BL1611" s="18"/>
      <c r="BM1611" s="18"/>
      <c r="BN1611" s="18"/>
      <c r="BO1611" s="18"/>
      <c r="BP1611" s="18"/>
      <c r="BQ1611" s="18"/>
      <c r="BR1611" s="18"/>
      <c r="BS1611" s="18"/>
      <c r="BT1611" s="18"/>
      <c r="BU1611" s="18"/>
      <c r="BV1611" s="18"/>
    </row>
    <row r="1612" spans="1:74">
      <c r="A1612" s="18"/>
      <c r="B1612" s="19"/>
      <c r="BG1612" s="18"/>
      <c r="BH1612" s="18"/>
      <c r="BI1612" s="18"/>
      <c r="BJ1612" s="18"/>
      <c r="BK1612" s="18"/>
      <c r="BL1612" s="18"/>
      <c r="BM1612" s="18"/>
      <c r="BN1612" s="18"/>
      <c r="BO1612" s="18"/>
      <c r="BP1612" s="18"/>
      <c r="BQ1612" s="18"/>
      <c r="BR1612" s="18"/>
      <c r="BS1612" s="18"/>
      <c r="BT1612" s="18"/>
      <c r="BU1612" s="18"/>
      <c r="BV1612" s="18"/>
    </row>
    <row r="1613" spans="1:74">
      <c r="A1613" s="18"/>
      <c r="B1613" s="19"/>
      <c r="BG1613" s="18"/>
      <c r="BH1613" s="18"/>
      <c r="BI1613" s="18"/>
      <c r="BJ1613" s="18"/>
      <c r="BK1613" s="18"/>
      <c r="BL1613" s="18"/>
      <c r="BM1613" s="18"/>
      <c r="BN1613" s="18"/>
      <c r="BO1613" s="18"/>
      <c r="BP1613" s="18"/>
      <c r="BQ1613" s="18"/>
      <c r="BR1613" s="18"/>
      <c r="BS1613" s="18"/>
      <c r="BT1613" s="18"/>
      <c r="BU1613" s="18"/>
      <c r="BV1613" s="18"/>
    </row>
    <row r="1614" spans="1:74">
      <c r="A1614" s="18"/>
      <c r="B1614" s="19"/>
      <c r="BG1614" s="18"/>
      <c r="BH1614" s="18"/>
      <c r="BI1614" s="18"/>
      <c r="BJ1614" s="18"/>
      <c r="BK1614" s="18"/>
      <c r="BL1614" s="18"/>
      <c r="BM1614" s="18"/>
      <c r="BN1614" s="18"/>
      <c r="BO1614" s="18"/>
      <c r="BP1614" s="18"/>
      <c r="BQ1614" s="18"/>
      <c r="BR1614" s="18"/>
      <c r="BS1614" s="18"/>
      <c r="BT1614" s="18"/>
      <c r="BU1614" s="18"/>
      <c r="BV1614" s="18"/>
    </row>
    <row r="1615" spans="1:74">
      <c r="A1615" s="18"/>
      <c r="B1615" s="19"/>
      <c r="BG1615" s="18"/>
      <c r="BH1615" s="18"/>
      <c r="BI1615" s="18"/>
      <c r="BJ1615" s="18"/>
      <c r="BK1615" s="18"/>
      <c r="BL1615" s="18"/>
      <c r="BM1615" s="18"/>
      <c r="BN1615" s="18"/>
      <c r="BO1615" s="18"/>
      <c r="BP1615" s="18"/>
      <c r="BQ1615" s="18"/>
      <c r="BR1615" s="18"/>
      <c r="BS1615" s="18"/>
      <c r="BT1615" s="18"/>
      <c r="BU1615" s="18"/>
      <c r="BV1615" s="18"/>
    </row>
    <row r="1616" spans="1:74">
      <c r="A1616" s="18"/>
      <c r="B1616" s="19"/>
      <c r="BG1616" s="18"/>
      <c r="BH1616" s="18"/>
      <c r="BI1616" s="18"/>
      <c r="BJ1616" s="18"/>
      <c r="BK1616" s="18"/>
      <c r="BL1616" s="18"/>
      <c r="BM1616" s="18"/>
      <c r="BN1616" s="18"/>
      <c r="BO1616" s="18"/>
      <c r="BP1616" s="18"/>
      <c r="BQ1616" s="18"/>
      <c r="BR1616" s="18"/>
      <c r="BS1616" s="18"/>
      <c r="BT1616" s="18"/>
      <c r="BU1616" s="18"/>
      <c r="BV1616" s="18"/>
    </row>
    <row r="1617" spans="1:74">
      <c r="A1617" s="18"/>
      <c r="B1617" s="19"/>
      <c r="BG1617" s="18"/>
      <c r="BH1617" s="18"/>
      <c r="BI1617" s="18"/>
      <c r="BJ1617" s="18"/>
      <c r="BK1617" s="18"/>
      <c r="BL1617" s="18"/>
      <c r="BM1617" s="18"/>
      <c r="BN1617" s="18"/>
      <c r="BO1617" s="18"/>
      <c r="BP1617" s="18"/>
      <c r="BQ1617" s="18"/>
      <c r="BR1617" s="18"/>
      <c r="BS1617" s="18"/>
      <c r="BT1617" s="18"/>
      <c r="BU1617" s="18"/>
      <c r="BV1617" s="18"/>
    </row>
    <row r="1618" spans="1:74">
      <c r="A1618" s="18"/>
      <c r="B1618" s="19"/>
      <c r="BG1618" s="18"/>
      <c r="BH1618" s="18"/>
      <c r="BI1618" s="18"/>
      <c r="BJ1618" s="18"/>
      <c r="BK1618" s="18"/>
      <c r="BL1618" s="18"/>
      <c r="BM1618" s="18"/>
      <c r="BN1618" s="18"/>
      <c r="BO1618" s="18"/>
      <c r="BP1618" s="18"/>
      <c r="BQ1618" s="18"/>
      <c r="BR1618" s="18"/>
      <c r="BS1618" s="18"/>
      <c r="BT1618" s="18"/>
      <c r="BU1618" s="18"/>
      <c r="BV1618" s="18"/>
    </row>
    <row r="1619" spans="1:74">
      <c r="A1619" s="18"/>
      <c r="B1619" s="19"/>
      <c r="BG1619" s="18"/>
      <c r="BH1619" s="18"/>
      <c r="BI1619" s="18"/>
      <c r="BJ1619" s="18"/>
      <c r="BK1619" s="18"/>
      <c r="BL1619" s="18"/>
      <c r="BM1619" s="18"/>
      <c r="BN1619" s="18"/>
      <c r="BO1619" s="18"/>
      <c r="BP1619" s="18"/>
      <c r="BQ1619" s="18"/>
      <c r="BR1619" s="18"/>
      <c r="BS1619" s="18"/>
      <c r="BT1619" s="18"/>
      <c r="BU1619" s="18"/>
      <c r="BV1619" s="18"/>
    </row>
    <row r="1620" spans="1:74">
      <c r="A1620" s="18"/>
      <c r="B1620" s="19"/>
      <c r="BG1620" s="18"/>
      <c r="BH1620" s="18"/>
      <c r="BI1620" s="18"/>
      <c r="BJ1620" s="18"/>
      <c r="BK1620" s="18"/>
      <c r="BL1620" s="18"/>
      <c r="BM1620" s="18"/>
      <c r="BN1620" s="18"/>
      <c r="BO1620" s="18"/>
      <c r="BP1620" s="18"/>
      <c r="BQ1620" s="18"/>
      <c r="BR1620" s="18"/>
      <c r="BS1620" s="18"/>
      <c r="BT1620" s="18"/>
      <c r="BU1620" s="18"/>
      <c r="BV1620" s="18"/>
    </row>
    <row r="1621" spans="1:74">
      <c r="A1621" s="18"/>
      <c r="B1621" s="19"/>
      <c r="BG1621" s="18"/>
      <c r="BH1621" s="18"/>
      <c r="BI1621" s="18"/>
      <c r="BJ1621" s="18"/>
      <c r="BK1621" s="18"/>
      <c r="BL1621" s="18"/>
      <c r="BM1621" s="18"/>
      <c r="BN1621" s="18"/>
      <c r="BO1621" s="18"/>
      <c r="BP1621" s="18"/>
      <c r="BQ1621" s="18"/>
      <c r="BR1621" s="18"/>
      <c r="BS1621" s="18"/>
      <c r="BT1621" s="18"/>
      <c r="BU1621" s="18"/>
      <c r="BV1621" s="18"/>
    </row>
    <row r="1622" spans="1:74">
      <c r="A1622" s="18"/>
      <c r="B1622" s="19"/>
      <c r="BG1622" s="18"/>
      <c r="BH1622" s="18"/>
      <c r="BI1622" s="18"/>
      <c r="BJ1622" s="18"/>
      <c r="BK1622" s="18"/>
      <c r="BL1622" s="18"/>
      <c r="BM1622" s="18"/>
      <c r="BN1622" s="18"/>
      <c r="BO1622" s="18"/>
      <c r="BP1622" s="18"/>
      <c r="BQ1622" s="18"/>
      <c r="BR1622" s="18"/>
      <c r="BS1622" s="18"/>
      <c r="BT1622" s="18"/>
      <c r="BU1622" s="18"/>
      <c r="BV1622" s="18"/>
    </row>
    <row r="1623" spans="1:74">
      <c r="A1623" s="18"/>
      <c r="B1623" s="19"/>
      <c r="BG1623" s="18"/>
      <c r="BH1623" s="18"/>
      <c r="BI1623" s="18"/>
      <c r="BJ1623" s="18"/>
      <c r="BK1623" s="18"/>
      <c r="BL1623" s="18"/>
      <c r="BM1623" s="18"/>
      <c r="BN1623" s="18"/>
      <c r="BO1623" s="18"/>
      <c r="BP1623" s="18"/>
      <c r="BQ1623" s="18"/>
      <c r="BR1623" s="18"/>
      <c r="BS1623" s="18"/>
      <c r="BT1623" s="18"/>
      <c r="BU1623" s="18"/>
      <c r="BV1623" s="18"/>
    </row>
    <row r="1624" spans="1:74">
      <c r="A1624" s="18"/>
      <c r="B1624" s="19"/>
      <c r="BG1624" s="18"/>
      <c r="BH1624" s="18"/>
      <c r="BI1624" s="18"/>
      <c r="BJ1624" s="18"/>
      <c r="BK1624" s="18"/>
      <c r="BL1624" s="18"/>
      <c r="BM1624" s="18"/>
      <c r="BN1624" s="18"/>
      <c r="BO1624" s="18"/>
      <c r="BP1624" s="18"/>
      <c r="BQ1624" s="18"/>
      <c r="BR1624" s="18"/>
      <c r="BS1624" s="18"/>
      <c r="BT1624" s="18"/>
      <c r="BU1624" s="18"/>
      <c r="BV1624" s="18"/>
    </row>
    <row r="1625" spans="1:74">
      <c r="A1625" s="18"/>
      <c r="B1625" s="19"/>
      <c r="BG1625" s="18"/>
      <c r="BH1625" s="18"/>
      <c r="BI1625" s="18"/>
      <c r="BJ1625" s="18"/>
      <c r="BK1625" s="18"/>
      <c r="BL1625" s="18"/>
      <c r="BM1625" s="18"/>
      <c r="BN1625" s="18"/>
      <c r="BO1625" s="18"/>
      <c r="BP1625" s="18"/>
      <c r="BQ1625" s="18"/>
      <c r="BR1625" s="18"/>
      <c r="BS1625" s="18"/>
      <c r="BT1625" s="18"/>
      <c r="BU1625" s="18"/>
      <c r="BV1625" s="18"/>
    </row>
    <row r="1626" spans="1:74">
      <c r="A1626" s="18"/>
      <c r="B1626" s="19"/>
      <c r="BG1626" s="18"/>
      <c r="BH1626" s="18"/>
      <c r="BI1626" s="18"/>
      <c r="BJ1626" s="18"/>
      <c r="BK1626" s="18"/>
      <c r="BL1626" s="18"/>
      <c r="BM1626" s="18"/>
      <c r="BN1626" s="18"/>
      <c r="BO1626" s="18"/>
      <c r="BP1626" s="18"/>
      <c r="BQ1626" s="18"/>
      <c r="BR1626" s="18"/>
      <c r="BS1626" s="18"/>
      <c r="BT1626" s="18"/>
      <c r="BU1626" s="18"/>
      <c r="BV1626" s="18"/>
    </row>
    <row r="1627" spans="1:74">
      <c r="A1627" s="18"/>
      <c r="B1627" s="19"/>
      <c r="BG1627" s="18"/>
      <c r="BH1627" s="18"/>
      <c r="BI1627" s="18"/>
      <c r="BJ1627" s="18"/>
      <c r="BK1627" s="18"/>
      <c r="BL1627" s="18"/>
      <c r="BM1627" s="18"/>
      <c r="BN1627" s="18"/>
      <c r="BO1627" s="18"/>
      <c r="BP1627" s="18"/>
      <c r="BQ1627" s="18"/>
      <c r="BR1627" s="18"/>
      <c r="BS1627" s="18"/>
      <c r="BT1627" s="18"/>
      <c r="BU1627" s="18"/>
      <c r="BV1627" s="18"/>
    </row>
    <row r="1628" spans="1:74">
      <c r="A1628" s="18"/>
      <c r="B1628" s="19"/>
      <c r="BG1628" s="18"/>
      <c r="BH1628" s="18"/>
      <c r="BI1628" s="18"/>
      <c r="BJ1628" s="18"/>
      <c r="BK1628" s="18"/>
      <c r="BL1628" s="18"/>
      <c r="BM1628" s="18"/>
      <c r="BN1628" s="18"/>
      <c r="BO1628" s="18"/>
      <c r="BP1628" s="18"/>
      <c r="BQ1628" s="18"/>
      <c r="BR1628" s="18"/>
      <c r="BS1628" s="18"/>
      <c r="BT1628" s="18"/>
      <c r="BU1628" s="18"/>
      <c r="BV1628" s="18"/>
    </row>
    <row r="1629" spans="1:74">
      <c r="A1629" s="18"/>
      <c r="B1629" s="19"/>
      <c r="BG1629" s="18"/>
      <c r="BH1629" s="18"/>
      <c r="BI1629" s="18"/>
      <c r="BJ1629" s="18"/>
      <c r="BK1629" s="18"/>
      <c r="BL1629" s="18"/>
      <c r="BM1629" s="18"/>
      <c r="BN1629" s="18"/>
      <c r="BO1629" s="18"/>
      <c r="BP1629" s="18"/>
      <c r="BQ1629" s="18"/>
      <c r="BR1629" s="18"/>
      <c r="BS1629" s="18"/>
      <c r="BT1629" s="18"/>
      <c r="BU1629" s="18"/>
      <c r="BV1629" s="18"/>
    </row>
    <row r="1630" spans="1:74">
      <c r="A1630" s="18"/>
      <c r="B1630" s="19"/>
      <c r="BG1630" s="18"/>
      <c r="BH1630" s="18"/>
      <c r="BI1630" s="18"/>
      <c r="BJ1630" s="18"/>
      <c r="BK1630" s="18"/>
      <c r="BL1630" s="18"/>
      <c r="BM1630" s="18"/>
      <c r="BN1630" s="18"/>
      <c r="BO1630" s="18"/>
      <c r="BP1630" s="18"/>
      <c r="BQ1630" s="18"/>
      <c r="BR1630" s="18"/>
      <c r="BS1630" s="18"/>
      <c r="BT1630" s="18"/>
      <c r="BU1630" s="18"/>
      <c r="BV1630" s="18"/>
    </row>
    <row r="1631" spans="1:74">
      <c r="A1631" s="18"/>
      <c r="B1631" s="19"/>
      <c r="BG1631" s="18"/>
      <c r="BH1631" s="18"/>
      <c r="BI1631" s="18"/>
      <c r="BJ1631" s="18"/>
      <c r="BK1631" s="18"/>
      <c r="BL1631" s="18"/>
      <c r="BM1631" s="18"/>
      <c r="BN1631" s="18"/>
      <c r="BO1631" s="18"/>
      <c r="BP1631" s="18"/>
      <c r="BQ1631" s="18"/>
      <c r="BR1631" s="18"/>
      <c r="BS1631" s="18"/>
      <c r="BT1631" s="18"/>
      <c r="BU1631" s="18"/>
      <c r="BV1631" s="18"/>
    </row>
    <row r="1632" spans="1:74">
      <c r="A1632" s="18"/>
      <c r="B1632" s="19"/>
      <c r="BG1632" s="18"/>
      <c r="BH1632" s="18"/>
      <c r="BI1632" s="18"/>
      <c r="BJ1632" s="18"/>
      <c r="BK1632" s="18"/>
      <c r="BL1632" s="18"/>
      <c r="BM1632" s="18"/>
      <c r="BN1632" s="18"/>
      <c r="BO1632" s="18"/>
      <c r="BP1632" s="18"/>
      <c r="BQ1632" s="18"/>
      <c r="BR1632" s="18"/>
      <c r="BS1632" s="18"/>
      <c r="BT1632" s="18"/>
      <c r="BU1632" s="18"/>
      <c r="BV1632" s="18"/>
    </row>
    <row r="1633" spans="1:74">
      <c r="A1633" s="18"/>
      <c r="B1633" s="19"/>
      <c r="BG1633" s="18"/>
      <c r="BH1633" s="18"/>
      <c r="BI1633" s="18"/>
      <c r="BJ1633" s="18"/>
      <c r="BK1633" s="18"/>
      <c r="BL1633" s="18"/>
      <c r="BM1633" s="18"/>
      <c r="BN1633" s="18"/>
      <c r="BO1633" s="18"/>
      <c r="BP1633" s="18"/>
      <c r="BQ1633" s="18"/>
      <c r="BR1633" s="18"/>
      <c r="BS1633" s="18"/>
      <c r="BT1633" s="18"/>
      <c r="BU1633" s="18"/>
      <c r="BV1633" s="18"/>
    </row>
    <row r="1634" spans="1:74">
      <c r="A1634" s="18"/>
      <c r="B1634" s="19"/>
      <c r="BG1634" s="18"/>
      <c r="BH1634" s="18"/>
      <c r="BI1634" s="18"/>
      <c r="BJ1634" s="18"/>
      <c r="BK1634" s="18"/>
      <c r="BL1634" s="18"/>
      <c r="BM1634" s="18"/>
      <c r="BN1634" s="18"/>
      <c r="BO1634" s="18"/>
      <c r="BP1634" s="18"/>
      <c r="BQ1634" s="18"/>
      <c r="BR1634" s="18"/>
      <c r="BS1634" s="18"/>
      <c r="BT1634" s="18"/>
      <c r="BU1634" s="18"/>
      <c r="BV1634" s="18"/>
    </row>
    <row r="1635" spans="1:74">
      <c r="A1635" s="18"/>
      <c r="B1635" s="19"/>
      <c r="BG1635" s="18"/>
      <c r="BH1635" s="18"/>
      <c r="BI1635" s="18"/>
      <c r="BJ1635" s="18"/>
      <c r="BK1635" s="18"/>
      <c r="BL1635" s="18"/>
      <c r="BM1635" s="18"/>
      <c r="BN1635" s="18"/>
      <c r="BO1635" s="18"/>
      <c r="BP1635" s="18"/>
      <c r="BQ1635" s="18"/>
      <c r="BR1635" s="18"/>
      <c r="BS1635" s="18"/>
      <c r="BT1635" s="18"/>
      <c r="BU1635" s="18"/>
      <c r="BV1635" s="18"/>
    </row>
    <row r="1636" spans="1:74">
      <c r="A1636" s="18"/>
      <c r="B1636" s="19"/>
      <c r="BG1636" s="18"/>
      <c r="BH1636" s="18"/>
      <c r="BI1636" s="18"/>
      <c r="BJ1636" s="18"/>
      <c r="BK1636" s="18"/>
      <c r="BL1636" s="18"/>
      <c r="BM1636" s="18"/>
      <c r="BN1636" s="18"/>
      <c r="BO1636" s="18"/>
      <c r="BP1636" s="18"/>
      <c r="BQ1636" s="18"/>
      <c r="BR1636" s="18"/>
      <c r="BS1636" s="18"/>
      <c r="BT1636" s="18"/>
      <c r="BU1636" s="18"/>
      <c r="BV1636" s="18"/>
    </row>
    <row r="1637" spans="1:74">
      <c r="A1637" s="18"/>
      <c r="B1637" s="19"/>
      <c r="BG1637" s="18"/>
      <c r="BH1637" s="18"/>
      <c r="BI1637" s="18"/>
      <c r="BJ1637" s="18"/>
      <c r="BK1637" s="18"/>
      <c r="BL1637" s="18"/>
      <c r="BM1637" s="18"/>
      <c r="BN1637" s="18"/>
      <c r="BO1637" s="18"/>
      <c r="BP1637" s="18"/>
      <c r="BQ1637" s="18"/>
      <c r="BR1637" s="18"/>
      <c r="BS1637" s="18"/>
      <c r="BT1637" s="18"/>
      <c r="BU1637" s="18"/>
      <c r="BV1637" s="18"/>
    </row>
    <row r="1638" spans="1:74">
      <c r="A1638" s="18"/>
      <c r="B1638" s="19"/>
      <c r="BG1638" s="18"/>
      <c r="BH1638" s="18"/>
      <c r="BI1638" s="18"/>
      <c r="BJ1638" s="18"/>
      <c r="BK1638" s="18"/>
      <c r="BL1638" s="18"/>
      <c r="BM1638" s="18"/>
      <c r="BN1638" s="18"/>
      <c r="BO1638" s="18"/>
      <c r="BP1638" s="18"/>
      <c r="BQ1638" s="18"/>
      <c r="BR1638" s="18"/>
      <c r="BS1638" s="18"/>
      <c r="BT1638" s="18"/>
      <c r="BU1638" s="18"/>
      <c r="BV1638" s="18"/>
    </row>
    <row r="1639" spans="1:74">
      <c r="A1639" s="18"/>
      <c r="B1639" s="19"/>
      <c r="BG1639" s="18"/>
      <c r="BH1639" s="18"/>
      <c r="BI1639" s="18"/>
      <c r="BJ1639" s="18"/>
      <c r="BK1639" s="18"/>
      <c r="BL1639" s="18"/>
      <c r="BM1639" s="18"/>
      <c r="BN1639" s="18"/>
      <c r="BO1639" s="18"/>
      <c r="BP1639" s="18"/>
      <c r="BQ1639" s="18"/>
      <c r="BR1639" s="18"/>
      <c r="BS1639" s="18"/>
      <c r="BT1639" s="18"/>
      <c r="BU1639" s="18"/>
      <c r="BV1639" s="18"/>
    </row>
    <row r="1640" spans="1:74">
      <c r="A1640" s="18"/>
      <c r="B1640" s="19"/>
      <c r="BG1640" s="18"/>
      <c r="BH1640" s="18"/>
      <c r="BI1640" s="18"/>
      <c r="BJ1640" s="18"/>
      <c r="BK1640" s="18"/>
      <c r="BL1640" s="18"/>
      <c r="BM1640" s="18"/>
      <c r="BN1640" s="18"/>
      <c r="BO1640" s="18"/>
      <c r="BP1640" s="18"/>
      <c r="BQ1640" s="18"/>
      <c r="BR1640" s="18"/>
      <c r="BS1640" s="18"/>
      <c r="BT1640" s="18"/>
      <c r="BU1640" s="18"/>
      <c r="BV1640" s="18"/>
    </row>
    <row r="1641" spans="1:74">
      <c r="A1641" s="18"/>
      <c r="B1641" s="19"/>
      <c r="BG1641" s="18"/>
      <c r="BH1641" s="18"/>
      <c r="BI1641" s="18"/>
      <c r="BJ1641" s="18"/>
      <c r="BK1641" s="18"/>
      <c r="BL1641" s="18"/>
      <c r="BM1641" s="18"/>
      <c r="BN1641" s="18"/>
      <c r="BO1641" s="18"/>
      <c r="BP1641" s="18"/>
      <c r="BQ1641" s="18"/>
      <c r="BR1641" s="18"/>
      <c r="BS1641" s="18"/>
      <c r="BT1641" s="18"/>
      <c r="BU1641" s="18"/>
      <c r="BV1641" s="18"/>
    </row>
    <row r="1642" spans="1:74">
      <c r="A1642" s="18"/>
      <c r="B1642" s="19"/>
      <c r="BG1642" s="18"/>
      <c r="BH1642" s="18"/>
      <c r="BI1642" s="18"/>
      <c r="BJ1642" s="18"/>
      <c r="BK1642" s="18"/>
      <c r="BL1642" s="18"/>
      <c r="BM1642" s="18"/>
      <c r="BN1642" s="18"/>
      <c r="BO1642" s="18"/>
      <c r="BP1642" s="18"/>
      <c r="BQ1642" s="18"/>
      <c r="BR1642" s="18"/>
      <c r="BS1642" s="18"/>
      <c r="BT1642" s="18"/>
      <c r="BU1642" s="18"/>
      <c r="BV1642" s="18"/>
    </row>
    <row r="1643" spans="1:74">
      <c r="A1643" s="18"/>
      <c r="B1643" s="19"/>
      <c r="BG1643" s="18"/>
      <c r="BH1643" s="18"/>
      <c r="BI1643" s="18"/>
      <c r="BJ1643" s="18"/>
      <c r="BK1643" s="18"/>
      <c r="BL1643" s="18"/>
      <c r="BM1643" s="18"/>
      <c r="BN1643" s="18"/>
      <c r="BO1643" s="18"/>
      <c r="BP1643" s="18"/>
      <c r="BQ1643" s="18"/>
      <c r="BR1643" s="18"/>
      <c r="BS1643" s="18"/>
      <c r="BT1643" s="18"/>
      <c r="BU1643" s="18"/>
      <c r="BV1643" s="18"/>
    </row>
    <row r="1644" spans="1:74">
      <c r="A1644" s="18"/>
      <c r="B1644" s="19"/>
      <c r="BG1644" s="18"/>
      <c r="BH1644" s="18"/>
      <c r="BI1644" s="18"/>
      <c r="BJ1644" s="18"/>
      <c r="BK1644" s="18"/>
      <c r="BL1644" s="18"/>
      <c r="BM1644" s="18"/>
      <c r="BN1644" s="18"/>
      <c r="BO1644" s="18"/>
      <c r="BP1644" s="18"/>
      <c r="BQ1644" s="18"/>
      <c r="BR1644" s="18"/>
      <c r="BS1644" s="18"/>
      <c r="BT1644" s="18"/>
      <c r="BU1644" s="18"/>
      <c r="BV1644" s="18"/>
    </row>
    <row r="1645" spans="1:74">
      <c r="A1645" s="18"/>
      <c r="B1645" s="19"/>
      <c r="BG1645" s="18"/>
      <c r="BH1645" s="18"/>
      <c r="BI1645" s="18"/>
      <c r="BJ1645" s="18"/>
      <c r="BK1645" s="18"/>
      <c r="BL1645" s="18"/>
      <c r="BM1645" s="18"/>
      <c r="BN1645" s="18"/>
      <c r="BO1645" s="18"/>
      <c r="BP1645" s="18"/>
      <c r="BQ1645" s="18"/>
      <c r="BR1645" s="18"/>
      <c r="BS1645" s="18"/>
      <c r="BT1645" s="18"/>
      <c r="BU1645" s="18"/>
      <c r="BV1645" s="18"/>
    </row>
    <row r="1646" spans="1:74">
      <c r="A1646" s="18"/>
      <c r="B1646" s="19"/>
      <c r="BG1646" s="18"/>
      <c r="BH1646" s="18"/>
      <c r="BI1646" s="18"/>
      <c r="BJ1646" s="18"/>
      <c r="BK1646" s="18"/>
      <c r="BL1646" s="18"/>
      <c r="BM1646" s="18"/>
      <c r="BN1646" s="18"/>
      <c r="BO1646" s="18"/>
      <c r="BP1646" s="18"/>
      <c r="BQ1646" s="18"/>
      <c r="BR1646" s="18"/>
      <c r="BS1646" s="18"/>
      <c r="BT1646" s="18"/>
      <c r="BU1646" s="18"/>
      <c r="BV1646" s="18"/>
    </row>
    <row r="1647" spans="1:74">
      <c r="A1647" s="18"/>
      <c r="B1647" s="19"/>
      <c r="BG1647" s="18"/>
      <c r="BH1647" s="18"/>
      <c r="BI1647" s="18"/>
      <c r="BJ1647" s="18"/>
      <c r="BK1647" s="18"/>
      <c r="BL1647" s="18"/>
      <c r="BM1647" s="18"/>
      <c r="BN1647" s="18"/>
      <c r="BO1647" s="18"/>
      <c r="BP1647" s="18"/>
      <c r="BQ1647" s="18"/>
      <c r="BR1647" s="18"/>
      <c r="BS1647" s="18"/>
      <c r="BT1647" s="18"/>
      <c r="BU1647" s="18"/>
      <c r="BV1647" s="18"/>
    </row>
    <row r="1648" spans="1:74">
      <c r="A1648" s="18"/>
      <c r="B1648" s="19"/>
      <c r="BG1648" s="18"/>
      <c r="BH1648" s="18"/>
      <c r="BI1648" s="18"/>
      <c r="BJ1648" s="18"/>
      <c r="BK1648" s="18"/>
      <c r="BL1648" s="18"/>
      <c r="BM1648" s="18"/>
      <c r="BN1648" s="18"/>
      <c r="BO1648" s="18"/>
      <c r="BP1648" s="18"/>
      <c r="BQ1648" s="18"/>
      <c r="BR1648" s="18"/>
      <c r="BS1648" s="18"/>
      <c r="BT1648" s="18"/>
      <c r="BU1648" s="18"/>
      <c r="BV1648" s="18"/>
    </row>
    <row r="1649" spans="1:74">
      <c r="A1649" s="18"/>
      <c r="B1649" s="19"/>
      <c r="BG1649" s="18"/>
      <c r="BH1649" s="18"/>
      <c r="BI1649" s="18"/>
      <c r="BJ1649" s="18"/>
      <c r="BK1649" s="18"/>
      <c r="BL1649" s="18"/>
      <c r="BM1649" s="18"/>
      <c r="BN1649" s="18"/>
      <c r="BO1649" s="18"/>
      <c r="BP1649" s="18"/>
      <c r="BQ1649" s="18"/>
      <c r="BR1649" s="18"/>
      <c r="BS1649" s="18"/>
      <c r="BT1649" s="18"/>
      <c r="BU1649" s="18"/>
      <c r="BV1649" s="18"/>
    </row>
    <row r="1650" spans="1:74">
      <c r="A1650" s="18"/>
      <c r="B1650" s="19"/>
      <c r="BG1650" s="18"/>
      <c r="BH1650" s="18"/>
      <c r="BI1650" s="18"/>
      <c r="BJ1650" s="18"/>
      <c r="BK1650" s="18"/>
      <c r="BL1650" s="18"/>
      <c r="BM1650" s="18"/>
      <c r="BN1650" s="18"/>
      <c r="BO1650" s="18"/>
      <c r="BP1650" s="18"/>
      <c r="BQ1650" s="18"/>
      <c r="BR1650" s="18"/>
      <c r="BS1650" s="18"/>
      <c r="BT1650" s="18"/>
      <c r="BU1650" s="18"/>
      <c r="BV1650" s="18"/>
    </row>
    <row r="1651" spans="1:74">
      <c r="A1651" s="18"/>
      <c r="B1651" s="19"/>
      <c r="BG1651" s="18"/>
      <c r="BH1651" s="18"/>
      <c r="BI1651" s="18"/>
      <c r="BJ1651" s="18"/>
      <c r="BK1651" s="18"/>
      <c r="BL1651" s="18"/>
      <c r="BM1651" s="18"/>
      <c r="BN1651" s="18"/>
      <c r="BO1651" s="18"/>
      <c r="BP1651" s="18"/>
      <c r="BQ1651" s="18"/>
      <c r="BR1651" s="18"/>
      <c r="BS1651" s="18"/>
      <c r="BT1651" s="18"/>
      <c r="BU1651" s="18"/>
      <c r="BV1651" s="18"/>
    </row>
    <row r="1652" spans="1:74">
      <c r="A1652" s="18"/>
      <c r="B1652" s="19"/>
      <c r="BG1652" s="18"/>
      <c r="BH1652" s="18"/>
      <c r="BI1652" s="18"/>
      <c r="BJ1652" s="18"/>
      <c r="BK1652" s="18"/>
      <c r="BL1652" s="18"/>
      <c r="BM1652" s="18"/>
      <c r="BN1652" s="18"/>
      <c r="BO1652" s="18"/>
      <c r="BP1652" s="18"/>
      <c r="BQ1652" s="18"/>
      <c r="BR1652" s="18"/>
      <c r="BS1652" s="18"/>
      <c r="BT1652" s="18"/>
      <c r="BU1652" s="18"/>
      <c r="BV1652" s="18"/>
    </row>
    <row r="1653" spans="1:74">
      <c r="A1653" s="18"/>
      <c r="B1653" s="19"/>
      <c r="BG1653" s="18"/>
      <c r="BH1653" s="18"/>
      <c r="BI1653" s="18"/>
      <c r="BJ1653" s="18"/>
      <c r="BK1653" s="18"/>
      <c r="BL1653" s="18"/>
      <c r="BM1653" s="18"/>
      <c r="BN1653" s="18"/>
      <c r="BO1653" s="18"/>
      <c r="BP1653" s="18"/>
      <c r="BQ1653" s="18"/>
      <c r="BR1653" s="18"/>
      <c r="BS1653" s="18"/>
      <c r="BT1653" s="18"/>
      <c r="BU1653" s="18"/>
      <c r="BV1653" s="18"/>
    </row>
    <row r="1654" spans="1:74">
      <c r="A1654" s="18"/>
      <c r="B1654" s="19"/>
      <c r="BG1654" s="18"/>
      <c r="BH1654" s="18"/>
      <c r="BI1654" s="18"/>
      <c r="BJ1654" s="18"/>
      <c r="BK1654" s="18"/>
      <c r="BL1654" s="18"/>
      <c r="BM1654" s="18"/>
      <c r="BN1654" s="18"/>
      <c r="BO1654" s="18"/>
      <c r="BP1654" s="18"/>
      <c r="BQ1654" s="18"/>
      <c r="BR1654" s="18"/>
      <c r="BS1654" s="18"/>
      <c r="BT1654" s="18"/>
      <c r="BU1654" s="18"/>
      <c r="BV1654" s="18"/>
    </row>
    <row r="1655" spans="1:74">
      <c r="A1655" s="18"/>
      <c r="B1655" s="19"/>
      <c r="BG1655" s="18"/>
      <c r="BH1655" s="18"/>
      <c r="BI1655" s="18"/>
      <c r="BJ1655" s="18"/>
      <c r="BK1655" s="18"/>
      <c r="BL1655" s="18"/>
      <c r="BM1655" s="18"/>
      <c r="BN1655" s="18"/>
      <c r="BO1655" s="18"/>
      <c r="BP1655" s="18"/>
      <c r="BQ1655" s="18"/>
      <c r="BR1655" s="18"/>
      <c r="BS1655" s="18"/>
      <c r="BT1655" s="18"/>
      <c r="BU1655" s="18"/>
      <c r="BV1655" s="18"/>
    </row>
    <row r="1656" spans="1:74">
      <c r="A1656" s="18"/>
      <c r="B1656" s="19"/>
      <c r="BG1656" s="18"/>
      <c r="BH1656" s="18"/>
      <c r="BI1656" s="18"/>
      <c r="BJ1656" s="18"/>
      <c r="BK1656" s="18"/>
      <c r="BL1656" s="18"/>
      <c r="BM1656" s="18"/>
      <c r="BN1656" s="18"/>
      <c r="BO1656" s="18"/>
      <c r="BP1656" s="18"/>
      <c r="BQ1656" s="18"/>
      <c r="BR1656" s="18"/>
      <c r="BS1656" s="18"/>
      <c r="BT1656" s="18"/>
      <c r="BU1656" s="18"/>
      <c r="BV1656" s="18"/>
    </row>
    <row r="1657" spans="1:74">
      <c r="A1657" s="18"/>
      <c r="B1657" s="19"/>
      <c r="BG1657" s="18"/>
      <c r="BH1657" s="18"/>
      <c r="BI1657" s="18"/>
      <c r="BJ1657" s="18"/>
      <c r="BK1657" s="18"/>
      <c r="BL1657" s="18"/>
      <c r="BM1657" s="18"/>
      <c r="BN1657" s="18"/>
      <c r="BO1657" s="18"/>
      <c r="BP1657" s="18"/>
      <c r="BQ1657" s="18"/>
      <c r="BR1657" s="18"/>
      <c r="BS1657" s="18"/>
      <c r="BT1657" s="18"/>
      <c r="BU1657" s="18"/>
      <c r="BV1657" s="18"/>
    </row>
    <row r="1658" spans="1:74">
      <c r="A1658" s="18"/>
      <c r="B1658" s="19"/>
      <c r="BG1658" s="18"/>
      <c r="BH1658" s="18"/>
      <c r="BI1658" s="18"/>
      <c r="BJ1658" s="18"/>
      <c r="BK1658" s="18"/>
      <c r="BL1658" s="18"/>
      <c r="BM1658" s="18"/>
      <c r="BN1658" s="18"/>
      <c r="BO1658" s="18"/>
      <c r="BP1658" s="18"/>
      <c r="BQ1658" s="18"/>
      <c r="BR1658" s="18"/>
      <c r="BS1658" s="18"/>
      <c r="BT1658" s="18"/>
      <c r="BU1658" s="18"/>
      <c r="BV1658" s="18"/>
    </row>
    <row r="1659" spans="1:74">
      <c r="A1659" s="18"/>
      <c r="B1659" s="19"/>
      <c r="BG1659" s="18"/>
      <c r="BH1659" s="18"/>
      <c r="BI1659" s="18"/>
      <c r="BJ1659" s="18"/>
      <c r="BK1659" s="18"/>
      <c r="BL1659" s="18"/>
      <c r="BM1659" s="18"/>
      <c r="BN1659" s="18"/>
      <c r="BO1659" s="18"/>
      <c r="BP1659" s="18"/>
      <c r="BQ1659" s="18"/>
      <c r="BR1659" s="18"/>
      <c r="BS1659" s="18"/>
      <c r="BT1659" s="18"/>
      <c r="BU1659" s="18"/>
      <c r="BV1659" s="18"/>
    </row>
    <row r="1660" spans="1:74">
      <c r="A1660" s="18"/>
      <c r="B1660" s="19"/>
      <c r="BG1660" s="18"/>
      <c r="BH1660" s="18"/>
      <c r="BI1660" s="18"/>
      <c r="BJ1660" s="18"/>
      <c r="BK1660" s="18"/>
      <c r="BL1660" s="18"/>
      <c r="BM1660" s="18"/>
      <c r="BN1660" s="18"/>
      <c r="BO1660" s="18"/>
      <c r="BP1660" s="18"/>
      <c r="BQ1660" s="18"/>
      <c r="BR1660" s="18"/>
      <c r="BS1660" s="18"/>
      <c r="BT1660" s="18"/>
      <c r="BU1660" s="18"/>
      <c r="BV1660" s="18"/>
    </row>
    <row r="1661" spans="1:74">
      <c r="A1661" s="18"/>
      <c r="B1661" s="19"/>
      <c r="BG1661" s="18"/>
      <c r="BH1661" s="18"/>
      <c r="BI1661" s="18"/>
      <c r="BJ1661" s="18"/>
      <c r="BK1661" s="18"/>
      <c r="BL1661" s="18"/>
      <c r="BM1661" s="18"/>
      <c r="BN1661" s="18"/>
      <c r="BO1661" s="18"/>
      <c r="BP1661" s="18"/>
      <c r="BQ1661" s="18"/>
      <c r="BR1661" s="18"/>
      <c r="BS1661" s="18"/>
      <c r="BT1661" s="18"/>
      <c r="BU1661" s="18"/>
      <c r="BV1661" s="18"/>
    </row>
    <row r="1662" spans="1:74">
      <c r="A1662" s="18"/>
      <c r="B1662" s="19"/>
      <c r="BG1662" s="18"/>
      <c r="BH1662" s="18"/>
      <c r="BI1662" s="18"/>
      <c r="BJ1662" s="18"/>
      <c r="BK1662" s="18"/>
      <c r="BL1662" s="18"/>
      <c r="BM1662" s="18"/>
      <c r="BN1662" s="18"/>
      <c r="BO1662" s="18"/>
      <c r="BP1662" s="18"/>
      <c r="BQ1662" s="18"/>
      <c r="BR1662" s="18"/>
      <c r="BS1662" s="18"/>
      <c r="BT1662" s="18"/>
      <c r="BU1662" s="18"/>
      <c r="BV1662" s="18"/>
    </row>
    <row r="1663" spans="1:74">
      <c r="A1663" s="18"/>
      <c r="B1663" s="19"/>
      <c r="BG1663" s="18"/>
      <c r="BH1663" s="18"/>
      <c r="BI1663" s="18"/>
      <c r="BJ1663" s="18"/>
      <c r="BK1663" s="18"/>
      <c r="BL1663" s="18"/>
      <c r="BM1663" s="18"/>
      <c r="BN1663" s="18"/>
      <c r="BO1663" s="18"/>
      <c r="BP1663" s="18"/>
      <c r="BQ1663" s="18"/>
      <c r="BR1663" s="18"/>
      <c r="BS1663" s="18"/>
      <c r="BT1663" s="18"/>
      <c r="BU1663" s="18"/>
      <c r="BV1663" s="18"/>
    </row>
    <row r="1664" spans="1:74">
      <c r="A1664" s="18"/>
      <c r="B1664" s="19"/>
      <c r="BG1664" s="18"/>
      <c r="BH1664" s="18"/>
      <c r="BI1664" s="18"/>
      <c r="BJ1664" s="18"/>
      <c r="BK1664" s="18"/>
      <c r="BL1664" s="18"/>
      <c r="BM1664" s="18"/>
      <c r="BN1664" s="18"/>
      <c r="BO1664" s="18"/>
      <c r="BP1664" s="18"/>
      <c r="BQ1664" s="18"/>
      <c r="BR1664" s="18"/>
      <c r="BS1664" s="18"/>
      <c r="BT1664" s="18"/>
      <c r="BU1664" s="18"/>
      <c r="BV1664" s="18"/>
    </row>
    <row r="1665" spans="1:74">
      <c r="A1665" s="18"/>
      <c r="B1665" s="19"/>
      <c r="BG1665" s="18"/>
      <c r="BH1665" s="18"/>
      <c r="BI1665" s="18"/>
      <c r="BJ1665" s="18"/>
      <c r="BK1665" s="18"/>
      <c r="BL1665" s="18"/>
      <c r="BM1665" s="18"/>
      <c r="BN1665" s="18"/>
      <c r="BO1665" s="18"/>
      <c r="BP1665" s="18"/>
      <c r="BQ1665" s="18"/>
      <c r="BR1665" s="18"/>
      <c r="BS1665" s="18"/>
      <c r="BT1665" s="18"/>
      <c r="BU1665" s="18"/>
      <c r="BV1665" s="18"/>
    </row>
    <row r="1666" spans="1:74">
      <c r="A1666" s="18"/>
      <c r="B1666" s="19"/>
      <c r="BG1666" s="18"/>
      <c r="BH1666" s="18"/>
      <c r="BI1666" s="18"/>
      <c r="BJ1666" s="18"/>
      <c r="BK1666" s="18"/>
      <c r="BL1666" s="18"/>
      <c r="BM1666" s="18"/>
      <c r="BN1666" s="18"/>
      <c r="BO1666" s="18"/>
      <c r="BP1666" s="18"/>
      <c r="BQ1666" s="18"/>
      <c r="BR1666" s="18"/>
      <c r="BS1666" s="18"/>
      <c r="BT1666" s="18"/>
      <c r="BU1666" s="18"/>
      <c r="BV1666" s="18"/>
    </row>
    <row r="1667" spans="1:74">
      <c r="A1667" s="18"/>
      <c r="B1667" s="19"/>
      <c r="BG1667" s="18"/>
      <c r="BH1667" s="18"/>
      <c r="BI1667" s="18"/>
      <c r="BJ1667" s="18"/>
      <c r="BK1667" s="18"/>
      <c r="BL1667" s="18"/>
      <c r="BM1667" s="18"/>
      <c r="BN1667" s="18"/>
      <c r="BO1667" s="18"/>
      <c r="BP1667" s="18"/>
      <c r="BQ1667" s="18"/>
      <c r="BR1667" s="18"/>
      <c r="BS1667" s="18"/>
      <c r="BT1667" s="18"/>
      <c r="BU1667" s="18"/>
      <c r="BV1667" s="18"/>
    </row>
    <row r="1668" spans="1:74">
      <c r="A1668" s="18"/>
      <c r="B1668" s="19"/>
      <c r="BG1668" s="18"/>
      <c r="BH1668" s="18"/>
      <c r="BI1668" s="18"/>
      <c r="BJ1668" s="18"/>
      <c r="BK1668" s="18"/>
      <c r="BL1668" s="18"/>
      <c r="BM1668" s="18"/>
      <c r="BN1668" s="18"/>
      <c r="BO1668" s="18"/>
      <c r="BP1668" s="18"/>
      <c r="BQ1668" s="18"/>
      <c r="BR1668" s="18"/>
      <c r="BS1668" s="18"/>
      <c r="BT1668" s="18"/>
      <c r="BU1668" s="18"/>
      <c r="BV1668" s="18"/>
    </row>
    <row r="1669" spans="1:74">
      <c r="A1669" s="18"/>
      <c r="B1669" s="19"/>
      <c r="BG1669" s="18"/>
      <c r="BH1669" s="18"/>
      <c r="BI1669" s="18"/>
      <c r="BJ1669" s="18"/>
      <c r="BK1669" s="18"/>
      <c r="BL1669" s="18"/>
      <c r="BM1669" s="18"/>
      <c r="BN1669" s="18"/>
      <c r="BO1669" s="18"/>
      <c r="BP1669" s="18"/>
      <c r="BQ1669" s="18"/>
      <c r="BR1669" s="18"/>
      <c r="BS1669" s="18"/>
      <c r="BT1669" s="18"/>
      <c r="BU1669" s="18"/>
      <c r="BV1669" s="18"/>
    </row>
    <row r="1670" spans="1:74">
      <c r="A1670" s="18"/>
      <c r="B1670" s="19"/>
      <c r="BG1670" s="18"/>
      <c r="BH1670" s="18"/>
      <c r="BI1670" s="18"/>
      <c r="BJ1670" s="18"/>
      <c r="BK1670" s="18"/>
      <c r="BL1670" s="18"/>
      <c r="BM1670" s="18"/>
      <c r="BN1670" s="18"/>
      <c r="BO1670" s="18"/>
      <c r="BP1670" s="18"/>
      <c r="BQ1670" s="18"/>
      <c r="BR1670" s="18"/>
      <c r="BS1670" s="18"/>
      <c r="BT1670" s="18"/>
      <c r="BU1670" s="18"/>
      <c r="BV1670" s="18"/>
    </row>
    <row r="1671" spans="1:74">
      <c r="A1671" s="18"/>
      <c r="B1671" s="19"/>
      <c r="BG1671" s="18"/>
      <c r="BH1671" s="18"/>
      <c r="BI1671" s="18"/>
      <c r="BJ1671" s="18"/>
      <c r="BK1671" s="18"/>
      <c r="BL1671" s="18"/>
      <c r="BM1671" s="18"/>
      <c r="BN1671" s="18"/>
      <c r="BO1671" s="18"/>
      <c r="BP1671" s="18"/>
      <c r="BQ1671" s="18"/>
      <c r="BR1671" s="18"/>
      <c r="BS1671" s="18"/>
      <c r="BT1671" s="18"/>
      <c r="BU1671" s="18"/>
      <c r="BV1671" s="18"/>
    </row>
    <row r="1672" spans="1:74">
      <c r="A1672" s="18"/>
      <c r="B1672" s="19"/>
      <c r="BG1672" s="18"/>
      <c r="BH1672" s="18"/>
      <c r="BI1672" s="18"/>
      <c r="BJ1672" s="18"/>
      <c r="BK1672" s="18"/>
      <c r="BL1672" s="18"/>
      <c r="BM1672" s="18"/>
      <c r="BN1672" s="18"/>
      <c r="BO1672" s="18"/>
      <c r="BP1672" s="18"/>
      <c r="BQ1672" s="18"/>
      <c r="BR1672" s="18"/>
      <c r="BS1672" s="18"/>
      <c r="BT1672" s="18"/>
      <c r="BU1672" s="18"/>
      <c r="BV1672" s="18"/>
    </row>
    <row r="1673" spans="1:74">
      <c r="A1673" s="18"/>
      <c r="B1673" s="19"/>
      <c r="BG1673" s="18"/>
      <c r="BH1673" s="18"/>
      <c r="BI1673" s="18"/>
      <c r="BJ1673" s="18"/>
      <c r="BK1673" s="18"/>
      <c r="BL1673" s="18"/>
      <c r="BM1673" s="18"/>
      <c r="BN1673" s="18"/>
      <c r="BO1673" s="18"/>
      <c r="BP1673" s="18"/>
      <c r="BQ1673" s="18"/>
      <c r="BR1673" s="18"/>
      <c r="BS1673" s="18"/>
      <c r="BT1673" s="18"/>
      <c r="BU1673" s="18"/>
      <c r="BV1673" s="18"/>
    </row>
    <row r="1674" spans="1:74">
      <c r="A1674" s="18"/>
      <c r="B1674" s="19"/>
      <c r="BG1674" s="18"/>
      <c r="BH1674" s="18"/>
      <c r="BI1674" s="18"/>
      <c r="BJ1674" s="18"/>
      <c r="BK1674" s="18"/>
      <c r="BL1674" s="18"/>
      <c r="BM1674" s="18"/>
      <c r="BN1674" s="18"/>
      <c r="BO1674" s="18"/>
      <c r="BP1674" s="18"/>
      <c r="BQ1674" s="18"/>
      <c r="BR1674" s="18"/>
      <c r="BS1674" s="18"/>
      <c r="BT1674" s="18"/>
      <c r="BU1674" s="18"/>
      <c r="BV1674" s="18"/>
    </row>
    <row r="1675" spans="1:74">
      <c r="A1675" s="18"/>
      <c r="B1675" s="19"/>
      <c r="BG1675" s="18"/>
      <c r="BH1675" s="18"/>
      <c r="BI1675" s="18"/>
      <c r="BJ1675" s="18"/>
      <c r="BK1675" s="18"/>
      <c r="BL1675" s="18"/>
      <c r="BM1675" s="18"/>
      <c r="BN1675" s="18"/>
      <c r="BO1675" s="18"/>
      <c r="BP1675" s="18"/>
      <c r="BQ1675" s="18"/>
      <c r="BR1675" s="18"/>
      <c r="BS1675" s="18"/>
      <c r="BT1675" s="18"/>
      <c r="BU1675" s="18"/>
      <c r="BV1675" s="18"/>
    </row>
    <row r="1676" spans="1:74">
      <c r="A1676" s="18"/>
      <c r="B1676" s="19"/>
      <c r="BG1676" s="18"/>
      <c r="BH1676" s="18"/>
      <c r="BI1676" s="18"/>
      <c r="BJ1676" s="18"/>
      <c r="BK1676" s="18"/>
      <c r="BL1676" s="18"/>
      <c r="BM1676" s="18"/>
      <c r="BN1676" s="18"/>
      <c r="BO1676" s="18"/>
      <c r="BP1676" s="18"/>
      <c r="BQ1676" s="18"/>
      <c r="BR1676" s="18"/>
      <c r="BS1676" s="18"/>
      <c r="BT1676" s="18"/>
      <c r="BU1676" s="18"/>
      <c r="BV1676" s="18"/>
    </row>
    <row r="1677" spans="1:74">
      <c r="A1677" s="18"/>
      <c r="B1677" s="19"/>
      <c r="BG1677" s="18"/>
      <c r="BH1677" s="18"/>
      <c r="BI1677" s="18"/>
      <c r="BJ1677" s="18"/>
      <c r="BK1677" s="18"/>
      <c r="BL1677" s="18"/>
      <c r="BM1677" s="18"/>
      <c r="BN1677" s="18"/>
      <c r="BO1677" s="18"/>
      <c r="BP1677" s="18"/>
      <c r="BQ1677" s="18"/>
      <c r="BR1677" s="18"/>
      <c r="BS1677" s="18"/>
      <c r="BT1677" s="18"/>
      <c r="BU1677" s="18"/>
      <c r="BV1677" s="18"/>
    </row>
    <row r="1678" spans="1:74">
      <c r="A1678" s="18"/>
      <c r="B1678" s="19"/>
      <c r="BG1678" s="18"/>
      <c r="BH1678" s="18"/>
      <c r="BI1678" s="18"/>
      <c r="BJ1678" s="18"/>
      <c r="BK1678" s="18"/>
      <c r="BL1678" s="18"/>
      <c r="BM1678" s="18"/>
      <c r="BN1678" s="18"/>
      <c r="BO1678" s="18"/>
      <c r="BP1678" s="18"/>
      <c r="BQ1678" s="18"/>
      <c r="BR1678" s="18"/>
      <c r="BS1678" s="18"/>
      <c r="BT1678" s="18"/>
      <c r="BU1678" s="18"/>
      <c r="BV1678" s="18"/>
    </row>
    <row r="1679" spans="1:74">
      <c r="A1679" s="18"/>
      <c r="B1679" s="19"/>
      <c r="BG1679" s="18"/>
      <c r="BH1679" s="18"/>
      <c r="BI1679" s="18"/>
      <c r="BJ1679" s="18"/>
      <c r="BK1679" s="18"/>
      <c r="BL1679" s="18"/>
      <c r="BM1679" s="18"/>
      <c r="BN1679" s="18"/>
      <c r="BO1679" s="18"/>
      <c r="BP1679" s="18"/>
      <c r="BQ1679" s="18"/>
      <c r="BR1679" s="18"/>
      <c r="BS1679" s="18"/>
      <c r="BT1679" s="18"/>
      <c r="BU1679" s="18"/>
      <c r="BV1679" s="18"/>
    </row>
    <row r="1680" spans="1:74">
      <c r="A1680" s="18"/>
      <c r="B1680" s="19"/>
      <c r="BG1680" s="18"/>
      <c r="BH1680" s="18"/>
      <c r="BI1680" s="18"/>
      <c r="BJ1680" s="18"/>
      <c r="BK1680" s="18"/>
      <c r="BL1680" s="18"/>
      <c r="BM1680" s="18"/>
      <c r="BN1680" s="18"/>
      <c r="BO1680" s="18"/>
      <c r="BP1680" s="18"/>
      <c r="BQ1680" s="18"/>
      <c r="BR1680" s="18"/>
      <c r="BS1680" s="18"/>
      <c r="BT1680" s="18"/>
      <c r="BU1680" s="18"/>
      <c r="BV1680" s="18"/>
    </row>
    <row r="1681" spans="1:74">
      <c r="A1681" s="18"/>
      <c r="B1681" s="19"/>
      <c r="BG1681" s="18"/>
      <c r="BH1681" s="18"/>
      <c r="BI1681" s="18"/>
      <c r="BJ1681" s="18"/>
      <c r="BK1681" s="18"/>
      <c r="BL1681" s="18"/>
      <c r="BM1681" s="18"/>
      <c r="BN1681" s="18"/>
      <c r="BO1681" s="18"/>
      <c r="BP1681" s="18"/>
      <c r="BQ1681" s="18"/>
      <c r="BR1681" s="18"/>
      <c r="BS1681" s="18"/>
      <c r="BT1681" s="18"/>
      <c r="BU1681" s="18"/>
      <c r="BV1681" s="18"/>
    </row>
    <row r="1682" spans="1:74">
      <c r="A1682" s="18"/>
      <c r="B1682" s="19"/>
      <c r="BG1682" s="18"/>
      <c r="BH1682" s="18"/>
      <c r="BI1682" s="18"/>
      <c r="BJ1682" s="18"/>
      <c r="BK1682" s="18"/>
      <c r="BL1682" s="18"/>
      <c r="BM1682" s="18"/>
      <c r="BN1682" s="18"/>
      <c r="BO1682" s="18"/>
      <c r="BP1682" s="18"/>
      <c r="BQ1682" s="18"/>
      <c r="BR1682" s="18"/>
      <c r="BS1682" s="18"/>
      <c r="BT1682" s="18"/>
      <c r="BU1682" s="18"/>
      <c r="BV1682" s="18"/>
    </row>
    <row r="1683" spans="1:74">
      <c r="A1683" s="18"/>
      <c r="B1683" s="19"/>
      <c r="BG1683" s="18"/>
      <c r="BH1683" s="18"/>
      <c r="BI1683" s="18"/>
      <c r="BJ1683" s="18"/>
      <c r="BK1683" s="18"/>
      <c r="BL1683" s="18"/>
      <c r="BM1683" s="18"/>
      <c r="BN1683" s="18"/>
      <c r="BO1683" s="18"/>
      <c r="BP1683" s="18"/>
      <c r="BQ1683" s="18"/>
      <c r="BR1683" s="18"/>
      <c r="BS1683" s="18"/>
      <c r="BT1683" s="18"/>
      <c r="BU1683" s="18"/>
      <c r="BV1683" s="18"/>
    </row>
    <row r="1684" spans="1:74">
      <c r="A1684" s="18"/>
      <c r="B1684" s="19"/>
      <c r="BG1684" s="18"/>
      <c r="BH1684" s="18"/>
      <c r="BI1684" s="18"/>
      <c r="BJ1684" s="18"/>
      <c r="BK1684" s="18"/>
      <c r="BL1684" s="18"/>
      <c r="BM1684" s="18"/>
      <c r="BN1684" s="18"/>
      <c r="BO1684" s="18"/>
      <c r="BP1684" s="18"/>
      <c r="BQ1684" s="18"/>
      <c r="BR1684" s="18"/>
      <c r="BS1684" s="18"/>
      <c r="BT1684" s="18"/>
      <c r="BU1684" s="18"/>
      <c r="BV1684" s="18"/>
    </row>
    <row r="1685" spans="1:74">
      <c r="A1685" s="18"/>
      <c r="B1685" s="19"/>
      <c r="BG1685" s="18"/>
      <c r="BH1685" s="18"/>
      <c r="BI1685" s="18"/>
      <c r="BJ1685" s="18"/>
      <c r="BK1685" s="18"/>
      <c r="BL1685" s="18"/>
      <c r="BM1685" s="18"/>
      <c r="BN1685" s="18"/>
      <c r="BO1685" s="18"/>
      <c r="BP1685" s="18"/>
      <c r="BQ1685" s="18"/>
      <c r="BR1685" s="18"/>
      <c r="BS1685" s="18"/>
      <c r="BT1685" s="18"/>
      <c r="BU1685" s="18"/>
      <c r="BV1685" s="18"/>
    </row>
    <row r="1686" spans="1:74">
      <c r="A1686" s="18"/>
      <c r="B1686" s="19"/>
      <c r="BG1686" s="18"/>
      <c r="BH1686" s="18"/>
      <c r="BI1686" s="18"/>
      <c r="BJ1686" s="18"/>
      <c r="BK1686" s="18"/>
      <c r="BL1686" s="18"/>
      <c r="BM1686" s="18"/>
      <c r="BN1686" s="18"/>
      <c r="BO1686" s="18"/>
      <c r="BP1686" s="18"/>
      <c r="BQ1686" s="18"/>
      <c r="BR1686" s="18"/>
      <c r="BS1686" s="18"/>
      <c r="BT1686" s="18"/>
      <c r="BU1686" s="18"/>
      <c r="BV1686" s="18"/>
    </row>
    <row r="1687" spans="1:74">
      <c r="A1687" s="18"/>
      <c r="B1687" s="19"/>
      <c r="BG1687" s="18"/>
      <c r="BH1687" s="18"/>
      <c r="BI1687" s="18"/>
      <c r="BJ1687" s="18"/>
      <c r="BK1687" s="18"/>
      <c r="BL1687" s="18"/>
      <c r="BM1687" s="18"/>
      <c r="BN1687" s="18"/>
      <c r="BO1687" s="18"/>
      <c r="BP1687" s="18"/>
      <c r="BQ1687" s="18"/>
      <c r="BR1687" s="18"/>
      <c r="BS1687" s="18"/>
      <c r="BT1687" s="18"/>
      <c r="BU1687" s="18"/>
      <c r="BV1687" s="18"/>
    </row>
    <row r="1688" spans="1:74">
      <c r="A1688" s="18"/>
      <c r="B1688" s="19"/>
      <c r="BG1688" s="18"/>
      <c r="BH1688" s="18"/>
      <c r="BI1688" s="18"/>
      <c r="BJ1688" s="18"/>
      <c r="BK1688" s="18"/>
      <c r="BL1688" s="18"/>
      <c r="BM1688" s="18"/>
      <c r="BN1688" s="18"/>
      <c r="BO1688" s="18"/>
      <c r="BP1688" s="18"/>
      <c r="BQ1688" s="18"/>
      <c r="BR1688" s="18"/>
      <c r="BS1688" s="18"/>
      <c r="BT1688" s="18"/>
      <c r="BU1688" s="18"/>
      <c r="BV1688" s="18"/>
    </row>
    <row r="1689" spans="1:74">
      <c r="A1689" s="18"/>
      <c r="B1689" s="19"/>
      <c r="BG1689" s="18"/>
      <c r="BH1689" s="18"/>
      <c r="BI1689" s="18"/>
      <c r="BJ1689" s="18"/>
      <c r="BK1689" s="18"/>
      <c r="BL1689" s="18"/>
      <c r="BM1689" s="18"/>
      <c r="BN1689" s="18"/>
      <c r="BO1689" s="18"/>
      <c r="BP1689" s="18"/>
      <c r="BQ1689" s="18"/>
      <c r="BR1689" s="18"/>
      <c r="BS1689" s="18"/>
      <c r="BT1689" s="18"/>
      <c r="BU1689" s="18"/>
      <c r="BV1689" s="18"/>
    </row>
    <row r="1690" spans="1:74">
      <c r="A1690" s="18"/>
      <c r="B1690" s="19"/>
      <c r="BG1690" s="18"/>
      <c r="BH1690" s="18"/>
      <c r="BI1690" s="18"/>
      <c r="BJ1690" s="18"/>
      <c r="BK1690" s="18"/>
      <c r="BL1690" s="18"/>
      <c r="BM1690" s="18"/>
      <c r="BN1690" s="18"/>
      <c r="BO1690" s="18"/>
      <c r="BP1690" s="18"/>
      <c r="BQ1690" s="18"/>
      <c r="BR1690" s="18"/>
      <c r="BS1690" s="18"/>
      <c r="BT1690" s="18"/>
      <c r="BU1690" s="18"/>
      <c r="BV1690" s="18"/>
    </row>
    <row r="1691" spans="1:74">
      <c r="A1691" s="18"/>
      <c r="B1691" s="19"/>
      <c r="BG1691" s="18"/>
      <c r="BH1691" s="18"/>
      <c r="BI1691" s="18"/>
      <c r="BJ1691" s="18"/>
      <c r="BK1691" s="18"/>
      <c r="BL1691" s="18"/>
      <c r="BM1691" s="18"/>
      <c r="BN1691" s="18"/>
      <c r="BO1691" s="18"/>
      <c r="BP1691" s="18"/>
      <c r="BQ1691" s="18"/>
      <c r="BR1691" s="18"/>
      <c r="BS1691" s="18"/>
      <c r="BT1691" s="18"/>
      <c r="BU1691" s="18"/>
      <c r="BV1691" s="18"/>
    </row>
    <row r="1692" spans="1:74">
      <c r="A1692" s="18"/>
      <c r="B1692" s="19"/>
      <c r="BG1692" s="18"/>
      <c r="BH1692" s="18"/>
      <c r="BI1692" s="18"/>
      <c r="BJ1692" s="18"/>
      <c r="BK1692" s="18"/>
      <c r="BL1692" s="18"/>
      <c r="BM1692" s="18"/>
      <c r="BN1692" s="18"/>
      <c r="BO1692" s="18"/>
      <c r="BP1692" s="18"/>
      <c r="BQ1692" s="18"/>
      <c r="BR1692" s="18"/>
      <c r="BS1692" s="18"/>
      <c r="BT1692" s="18"/>
      <c r="BU1692" s="18"/>
      <c r="BV1692" s="18"/>
    </row>
    <row r="1693" spans="1:74">
      <c r="A1693" s="18"/>
      <c r="B1693" s="19"/>
      <c r="BG1693" s="18"/>
      <c r="BH1693" s="18"/>
      <c r="BI1693" s="18"/>
      <c r="BJ1693" s="18"/>
      <c r="BK1693" s="18"/>
      <c r="BL1693" s="18"/>
      <c r="BM1693" s="18"/>
      <c r="BN1693" s="18"/>
      <c r="BO1693" s="18"/>
      <c r="BP1693" s="18"/>
      <c r="BQ1693" s="18"/>
      <c r="BR1693" s="18"/>
      <c r="BS1693" s="18"/>
      <c r="BT1693" s="18"/>
      <c r="BU1693" s="18"/>
      <c r="BV1693" s="18"/>
    </row>
    <row r="1694" spans="1:74">
      <c r="A1694" s="18"/>
      <c r="B1694" s="19"/>
      <c r="BG1694" s="18"/>
      <c r="BH1694" s="18"/>
      <c r="BI1694" s="18"/>
      <c r="BJ1694" s="18"/>
      <c r="BK1694" s="18"/>
      <c r="BL1694" s="18"/>
      <c r="BM1694" s="18"/>
      <c r="BN1694" s="18"/>
      <c r="BO1694" s="18"/>
      <c r="BP1694" s="18"/>
      <c r="BQ1694" s="18"/>
      <c r="BR1694" s="18"/>
      <c r="BS1694" s="18"/>
      <c r="BT1694" s="18"/>
      <c r="BU1694" s="18"/>
      <c r="BV1694" s="18"/>
    </row>
    <row r="1695" spans="1:74">
      <c r="A1695" s="18"/>
      <c r="B1695" s="19"/>
      <c r="BG1695" s="18"/>
      <c r="BH1695" s="18"/>
      <c r="BI1695" s="18"/>
      <c r="BJ1695" s="18"/>
      <c r="BK1695" s="18"/>
      <c r="BL1695" s="18"/>
      <c r="BM1695" s="18"/>
      <c r="BN1695" s="18"/>
      <c r="BO1695" s="18"/>
      <c r="BP1695" s="18"/>
      <c r="BQ1695" s="18"/>
      <c r="BR1695" s="18"/>
      <c r="BS1695" s="18"/>
      <c r="BT1695" s="18"/>
      <c r="BU1695" s="18"/>
      <c r="BV1695" s="18"/>
    </row>
    <row r="1696" spans="1:74">
      <c r="A1696" s="18"/>
      <c r="B1696" s="19"/>
      <c r="BG1696" s="18"/>
      <c r="BH1696" s="18"/>
      <c r="BI1696" s="18"/>
      <c r="BJ1696" s="18"/>
      <c r="BK1696" s="18"/>
      <c r="BL1696" s="18"/>
      <c r="BM1696" s="18"/>
      <c r="BN1696" s="18"/>
      <c r="BO1696" s="18"/>
      <c r="BP1696" s="18"/>
      <c r="BQ1696" s="18"/>
      <c r="BR1696" s="18"/>
      <c r="BS1696" s="18"/>
      <c r="BT1696" s="18"/>
      <c r="BU1696" s="18"/>
      <c r="BV1696" s="18"/>
    </row>
    <row r="1697" spans="1:74">
      <c r="A1697" s="18"/>
      <c r="B1697" s="19"/>
      <c r="BG1697" s="18"/>
      <c r="BH1697" s="18"/>
      <c r="BI1697" s="18"/>
      <c r="BJ1697" s="18"/>
      <c r="BK1697" s="18"/>
      <c r="BL1697" s="18"/>
      <c r="BM1697" s="18"/>
      <c r="BN1697" s="18"/>
      <c r="BO1697" s="18"/>
      <c r="BP1697" s="18"/>
      <c r="BQ1697" s="18"/>
      <c r="BR1697" s="18"/>
      <c r="BS1697" s="18"/>
      <c r="BT1697" s="18"/>
      <c r="BU1697" s="18"/>
      <c r="BV1697" s="18"/>
    </row>
    <row r="1698" spans="1:74">
      <c r="A1698" s="18"/>
      <c r="B1698" s="19"/>
      <c r="BG1698" s="18"/>
      <c r="BH1698" s="18"/>
      <c r="BI1698" s="18"/>
      <c r="BJ1698" s="18"/>
      <c r="BK1698" s="18"/>
      <c r="BL1698" s="18"/>
      <c r="BM1698" s="18"/>
      <c r="BN1698" s="18"/>
      <c r="BO1698" s="18"/>
      <c r="BP1698" s="18"/>
      <c r="BQ1698" s="18"/>
      <c r="BR1698" s="18"/>
      <c r="BS1698" s="18"/>
      <c r="BT1698" s="18"/>
      <c r="BU1698" s="18"/>
      <c r="BV1698" s="18"/>
    </row>
    <row r="1699" spans="1:74">
      <c r="A1699" s="18"/>
      <c r="B1699" s="19"/>
      <c r="BG1699" s="18"/>
      <c r="BH1699" s="18"/>
      <c r="BI1699" s="18"/>
      <c r="BJ1699" s="18"/>
      <c r="BK1699" s="18"/>
      <c r="BL1699" s="18"/>
      <c r="BM1699" s="18"/>
      <c r="BN1699" s="18"/>
      <c r="BO1699" s="18"/>
      <c r="BP1699" s="18"/>
      <c r="BQ1699" s="18"/>
      <c r="BR1699" s="18"/>
      <c r="BS1699" s="18"/>
      <c r="BT1699" s="18"/>
      <c r="BU1699" s="18"/>
      <c r="BV1699" s="18"/>
    </row>
    <row r="1700" spans="1:74">
      <c r="A1700" s="18"/>
      <c r="B1700" s="19"/>
      <c r="BG1700" s="18"/>
      <c r="BH1700" s="18"/>
      <c r="BI1700" s="18"/>
      <c r="BJ1700" s="18"/>
      <c r="BK1700" s="18"/>
      <c r="BL1700" s="18"/>
      <c r="BM1700" s="18"/>
      <c r="BN1700" s="18"/>
      <c r="BO1700" s="18"/>
      <c r="BP1700" s="18"/>
      <c r="BQ1700" s="18"/>
      <c r="BR1700" s="18"/>
      <c r="BS1700" s="18"/>
      <c r="BT1700" s="18"/>
      <c r="BU1700" s="18"/>
      <c r="BV1700" s="18"/>
    </row>
    <row r="1701" spans="1:74">
      <c r="A1701" s="18"/>
      <c r="B1701" s="19"/>
      <c r="BG1701" s="18"/>
      <c r="BH1701" s="18"/>
      <c r="BI1701" s="18"/>
      <c r="BJ1701" s="18"/>
      <c r="BK1701" s="18"/>
      <c r="BL1701" s="18"/>
      <c r="BM1701" s="18"/>
      <c r="BN1701" s="18"/>
      <c r="BO1701" s="18"/>
      <c r="BP1701" s="18"/>
      <c r="BQ1701" s="18"/>
      <c r="BR1701" s="18"/>
      <c r="BS1701" s="18"/>
      <c r="BT1701" s="18"/>
      <c r="BU1701" s="18"/>
      <c r="BV1701" s="18"/>
    </row>
    <row r="1702" spans="1:74">
      <c r="A1702" s="18"/>
      <c r="B1702" s="19"/>
      <c r="BG1702" s="18"/>
      <c r="BH1702" s="18"/>
      <c r="BI1702" s="18"/>
      <c r="BJ1702" s="18"/>
      <c r="BK1702" s="18"/>
      <c r="BL1702" s="18"/>
      <c r="BM1702" s="18"/>
      <c r="BN1702" s="18"/>
      <c r="BO1702" s="18"/>
      <c r="BP1702" s="18"/>
      <c r="BQ1702" s="18"/>
      <c r="BR1702" s="18"/>
      <c r="BS1702" s="18"/>
      <c r="BT1702" s="18"/>
      <c r="BU1702" s="18"/>
      <c r="BV1702" s="18"/>
    </row>
    <row r="1703" spans="1:74">
      <c r="A1703" s="18"/>
      <c r="B1703" s="19"/>
      <c r="BG1703" s="18"/>
      <c r="BH1703" s="18"/>
      <c r="BI1703" s="18"/>
      <c r="BJ1703" s="18"/>
      <c r="BK1703" s="18"/>
      <c r="BL1703" s="18"/>
      <c r="BM1703" s="18"/>
      <c r="BN1703" s="18"/>
      <c r="BO1703" s="18"/>
      <c r="BP1703" s="18"/>
      <c r="BQ1703" s="18"/>
      <c r="BR1703" s="18"/>
      <c r="BS1703" s="18"/>
      <c r="BT1703" s="18"/>
      <c r="BU1703" s="18"/>
      <c r="BV1703" s="18"/>
    </row>
    <row r="1704" spans="1:74">
      <c r="A1704" s="18"/>
      <c r="B1704" s="19"/>
      <c r="BG1704" s="18"/>
      <c r="BH1704" s="18"/>
      <c r="BI1704" s="18"/>
      <c r="BJ1704" s="18"/>
      <c r="BK1704" s="18"/>
      <c r="BL1704" s="18"/>
      <c r="BM1704" s="18"/>
      <c r="BN1704" s="18"/>
      <c r="BO1704" s="18"/>
      <c r="BP1704" s="18"/>
      <c r="BQ1704" s="18"/>
      <c r="BR1704" s="18"/>
      <c r="BS1704" s="18"/>
      <c r="BT1704" s="18"/>
      <c r="BU1704" s="18"/>
      <c r="BV1704" s="18"/>
    </row>
    <row r="1705" spans="1:74">
      <c r="A1705" s="18"/>
      <c r="B1705" s="19"/>
      <c r="BG1705" s="18"/>
      <c r="BH1705" s="18"/>
      <c r="BI1705" s="18"/>
      <c r="BJ1705" s="18"/>
      <c r="BK1705" s="18"/>
      <c r="BL1705" s="18"/>
      <c r="BM1705" s="18"/>
      <c r="BN1705" s="18"/>
      <c r="BO1705" s="18"/>
      <c r="BP1705" s="18"/>
      <c r="BQ1705" s="18"/>
      <c r="BR1705" s="18"/>
      <c r="BS1705" s="18"/>
      <c r="BT1705" s="18"/>
      <c r="BU1705" s="18"/>
      <c r="BV1705" s="18"/>
    </row>
    <row r="1706" spans="1:74">
      <c r="A1706" s="18"/>
      <c r="B1706" s="19"/>
      <c r="BG1706" s="18"/>
      <c r="BH1706" s="18"/>
      <c r="BI1706" s="18"/>
      <c r="BJ1706" s="18"/>
      <c r="BK1706" s="18"/>
      <c r="BL1706" s="18"/>
      <c r="BM1706" s="18"/>
      <c r="BN1706" s="18"/>
      <c r="BO1706" s="18"/>
      <c r="BP1706" s="18"/>
      <c r="BQ1706" s="18"/>
      <c r="BR1706" s="18"/>
      <c r="BS1706" s="18"/>
      <c r="BT1706" s="18"/>
      <c r="BU1706" s="18"/>
      <c r="BV1706" s="18"/>
    </row>
    <row r="1707" spans="1:74">
      <c r="A1707" s="18"/>
      <c r="B1707" s="19"/>
      <c r="BG1707" s="18"/>
      <c r="BH1707" s="18"/>
      <c r="BI1707" s="18"/>
      <c r="BJ1707" s="18"/>
      <c r="BK1707" s="18"/>
      <c r="BL1707" s="18"/>
      <c r="BM1707" s="18"/>
      <c r="BN1707" s="18"/>
      <c r="BO1707" s="18"/>
      <c r="BP1707" s="18"/>
      <c r="BQ1707" s="18"/>
      <c r="BR1707" s="18"/>
      <c r="BS1707" s="18"/>
      <c r="BT1707" s="18"/>
      <c r="BU1707" s="18"/>
      <c r="BV1707" s="18"/>
    </row>
    <row r="1708" spans="1:74">
      <c r="A1708" s="18"/>
      <c r="B1708" s="19"/>
      <c r="BG1708" s="18"/>
      <c r="BH1708" s="18"/>
      <c r="BI1708" s="18"/>
      <c r="BJ1708" s="18"/>
      <c r="BK1708" s="18"/>
      <c r="BL1708" s="18"/>
      <c r="BM1708" s="18"/>
      <c r="BN1708" s="18"/>
      <c r="BO1708" s="18"/>
      <c r="BP1708" s="18"/>
      <c r="BQ1708" s="18"/>
      <c r="BR1708" s="18"/>
      <c r="BS1708" s="18"/>
      <c r="BT1708" s="18"/>
      <c r="BU1708" s="18"/>
      <c r="BV1708" s="18"/>
    </row>
    <row r="1709" spans="1:74">
      <c r="A1709" s="18"/>
      <c r="B1709" s="19"/>
      <c r="BG1709" s="18"/>
      <c r="BH1709" s="18"/>
      <c r="BI1709" s="18"/>
      <c r="BJ1709" s="18"/>
      <c r="BK1709" s="18"/>
      <c r="BL1709" s="18"/>
      <c r="BM1709" s="18"/>
      <c r="BN1709" s="18"/>
      <c r="BO1709" s="18"/>
      <c r="BP1709" s="18"/>
      <c r="BQ1709" s="18"/>
      <c r="BR1709" s="18"/>
      <c r="BS1709" s="18"/>
      <c r="BT1709" s="18"/>
      <c r="BU1709" s="18"/>
      <c r="BV1709" s="18"/>
    </row>
    <row r="1710" spans="1:74">
      <c r="A1710" s="18"/>
      <c r="B1710" s="19"/>
      <c r="BG1710" s="18"/>
      <c r="BH1710" s="18"/>
      <c r="BI1710" s="18"/>
      <c r="BJ1710" s="18"/>
      <c r="BK1710" s="18"/>
      <c r="BL1710" s="18"/>
      <c r="BM1710" s="18"/>
      <c r="BN1710" s="18"/>
      <c r="BO1710" s="18"/>
      <c r="BP1710" s="18"/>
      <c r="BQ1710" s="18"/>
      <c r="BR1710" s="18"/>
      <c r="BS1710" s="18"/>
      <c r="BT1710" s="18"/>
      <c r="BU1710" s="18"/>
      <c r="BV1710" s="18"/>
    </row>
    <row r="1711" spans="1:74">
      <c r="A1711" s="18"/>
      <c r="B1711" s="19"/>
      <c r="BG1711" s="18"/>
      <c r="BH1711" s="18"/>
      <c r="BI1711" s="18"/>
      <c r="BJ1711" s="18"/>
      <c r="BK1711" s="18"/>
      <c r="BL1711" s="18"/>
      <c r="BM1711" s="18"/>
      <c r="BN1711" s="18"/>
      <c r="BO1711" s="18"/>
      <c r="BP1711" s="18"/>
      <c r="BQ1711" s="18"/>
      <c r="BR1711" s="18"/>
      <c r="BS1711" s="18"/>
      <c r="BT1711" s="18"/>
      <c r="BU1711" s="18"/>
      <c r="BV1711" s="18"/>
    </row>
    <row r="1712" spans="1:74">
      <c r="A1712" s="18"/>
      <c r="B1712" s="19"/>
      <c r="BG1712" s="18"/>
      <c r="BH1712" s="18"/>
      <c r="BI1712" s="18"/>
      <c r="BJ1712" s="18"/>
      <c r="BK1712" s="18"/>
      <c r="BL1712" s="18"/>
      <c r="BM1712" s="18"/>
      <c r="BN1712" s="18"/>
      <c r="BO1712" s="18"/>
      <c r="BP1712" s="18"/>
      <c r="BQ1712" s="18"/>
      <c r="BR1712" s="18"/>
      <c r="BS1712" s="18"/>
      <c r="BT1712" s="18"/>
      <c r="BU1712" s="18"/>
      <c r="BV1712" s="18"/>
    </row>
    <row r="1713" spans="1:74">
      <c r="A1713" s="18"/>
      <c r="B1713" s="19"/>
      <c r="BG1713" s="18"/>
      <c r="BH1713" s="18"/>
      <c r="BI1713" s="18"/>
      <c r="BJ1713" s="18"/>
      <c r="BK1713" s="18"/>
      <c r="BL1713" s="18"/>
      <c r="BM1713" s="18"/>
      <c r="BN1713" s="18"/>
      <c r="BO1713" s="18"/>
      <c r="BP1713" s="18"/>
      <c r="BQ1713" s="18"/>
      <c r="BR1713" s="18"/>
      <c r="BS1713" s="18"/>
      <c r="BT1713" s="18"/>
      <c r="BU1713" s="18"/>
      <c r="BV1713" s="18"/>
    </row>
    <row r="1714" spans="1:74">
      <c r="A1714" s="18"/>
      <c r="B1714" s="19"/>
      <c r="BG1714" s="18"/>
      <c r="BH1714" s="18"/>
      <c r="BI1714" s="18"/>
      <c r="BJ1714" s="18"/>
      <c r="BK1714" s="18"/>
      <c r="BL1714" s="18"/>
      <c r="BM1714" s="18"/>
      <c r="BN1714" s="18"/>
      <c r="BO1714" s="18"/>
      <c r="BP1714" s="18"/>
      <c r="BQ1714" s="18"/>
      <c r="BR1714" s="18"/>
      <c r="BS1714" s="18"/>
      <c r="BT1714" s="18"/>
      <c r="BU1714" s="18"/>
      <c r="BV1714" s="18"/>
    </row>
    <row r="1715" spans="1:74">
      <c r="A1715" s="18"/>
      <c r="B1715" s="19"/>
      <c r="BG1715" s="18"/>
      <c r="BH1715" s="18"/>
      <c r="BI1715" s="18"/>
      <c r="BJ1715" s="18"/>
      <c r="BK1715" s="18"/>
      <c r="BL1715" s="18"/>
      <c r="BM1715" s="18"/>
      <c r="BN1715" s="18"/>
      <c r="BO1715" s="18"/>
      <c r="BP1715" s="18"/>
      <c r="BQ1715" s="18"/>
      <c r="BR1715" s="18"/>
      <c r="BS1715" s="18"/>
      <c r="BT1715" s="18"/>
      <c r="BU1715" s="18"/>
      <c r="BV1715" s="18"/>
    </row>
    <row r="1716" spans="1:74">
      <c r="A1716" s="18"/>
      <c r="B1716" s="19"/>
      <c r="BG1716" s="18"/>
      <c r="BH1716" s="18"/>
      <c r="BI1716" s="18"/>
      <c r="BJ1716" s="18"/>
      <c r="BK1716" s="18"/>
      <c r="BL1716" s="18"/>
      <c r="BM1716" s="18"/>
      <c r="BN1716" s="18"/>
      <c r="BO1716" s="18"/>
      <c r="BP1716" s="18"/>
      <c r="BQ1716" s="18"/>
      <c r="BR1716" s="18"/>
      <c r="BS1716" s="18"/>
      <c r="BT1716" s="18"/>
      <c r="BU1716" s="18"/>
      <c r="BV1716" s="18"/>
    </row>
    <row r="1717" spans="1:74">
      <c r="A1717" s="18"/>
      <c r="B1717" s="19"/>
      <c r="BG1717" s="18"/>
      <c r="BH1717" s="18"/>
      <c r="BI1717" s="18"/>
      <c r="BJ1717" s="18"/>
      <c r="BK1717" s="18"/>
      <c r="BL1717" s="18"/>
      <c r="BM1717" s="18"/>
      <c r="BN1717" s="18"/>
      <c r="BO1717" s="18"/>
      <c r="BP1717" s="18"/>
      <c r="BQ1717" s="18"/>
      <c r="BR1717" s="18"/>
      <c r="BS1717" s="18"/>
      <c r="BT1717" s="18"/>
      <c r="BU1717" s="18"/>
      <c r="BV1717" s="18"/>
    </row>
    <row r="1718" spans="1:74">
      <c r="A1718" s="18"/>
      <c r="B1718" s="19"/>
      <c r="BG1718" s="18"/>
      <c r="BH1718" s="18"/>
      <c r="BI1718" s="18"/>
      <c r="BJ1718" s="18"/>
      <c r="BK1718" s="18"/>
      <c r="BL1718" s="18"/>
      <c r="BM1718" s="18"/>
      <c r="BN1718" s="18"/>
      <c r="BO1718" s="18"/>
      <c r="BP1718" s="18"/>
      <c r="BQ1718" s="18"/>
      <c r="BR1718" s="18"/>
      <c r="BS1718" s="18"/>
      <c r="BT1718" s="18"/>
      <c r="BU1718" s="18"/>
      <c r="BV1718" s="18"/>
    </row>
    <row r="1719" spans="1:74">
      <c r="A1719" s="18"/>
      <c r="B1719" s="19"/>
      <c r="BG1719" s="18"/>
      <c r="BH1719" s="18"/>
      <c r="BI1719" s="18"/>
      <c r="BJ1719" s="18"/>
      <c r="BK1719" s="18"/>
      <c r="BL1719" s="18"/>
      <c r="BM1719" s="18"/>
      <c r="BN1719" s="18"/>
      <c r="BO1719" s="18"/>
      <c r="BP1719" s="18"/>
      <c r="BQ1719" s="18"/>
      <c r="BR1719" s="18"/>
      <c r="BS1719" s="18"/>
      <c r="BT1719" s="18"/>
      <c r="BU1719" s="18"/>
      <c r="BV1719" s="18"/>
    </row>
    <row r="1720" spans="1:74">
      <c r="A1720" s="18"/>
      <c r="B1720" s="19"/>
      <c r="BG1720" s="18"/>
      <c r="BH1720" s="18"/>
      <c r="BI1720" s="18"/>
      <c r="BJ1720" s="18"/>
      <c r="BK1720" s="18"/>
      <c r="BL1720" s="18"/>
      <c r="BM1720" s="18"/>
      <c r="BN1720" s="18"/>
      <c r="BO1720" s="18"/>
      <c r="BP1720" s="18"/>
      <c r="BQ1720" s="18"/>
      <c r="BR1720" s="18"/>
      <c r="BS1720" s="18"/>
      <c r="BT1720" s="18"/>
      <c r="BU1720" s="18"/>
      <c r="BV1720" s="18"/>
    </row>
    <row r="1721" spans="1:74">
      <c r="A1721" s="18"/>
      <c r="B1721" s="19"/>
      <c r="BG1721" s="18"/>
      <c r="BH1721" s="18"/>
      <c r="BI1721" s="18"/>
      <c r="BJ1721" s="18"/>
      <c r="BK1721" s="18"/>
      <c r="BL1721" s="18"/>
      <c r="BM1721" s="18"/>
      <c r="BN1721" s="18"/>
      <c r="BO1721" s="18"/>
      <c r="BP1721" s="18"/>
      <c r="BQ1721" s="18"/>
      <c r="BR1721" s="18"/>
      <c r="BS1721" s="18"/>
      <c r="BT1721" s="18"/>
      <c r="BU1721" s="18"/>
      <c r="BV1721" s="18"/>
    </row>
    <row r="1722" spans="1:74">
      <c r="A1722" s="18"/>
      <c r="B1722" s="19"/>
      <c r="BG1722" s="18"/>
      <c r="BH1722" s="18"/>
      <c r="BI1722" s="18"/>
      <c r="BJ1722" s="18"/>
      <c r="BK1722" s="18"/>
      <c r="BL1722" s="18"/>
      <c r="BM1722" s="18"/>
      <c r="BN1722" s="18"/>
      <c r="BO1722" s="18"/>
      <c r="BP1722" s="18"/>
      <c r="BQ1722" s="18"/>
      <c r="BR1722" s="18"/>
      <c r="BS1722" s="18"/>
      <c r="BT1722" s="18"/>
      <c r="BU1722" s="18"/>
      <c r="BV1722" s="18"/>
    </row>
    <row r="1723" spans="1:74">
      <c r="A1723" s="18"/>
      <c r="B1723" s="19"/>
      <c r="BG1723" s="18"/>
      <c r="BH1723" s="18"/>
      <c r="BI1723" s="18"/>
      <c r="BJ1723" s="18"/>
      <c r="BK1723" s="18"/>
      <c r="BL1723" s="18"/>
      <c r="BM1723" s="18"/>
      <c r="BN1723" s="18"/>
      <c r="BO1723" s="18"/>
      <c r="BP1723" s="18"/>
      <c r="BQ1723" s="18"/>
      <c r="BR1723" s="18"/>
      <c r="BS1723" s="18"/>
      <c r="BT1723" s="18"/>
      <c r="BU1723" s="18"/>
      <c r="BV1723" s="18"/>
    </row>
    <row r="1724" spans="1:74">
      <c r="A1724" s="18"/>
      <c r="B1724" s="19"/>
      <c r="BG1724" s="18"/>
      <c r="BH1724" s="18"/>
      <c r="BI1724" s="18"/>
      <c r="BJ1724" s="18"/>
      <c r="BK1724" s="18"/>
      <c r="BL1724" s="18"/>
      <c r="BM1724" s="18"/>
      <c r="BN1724" s="18"/>
      <c r="BO1724" s="18"/>
      <c r="BP1724" s="18"/>
      <c r="BQ1724" s="18"/>
      <c r="BR1724" s="18"/>
      <c r="BS1724" s="18"/>
      <c r="BT1724" s="18"/>
      <c r="BU1724" s="18"/>
      <c r="BV1724" s="18"/>
    </row>
    <row r="1725" spans="1:74">
      <c r="A1725" s="18"/>
      <c r="B1725" s="19"/>
      <c r="BG1725" s="18"/>
      <c r="BH1725" s="18"/>
      <c r="BI1725" s="18"/>
      <c r="BJ1725" s="18"/>
      <c r="BK1725" s="18"/>
      <c r="BL1725" s="18"/>
      <c r="BM1725" s="18"/>
      <c r="BN1725" s="18"/>
      <c r="BO1725" s="18"/>
      <c r="BP1725" s="18"/>
      <c r="BQ1725" s="18"/>
      <c r="BR1725" s="18"/>
      <c r="BS1725" s="18"/>
      <c r="BT1725" s="18"/>
      <c r="BU1725" s="18"/>
      <c r="BV1725" s="18"/>
    </row>
    <row r="1726" spans="1:74">
      <c r="A1726" s="18"/>
      <c r="B1726" s="19"/>
      <c r="BG1726" s="18"/>
      <c r="BH1726" s="18"/>
      <c r="BI1726" s="18"/>
      <c r="BJ1726" s="18"/>
      <c r="BK1726" s="18"/>
      <c r="BL1726" s="18"/>
      <c r="BM1726" s="18"/>
      <c r="BN1726" s="18"/>
      <c r="BO1726" s="18"/>
      <c r="BP1726" s="18"/>
      <c r="BQ1726" s="18"/>
      <c r="BR1726" s="18"/>
      <c r="BS1726" s="18"/>
      <c r="BT1726" s="18"/>
      <c r="BU1726" s="18"/>
      <c r="BV1726" s="18"/>
    </row>
    <row r="1727" spans="1:74">
      <c r="A1727" s="18"/>
      <c r="B1727" s="19"/>
      <c r="BG1727" s="18"/>
      <c r="BH1727" s="18"/>
      <c r="BI1727" s="18"/>
      <c r="BJ1727" s="18"/>
      <c r="BK1727" s="18"/>
      <c r="BL1727" s="18"/>
      <c r="BM1727" s="18"/>
      <c r="BN1727" s="18"/>
      <c r="BO1727" s="18"/>
      <c r="BP1727" s="18"/>
      <c r="BQ1727" s="18"/>
      <c r="BR1727" s="18"/>
      <c r="BS1727" s="18"/>
      <c r="BT1727" s="18"/>
      <c r="BU1727" s="18"/>
      <c r="BV1727" s="18"/>
    </row>
    <row r="1728" spans="1:74">
      <c r="A1728" s="18"/>
      <c r="B1728" s="19"/>
      <c r="BG1728" s="18"/>
      <c r="BH1728" s="18"/>
      <c r="BI1728" s="18"/>
      <c r="BJ1728" s="18"/>
      <c r="BK1728" s="18"/>
      <c r="BL1728" s="18"/>
      <c r="BM1728" s="18"/>
      <c r="BN1728" s="18"/>
      <c r="BO1728" s="18"/>
      <c r="BP1728" s="18"/>
      <c r="BQ1728" s="18"/>
      <c r="BR1728" s="18"/>
      <c r="BS1728" s="18"/>
      <c r="BT1728" s="18"/>
      <c r="BU1728" s="18"/>
      <c r="BV1728" s="18"/>
    </row>
    <row r="1729" spans="1:74">
      <c r="A1729" s="18"/>
      <c r="B1729" s="19"/>
      <c r="BG1729" s="18"/>
      <c r="BH1729" s="18"/>
      <c r="BI1729" s="18"/>
      <c r="BJ1729" s="18"/>
      <c r="BK1729" s="18"/>
      <c r="BL1729" s="18"/>
      <c r="BM1729" s="18"/>
      <c r="BN1729" s="18"/>
      <c r="BO1729" s="18"/>
      <c r="BP1729" s="18"/>
      <c r="BQ1729" s="18"/>
      <c r="BR1729" s="18"/>
      <c r="BS1729" s="18"/>
      <c r="BT1729" s="18"/>
      <c r="BU1729" s="18"/>
      <c r="BV1729" s="18"/>
    </row>
    <row r="1730" spans="1:74">
      <c r="A1730" s="18"/>
      <c r="B1730" s="19"/>
      <c r="BG1730" s="18"/>
      <c r="BH1730" s="18"/>
      <c r="BI1730" s="18"/>
      <c r="BJ1730" s="18"/>
      <c r="BK1730" s="18"/>
      <c r="BL1730" s="18"/>
      <c r="BM1730" s="18"/>
      <c r="BN1730" s="18"/>
      <c r="BO1730" s="18"/>
      <c r="BP1730" s="18"/>
      <c r="BQ1730" s="18"/>
      <c r="BR1730" s="18"/>
      <c r="BS1730" s="18"/>
      <c r="BT1730" s="18"/>
      <c r="BU1730" s="18"/>
      <c r="BV1730" s="18"/>
    </row>
    <row r="1731" spans="1:74">
      <c r="A1731" s="18"/>
      <c r="B1731" s="19"/>
      <c r="BG1731" s="18"/>
      <c r="BH1731" s="18"/>
      <c r="BI1731" s="18"/>
      <c r="BJ1731" s="18"/>
      <c r="BK1731" s="18"/>
      <c r="BL1731" s="18"/>
      <c r="BM1731" s="18"/>
      <c r="BN1731" s="18"/>
      <c r="BO1731" s="18"/>
      <c r="BP1731" s="18"/>
      <c r="BQ1731" s="18"/>
      <c r="BR1731" s="18"/>
      <c r="BS1731" s="18"/>
      <c r="BT1731" s="18"/>
      <c r="BU1731" s="18"/>
      <c r="BV1731" s="18"/>
    </row>
    <row r="1732" spans="1:74">
      <c r="A1732" s="18"/>
      <c r="B1732" s="19"/>
      <c r="BG1732" s="18"/>
      <c r="BH1732" s="18"/>
      <c r="BI1732" s="18"/>
      <c r="BJ1732" s="18"/>
      <c r="BK1732" s="18"/>
      <c r="BL1732" s="18"/>
      <c r="BM1732" s="18"/>
      <c r="BN1732" s="18"/>
      <c r="BO1732" s="18"/>
      <c r="BP1732" s="18"/>
      <c r="BQ1732" s="18"/>
      <c r="BR1732" s="18"/>
      <c r="BS1732" s="18"/>
      <c r="BT1732" s="18"/>
      <c r="BU1732" s="18"/>
      <c r="BV1732" s="18"/>
    </row>
    <row r="1733" spans="1:74">
      <c r="A1733" s="18"/>
      <c r="B1733" s="19"/>
      <c r="BG1733" s="18"/>
      <c r="BH1733" s="18"/>
      <c r="BI1733" s="18"/>
      <c r="BJ1733" s="18"/>
      <c r="BK1733" s="18"/>
      <c r="BL1733" s="18"/>
      <c r="BM1733" s="18"/>
      <c r="BN1733" s="18"/>
      <c r="BO1733" s="18"/>
      <c r="BP1733" s="18"/>
      <c r="BQ1733" s="18"/>
      <c r="BR1733" s="18"/>
      <c r="BS1733" s="18"/>
      <c r="BT1733" s="18"/>
      <c r="BU1733" s="18"/>
      <c r="BV1733" s="18"/>
    </row>
    <row r="1734" spans="1:74">
      <c r="A1734" s="18"/>
      <c r="B1734" s="19"/>
      <c r="BG1734" s="18"/>
      <c r="BH1734" s="18"/>
      <c r="BI1734" s="18"/>
      <c r="BJ1734" s="18"/>
      <c r="BK1734" s="18"/>
      <c r="BL1734" s="18"/>
      <c r="BM1734" s="18"/>
      <c r="BN1734" s="18"/>
      <c r="BO1734" s="18"/>
      <c r="BP1734" s="18"/>
      <c r="BQ1734" s="18"/>
      <c r="BR1734" s="18"/>
      <c r="BS1734" s="18"/>
      <c r="BT1734" s="18"/>
      <c r="BU1734" s="18"/>
      <c r="BV1734" s="18"/>
    </row>
    <row r="1735" spans="1:74">
      <c r="A1735" s="18"/>
      <c r="B1735" s="19"/>
      <c r="BG1735" s="18"/>
      <c r="BH1735" s="18"/>
      <c r="BI1735" s="18"/>
      <c r="BJ1735" s="18"/>
      <c r="BK1735" s="18"/>
      <c r="BL1735" s="18"/>
      <c r="BM1735" s="18"/>
      <c r="BN1735" s="18"/>
      <c r="BO1735" s="18"/>
      <c r="BP1735" s="18"/>
      <c r="BQ1735" s="18"/>
      <c r="BR1735" s="18"/>
      <c r="BS1735" s="18"/>
      <c r="BT1735" s="18"/>
      <c r="BU1735" s="18"/>
      <c r="BV1735" s="18"/>
    </row>
    <row r="1736" spans="1:74">
      <c r="A1736" s="18"/>
      <c r="B1736" s="19"/>
      <c r="BG1736" s="18"/>
      <c r="BH1736" s="18"/>
      <c r="BI1736" s="18"/>
      <c r="BJ1736" s="18"/>
      <c r="BK1736" s="18"/>
      <c r="BL1736" s="18"/>
      <c r="BM1736" s="18"/>
      <c r="BN1736" s="18"/>
      <c r="BO1736" s="18"/>
      <c r="BP1736" s="18"/>
      <c r="BQ1736" s="18"/>
      <c r="BR1736" s="18"/>
      <c r="BS1736" s="18"/>
      <c r="BT1736" s="18"/>
      <c r="BU1736" s="18"/>
      <c r="BV1736" s="18"/>
    </row>
    <row r="1737" spans="1:74">
      <c r="A1737" s="18"/>
      <c r="B1737" s="19"/>
      <c r="BG1737" s="18"/>
      <c r="BH1737" s="18"/>
      <c r="BI1737" s="18"/>
      <c r="BJ1737" s="18"/>
      <c r="BK1737" s="18"/>
      <c r="BL1737" s="18"/>
      <c r="BM1737" s="18"/>
      <c r="BN1737" s="18"/>
      <c r="BO1737" s="18"/>
      <c r="BP1737" s="18"/>
      <c r="BQ1737" s="18"/>
      <c r="BR1737" s="18"/>
      <c r="BS1737" s="18"/>
      <c r="BT1737" s="18"/>
      <c r="BU1737" s="18"/>
      <c r="BV1737" s="18"/>
    </row>
    <row r="1738" spans="1:74">
      <c r="A1738" s="18"/>
      <c r="B1738" s="19"/>
      <c r="BG1738" s="18"/>
      <c r="BH1738" s="18"/>
      <c r="BI1738" s="18"/>
      <c r="BJ1738" s="18"/>
      <c r="BK1738" s="18"/>
      <c r="BL1738" s="18"/>
      <c r="BM1738" s="18"/>
      <c r="BN1738" s="18"/>
      <c r="BO1738" s="18"/>
      <c r="BP1738" s="18"/>
      <c r="BQ1738" s="18"/>
      <c r="BR1738" s="18"/>
      <c r="BS1738" s="18"/>
      <c r="BT1738" s="18"/>
      <c r="BU1738" s="18"/>
      <c r="BV1738" s="18"/>
    </row>
    <row r="1739" spans="1:74">
      <c r="A1739" s="18"/>
      <c r="B1739" s="19"/>
      <c r="BG1739" s="18"/>
      <c r="BH1739" s="18"/>
      <c r="BI1739" s="18"/>
      <c r="BJ1739" s="18"/>
      <c r="BK1739" s="18"/>
      <c r="BL1739" s="18"/>
      <c r="BM1739" s="18"/>
      <c r="BN1739" s="18"/>
      <c r="BO1739" s="18"/>
      <c r="BP1739" s="18"/>
      <c r="BQ1739" s="18"/>
      <c r="BR1739" s="18"/>
      <c r="BS1739" s="18"/>
      <c r="BT1739" s="18"/>
      <c r="BU1739" s="18"/>
      <c r="BV1739" s="18"/>
    </row>
    <row r="1740" spans="1:74">
      <c r="A1740" s="18"/>
      <c r="B1740" s="19"/>
      <c r="BG1740" s="18"/>
      <c r="BH1740" s="18"/>
      <c r="BI1740" s="18"/>
      <c r="BJ1740" s="18"/>
      <c r="BK1740" s="18"/>
      <c r="BL1740" s="18"/>
      <c r="BM1740" s="18"/>
      <c r="BN1740" s="18"/>
      <c r="BO1740" s="18"/>
      <c r="BP1740" s="18"/>
      <c r="BQ1740" s="18"/>
      <c r="BR1740" s="18"/>
      <c r="BS1740" s="18"/>
      <c r="BT1740" s="18"/>
      <c r="BU1740" s="18"/>
      <c r="BV1740" s="18"/>
    </row>
    <row r="1741" spans="1:74">
      <c r="A1741" s="18"/>
      <c r="B1741" s="19"/>
      <c r="BG1741" s="18"/>
      <c r="BH1741" s="18"/>
      <c r="BI1741" s="18"/>
      <c r="BJ1741" s="18"/>
      <c r="BK1741" s="18"/>
      <c r="BL1741" s="18"/>
      <c r="BM1741" s="18"/>
      <c r="BN1741" s="18"/>
      <c r="BO1741" s="18"/>
      <c r="BP1741" s="18"/>
      <c r="BQ1741" s="18"/>
      <c r="BR1741" s="18"/>
      <c r="BS1741" s="18"/>
      <c r="BT1741" s="18"/>
      <c r="BU1741" s="18"/>
      <c r="BV1741" s="18"/>
    </row>
    <row r="1742" spans="1:74">
      <c r="A1742" s="18"/>
      <c r="B1742" s="19"/>
      <c r="BG1742" s="18"/>
      <c r="BH1742" s="18"/>
      <c r="BI1742" s="18"/>
      <c r="BJ1742" s="18"/>
      <c r="BK1742" s="18"/>
      <c r="BL1742" s="18"/>
      <c r="BM1742" s="18"/>
      <c r="BN1742" s="18"/>
      <c r="BO1742" s="18"/>
      <c r="BP1742" s="18"/>
      <c r="BQ1742" s="18"/>
      <c r="BR1742" s="18"/>
      <c r="BS1742" s="18"/>
      <c r="BT1742" s="18"/>
      <c r="BU1742" s="18"/>
      <c r="BV1742" s="18"/>
    </row>
    <row r="1743" spans="1:74">
      <c r="A1743" s="18"/>
      <c r="B1743" s="19"/>
      <c r="BG1743" s="18"/>
      <c r="BH1743" s="18"/>
      <c r="BI1743" s="18"/>
      <c r="BJ1743" s="18"/>
      <c r="BK1743" s="18"/>
      <c r="BL1743" s="18"/>
      <c r="BM1743" s="18"/>
      <c r="BN1743" s="18"/>
      <c r="BO1743" s="18"/>
      <c r="BP1743" s="18"/>
      <c r="BQ1743" s="18"/>
      <c r="BR1743" s="18"/>
      <c r="BS1743" s="18"/>
      <c r="BT1743" s="18"/>
      <c r="BU1743" s="18"/>
      <c r="BV1743" s="18"/>
    </row>
    <row r="1744" spans="1:74">
      <c r="A1744" s="18"/>
      <c r="B1744" s="19"/>
      <c r="BG1744" s="18"/>
      <c r="BH1744" s="18"/>
      <c r="BI1744" s="18"/>
      <c r="BJ1744" s="18"/>
      <c r="BK1744" s="18"/>
      <c r="BL1744" s="18"/>
      <c r="BM1744" s="18"/>
      <c r="BN1744" s="18"/>
      <c r="BO1744" s="18"/>
      <c r="BP1744" s="18"/>
      <c r="BQ1744" s="18"/>
      <c r="BR1744" s="18"/>
      <c r="BS1744" s="18"/>
      <c r="BT1744" s="18"/>
      <c r="BU1744" s="18"/>
      <c r="BV1744" s="18"/>
    </row>
    <row r="1745" spans="1:74">
      <c r="A1745" s="18"/>
      <c r="B1745" s="19"/>
      <c r="BG1745" s="18"/>
      <c r="BH1745" s="18"/>
      <c r="BI1745" s="18"/>
      <c r="BJ1745" s="18"/>
      <c r="BK1745" s="18"/>
      <c r="BL1745" s="18"/>
      <c r="BM1745" s="18"/>
      <c r="BN1745" s="18"/>
      <c r="BO1745" s="18"/>
      <c r="BP1745" s="18"/>
      <c r="BQ1745" s="18"/>
      <c r="BR1745" s="18"/>
      <c r="BS1745" s="18"/>
      <c r="BT1745" s="18"/>
      <c r="BU1745" s="18"/>
      <c r="BV1745" s="18"/>
    </row>
    <row r="1746" spans="1:74">
      <c r="A1746" s="18"/>
      <c r="B1746" s="19"/>
      <c r="BG1746" s="18"/>
      <c r="BH1746" s="18"/>
      <c r="BI1746" s="18"/>
      <c r="BJ1746" s="18"/>
      <c r="BK1746" s="18"/>
      <c r="BL1746" s="18"/>
      <c r="BM1746" s="18"/>
      <c r="BN1746" s="18"/>
      <c r="BO1746" s="18"/>
      <c r="BP1746" s="18"/>
      <c r="BQ1746" s="18"/>
      <c r="BR1746" s="18"/>
      <c r="BS1746" s="18"/>
      <c r="BT1746" s="18"/>
      <c r="BU1746" s="18"/>
      <c r="BV1746" s="18"/>
    </row>
    <row r="1747" spans="1:74">
      <c r="A1747" s="18"/>
      <c r="B1747" s="19"/>
      <c r="BG1747" s="18"/>
      <c r="BH1747" s="18"/>
      <c r="BI1747" s="18"/>
      <c r="BJ1747" s="18"/>
      <c r="BK1747" s="18"/>
      <c r="BL1747" s="18"/>
      <c r="BM1747" s="18"/>
      <c r="BN1747" s="18"/>
      <c r="BO1747" s="18"/>
      <c r="BP1747" s="18"/>
      <c r="BQ1747" s="18"/>
      <c r="BR1747" s="18"/>
      <c r="BS1747" s="18"/>
      <c r="BT1747" s="18"/>
      <c r="BU1747" s="18"/>
      <c r="BV1747" s="18"/>
    </row>
    <row r="1748" spans="1:74">
      <c r="A1748" s="18"/>
      <c r="B1748" s="19"/>
      <c r="BG1748" s="18"/>
      <c r="BH1748" s="18"/>
      <c r="BI1748" s="18"/>
      <c r="BJ1748" s="18"/>
      <c r="BK1748" s="18"/>
      <c r="BL1748" s="18"/>
      <c r="BM1748" s="18"/>
      <c r="BN1748" s="18"/>
      <c r="BO1748" s="18"/>
      <c r="BP1748" s="18"/>
      <c r="BQ1748" s="18"/>
      <c r="BR1748" s="18"/>
      <c r="BS1748" s="18"/>
      <c r="BT1748" s="18"/>
      <c r="BU1748" s="18"/>
      <c r="BV1748" s="18"/>
    </row>
    <row r="1749" spans="1:74">
      <c r="A1749" s="18"/>
      <c r="B1749" s="19"/>
      <c r="BG1749" s="18"/>
      <c r="BH1749" s="18"/>
      <c r="BI1749" s="18"/>
      <c r="BJ1749" s="18"/>
      <c r="BK1749" s="18"/>
      <c r="BL1749" s="18"/>
      <c r="BM1749" s="18"/>
      <c r="BN1749" s="18"/>
      <c r="BO1749" s="18"/>
      <c r="BP1749" s="18"/>
      <c r="BQ1749" s="18"/>
      <c r="BR1749" s="18"/>
      <c r="BS1749" s="18"/>
      <c r="BT1749" s="18"/>
      <c r="BU1749" s="18"/>
      <c r="BV1749" s="18"/>
    </row>
    <row r="1750" spans="1:74">
      <c r="A1750" s="18"/>
      <c r="B1750" s="19"/>
      <c r="BG1750" s="18"/>
      <c r="BH1750" s="18"/>
      <c r="BI1750" s="18"/>
      <c r="BJ1750" s="18"/>
      <c r="BK1750" s="18"/>
      <c r="BL1750" s="18"/>
      <c r="BM1750" s="18"/>
      <c r="BN1750" s="18"/>
      <c r="BO1750" s="18"/>
      <c r="BP1750" s="18"/>
      <c r="BQ1750" s="18"/>
      <c r="BR1750" s="18"/>
      <c r="BS1750" s="18"/>
      <c r="BT1750" s="18"/>
      <c r="BU1750" s="18"/>
      <c r="BV1750" s="18"/>
    </row>
    <row r="1751" spans="1:74">
      <c r="A1751" s="18"/>
      <c r="B1751" s="19"/>
      <c r="BG1751" s="18"/>
      <c r="BH1751" s="18"/>
      <c r="BI1751" s="18"/>
      <c r="BJ1751" s="18"/>
      <c r="BK1751" s="18"/>
      <c r="BL1751" s="18"/>
      <c r="BM1751" s="18"/>
      <c r="BN1751" s="18"/>
      <c r="BO1751" s="18"/>
      <c r="BP1751" s="18"/>
      <c r="BQ1751" s="18"/>
      <c r="BR1751" s="18"/>
      <c r="BS1751" s="18"/>
      <c r="BT1751" s="18"/>
      <c r="BU1751" s="18"/>
      <c r="BV1751" s="18"/>
    </row>
    <row r="1752" spans="1:74">
      <c r="A1752" s="18"/>
      <c r="B1752" s="19"/>
      <c r="BG1752" s="18"/>
      <c r="BH1752" s="18"/>
      <c r="BI1752" s="18"/>
      <c r="BJ1752" s="18"/>
      <c r="BK1752" s="18"/>
      <c r="BL1752" s="18"/>
      <c r="BM1752" s="18"/>
      <c r="BN1752" s="18"/>
      <c r="BO1752" s="18"/>
      <c r="BP1752" s="18"/>
      <c r="BQ1752" s="18"/>
      <c r="BR1752" s="18"/>
      <c r="BS1752" s="18"/>
      <c r="BT1752" s="18"/>
      <c r="BU1752" s="18"/>
      <c r="BV1752" s="18"/>
    </row>
    <row r="1753" spans="1:74">
      <c r="A1753" s="18"/>
      <c r="B1753" s="19"/>
      <c r="BG1753" s="18"/>
      <c r="BH1753" s="18"/>
      <c r="BI1753" s="18"/>
      <c r="BJ1753" s="18"/>
      <c r="BK1753" s="18"/>
      <c r="BL1753" s="18"/>
      <c r="BM1753" s="18"/>
      <c r="BN1753" s="18"/>
      <c r="BO1753" s="18"/>
      <c r="BP1753" s="18"/>
      <c r="BQ1753" s="18"/>
      <c r="BR1753" s="18"/>
      <c r="BS1753" s="18"/>
      <c r="BT1753" s="18"/>
      <c r="BU1753" s="18"/>
      <c r="BV1753" s="18"/>
    </row>
    <row r="1754" spans="1:74">
      <c r="A1754" s="18"/>
      <c r="B1754" s="19"/>
      <c r="BG1754" s="18"/>
      <c r="BH1754" s="18"/>
      <c r="BI1754" s="18"/>
      <c r="BJ1754" s="18"/>
      <c r="BK1754" s="18"/>
      <c r="BL1754" s="18"/>
      <c r="BM1754" s="18"/>
      <c r="BN1754" s="18"/>
      <c r="BO1754" s="18"/>
      <c r="BP1754" s="18"/>
      <c r="BQ1754" s="18"/>
      <c r="BR1754" s="18"/>
      <c r="BS1754" s="18"/>
      <c r="BT1754" s="18"/>
      <c r="BU1754" s="18"/>
      <c r="BV1754" s="18"/>
    </row>
    <row r="1755" spans="1:74">
      <c r="A1755" s="18"/>
      <c r="B1755" s="19"/>
      <c r="BG1755" s="18"/>
      <c r="BH1755" s="18"/>
      <c r="BI1755" s="18"/>
      <c r="BJ1755" s="18"/>
      <c r="BK1755" s="18"/>
      <c r="BL1755" s="18"/>
      <c r="BM1755" s="18"/>
      <c r="BN1755" s="18"/>
      <c r="BO1755" s="18"/>
      <c r="BP1755" s="18"/>
      <c r="BQ1755" s="18"/>
      <c r="BR1755" s="18"/>
      <c r="BS1755" s="18"/>
      <c r="BT1755" s="18"/>
      <c r="BU1755" s="18"/>
      <c r="BV1755" s="18"/>
    </row>
    <row r="1756" spans="1:74">
      <c r="A1756" s="18"/>
      <c r="B1756" s="19"/>
      <c r="BG1756" s="18"/>
      <c r="BH1756" s="18"/>
      <c r="BI1756" s="18"/>
      <c r="BJ1756" s="18"/>
      <c r="BK1756" s="18"/>
      <c r="BL1756" s="18"/>
      <c r="BM1756" s="18"/>
      <c r="BN1756" s="18"/>
      <c r="BO1756" s="18"/>
      <c r="BP1756" s="18"/>
      <c r="BQ1756" s="18"/>
      <c r="BR1756" s="18"/>
      <c r="BS1756" s="18"/>
      <c r="BT1756" s="18"/>
      <c r="BU1756" s="18"/>
      <c r="BV1756" s="18"/>
    </row>
    <row r="1757" spans="1:74">
      <c r="A1757" s="18"/>
      <c r="B1757" s="19"/>
      <c r="BG1757" s="18"/>
      <c r="BH1757" s="18"/>
      <c r="BI1757" s="18"/>
      <c r="BJ1757" s="18"/>
      <c r="BK1757" s="18"/>
      <c r="BL1757" s="18"/>
      <c r="BM1757" s="18"/>
      <c r="BN1757" s="18"/>
      <c r="BO1757" s="18"/>
      <c r="BP1757" s="18"/>
      <c r="BQ1757" s="18"/>
      <c r="BR1757" s="18"/>
      <c r="BS1757" s="18"/>
      <c r="BT1757" s="18"/>
      <c r="BU1757" s="18"/>
      <c r="BV1757" s="18"/>
    </row>
    <row r="1758" spans="1:74">
      <c r="A1758" s="18"/>
      <c r="B1758" s="19"/>
      <c r="BG1758" s="18"/>
      <c r="BH1758" s="18"/>
      <c r="BI1758" s="18"/>
      <c r="BJ1758" s="18"/>
      <c r="BK1758" s="18"/>
      <c r="BL1758" s="18"/>
      <c r="BM1758" s="18"/>
      <c r="BN1758" s="18"/>
      <c r="BO1758" s="18"/>
      <c r="BP1758" s="18"/>
      <c r="BQ1758" s="18"/>
      <c r="BR1758" s="18"/>
      <c r="BS1758" s="18"/>
      <c r="BT1758" s="18"/>
      <c r="BU1758" s="18"/>
      <c r="BV1758" s="18"/>
    </row>
    <row r="1759" spans="1:74">
      <c r="A1759" s="18"/>
      <c r="B1759" s="19"/>
      <c r="BG1759" s="18"/>
      <c r="BH1759" s="18"/>
      <c r="BI1759" s="18"/>
      <c r="BJ1759" s="18"/>
      <c r="BK1759" s="18"/>
      <c r="BL1759" s="18"/>
      <c r="BM1759" s="18"/>
      <c r="BN1759" s="18"/>
      <c r="BO1759" s="18"/>
      <c r="BP1759" s="18"/>
      <c r="BQ1759" s="18"/>
      <c r="BR1759" s="18"/>
      <c r="BS1759" s="18"/>
      <c r="BT1759" s="18"/>
      <c r="BU1759" s="18"/>
      <c r="BV1759" s="18"/>
    </row>
    <row r="1760" spans="1:74">
      <c r="A1760" s="18"/>
      <c r="B1760" s="19"/>
      <c r="BG1760" s="18"/>
      <c r="BH1760" s="18"/>
      <c r="BI1760" s="18"/>
      <c r="BJ1760" s="18"/>
      <c r="BK1760" s="18"/>
      <c r="BL1760" s="18"/>
      <c r="BM1760" s="18"/>
      <c r="BN1760" s="18"/>
      <c r="BO1760" s="18"/>
      <c r="BP1760" s="18"/>
      <c r="BQ1760" s="18"/>
      <c r="BR1760" s="18"/>
      <c r="BS1760" s="18"/>
      <c r="BT1760" s="18"/>
      <c r="BU1760" s="18"/>
      <c r="BV1760" s="18"/>
    </row>
    <row r="1761" spans="1:74">
      <c r="A1761" s="18"/>
      <c r="B1761" s="19"/>
      <c r="BG1761" s="18"/>
      <c r="BH1761" s="18"/>
      <c r="BI1761" s="18"/>
      <c r="BJ1761" s="18"/>
      <c r="BK1761" s="18"/>
      <c r="BL1761" s="18"/>
      <c r="BM1761" s="18"/>
      <c r="BN1761" s="18"/>
      <c r="BO1761" s="18"/>
      <c r="BP1761" s="18"/>
      <c r="BQ1761" s="18"/>
      <c r="BR1761" s="18"/>
      <c r="BS1761" s="18"/>
      <c r="BT1761" s="18"/>
      <c r="BU1761" s="18"/>
      <c r="BV1761" s="18"/>
    </row>
    <row r="1762" spans="1:74">
      <c r="A1762" s="18"/>
      <c r="B1762" s="19"/>
      <c r="BG1762" s="18"/>
      <c r="BH1762" s="18"/>
      <c r="BI1762" s="18"/>
      <c r="BJ1762" s="18"/>
      <c r="BK1762" s="18"/>
      <c r="BL1762" s="18"/>
      <c r="BM1762" s="18"/>
      <c r="BN1762" s="18"/>
      <c r="BO1762" s="18"/>
      <c r="BP1762" s="18"/>
      <c r="BQ1762" s="18"/>
      <c r="BR1762" s="18"/>
      <c r="BS1762" s="18"/>
      <c r="BT1762" s="18"/>
      <c r="BU1762" s="18"/>
      <c r="BV1762" s="18"/>
    </row>
    <row r="1763" spans="1:74">
      <c r="A1763" s="18"/>
      <c r="B1763" s="19"/>
      <c r="BG1763" s="18"/>
      <c r="BH1763" s="18"/>
      <c r="BI1763" s="18"/>
      <c r="BJ1763" s="18"/>
      <c r="BK1763" s="18"/>
      <c r="BL1763" s="18"/>
      <c r="BM1763" s="18"/>
      <c r="BN1763" s="18"/>
      <c r="BO1763" s="18"/>
      <c r="BP1763" s="18"/>
      <c r="BQ1763" s="18"/>
      <c r="BR1763" s="18"/>
      <c r="BS1763" s="18"/>
      <c r="BT1763" s="18"/>
      <c r="BU1763" s="18"/>
      <c r="BV1763" s="18"/>
    </row>
    <row r="1764" spans="1:74">
      <c r="A1764" s="18"/>
      <c r="B1764" s="19"/>
      <c r="BG1764" s="18"/>
      <c r="BH1764" s="18"/>
      <c r="BI1764" s="18"/>
      <c r="BJ1764" s="18"/>
      <c r="BK1764" s="18"/>
      <c r="BL1764" s="18"/>
      <c r="BM1764" s="18"/>
      <c r="BN1764" s="18"/>
      <c r="BO1764" s="18"/>
      <c r="BP1764" s="18"/>
      <c r="BQ1764" s="18"/>
      <c r="BR1764" s="18"/>
      <c r="BS1764" s="18"/>
      <c r="BT1764" s="18"/>
      <c r="BU1764" s="18"/>
      <c r="BV1764" s="18"/>
    </row>
    <row r="1765" spans="1:74">
      <c r="A1765" s="18"/>
      <c r="B1765" s="19"/>
      <c r="BG1765" s="18"/>
      <c r="BH1765" s="18"/>
      <c r="BI1765" s="18"/>
      <c r="BJ1765" s="18"/>
      <c r="BK1765" s="18"/>
      <c r="BL1765" s="18"/>
      <c r="BM1765" s="18"/>
      <c r="BN1765" s="18"/>
      <c r="BO1765" s="18"/>
      <c r="BP1765" s="18"/>
      <c r="BQ1765" s="18"/>
      <c r="BR1765" s="18"/>
      <c r="BS1765" s="18"/>
      <c r="BT1765" s="18"/>
      <c r="BU1765" s="18"/>
      <c r="BV1765" s="18"/>
    </row>
    <row r="1766" spans="1:74">
      <c r="A1766" s="18"/>
      <c r="B1766" s="19"/>
      <c r="BG1766" s="18"/>
      <c r="BH1766" s="18"/>
      <c r="BI1766" s="18"/>
      <c r="BJ1766" s="18"/>
      <c r="BK1766" s="18"/>
      <c r="BL1766" s="18"/>
      <c r="BM1766" s="18"/>
      <c r="BN1766" s="18"/>
      <c r="BO1766" s="18"/>
      <c r="BP1766" s="18"/>
      <c r="BQ1766" s="18"/>
      <c r="BR1766" s="18"/>
      <c r="BS1766" s="18"/>
      <c r="BT1766" s="18"/>
      <c r="BU1766" s="18"/>
      <c r="BV1766" s="18"/>
    </row>
    <row r="1767" spans="1:74">
      <c r="A1767" s="18"/>
      <c r="B1767" s="19"/>
      <c r="BG1767" s="18"/>
      <c r="BH1767" s="18"/>
      <c r="BI1767" s="18"/>
      <c r="BJ1767" s="18"/>
      <c r="BK1767" s="18"/>
      <c r="BL1767" s="18"/>
      <c r="BM1767" s="18"/>
      <c r="BN1767" s="18"/>
      <c r="BO1767" s="18"/>
      <c r="BP1767" s="18"/>
      <c r="BQ1767" s="18"/>
      <c r="BR1767" s="18"/>
      <c r="BS1767" s="18"/>
      <c r="BT1767" s="18"/>
      <c r="BU1767" s="18"/>
      <c r="BV1767" s="18"/>
    </row>
    <row r="1768" spans="1:74">
      <c r="A1768" s="18"/>
      <c r="B1768" s="19"/>
      <c r="BG1768" s="18"/>
      <c r="BH1768" s="18"/>
      <c r="BI1768" s="18"/>
      <c r="BJ1768" s="18"/>
      <c r="BK1768" s="18"/>
      <c r="BL1768" s="18"/>
      <c r="BM1768" s="18"/>
      <c r="BN1768" s="18"/>
      <c r="BO1768" s="18"/>
      <c r="BP1768" s="18"/>
      <c r="BQ1768" s="18"/>
      <c r="BR1768" s="18"/>
      <c r="BS1768" s="18"/>
      <c r="BT1768" s="18"/>
      <c r="BU1768" s="18"/>
      <c r="BV1768" s="18"/>
    </row>
    <row r="1769" spans="1:74">
      <c r="A1769" s="18"/>
      <c r="B1769" s="19"/>
      <c r="BG1769" s="18"/>
      <c r="BH1769" s="18"/>
      <c r="BI1769" s="18"/>
      <c r="BJ1769" s="18"/>
      <c r="BK1769" s="18"/>
      <c r="BL1769" s="18"/>
      <c r="BM1769" s="18"/>
      <c r="BN1769" s="18"/>
      <c r="BO1769" s="18"/>
      <c r="BP1769" s="18"/>
      <c r="BQ1769" s="18"/>
      <c r="BR1769" s="18"/>
      <c r="BS1769" s="18"/>
      <c r="BT1769" s="18"/>
      <c r="BU1769" s="18"/>
      <c r="BV1769" s="18"/>
    </row>
    <row r="1770" spans="1:74">
      <c r="A1770" s="18"/>
      <c r="B1770" s="19"/>
      <c r="BG1770" s="18"/>
      <c r="BH1770" s="18"/>
      <c r="BI1770" s="18"/>
      <c r="BJ1770" s="18"/>
      <c r="BK1770" s="18"/>
      <c r="BL1770" s="18"/>
      <c r="BM1770" s="18"/>
      <c r="BN1770" s="18"/>
      <c r="BO1770" s="18"/>
      <c r="BP1770" s="18"/>
      <c r="BQ1770" s="18"/>
      <c r="BR1770" s="18"/>
      <c r="BS1770" s="18"/>
      <c r="BT1770" s="18"/>
      <c r="BU1770" s="18"/>
      <c r="BV1770" s="18"/>
    </row>
    <row r="1771" spans="1:74">
      <c r="A1771" s="18"/>
      <c r="B1771" s="19"/>
      <c r="BG1771" s="18"/>
      <c r="BH1771" s="18"/>
      <c r="BI1771" s="18"/>
      <c r="BJ1771" s="18"/>
      <c r="BK1771" s="18"/>
      <c r="BL1771" s="18"/>
      <c r="BM1771" s="18"/>
      <c r="BN1771" s="18"/>
      <c r="BO1771" s="18"/>
      <c r="BP1771" s="18"/>
      <c r="BQ1771" s="18"/>
      <c r="BR1771" s="18"/>
      <c r="BS1771" s="18"/>
      <c r="BT1771" s="18"/>
      <c r="BU1771" s="18"/>
      <c r="BV1771" s="18"/>
    </row>
    <row r="1772" spans="1:74">
      <c r="A1772" s="18"/>
      <c r="B1772" s="19"/>
      <c r="BG1772" s="18"/>
      <c r="BH1772" s="18"/>
      <c r="BI1772" s="18"/>
      <c r="BJ1772" s="18"/>
      <c r="BK1772" s="18"/>
      <c r="BL1772" s="18"/>
      <c r="BM1772" s="18"/>
      <c r="BN1772" s="18"/>
      <c r="BO1772" s="18"/>
      <c r="BP1772" s="18"/>
      <c r="BQ1772" s="18"/>
      <c r="BR1772" s="18"/>
      <c r="BS1772" s="18"/>
      <c r="BT1772" s="18"/>
      <c r="BU1772" s="18"/>
      <c r="BV1772" s="18"/>
    </row>
    <row r="1773" spans="1:74">
      <c r="A1773" s="18"/>
      <c r="B1773" s="19"/>
      <c r="BG1773" s="18"/>
      <c r="BH1773" s="18"/>
      <c r="BI1773" s="18"/>
      <c r="BJ1773" s="18"/>
      <c r="BK1773" s="18"/>
      <c r="BL1773" s="18"/>
      <c r="BM1773" s="18"/>
      <c r="BN1773" s="18"/>
      <c r="BO1773" s="18"/>
      <c r="BP1773" s="18"/>
      <c r="BQ1773" s="18"/>
      <c r="BR1773" s="18"/>
      <c r="BS1773" s="18"/>
      <c r="BT1773" s="18"/>
      <c r="BU1773" s="18"/>
      <c r="BV1773" s="18"/>
    </row>
    <row r="1774" spans="1:74">
      <c r="A1774" s="18"/>
      <c r="B1774" s="19"/>
      <c r="BG1774" s="18"/>
      <c r="BH1774" s="18"/>
      <c r="BI1774" s="18"/>
      <c r="BJ1774" s="18"/>
      <c r="BK1774" s="18"/>
      <c r="BL1774" s="18"/>
      <c r="BM1774" s="18"/>
      <c r="BN1774" s="18"/>
      <c r="BO1774" s="18"/>
      <c r="BP1774" s="18"/>
      <c r="BQ1774" s="18"/>
      <c r="BR1774" s="18"/>
      <c r="BS1774" s="18"/>
      <c r="BT1774" s="18"/>
      <c r="BU1774" s="18"/>
      <c r="BV1774" s="18"/>
    </row>
    <row r="1775" spans="1:74">
      <c r="A1775" s="18"/>
      <c r="B1775" s="19"/>
      <c r="BG1775" s="18"/>
      <c r="BH1775" s="18"/>
      <c r="BI1775" s="18"/>
      <c r="BJ1775" s="18"/>
      <c r="BK1775" s="18"/>
      <c r="BL1775" s="18"/>
      <c r="BM1775" s="18"/>
      <c r="BN1775" s="18"/>
      <c r="BO1775" s="18"/>
      <c r="BP1775" s="18"/>
      <c r="BQ1775" s="18"/>
      <c r="BR1775" s="18"/>
      <c r="BS1775" s="18"/>
      <c r="BT1775" s="18"/>
      <c r="BU1775" s="18"/>
      <c r="BV1775" s="18"/>
    </row>
    <row r="1776" spans="1:74">
      <c r="A1776" s="18"/>
      <c r="B1776" s="19"/>
      <c r="BG1776" s="18"/>
      <c r="BH1776" s="18"/>
      <c r="BI1776" s="18"/>
      <c r="BJ1776" s="18"/>
      <c r="BK1776" s="18"/>
      <c r="BL1776" s="18"/>
      <c r="BM1776" s="18"/>
      <c r="BN1776" s="18"/>
      <c r="BO1776" s="18"/>
      <c r="BP1776" s="18"/>
      <c r="BQ1776" s="18"/>
      <c r="BR1776" s="18"/>
      <c r="BS1776" s="18"/>
      <c r="BT1776" s="18"/>
      <c r="BU1776" s="18"/>
      <c r="BV1776" s="18"/>
    </row>
    <row r="1777" spans="1:74">
      <c r="A1777" s="18"/>
      <c r="B1777" s="19"/>
      <c r="BG1777" s="18"/>
      <c r="BH1777" s="18"/>
      <c r="BI1777" s="18"/>
      <c r="BJ1777" s="18"/>
      <c r="BK1777" s="18"/>
      <c r="BL1777" s="18"/>
      <c r="BM1777" s="18"/>
      <c r="BN1777" s="18"/>
      <c r="BO1777" s="18"/>
      <c r="BP1777" s="18"/>
      <c r="BQ1777" s="18"/>
      <c r="BR1777" s="18"/>
      <c r="BS1777" s="18"/>
      <c r="BT1777" s="18"/>
      <c r="BU1777" s="18"/>
      <c r="BV1777" s="18"/>
    </row>
    <row r="1778" spans="1:74">
      <c r="A1778" s="18"/>
      <c r="B1778" s="19"/>
      <c r="BG1778" s="18"/>
      <c r="BH1778" s="18"/>
      <c r="BI1778" s="18"/>
      <c r="BJ1778" s="18"/>
      <c r="BK1778" s="18"/>
      <c r="BL1778" s="18"/>
      <c r="BM1778" s="18"/>
      <c r="BN1778" s="18"/>
      <c r="BO1778" s="18"/>
      <c r="BP1778" s="18"/>
      <c r="BQ1778" s="18"/>
      <c r="BR1778" s="18"/>
      <c r="BS1778" s="18"/>
      <c r="BT1778" s="18"/>
      <c r="BU1778" s="18"/>
      <c r="BV1778" s="18"/>
    </row>
    <row r="1779" spans="1:74">
      <c r="A1779" s="18"/>
      <c r="B1779" s="19"/>
      <c r="BG1779" s="18"/>
      <c r="BH1779" s="18"/>
      <c r="BI1779" s="18"/>
      <c r="BJ1779" s="18"/>
      <c r="BK1779" s="18"/>
      <c r="BL1779" s="18"/>
      <c r="BM1779" s="18"/>
      <c r="BN1779" s="18"/>
      <c r="BO1779" s="18"/>
      <c r="BP1779" s="18"/>
      <c r="BQ1779" s="18"/>
      <c r="BR1779" s="18"/>
      <c r="BS1779" s="18"/>
      <c r="BT1779" s="18"/>
      <c r="BU1779" s="18"/>
      <c r="BV1779" s="18"/>
    </row>
    <row r="1780" spans="1:74">
      <c r="A1780" s="18"/>
      <c r="B1780" s="19"/>
      <c r="BG1780" s="18"/>
      <c r="BH1780" s="18"/>
      <c r="BI1780" s="18"/>
      <c r="BJ1780" s="18"/>
      <c r="BK1780" s="18"/>
      <c r="BL1780" s="18"/>
      <c r="BM1780" s="18"/>
      <c r="BN1780" s="18"/>
      <c r="BO1780" s="18"/>
      <c r="BP1780" s="18"/>
      <c r="BQ1780" s="18"/>
      <c r="BR1780" s="18"/>
      <c r="BS1780" s="18"/>
      <c r="BT1780" s="18"/>
      <c r="BU1780" s="18"/>
      <c r="BV1780" s="18"/>
    </row>
    <row r="1781" spans="1:74">
      <c r="A1781" s="18"/>
      <c r="B1781" s="19"/>
      <c r="BG1781" s="18"/>
      <c r="BH1781" s="18"/>
      <c r="BI1781" s="18"/>
      <c r="BJ1781" s="18"/>
      <c r="BK1781" s="18"/>
      <c r="BL1781" s="18"/>
      <c r="BM1781" s="18"/>
      <c r="BN1781" s="18"/>
      <c r="BO1781" s="18"/>
      <c r="BP1781" s="18"/>
      <c r="BQ1781" s="18"/>
      <c r="BR1781" s="18"/>
      <c r="BS1781" s="18"/>
      <c r="BT1781" s="18"/>
      <c r="BU1781" s="18"/>
      <c r="BV1781" s="18"/>
    </row>
    <row r="1782" spans="1:74">
      <c r="A1782" s="18"/>
      <c r="B1782" s="19"/>
      <c r="BG1782" s="18"/>
      <c r="BH1782" s="18"/>
      <c r="BI1782" s="18"/>
      <c r="BJ1782" s="18"/>
      <c r="BK1782" s="18"/>
      <c r="BL1782" s="18"/>
      <c r="BM1782" s="18"/>
      <c r="BN1782" s="18"/>
      <c r="BO1782" s="18"/>
      <c r="BP1782" s="18"/>
      <c r="BQ1782" s="18"/>
      <c r="BR1782" s="18"/>
      <c r="BS1782" s="18"/>
      <c r="BT1782" s="18"/>
      <c r="BU1782" s="18"/>
      <c r="BV1782" s="18"/>
    </row>
    <row r="1783" spans="1:74">
      <c r="A1783" s="18"/>
      <c r="B1783" s="19"/>
      <c r="BG1783" s="18"/>
      <c r="BH1783" s="18"/>
      <c r="BI1783" s="18"/>
      <c r="BJ1783" s="18"/>
      <c r="BK1783" s="18"/>
      <c r="BL1783" s="18"/>
      <c r="BM1783" s="18"/>
      <c r="BN1783" s="18"/>
      <c r="BO1783" s="18"/>
      <c r="BP1783" s="18"/>
      <c r="BQ1783" s="18"/>
      <c r="BR1783" s="18"/>
      <c r="BS1783" s="18"/>
      <c r="BT1783" s="18"/>
      <c r="BU1783" s="18"/>
      <c r="BV1783" s="18"/>
    </row>
    <row r="1784" spans="1:74">
      <c r="A1784" s="18"/>
      <c r="B1784" s="19"/>
      <c r="BG1784" s="18"/>
      <c r="BH1784" s="18"/>
      <c r="BI1784" s="18"/>
      <c r="BJ1784" s="18"/>
      <c r="BK1784" s="18"/>
      <c r="BL1784" s="18"/>
      <c r="BM1784" s="18"/>
      <c r="BN1784" s="18"/>
      <c r="BO1784" s="18"/>
      <c r="BP1784" s="18"/>
      <c r="BQ1784" s="18"/>
      <c r="BR1784" s="18"/>
      <c r="BS1784" s="18"/>
      <c r="BT1784" s="18"/>
      <c r="BU1784" s="18"/>
      <c r="BV1784" s="18"/>
    </row>
    <row r="1785" spans="1:74">
      <c r="A1785" s="18"/>
      <c r="B1785" s="19"/>
      <c r="BG1785" s="18"/>
      <c r="BH1785" s="18"/>
      <c r="BI1785" s="18"/>
      <c r="BJ1785" s="18"/>
      <c r="BK1785" s="18"/>
      <c r="BL1785" s="18"/>
      <c r="BM1785" s="18"/>
      <c r="BN1785" s="18"/>
      <c r="BO1785" s="18"/>
      <c r="BP1785" s="18"/>
      <c r="BQ1785" s="18"/>
      <c r="BR1785" s="18"/>
      <c r="BS1785" s="18"/>
      <c r="BT1785" s="18"/>
      <c r="BU1785" s="18"/>
      <c r="BV1785" s="18"/>
    </row>
    <row r="1786" spans="1:74">
      <c r="A1786" s="18"/>
      <c r="B1786" s="19"/>
      <c r="BG1786" s="18"/>
      <c r="BH1786" s="18"/>
      <c r="BI1786" s="18"/>
      <c r="BJ1786" s="18"/>
      <c r="BK1786" s="18"/>
      <c r="BL1786" s="18"/>
      <c r="BM1786" s="18"/>
      <c r="BN1786" s="18"/>
      <c r="BO1786" s="18"/>
      <c r="BP1786" s="18"/>
      <c r="BQ1786" s="18"/>
      <c r="BR1786" s="18"/>
      <c r="BS1786" s="18"/>
      <c r="BT1786" s="18"/>
      <c r="BU1786" s="18"/>
      <c r="BV1786" s="18"/>
    </row>
    <row r="1787" spans="1:74">
      <c r="A1787" s="18"/>
      <c r="B1787" s="19"/>
      <c r="BG1787" s="18"/>
      <c r="BH1787" s="18"/>
      <c r="BI1787" s="18"/>
      <c r="BJ1787" s="18"/>
      <c r="BK1787" s="18"/>
      <c r="BL1787" s="18"/>
      <c r="BM1787" s="18"/>
      <c r="BN1787" s="18"/>
      <c r="BO1787" s="18"/>
      <c r="BP1787" s="18"/>
      <c r="BQ1787" s="18"/>
      <c r="BR1787" s="18"/>
      <c r="BS1787" s="18"/>
      <c r="BT1787" s="18"/>
      <c r="BU1787" s="18"/>
      <c r="BV1787" s="18"/>
    </row>
    <row r="1788" spans="1:74">
      <c r="A1788" s="18"/>
      <c r="B1788" s="19"/>
      <c r="BG1788" s="18"/>
      <c r="BH1788" s="18"/>
      <c r="BI1788" s="18"/>
      <c r="BJ1788" s="18"/>
      <c r="BK1788" s="18"/>
      <c r="BL1788" s="18"/>
      <c r="BM1788" s="18"/>
      <c r="BN1788" s="18"/>
      <c r="BO1788" s="18"/>
      <c r="BP1788" s="18"/>
      <c r="BQ1788" s="18"/>
      <c r="BR1788" s="18"/>
      <c r="BS1788" s="18"/>
      <c r="BT1788" s="18"/>
      <c r="BU1788" s="18"/>
      <c r="BV1788" s="18"/>
    </row>
    <row r="1789" spans="1:74">
      <c r="A1789" s="18"/>
      <c r="B1789" s="19"/>
      <c r="BG1789" s="18"/>
      <c r="BH1789" s="18"/>
      <c r="BI1789" s="18"/>
      <c r="BJ1789" s="18"/>
      <c r="BK1789" s="18"/>
      <c r="BL1789" s="18"/>
      <c r="BM1789" s="18"/>
      <c r="BN1789" s="18"/>
      <c r="BO1789" s="18"/>
      <c r="BP1789" s="18"/>
      <c r="BQ1789" s="18"/>
      <c r="BR1789" s="18"/>
      <c r="BS1789" s="18"/>
      <c r="BT1789" s="18"/>
      <c r="BU1789" s="18"/>
      <c r="BV1789" s="18"/>
    </row>
    <row r="1790" spans="1:74">
      <c r="A1790" s="18"/>
      <c r="B1790" s="19"/>
      <c r="BG1790" s="18"/>
      <c r="BH1790" s="18"/>
      <c r="BI1790" s="18"/>
      <c r="BJ1790" s="18"/>
      <c r="BK1790" s="18"/>
      <c r="BL1790" s="18"/>
      <c r="BM1790" s="18"/>
      <c r="BN1790" s="18"/>
      <c r="BO1790" s="18"/>
      <c r="BP1790" s="18"/>
      <c r="BQ1790" s="18"/>
      <c r="BR1790" s="18"/>
      <c r="BS1790" s="18"/>
      <c r="BT1790" s="18"/>
      <c r="BU1790" s="18"/>
      <c r="BV1790" s="18"/>
    </row>
    <row r="1791" spans="1:74">
      <c r="A1791" s="18"/>
      <c r="B1791" s="19"/>
      <c r="BG1791" s="18"/>
      <c r="BH1791" s="18"/>
      <c r="BI1791" s="18"/>
      <c r="BJ1791" s="18"/>
      <c r="BK1791" s="18"/>
      <c r="BL1791" s="18"/>
      <c r="BM1791" s="18"/>
      <c r="BN1791" s="18"/>
      <c r="BO1791" s="18"/>
      <c r="BP1791" s="18"/>
      <c r="BQ1791" s="18"/>
      <c r="BR1791" s="18"/>
      <c r="BS1791" s="18"/>
      <c r="BT1791" s="18"/>
      <c r="BU1791" s="18"/>
      <c r="BV1791" s="18"/>
    </row>
    <row r="1792" spans="1:74">
      <c r="A1792" s="18"/>
      <c r="B1792" s="19"/>
      <c r="BG1792" s="18"/>
      <c r="BH1792" s="18"/>
      <c r="BI1792" s="18"/>
      <c r="BJ1792" s="18"/>
      <c r="BK1792" s="18"/>
      <c r="BL1792" s="18"/>
      <c r="BM1792" s="18"/>
      <c r="BN1792" s="18"/>
      <c r="BO1792" s="18"/>
      <c r="BP1792" s="18"/>
      <c r="BQ1792" s="18"/>
      <c r="BR1792" s="18"/>
      <c r="BS1792" s="18"/>
      <c r="BT1792" s="18"/>
      <c r="BU1792" s="18"/>
      <c r="BV1792" s="18"/>
    </row>
    <row r="1793" spans="1:74">
      <c r="A1793" s="18"/>
      <c r="B1793" s="19"/>
      <c r="BG1793" s="18"/>
      <c r="BH1793" s="18"/>
      <c r="BI1793" s="18"/>
      <c r="BJ1793" s="18"/>
      <c r="BK1793" s="18"/>
      <c r="BL1793" s="18"/>
      <c r="BM1793" s="18"/>
      <c r="BN1793" s="18"/>
      <c r="BO1793" s="18"/>
      <c r="BP1793" s="18"/>
      <c r="BQ1793" s="18"/>
      <c r="BR1793" s="18"/>
      <c r="BS1793" s="18"/>
      <c r="BT1793" s="18"/>
      <c r="BU1793" s="18"/>
      <c r="BV1793" s="18"/>
    </row>
    <row r="1794" spans="1:74">
      <c r="A1794" s="18"/>
      <c r="B1794" s="19"/>
      <c r="BG1794" s="18"/>
      <c r="BH1794" s="18"/>
      <c r="BI1794" s="18"/>
      <c r="BJ1794" s="18"/>
      <c r="BK1794" s="18"/>
      <c r="BL1794" s="18"/>
      <c r="BM1794" s="18"/>
      <c r="BN1794" s="18"/>
      <c r="BO1794" s="18"/>
      <c r="BP1794" s="18"/>
      <c r="BQ1794" s="18"/>
      <c r="BR1794" s="18"/>
      <c r="BS1794" s="18"/>
      <c r="BT1794" s="18"/>
      <c r="BU1794" s="18"/>
      <c r="BV1794" s="18"/>
    </row>
    <row r="1795" spans="1:74">
      <c r="A1795" s="18"/>
      <c r="B1795" s="19"/>
      <c r="BG1795" s="18"/>
      <c r="BH1795" s="18"/>
      <c r="BI1795" s="18"/>
      <c r="BJ1795" s="18"/>
      <c r="BK1795" s="18"/>
      <c r="BL1795" s="18"/>
      <c r="BM1795" s="18"/>
      <c r="BN1795" s="18"/>
      <c r="BO1795" s="18"/>
      <c r="BP1795" s="18"/>
      <c r="BQ1795" s="18"/>
      <c r="BR1795" s="18"/>
      <c r="BS1795" s="18"/>
      <c r="BT1795" s="18"/>
      <c r="BU1795" s="18"/>
      <c r="BV1795" s="18"/>
    </row>
    <row r="1796" spans="1:74">
      <c r="A1796" s="18"/>
      <c r="B1796" s="19"/>
      <c r="BG1796" s="18"/>
      <c r="BH1796" s="18"/>
      <c r="BI1796" s="18"/>
      <c r="BJ1796" s="18"/>
      <c r="BK1796" s="18"/>
      <c r="BL1796" s="18"/>
      <c r="BM1796" s="18"/>
      <c r="BN1796" s="18"/>
      <c r="BO1796" s="18"/>
      <c r="BP1796" s="18"/>
      <c r="BQ1796" s="18"/>
      <c r="BR1796" s="18"/>
      <c r="BS1796" s="18"/>
      <c r="BT1796" s="18"/>
      <c r="BU1796" s="18"/>
      <c r="BV1796" s="18"/>
    </row>
    <row r="1797" spans="1:74">
      <c r="A1797" s="18"/>
      <c r="B1797" s="19"/>
      <c r="BG1797" s="18"/>
      <c r="BH1797" s="18"/>
      <c r="BI1797" s="18"/>
      <c r="BJ1797" s="18"/>
      <c r="BK1797" s="18"/>
      <c r="BL1797" s="18"/>
      <c r="BM1797" s="18"/>
      <c r="BN1797" s="18"/>
      <c r="BO1797" s="18"/>
      <c r="BP1797" s="18"/>
      <c r="BQ1797" s="18"/>
      <c r="BR1797" s="18"/>
      <c r="BS1797" s="18"/>
      <c r="BT1797" s="18"/>
      <c r="BU1797" s="18"/>
      <c r="BV1797" s="18"/>
    </row>
    <row r="1798" spans="1:74">
      <c r="A1798" s="18"/>
      <c r="B1798" s="19"/>
      <c r="BG1798" s="18"/>
      <c r="BH1798" s="18"/>
      <c r="BI1798" s="18"/>
      <c r="BJ1798" s="18"/>
      <c r="BK1798" s="18"/>
      <c r="BL1798" s="18"/>
      <c r="BM1798" s="18"/>
      <c r="BN1798" s="18"/>
      <c r="BO1798" s="18"/>
      <c r="BP1798" s="18"/>
      <c r="BQ1798" s="18"/>
      <c r="BR1798" s="18"/>
      <c r="BS1798" s="18"/>
      <c r="BT1798" s="18"/>
      <c r="BU1798" s="18"/>
      <c r="BV1798" s="18"/>
    </row>
    <row r="1799" spans="1:74">
      <c r="A1799" s="18"/>
      <c r="B1799" s="19"/>
      <c r="BG1799" s="18"/>
      <c r="BH1799" s="18"/>
      <c r="BI1799" s="18"/>
      <c r="BJ1799" s="18"/>
      <c r="BK1799" s="18"/>
      <c r="BL1799" s="18"/>
      <c r="BM1799" s="18"/>
      <c r="BN1799" s="18"/>
      <c r="BO1799" s="18"/>
      <c r="BP1799" s="18"/>
      <c r="BQ1799" s="18"/>
      <c r="BR1799" s="18"/>
      <c r="BS1799" s="18"/>
      <c r="BT1799" s="18"/>
      <c r="BU1799" s="18"/>
      <c r="BV1799" s="18"/>
    </row>
    <row r="1800" spans="1:74">
      <c r="A1800" s="18"/>
      <c r="B1800" s="19"/>
      <c r="BG1800" s="18"/>
      <c r="BH1800" s="18"/>
      <c r="BI1800" s="18"/>
      <c r="BJ1800" s="18"/>
      <c r="BK1800" s="18"/>
      <c r="BL1800" s="18"/>
      <c r="BM1800" s="18"/>
      <c r="BN1800" s="18"/>
      <c r="BO1800" s="18"/>
      <c r="BP1800" s="18"/>
      <c r="BQ1800" s="18"/>
      <c r="BR1800" s="18"/>
      <c r="BS1800" s="18"/>
      <c r="BT1800" s="18"/>
      <c r="BU1800" s="18"/>
      <c r="BV1800" s="18"/>
    </row>
    <row r="1801" spans="1:74">
      <c r="A1801" s="18"/>
      <c r="B1801" s="19"/>
      <c r="BG1801" s="18"/>
      <c r="BH1801" s="18"/>
      <c r="BI1801" s="18"/>
      <c r="BJ1801" s="18"/>
      <c r="BK1801" s="18"/>
      <c r="BL1801" s="18"/>
      <c r="BM1801" s="18"/>
      <c r="BN1801" s="18"/>
      <c r="BO1801" s="18"/>
      <c r="BP1801" s="18"/>
      <c r="BQ1801" s="18"/>
      <c r="BR1801" s="18"/>
      <c r="BS1801" s="18"/>
      <c r="BT1801" s="18"/>
      <c r="BU1801" s="18"/>
      <c r="BV1801" s="18"/>
    </row>
    <row r="1802" spans="1:74">
      <c r="A1802" s="18"/>
      <c r="B1802" s="19"/>
      <c r="BG1802" s="18"/>
      <c r="BH1802" s="18"/>
      <c r="BI1802" s="18"/>
      <c r="BJ1802" s="18"/>
      <c r="BK1802" s="18"/>
      <c r="BL1802" s="18"/>
      <c r="BM1802" s="18"/>
      <c r="BN1802" s="18"/>
      <c r="BO1802" s="18"/>
      <c r="BP1802" s="18"/>
      <c r="BQ1802" s="18"/>
      <c r="BR1802" s="18"/>
      <c r="BS1802" s="18"/>
      <c r="BT1802" s="18"/>
      <c r="BU1802" s="18"/>
      <c r="BV1802" s="18"/>
    </row>
    <row r="1803" spans="1:74">
      <c r="A1803" s="18"/>
      <c r="B1803" s="19"/>
      <c r="BG1803" s="18"/>
      <c r="BH1803" s="18"/>
      <c r="BI1803" s="18"/>
      <c r="BJ1803" s="18"/>
      <c r="BK1803" s="18"/>
      <c r="BL1803" s="18"/>
      <c r="BM1803" s="18"/>
      <c r="BN1803" s="18"/>
      <c r="BO1803" s="18"/>
      <c r="BP1803" s="18"/>
      <c r="BQ1803" s="18"/>
      <c r="BR1803" s="18"/>
      <c r="BS1803" s="18"/>
      <c r="BT1803" s="18"/>
      <c r="BU1803" s="18"/>
      <c r="BV1803" s="18"/>
    </row>
    <row r="1804" spans="1:74">
      <c r="A1804" s="18"/>
      <c r="B1804" s="19"/>
      <c r="BG1804" s="18"/>
      <c r="BH1804" s="18"/>
      <c r="BI1804" s="18"/>
      <c r="BJ1804" s="18"/>
      <c r="BK1804" s="18"/>
      <c r="BL1804" s="18"/>
      <c r="BM1804" s="18"/>
      <c r="BN1804" s="18"/>
      <c r="BO1804" s="18"/>
      <c r="BP1804" s="18"/>
      <c r="BQ1804" s="18"/>
      <c r="BR1804" s="18"/>
      <c r="BS1804" s="18"/>
      <c r="BT1804" s="18"/>
      <c r="BU1804" s="18"/>
      <c r="BV1804" s="18"/>
    </row>
    <row r="1805" spans="1:74">
      <c r="A1805" s="18"/>
      <c r="B1805" s="19"/>
      <c r="BG1805" s="18"/>
      <c r="BH1805" s="18"/>
      <c r="BI1805" s="18"/>
      <c r="BJ1805" s="18"/>
      <c r="BK1805" s="18"/>
      <c r="BL1805" s="18"/>
      <c r="BM1805" s="18"/>
      <c r="BN1805" s="18"/>
      <c r="BO1805" s="18"/>
      <c r="BP1805" s="18"/>
      <c r="BQ1805" s="18"/>
      <c r="BR1805" s="18"/>
      <c r="BS1805" s="18"/>
      <c r="BT1805" s="18"/>
      <c r="BU1805" s="18"/>
      <c r="BV1805" s="18"/>
    </row>
    <row r="1806" spans="1:74">
      <c r="A1806" s="18"/>
      <c r="B1806" s="19"/>
      <c r="BG1806" s="18"/>
      <c r="BH1806" s="18"/>
      <c r="BI1806" s="18"/>
      <c r="BJ1806" s="18"/>
      <c r="BK1806" s="18"/>
      <c r="BL1806" s="18"/>
      <c r="BM1806" s="18"/>
      <c r="BN1806" s="18"/>
      <c r="BO1806" s="18"/>
      <c r="BP1806" s="18"/>
      <c r="BQ1806" s="18"/>
      <c r="BR1806" s="18"/>
      <c r="BS1806" s="18"/>
      <c r="BT1806" s="18"/>
      <c r="BU1806" s="18"/>
      <c r="BV1806" s="18"/>
    </row>
    <row r="1807" spans="1:74">
      <c r="A1807" s="18"/>
      <c r="B1807" s="19"/>
      <c r="BG1807" s="18"/>
      <c r="BH1807" s="18"/>
      <c r="BI1807" s="18"/>
      <c r="BJ1807" s="18"/>
      <c r="BK1807" s="18"/>
      <c r="BL1807" s="18"/>
      <c r="BM1807" s="18"/>
      <c r="BN1807" s="18"/>
      <c r="BO1807" s="18"/>
      <c r="BP1807" s="18"/>
      <c r="BQ1807" s="18"/>
      <c r="BR1807" s="18"/>
      <c r="BS1807" s="18"/>
      <c r="BT1807" s="18"/>
      <c r="BU1807" s="18"/>
      <c r="BV1807" s="18"/>
    </row>
    <row r="1808" spans="1:74">
      <c r="A1808" s="18"/>
      <c r="B1808" s="19"/>
      <c r="BG1808" s="18"/>
      <c r="BH1808" s="18"/>
      <c r="BI1808" s="18"/>
      <c r="BJ1808" s="18"/>
      <c r="BK1808" s="18"/>
      <c r="BL1808" s="18"/>
      <c r="BM1808" s="18"/>
      <c r="BN1808" s="18"/>
      <c r="BO1808" s="18"/>
      <c r="BP1808" s="18"/>
      <c r="BQ1808" s="18"/>
      <c r="BR1808" s="18"/>
      <c r="BS1808" s="18"/>
      <c r="BT1808" s="18"/>
      <c r="BU1808" s="18"/>
      <c r="BV1808" s="18"/>
    </row>
    <row r="1809" spans="1:74">
      <c r="A1809" s="18"/>
      <c r="B1809" s="19"/>
      <c r="BG1809" s="18"/>
      <c r="BH1809" s="18"/>
      <c r="BI1809" s="18"/>
      <c r="BJ1809" s="18"/>
      <c r="BK1809" s="18"/>
      <c r="BL1809" s="18"/>
      <c r="BM1809" s="18"/>
      <c r="BN1809" s="18"/>
      <c r="BO1809" s="18"/>
      <c r="BP1809" s="18"/>
      <c r="BQ1809" s="18"/>
      <c r="BR1809" s="18"/>
      <c r="BS1809" s="18"/>
      <c r="BT1809" s="18"/>
      <c r="BU1809" s="18"/>
      <c r="BV1809" s="18"/>
    </row>
    <row r="1810" spans="1:74">
      <c r="A1810" s="18"/>
      <c r="B1810" s="19"/>
      <c r="BG1810" s="18"/>
      <c r="BH1810" s="18"/>
      <c r="BI1810" s="18"/>
      <c r="BJ1810" s="18"/>
      <c r="BK1810" s="18"/>
      <c r="BL1810" s="18"/>
      <c r="BM1810" s="18"/>
      <c r="BN1810" s="18"/>
      <c r="BO1810" s="18"/>
      <c r="BP1810" s="18"/>
      <c r="BQ1810" s="18"/>
      <c r="BR1810" s="18"/>
      <c r="BS1810" s="18"/>
      <c r="BT1810" s="18"/>
      <c r="BU1810" s="18"/>
      <c r="BV1810" s="18"/>
    </row>
    <row r="1811" spans="1:74">
      <c r="A1811" s="18"/>
      <c r="B1811" s="19"/>
      <c r="BG1811" s="18"/>
      <c r="BH1811" s="18"/>
      <c r="BI1811" s="18"/>
      <c r="BJ1811" s="18"/>
      <c r="BK1811" s="18"/>
      <c r="BL1811" s="18"/>
      <c r="BM1811" s="18"/>
      <c r="BN1811" s="18"/>
      <c r="BO1811" s="18"/>
      <c r="BP1811" s="18"/>
      <c r="BQ1811" s="18"/>
      <c r="BR1811" s="18"/>
      <c r="BS1811" s="18"/>
      <c r="BT1811" s="18"/>
      <c r="BU1811" s="18"/>
      <c r="BV1811" s="18"/>
    </row>
    <row r="1812" spans="1:74">
      <c r="A1812" s="18"/>
      <c r="B1812" s="19"/>
      <c r="BG1812" s="18"/>
      <c r="BH1812" s="18"/>
      <c r="BI1812" s="18"/>
      <c r="BJ1812" s="18"/>
      <c r="BK1812" s="18"/>
      <c r="BL1812" s="18"/>
      <c r="BM1812" s="18"/>
      <c r="BN1812" s="18"/>
      <c r="BO1812" s="18"/>
      <c r="BP1812" s="18"/>
      <c r="BQ1812" s="18"/>
      <c r="BR1812" s="18"/>
      <c r="BS1812" s="18"/>
      <c r="BT1812" s="18"/>
      <c r="BU1812" s="18"/>
      <c r="BV1812" s="18"/>
    </row>
    <row r="1813" spans="1:74">
      <c r="A1813" s="18"/>
      <c r="B1813" s="19"/>
      <c r="BG1813" s="18"/>
      <c r="BH1813" s="18"/>
      <c r="BI1813" s="18"/>
      <c r="BJ1813" s="18"/>
      <c r="BK1813" s="18"/>
      <c r="BL1813" s="18"/>
      <c r="BM1813" s="18"/>
      <c r="BN1813" s="18"/>
      <c r="BO1813" s="18"/>
      <c r="BP1813" s="18"/>
      <c r="BQ1813" s="18"/>
      <c r="BR1813" s="18"/>
      <c r="BS1813" s="18"/>
      <c r="BT1813" s="18"/>
      <c r="BU1813" s="18"/>
      <c r="BV1813" s="18"/>
    </row>
    <row r="1814" spans="1:74">
      <c r="A1814" s="18"/>
      <c r="B1814" s="19"/>
      <c r="BG1814" s="18"/>
      <c r="BH1814" s="18"/>
      <c r="BI1814" s="18"/>
      <c r="BJ1814" s="18"/>
      <c r="BK1814" s="18"/>
      <c r="BL1814" s="18"/>
      <c r="BM1814" s="18"/>
      <c r="BN1814" s="18"/>
      <c r="BO1814" s="18"/>
      <c r="BP1814" s="18"/>
      <c r="BQ1814" s="18"/>
      <c r="BR1814" s="18"/>
      <c r="BS1814" s="18"/>
      <c r="BT1814" s="18"/>
      <c r="BU1814" s="18"/>
      <c r="BV1814" s="18"/>
    </row>
    <row r="1815" spans="1:74">
      <c r="A1815" s="18"/>
      <c r="B1815" s="19"/>
      <c r="BG1815" s="18"/>
      <c r="BH1815" s="18"/>
      <c r="BI1815" s="18"/>
      <c r="BJ1815" s="18"/>
      <c r="BK1815" s="18"/>
      <c r="BL1815" s="18"/>
      <c r="BM1815" s="18"/>
      <c r="BN1815" s="18"/>
      <c r="BO1815" s="18"/>
      <c r="BP1815" s="18"/>
      <c r="BQ1815" s="18"/>
      <c r="BR1815" s="18"/>
      <c r="BS1815" s="18"/>
      <c r="BT1815" s="18"/>
      <c r="BU1815" s="18"/>
      <c r="BV1815" s="18"/>
    </row>
    <row r="1816" spans="1:74">
      <c r="A1816" s="18"/>
      <c r="B1816" s="19"/>
      <c r="BG1816" s="18"/>
      <c r="BH1816" s="18"/>
      <c r="BI1816" s="18"/>
      <c r="BJ1816" s="18"/>
      <c r="BK1816" s="18"/>
      <c r="BL1816" s="18"/>
      <c r="BM1816" s="18"/>
      <c r="BN1816" s="18"/>
      <c r="BO1816" s="18"/>
      <c r="BP1816" s="18"/>
      <c r="BQ1816" s="18"/>
      <c r="BR1816" s="18"/>
      <c r="BS1816" s="18"/>
      <c r="BT1816" s="18"/>
      <c r="BU1816" s="18"/>
      <c r="BV1816" s="18"/>
    </row>
    <row r="1817" spans="1:74">
      <c r="A1817" s="18"/>
      <c r="B1817" s="19"/>
      <c r="BG1817" s="18"/>
      <c r="BH1817" s="18"/>
      <c r="BI1817" s="18"/>
      <c r="BJ1817" s="18"/>
      <c r="BK1817" s="18"/>
      <c r="BL1817" s="18"/>
      <c r="BM1817" s="18"/>
      <c r="BN1817" s="18"/>
      <c r="BO1817" s="18"/>
      <c r="BP1817" s="18"/>
      <c r="BQ1817" s="18"/>
      <c r="BR1817" s="18"/>
      <c r="BS1817" s="18"/>
      <c r="BT1817" s="18"/>
      <c r="BU1817" s="18"/>
      <c r="BV1817" s="18"/>
    </row>
    <row r="1818" spans="1:74">
      <c r="A1818" s="18"/>
      <c r="B1818" s="19"/>
      <c r="BG1818" s="18"/>
      <c r="BH1818" s="18"/>
      <c r="BI1818" s="18"/>
      <c r="BJ1818" s="18"/>
      <c r="BK1818" s="18"/>
      <c r="BL1818" s="18"/>
      <c r="BM1818" s="18"/>
      <c r="BN1818" s="18"/>
      <c r="BO1818" s="18"/>
      <c r="BP1818" s="18"/>
      <c r="BQ1818" s="18"/>
      <c r="BR1818" s="18"/>
      <c r="BS1818" s="18"/>
      <c r="BT1818" s="18"/>
      <c r="BU1818" s="18"/>
      <c r="BV1818" s="18"/>
    </row>
    <row r="1819" spans="1:74">
      <c r="A1819" s="18"/>
      <c r="B1819" s="19"/>
      <c r="BG1819" s="18"/>
      <c r="BH1819" s="18"/>
      <c r="BI1819" s="18"/>
      <c r="BJ1819" s="18"/>
      <c r="BK1819" s="18"/>
      <c r="BL1819" s="18"/>
      <c r="BM1819" s="18"/>
      <c r="BN1819" s="18"/>
      <c r="BO1819" s="18"/>
      <c r="BP1819" s="18"/>
      <c r="BQ1819" s="18"/>
      <c r="BR1819" s="18"/>
      <c r="BS1819" s="18"/>
      <c r="BT1819" s="18"/>
      <c r="BU1819" s="18"/>
      <c r="BV1819" s="18"/>
    </row>
    <row r="1820" spans="1:74">
      <c r="A1820" s="18"/>
      <c r="B1820" s="19"/>
      <c r="BG1820" s="18"/>
      <c r="BH1820" s="18"/>
      <c r="BI1820" s="18"/>
      <c r="BJ1820" s="18"/>
      <c r="BK1820" s="18"/>
      <c r="BL1820" s="18"/>
      <c r="BM1820" s="18"/>
      <c r="BN1820" s="18"/>
      <c r="BO1820" s="18"/>
      <c r="BP1820" s="18"/>
      <c r="BQ1820" s="18"/>
      <c r="BR1820" s="18"/>
      <c r="BS1820" s="18"/>
      <c r="BT1820" s="18"/>
      <c r="BU1820" s="18"/>
      <c r="BV1820" s="18"/>
    </row>
    <row r="1821" spans="1:74">
      <c r="A1821" s="18"/>
      <c r="B1821" s="19"/>
      <c r="BG1821" s="18"/>
      <c r="BH1821" s="18"/>
      <c r="BI1821" s="18"/>
      <c r="BJ1821" s="18"/>
      <c r="BK1821" s="18"/>
      <c r="BL1821" s="18"/>
      <c r="BM1821" s="18"/>
      <c r="BN1821" s="18"/>
      <c r="BO1821" s="18"/>
      <c r="BP1821" s="18"/>
      <c r="BQ1821" s="18"/>
      <c r="BR1821" s="18"/>
      <c r="BS1821" s="18"/>
      <c r="BT1821" s="18"/>
      <c r="BU1821" s="18"/>
      <c r="BV1821" s="18"/>
    </row>
    <row r="1822" spans="1:74">
      <c r="A1822" s="18"/>
      <c r="B1822" s="19"/>
      <c r="BG1822" s="18"/>
      <c r="BH1822" s="18"/>
      <c r="BI1822" s="18"/>
      <c r="BJ1822" s="18"/>
      <c r="BK1822" s="18"/>
      <c r="BL1822" s="18"/>
      <c r="BM1822" s="18"/>
      <c r="BN1822" s="18"/>
      <c r="BO1822" s="18"/>
      <c r="BP1822" s="18"/>
      <c r="BQ1822" s="18"/>
      <c r="BR1822" s="18"/>
      <c r="BS1822" s="18"/>
      <c r="BT1822" s="18"/>
      <c r="BU1822" s="18"/>
      <c r="BV1822" s="18"/>
    </row>
    <row r="1823" spans="1:74">
      <c r="A1823" s="18"/>
      <c r="B1823" s="19"/>
      <c r="BG1823" s="18"/>
      <c r="BH1823" s="18"/>
      <c r="BI1823" s="18"/>
      <c r="BJ1823" s="18"/>
      <c r="BK1823" s="18"/>
      <c r="BL1823" s="18"/>
      <c r="BM1823" s="18"/>
      <c r="BN1823" s="18"/>
      <c r="BO1823" s="18"/>
      <c r="BP1823" s="18"/>
      <c r="BQ1823" s="18"/>
      <c r="BR1823" s="18"/>
      <c r="BS1823" s="18"/>
      <c r="BT1823" s="18"/>
      <c r="BU1823" s="18"/>
      <c r="BV1823" s="18"/>
    </row>
    <row r="1824" spans="1:74">
      <c r="A1824" s="18"/>
      <c r="B1824" s="19"/>
      <c r="BG1824" s="18"/>
      <c r="BH1824" s="18"/>
      <c r="BI1824" s="18"/>
      <c r="BJ1824" s="18"/>
      <c r="BK1824" s="18"/>
      <c r="BL1824" s="18"/>
      <c r="BM1824" s="18"/>
      <c r="BN1824" s="18"/>
      <c r="BO1824" s="18"/>
      <c r="BP1824" s="18"/>
      <c r="BQ1824" s="18"/>
      <c r="BR1824" s="18"/>
      <c r="BS1824" s="18"/>
      <c r="BT1824" s="18"/>
      <c r="BU1824" s="18"/>
      <c r="BV1824" s="18"/>
    </row>
    <row r="1825" spans="1:74">
      <c r="A1825" s="18"/>
      <c r="B1825" s="19"/>
      <c r="BG1825" s="18"/>
      <c r="BH1825" s="18"/>
      <c r="BI1825" s="18"/>
      <c r="BJ1825" s="18"/>
      <c r="BK1825" s="18"/>
      <c r="BL1825" s="18"/>
      <c r="BM1825" s="18"/>
      <c r="BN1825" s="18"/>
      <c r="BO1825" s="18"/>
      <c r="BP1825" s="18"/>
      <c r="BQ1825" s="18"/>
      <c r="BR1825" s="18"/>
      <c r="BS1825" s="18"/>
      <c r="BT1825" s="18"/>
      <c r="BU1825" s="18"/>
      <c r="BV1825" s="18"/>
    </row>
    <row r="1826" spans="1:74">
      <c r="A1826" s="18"/>
      <c r="B1826" s="19"/>
      <c r="BG1826" s="18"/>
      <c r="BH1826" s="18"/>
      <c r="BI1826" s="18"/>
      <c r="BJ1826" s="18"/>
      <c r="BK1826" s="18"/>
      <c r="BL1826" s="18"/>
      <c r="BM1826" s="18"/>
      <c r="BN1826" s="18"/>
      <c r="BO1826" s="18"/>
      <c r="BP1826" s="18"/>
      <c r="BQ1826" s="18"/>
      <c r="BR1826" s="18"/>
      <c r="BS1826" s="18"/>
      <c r="BT1826" s="18"/>
      <c r="BU1826" s="18"/>
      <c r="BV1826" s="18"/>
    </row>
    <row r="1827" spans="1:74">
      <c r="A1827" s="18"/>
      <c r="B1827" s="19"/>
      <c r="BG1827" s="18"/>
      <c r="BH1827" s="18"/>
      <c r="BI1827" s="18"/>
      <c r="BJ1827" s="18"/>
      <c r="BK1827" s="18"/>
      <c r="BL1827" s="18"/>
      <c r="BM1827" s="18"/>
      <c r="BN1827" s="18"/>
      <c r="BO1827" s="18"/>
      <c r="BP1827" s="18"/>
      <c r="BQ1827" s="18"/>
      <c r="BR1827" s="18"/>
      <c r="BS1827" s="18"/>
      <c r="BT1827" s="18"/>
      <c r="BU1827" s="18"/>
      <c r="BV1827" s="18"/>
    </row>
    <row r="1828" spans="1:74">
      <c r="A1828" s="18"/>
      <c r="B1828" s="19"/>
      <c r="BG1828" s="18"/>
      <c r="BH1828" s="18"/>
      <c r="BI1828" s="18"/>
      <c r="BJ1828" s="18"/>
      <c r="BK1828" s="18"/>
      <c r="BL1828" s="18"/>
      <c r="BM1828" s="18"/>
      <c r="BN1828" s="18"/>
      <c r="BO1828" s="18"/>
      <c r="BP1828" s="18"/>
      <c r="BQ1828" s="18"/>
      <c r="BR1828" s="18"/>
      <c r="BS1828" s="18"/>
      <c r="BT1828" s="18"/>
      <c r="BU1828" s="18"/>
      <c r="BV1828" s="18"/>
    </row>
    <row r="1829" spans="1:74">
      <c r="A1829" s="18"/>
      <c r="B1829" s="19"/>
      <c r="BG1829" s="18"/>
      <c r="BH1829" s="18"/>
      <c r="BI1829" s="18"/>
      <c r="BJ1829" s="18"/>
      <c r="BK1829" s="18"/>
      <c r="BL1829" s="18"/>
      <c r="BM1829" s="18"/>
      <c r="BN1829" s="18"/>
      <c r="BO1829" s="18"/>
      <c r="BP1829" s="18"/>
      <c r="BQ1829" s="18"/>
      <c r="BR1829" s="18"/>
      <c r="BS1829" s="18"/>
      <c r="BT1829" s="18"/>
      <c r="BU1829" s="18"/>
      <c r="BV1829" s="18"/>
    </row>
    <row r="1830" spans="1:74">
      <c r="A1830" s="18"/>
      <c r="B1830" s="19"/>
      <c r="BG1830" s="18"/>
      <c r="BH1830" s="18"/>
      <c r="BI1830" s="18"/>
      <c r="BJ1830" s="18"/>
      <c r="BK1830" s="18"/>
      <c r="BL1830" s="18"/>
      <c r="BM1830" s="18"/>
      <c r="BN1830" s="18"/>
      <c r="BO1830" s="18"/>
      <c r="BP1830" s="18"/>
      <c r="BQ1830" s="18"/>
      <c r="BR1830" s="18"/>
      <c r="BS1830" s="18"/>
      <c r="BT1830" s="18"/>
      <c r="BU1830" s="18"/>
      <c r="BV1830" s="18"/>
    </row>
    <row r="1831" spans="1:74">
      <c r="A1831" s="18"/>
      <c r="B1831" s="19"/>
      <c r="BG1831" s="18"/>
      <c r="BH1831" s="18"/>
      <c r="BI1831" s="18"/>
      <c r="BJ1831" s="18"/>
      <c r="BK1831" s="18"/>
      <c r="BL1831" s="18"/>
      <c r="BM1831" s="18"/>
      <c r="BN1831" s="18"/>
      <c r="BO1831" s="18"/>
      <c r="BP1831" s="18"/>
      <c r="BQ1831" s="18"/>
      <c r="BR1831" s="18"/>
      <c r="BS1831" s="18"/>
      <c r="BT1831" s="18"/>
      <c r="BU1831" s="18"/>
      <c r="BV1831" s="18"/>
    </row>
    <row r="1832" spans="1:74">
      <c r="A1832" s="18"/>
      <c r="B1832" s="19"/>
      <c r="BG1832" s="18"/>
      <c r="BH1832" s="18"/>
      <c r="BI1832" s="18"/>
      <c r="BJ1832" s="18"/>
      <c r="BK1832" s="18"/>
      <c r="BL1832" s="18"/>
      <c r="BM1832" s="18"/>
      <c r="BN1832" s="18"/>
      <c r="BO1832" s="18"/>
      <c r="BP1832" s="18"/>
      <c r="BQ1832" s="18"/>
      <c r="BR1832" s="18"/>
      <c r="BS1832" s="18"/>
      <c r="BT1832" s="18"/>
      <c r="BU1832" s="18"/>
      <c r="BV1832" s="18"/>
    </row>
    <row r="1833" spans="1:74">
      <c r="A1833" s="18"/>
      <c r="B1833" s="19"/>
      <c r="BG1833" s="18"/>
      <c r="BH1833" s="18"/>
      <c r="BI1833" s="18"/>
      <c r="BJ1833" s="18"/>
      <c r="BK1833" s="18"/>
      <c r="BL1833" s="18"/>
      <c r="BM1833" s="18"/>
      <c r="BN1833" s="18"/>
      <c r="BO1833" s="18"/>
      <c r="BP1833" s="18"/>
      <c r="BQ1833" s="18"/>
      <c r="BR1833" s="18"/>
      <c r="BS1833" s="18"/>
      <c r="BT1833" s="18"/>
      <c r="BU1833" s="18"/>
      <c r="BV1833" s="18"/>
    </row>
    <row r="1834" spans="1:74">
      <c r="A1834" s="18"/>
      <c r="B1834" s="19"/>
      <c r="BG1834" s="18"/>
      <c r="BH1834" s="18"/>
      <c r="BI1834" s="18"/>
      <c r="BJ1834" s="18"/>
      <c r="BK1834" s="18"/>
      <c r="BL1834" s="18"/>
      <c r="BM1834" s="18"/>
      <c r="BN1834" s="18"/>
      <c r="BO1834" s="18"/>
      <c r="BP1834" s="18"/>
      <c r="BQ1834" s="18"/>
      <c r="BR1834" s="18"/>
      <c r="BS1834" s="18"/>
      <c r="BT1834" s="18"/>
      <c r="BU1834" s="18"/>
      <c r="BV1834" s="18"/>
    </row>
    <row r="1835" spans="1:74">
      <c r="A1835" s="18"/>
      <c r="B1835" s="19"/>
      <c r="BG1835" s="18"/>
      <c r="BH1835" s="18"/>
      <c r="BI1835" s="18"/>
      <c r="BJ1835" s="18"/>
      <c r="BK1835" s="18"/>
      <c r="BL1835" s="18"/>
      <c r="BM1835" s="18"/>
      <c r="BN1835" s="18"/>
      <c r="BO1835" s="18"/>
      <c r="BP1835" s="18"/>
      <c r="BQ1835" s="18"/>
      <c r="BR1835" s="18"/>
      <c r="BS1835" s="18"/>
      <c r="BT1835" s="18"/>
      <c r="BU1835" s="18"/>
      <c r="BV1835" s="18"/>
    </row>
    <row r="1836" spans="1:74">
      <c r="A1836" s="18"/>
      <c r="B1836" s="19"/>
      <c r="BG1836" s="18"/>
      <c r="BH1836" s="18"/>
      <c r="BI1836" s="18"/>
      <c r="BJ1836" s="18"/>
      <c r="BK1836" s="18"/>
      <c r="BL1836" s="18"/>
      <c r="BM1836" s="18"/>
      <c r="BN1836" s="18"/>
      <c r="BO1836" s="18"/>
      <c r="BP1836" s="18"/>
      <c r="BQ1836" s="18"/>
      <c r="BR1836" s="18"/>
      <c r="BS1836" s="18"/>
      <c r="BT1836" s="18"/>
      <c r="BU1836" s="18"/>
      <c r="BV1836" s="18"/>
    </row>
    <row r="1837" spans="1:74">
      <c r="A1837" s="18"/>
      <c r="B1837" s="19"/>
      <c r="BG1837" s="18"/>
      <c r="BH1837" s="18"/>
      <c r="BI1837" s="18"/>
      <c r="BJ1837" s="18"/>
      <c r="BK1837" s="18"/>
      <c r="BL1837" s="18"/>
      <c r="BM1837" s="18"/>
      <c r="BN1837" s="18"/>
      <c r="BO1837" s="18"/>
      <c r="BP1837" s="18"/>
      <c r="BQ1837" s="18"/>
      <c r="BR1837" s="18"/>
      <c r="BS1837" s="18"/>
      <c r="BT1837" s="18"/>
      <c r="BU1837" s="18"/>
      <c r="BV1837" s="18"/>
    </row>
    <row r="1838" spans="1:74">
      <c r="A1838" s="18"/>
      <c r="B1838" s="19"/>
      <c r="BG1838" s="18"/>
      <c r="BH1838" s="18"/>
      <c r="BI1838" s="18"/>
      <c r="BJ1838" s="18"/>
      <c r="BK1838" s="18"/>
      <c r="BL1838" s="18"/>
      <c r="BM1838" s="18"/>
      <c r="BN1838" s="18"/>
      <c r="BO1838" s="18"/>
      <c r="BP1838" s="18"/>
      <c r="BQ1838" s="18"/>
      <c r="BR1838" s="18"/>
      <c r="BS1838" s="18"/>
      <c r="BT1838" s="18"/>
      <c r="BU1838" s="18"/>
      <c r="BV1838" s="18"/>
    </row>
    <row r="1839" spans="1:74">
      <c r="A1839" s="18"/>
      <c r="B1839" s="19"/>
      <c r="BG1839" s="18"/>
      <c r="BH1839" s="18"/>
      <c r="BI1839" s="18"/>
      <c r="BJ1839" s="18"/>
      <c r="BK1839" s="18"/>
      <c r="BL1839" s="18"/>
      <c r="BM1839" s="18"/>
      <c r="BN1839" s="18"/>
      <c r="BO1839" s="18"/>
      <c r="BP1839" s="18"/>
      <c r="BQ1839" s="18"/>
      <c r="BR1839" s="18"/>
      <c r="BS1839" s="18"/>
      <c r="BT1839" s="18"/>
      <c r="BU1839" s="18"/>
      <c r="BV1839" s="18"/>
    </row>
    <row r="1840" spans="1:74">
      <c r="A1840" s="18"/>
      <c r="B1840" s="19"/>
      <c r="BG1840" s="18"/>
      <c r="BH1840" s="18"/>
      <c r="BI1840" s="18"/>
      <c r="BJ1840" s="18"/>
      <c r="BK1840" s="18"/>
      <c r="BL1840" s="18"/>
      <c r="BM1840" s="18"/>
      <c r="BN1840" s="18"/>
      <c r="BO1840" s="18"/>
      <c r="BP1840" s="18"/>
      <c r="BQ1840" s="18"/>
      <c r="BR1840" s="18"/>
      <c r="BS1840" s="18"/>
      <c r="BT1840" s="18"/>
      <c r="BU1840" s="18"/>
      <c r="BV1840" s="18"/>
    </row>
    <row r="1841" spans="1:74">
      <c r="A1841" s="18"/>
      <c r="B1841" s="19"/>
      <c r="BG1841" s="18"/>
      <c r="BH1841" s="18"/>
      <c r="BI1841" s="18"/>
      <c r="BJ1841" s="18"/>
      <c r="BK1841" s="18"/>
      <c r="BL1841" s="18"/>
      <c r="BM1841" s="18"/>
      <c r="BN1841" s="18"/>
      <c r="BO1841" s="18"/>
      <c r="BP1841" s="18"/>
      <c r="BQ1841" s="18"/>
      <c r="BR1841" s="18"/>
      <c r="BS1841" s="18"/>
      <c r="BT1841" s="18"/>
      <c r="BU1841" s="18"/>
      <c r="BV1841" s="18"/>
    </row>
    <row r="1842" spans="1:74">
      <c r="A1842" s="18"/>
      <c r="B1842" s="19"/>
      <c r="BG1842" s="18"/>
      <c r="BH1842" s="18"/>
      <c r="BI1842" s="18"/>
      <c r="BJ1842" s="18"/>
      <c r="BK1842" s="18"/>
      <c r="BL1842" s="18"/>
      <c r="BM1842" s="18"/>
      <c r="BN1842" s="18"/>
      <c r="BO1842" s="18"/>
      <c r="BP1842" s="18"/>
      <c r="BQ1842" s="18"/>
      <c r="BR1842" s="18"/>
      <c r="BS1842" s="18"/>
      <c r="BT1842" s="18"/>
      <c r="BU1842" s="18"/>
      <c r="BV1842" s="18"/>
    </row>
    <row r="1843" spans="1:74">
      <c r="A1843" s="18"/>
      <c r="B1843" s="19"/>
      <c r="BG1843" s="18"/>
      <c r="BH1843" s="18"/>
      <c r="BI1843" s="18"/>
      <c r="BJ1843" s="18"/>
      <c r="BK1843" s="18"/>
      <c r="BL1843" s="18"/>
      <c r="BM1843" s="18"/>
      <c r="BN1843" s="18"/>
      <c r="BO1843" s="18"/>
      <c r="BP1843" s="18"/>
      <c r="BQ1843" s="18"/>
      <c r="BR1843" s="18"/>
      <c r="BS1843" s="18"/>
      <c r="BT1843" s="18"/>
      <c r="BU1843" s="18"/>
      <c r="BV1843" s="18"/>
    </row>
    <row r="1844" spans="1:74">
      <c r="A1844" s="18"/>
      <c r="B1844" s="19"/>
      <c r="BG1844" s="18"/>
      <c r="BH1844" s="18"/>
      <c r="BI1844" s="18"/>
      <c r="BJ1844" s="18"/>
      <c r="BK1844" s="18"/>
      <c r="BL1844" s="18"/>
      <c r="BM1844" s="18"/>
      <c r="BN1844" s="18"/>
      <c r="BO1844" s="18"/>
      <c r="BP1844" s="18"/>
      <c r="BQ1844" s="18"/>
      <c r="BR1844" s="18"/>
      <c r="BS1844" s="18"/>
      <c r="BT1844" s="18"/>
      <c r="BU1844" s="18"/>
      <c r="BV1844" s="18"/>
    </row>
    <row r="1845" spans="1:74">
      <c r="A1845" s="18"/>
      <c r="B1845" s="19"/>
      <c r="BG1845" s="18"/>
      <c r="BH1845" s="18"/>
      <c r="BI1845" s="18"/>
      <c r="BJ1845" s="18"/>
      <c r="BK1845" s="18"/>
      <c r="BL1845" s="18"/>
      <c r="BM1845" s="18"/>
      <c r="BN1845" s="18"/>
      <c r="BO1845" s="18"/>
      <c r="BP1845" s="18"/>
      <c r="BQ1845" s="18"/>
      <c r="BR1845" s="18"/>
      <c r="BS1845" s="18"/>
      <c r="BT1845" s="18"/>
      <c r="BU1845" s="18"/>
      <c r="BV1845" s="18"/>
    </row>
    <row r="1846" spans="1:74">
      <c r="A1846" s="18"/>
      <c r="B1846" s="19"/>
      <c r="BG1846" s="18"/>
      <c r="BH1846" s="18"/>
      <c r="BI1846" s="18"/>
      <c r="BJ1846" s="18"/>
      <c r="BK1846" s="18"/>
      <c r="BL1846" s="18"/>
      <c r="BM1846" s="18"/>
      <c r="BN1846" s="18"/>
      <c r="BO1846" s="18"/>
      <c r="BP1846" s="18"/>
      <c r="BQ1846" s="18"/>
      <c r="BR1846" s="18"/>
      <c r="BS1846" s="18"/>
      <c r="BT1846" s="18"/>
      <c r="BU1846" s="18"/>
      <c r="BV1846" s="18"/>
    </row>
    <row r="1847" spans="1:74">
      <c r="A1847" s="18"/>
      <c r="B1847" s="19"/>
      <c r="BG1847" s="18"/>
      <c r="BH1847" s="18"/>
      <c r="BI1847" s="18"/>
      <c r="BJ1847" s="18"/>
      <c r="BK1847" s="18"/>
      <c r="BL1847" s="18"/>
      <c r="BM1847" s="18"/>
      <c r="BN1847" s="18"/>
      <c r="BO1847" s="18"/>
      <c r="BP1847" s="18"/>
      <c r="BQ1847" s="18"/>
      <c r="BR1847" s="18"/>
      <c r="BS1847" s="18"/>
      <c r="BT1847" s="18"/>
      <c r="BU1847" s="18"/>
      <c r="BV1847" s="18"/>
    </row>
    <row r="1848" spans="1:74">
      <c r="A1848" s="18"/>
      <c r="B1848" s="19"/>
      <c r="BG1848" s="18"/>
      <c r="BH1848" s="18"/>
      <c r="BI1848" s="18"/>
      <c r="BJ1848" s="18"/>
      <c r="BK1848" s="18"/>
      <c r="BL1848" s="18"/>
      <c r="BM1848" s="18"/>
      <c r="BN1848" s="18"/>
      <c r="BO1848" s="18"/>
      <c r="BP1848" s="18"/>
      <c r="BQ1848" s="18"/>
      <c r="BR1848" s="18"/>
      <c r="BS1848" s="18"/>
      <c r="BT1848" s="18"/>
      <c r="BU1848" s="18"/>
      <c r="BV1848" s="18"/>
    </row>
    <row r="1849" spans="1:74">
      <c r="A1849" s="18"/>
      <c r="B1849" s="19"/>
      <c r="BG1849" s="18"/>
      <c r="BH1849" s="18"/>
      <c r="BI1849" s="18"/>
      <c r="BJ1849" s="18"/>
      <c r="BK1849" s="18"/>
      <c r="BL1849" s="18"/>
      <c r="BM1849" s="18"/>
      <c r="BN1849" s="18"/>
      <c r="BO1849" s="18"/>
      <c r="BP1849" s="18"/>
      <c r="BQ1849" s="18"/>
      <c r="BR1849" s="18"/>
      <c r="BS1849" s="18"/>
      <c r="BT1849" s="18"/>
      <c r="BU1849" s="18"/>
      <c r="BV1849" s="18"/>
    </row>
    <row r="1850" spans="1:74">
      <c r="A1850" s="18"/>
      <c r="B1850" s="19"/>
      <c r="BG1850" s="18"/>
      <c r="BH1850" s="18"/>
      <c r="BI1850" s="18"/>
      <c r="BJ1850" s="18"/>
      <c r="BK1850" s="18"/>
      <c r="BL1850" s="18"/>
      <c r="BM1850" s="18"/>
      <c r="BN1850" s="18"/>
      <c r="BO1850" s="18"/>
      <c r="BP1850" s="18"/>
      <c r="BQ1850" s="18"/>
      <c r="BR1850" s="18"/>
      <c r="BS1850" s="18"/>
      <c r="BT1850" s="18"/>
      <c r="BU1850" s="18"/>
      <c r="BV1850" s="18"/>
    </row>
    <row r="1851" spans="1:74">
      <c r="A1851" s="18"/>
      <c r="B1851" s="19"/>
      <c r="BG1851" s="18"/>
      <c r="BH1851" s="18"/>
      <c r="BI1851" s="18"/>
      <c r="BJ1851" s="18"/>
      <c r="BK1851" s="18"/>
      <c r="BL1851" s="18"/>
      <c r="BM1851" s="18"/>
      <c r="BN1851" s="18"/>
      <c r="BO1851" s="18"/>
      <c r="BP1851" s="18"/>
      <c r="BQ1851" s="18"/>
      <c r="BR1851" s="18"/>
      <c r="BS1851" s="18"/>
      <c r="BT1851" s="18"/>
      <c r="BU1851" s="18"/>
      <c r="BV1851" s="18"/>
    </row>
    <row r="1852" spans="1:74">
      <c r="A1852" s="18"/>
      <c r="B1852" s="19"/>
      <c r="BG1852" s="18"/>
      <c r="BH1852" s="18"/>
      <c r="BI1852" s="18"/>
      <c r="BJ1852" s="18"/>
      <c r="BK1852" s="18"/>
      <c r="BL1852" s="18"/>
      <c r="BM1852" s="18"/>
      <c r="BN1852" s="18"/>
      <c r="BO1852" s="18"/>
      <c r="BP1852" s="18"/>
      <c r="BQ1852" s="18"/>
      <c r="BR1852" s="18"/>
      <c r="BS1852" s="18"/>
      <c r="BT1852" s="18"/>
      <c r="BU1852" s="18"/>
      <c r="BV1852" s="18"/>
    </row>
    <row r="1853" spans="1:74">
      <c r="A1853" s="18"/>
      <c r="B1853" s="19"/>
      <c r="BG1853" s="18"/>
      <c r="BH1853" s="18"/>
      <c r="BI1853" s="18"/>
      <c r="BJ1853" s="18"/>
      <c r="BK1853" s="18"/>
      <c r="BL1853" s="18"/>
      <c r="BM1853" s="18"/>
      <c r="BN1853" s="18"/>
      <c r="BO1853" s="18"/>
      <c r="BP1853" s="18"/>
      <c r="BQ1853" s="18"/>
      <c r="BR1853" s="18"/>
      <c r="BS1853" s="18"/>
      <c r="BT1853" s="18"/>
      <c r="BU1853" s="18"/>
      <c r="BV1853" s="18"/>
    </row>
    <row r="1854" spans="1:74">
      <c r="A1854" s="18"/>
      <c r="B1854" s="19"/>
      <c r="BG1854" s="18"/>
      <c r="BH1854" s="18"/>
      <c r="BI1854" s="18"/>
      <c r="BJ1854" s="18"/>
      <c r="BK1854" s="18"/>
      <c r="BL1854" s="18"/>
      <c r="BM1854" s="18"/>
      <c r="BN1854" s="18"/>
      <c r="BO1854" s="18"/>
      <c r="BP1854" s="18"/>
      <c r="BQ1854" s="18"/>
      <c r="BR1854" s="18"/>
      <c r="BS1854" s="18"/>
      <c r="BT1854" s="18"/>
      <c r="BU1854" s="18"/>
      <c r="BV1854" s="18"/>
    </row>
    <row r="1855" spans="1:74">
      <c r="A1855" s="18"/>
      <c r="B1855" s="19"/>
      <c r="BG1855" s="18"/>
      <c r="BH1855" s="18"/>
      <c r="BI1855" s="18"/>
      <c r="BJ1855" s="18"/>
      <c r="BK1855" s="18"/>
      <c r="BL1855" s="18"/>
      <c r="BM1855" s="18"/>
      <c r="BN1855" s="18"/>
      <c r="BO1855" s="18"/>
      <c r="BP1855" s="18"/>
      <c r="BQ1855" s="18"/>
      <c r="BR1855" s="18"/>
      <c r="BS1855" s="18"/>
      <c r="BT1855" s="18"/>
      <c r="BU1855" s="18"/>
      <c r="BV1855" s="18"/>
    </row>
    <row r="1856" spans="1:74">
      <c r="A1856" s="18"/>
      <c r="B1856" s="19"/>
      <c r="BG1856" s="18"/>
      <c r="BH1856" s="18"/>
      <c r="BI1856" s="18"/>
      <c r="BJ1856" s="18"/>
      <c r="BK1856" s="18"/>
      <c r="BL1856" s="18"/>
      <c r="BM1856" s="18"/>
      <c r="BN1856" s="18"/>
      <c r="BO1856" s="18"/>
      <c r="BP1856" s="18"/>
      <c r="BQ1856" s="18"/>
      <c r="BR1856" s="18"/>
      <c r="BS1856" s="18"/>
      <c r="BT1856" s="18"/>
      <c r="BU1856" s="18"/>
      <c r="BV1856" s="18"/>
    </row>
    <row r="1857" spans="1:74">
      <c r="A1857" s="18"/>
      <c r="B1857" s="19"/>
      <c r="BG1857" s="18"/>
      <c r="BH1857" s="18"/>
      <c r="BI1857" s="18"/>
      <c r="BJ1857" s="18"/>
      <c r="BK1857" s="18"/>
      <c r="BL1857" s="18"/>
      <c r="BM1857" s="18"/>
      <c r="BN1857" s="18"/>
      <c r="BO1857" s="18"/>
      <c r="BP1857" s="18"/>
      <c r="BQ1857" s="18"/>
      <c r="BR1857" s="18"/>
      <c r="BS1857" s="18"/>
      <c r="BT1857" s="18"/>
      <c r="BU1857" s="18"/>
      <c r="BV1857" s="18"/>
    </row>
    <row r="1858" spans="1:74">
      <c r="A1858" s="18"/>
      <c r="B1858" s="19"/>
      <c r="BG1858" s="18"/>
      <c r="BH1858" s="18"/>
      <c r="BI1858" s="18"/>
      <c r="BJ1858" s="18"/>
      <c r="BK1858" s="18"/>
      <c r="BL1858" s="18"/>
      <c r="BM1858" s="18"/>
      <c r="BN1858" s="18"/>
      <c r="BO1858" s="18"/>
      <c r="BP1858" s="18"/>
      <c r="BQ1858" s="18"/>
      <c r="BR1858" s="18"/>
      <c r="BS1858" s="18"/>
      <c r="BT1858" s="18"/>
      <c r="BU1858" s="18"/>
      <c r="BV1858" s="18"/>
    </row>
    <row r="1859" spans="1:74">
      <c r="A1859" s="18"/>
      <c r="B1859" s="19"/>
      <c r="BG1859" s="18"/>
      <c r="BH1859" s="18"/>
      <c r="BI1859" s="18"/>
      <c r="BJ1859" s="18"/>
      <c r="BK1859" s="18"/>
      <c r="BL1859" s="18"/>
      <c r="BM1859" s="18"/>
      <c r="BN1859" s="18"/>
      <c r="BO1859" s="18"/>
      <c r="BP1859" s="18"/>
      <c r="BQ1859" s="18"/>
      <c r="BR1859" s="18"/>
      <c r="BS1859" s="18"/>
      <c r="BT1859" s="18"/>
      <c r="BU1859" s="18"/>
      <c r="BV1859" s="18"/>
    </row>
    <row r="1860" spans="1:74">
      <c r="A1860" s="18"/>
      <c r="B1860" s="19"/>
      <c r="BG1860" s="18"/>
      <c r="BH1860" s="18"/>
      <c r="BI1860" s="18"/>
      <c r="BJ1860" s="18"/>
      <c r="BK1860" s="18"/>
      <c r="BL1860" s="18"/>
      <c r="BM1860" s="18"/>
      <c r="BN1860" s="18"/>
      <c r="BO1860" s="18"/>
      <c r="BP1860" s="18"/>
      <c r="BQ1860" s="18"/>
      <c r="BR1860" s="18"/>
      <c r="BS1860" s="18"/>
      <c r="BT1860" s="18"/>
      <c r="BU1860" s="18"/>
      <c r="BV1860" s="18"/>
    </row>
    <row r="1861" spans="1:74">
      <c r="A1861" s="18"/>
      <c r="B1861" s="19"/>
      <c r="BG1861" s="18"/>
      <c r="BH1861" s="18"/>
      <c r="BI1861" s="18"/>
      <c r="BJ1861" s="18"/>
      <c r="BK1861" s="18"/>
      <c r="BL1861" s="18"/>
      <c r="BM1861" s="18"/>
      <c r="BN1861" s="18"/>
      <c r="BO1861" s="18"/>
      <c r="BP1861" s="18"/>
      <c r="BQ1861" s="18"/>
      <c r="BR1861" s="18"/>
      <c r="BS1861" s="18"/>
      <c r="BT1861" s="18"/>
      <c r="BU1861" s="18"/>
      <c r="BV1861" s="18"/>
    </row>
    <row r="1862" spans="1:74">
      <c r="A1862" s="18"/>
      <c r="B1862" s="19"/>
      <c r="BG1862" s="18"/>
      <c r="BH1862" s="18"/>
      <c r="BI1862" s="18"/>
      <c r="BJ1862" s="18"/>
      <c r="BK1862" s="18"/>
      <c r="BL1862" s="18"/>
      <c r="BM1862" s="18"/>
      <c r="BN1862" s="18"/>
      <c r="BO1862" s="18"/>
      <c r="BP1862" s="18"/>
      <c r="BQ1862" s="18"/>
      <c r="BR1862" s="18"/>
      <c r="BS1862" s="18"/>
      <c r="BT1862" s="18"/>
      <c r="BU1862" s="18"/>
      <c r="BV1862" s="18"/>
    </row>
    <row r="1863" spans="1:74">
      <c r="A1863" s="18"/>
      <c r="B1863" s="19"/>
      <c r="BG1863" s="18"/>
      <c r="BH1863" s="18"/>
      <c r="BI1863" s="18"/>
      <c r="BJ1863" s="18"/>
      <c r="BK1863" s="18"/>
      <c r="BL1863" s="18"/>
      <c r="BM1863" s="18"/>
      <c r="BN1863" s="18"/>
      <c r="BO1863" s="18"/>
      <c r="BP1863" s="18"/>
      <c r="BQ1863" s="18"/>
      <c r="BR1863" s="18"/>
      <c r="BS1863" s="18"/>
      <c r="BT1863" s="18"/>
      <c r="BU1863" s="18"/>
      <c r="BV1863" s="18"/>
    </row>
    <row r="1864" spans="1:74">
      <c r="A1864" s="18"/>
      <c r="B1864" s="19"/>
      <c r="BG1864" s="18"/>
      <c r="BH1864" s="18"/>
      <c r="BI1864" s="18"/>
      <c r="BJ1864" s="18"/>
      <c r="BK1864" s="18"/>
      <c r="BL1864" s="18"/>
      <c r="BM1864" s="18"/>
      <c r="BN1864" s="18"/>
      <c r="BO1864" s="18"/>
      <c r="BP1864" s="18"/>
      <c r="BQ1864" s="18"/>
      <c r="BR1864" s="18"/>
      <c r="BS1864" s="18"/>
      <c r="BT1864" s="18"/>
      <c r="BU1864" s="18"/>
      <c r="BV1864" s="18"/>
    </row>
    <row r="1865" spans="1:74">
      <c r="A1865" s="18"/>
      <c r="B1865" s="19"/>
      <c r="BG1865" s="18"/>
      <c r="BH1865" s="18"/>
      <c r="BI1865" s="18"/>
      <c r="BJ1865" s="18"/>
      <c r="BK1865" s="18"/>
      <c r="BL1865" s="18"/>
      <c r="BM1865" s="18"/>
      <c r="BN1865" s="18"/>
      <c r="BO1865" s="18"/>
      <c r="BP1865" s="18"/>
      <c r="BQ1865" s="18"/>
      <c r="BR1865" s="18"/>
      <c r="BS1865" s="18"/>
      <c r="BT1865" s="18"/>
      <c r="BU1865" s="18"/>
      <c r="BV1865" s="18"/>
    </row>
    <row r="1866" spans="1:74">
      <c r="A1866" s="18"/>
      <c r="B1866" s="19"/>
      <c r="BG1866" s="18"/>
      <c r="BH1866" s="18"/>
      <c r="BI1866" s="18"/>
      <c r="BJ1866" s="18"/>
      <c r="BK1866" s="18"/>
      <c r="BL1866" s="18"/>
      <c r="BM1866" s="18"/>
      <c r="BN1866" s="18"/>
      <c r="BO1866" s="18"/>
      <c r="BP1866" s="18"/>
      <c r="BQ1866" s="18"/>
      <c r="BR1866" s="18"/>
      <c r="BS1866" s="18"/>
      <c r="BT1866" s="18"/>
      <c r="BU1866" s="18"/>
      <c r="BV1866" s="18"/>
    </row>
    <row r="1867" spans="1:74">
      <c r="A1867" s="18"/>
      <c r="B1867" s="19"/>
      <c r="BG1867" s="18"/>
      <c r="BH1867" s="18"/>
      <c r="BI1867" s="18"/>
      <c r="BJ1867" s="18"/>
      <c r="BK1867" s="18"/>
      <c r="BL1867" s="18"/>
      <c r="BM1867" s="18"/>
      <c r="BN1867" s="18"/>
      <c r="BO1867" s="18"/>
      <c r="BP1867" s="18"/>
      <c r="BQ1867" s="18"/>
      <c r="BR1867" s="18"/>
      <c r="BS1867" s="18"/>
      <c r="BT1867" s="18"/>
      <c r="BU1867" s="18"/>
      <c r="BV1867" s="18"/>
    </row>
    <row r="1868" spans="1:74">
      <c r="A1868" s="18"/>
      <c r="B1868" s="19"/>
      <c r="BG1868" s="18"/>
      <c r="BH1868" s="18"/>
      <c r="BI1868" s="18"/>
      <c r="BJ1868" s="18"/>
      <c r="BK1868" s="18"/>
      <c r="BL1868" s="18"/>
      <c r="BM1868" s="18"/>
      <c r="BN1868" s="18"/>
      <c r="BO1868" s="18"/>
      <c r="BP1868" s="18"/>
      <c r="BQ1868" s="18"/>
      <c r="BR1868" s="18"/>
      <c r="BS1868" s="18"/>
      <c r="BT1868" s="18"/>
      <c r="BU1868" s="18"/>
      <c r="BV1868" s="18"/>
    </row>
    <row r="1869" spans="1:74">
      <c r="A1869" s="18"/>
      <c r="B1869" s="19"/>
      <c r="BG1869" s="18"/>
      <c r="BH1869" s="18"/>
      <c r="BI1869" s="18"/>
      <c r="BJ1869" s="18"/>
      <c r="BK1869" s="18"/>
      <c r="BL1869" s="18"/>
      <c r="BM1869" s="18"/>
      <c r="BN1869" s="18"/>
      <c r="BO1869" s="18"/>
      <c r="BP1869" s="18"/>
      <c r="BQ1869" s="18"/>
      <c r="BR1869" s="18"/>
      <c r="BS1869" s="18"/>
      <c r="BT1869" s="18"/>
      <c r="BU1869" s="18"/>
      <c r="BV1869" s="18"/>
    </row>
    <row r="1870" spans="1:74">
      <c r="A1870" s="18"/>
      <c r="B1870" s="19"/>
      <c r="BG1870" s="18"/>
      <c r="BH1870" s="18"/>
      <c r="BI1870" s="18"/>
      <c r="BJ1870" s="18"/>
      <c r="BK1870" s="18"/>
      <c r="BL1870" s="18"/>
      <c r="BM1870" s="18"/>
      <c r="BN1870" s="18"/>
      <c r="BO1870" s="18"/>
      <c r="BP1870" s="18"/>
      <c r="BQ1870" s="18"/>
      <c r="BR1870" s="18"/>
      <c r="BS1870" s="18"/>
      <c r="BT1870" s="18"/>
      <c r="BU1870" s="18"/>
      <c r="BV1870" s="18"/>
    </row>
    <row r="1871" spans="1:74">
      <c r="A1871" s="18"/>
      <c r="B1871" s="19"/>
      <c r="BG1871" s="18"/>
      <c r="BH1871" s="18"/>
      <c r="BI1871" s="18"/>
      <c r="BJ1871" s="18"/>
      <c r="BK1871" s="18"/>
      <c r="BL1871" s="18"/>
      <c r="BM1871" s="18"/>
      <c r="BN1871" s="18"/>
      <c r="BO1871" s="18"/>
      <c r="BP1871" s="18"/>
      <c r="BQ1871" s="18"/>
      <c r="BR1871" s="18"/>
      <c r="BS1871" s="18"/>
      <c r="BT1871" s="18"/>
      <c r="BU1871" s="18"/>
      <c r="BV1871" s="18"/>
    </row>
    <row r="1872" spans="1:74">
      <c r="A1872" s="18"/>
      <c r="B1872" s="19"/>
      <c r="BG1872" s="18"/>
      <c r="BH1872" s="18"/>
      <c r="BI1872" s="18"/>
      <c r="BJ1872" s="18"/>
      <c r="BK1872" s="18"/>
      <c r="BL1872" s="18"/>
      <c r="BM1872" s="18"/>
      <c r="BN1872" s="18"/>
      <c r="BO1872" s="18"/>
      <c r="BP1872" s="18"/>
      <c r="BQ1872" s="18"/>
      <c r="BR1872" s="18"/>
      <c r="BS1872" s="18"/>
      <c r="BT1872" s="18"/>
      <c r="BU1872" s="18"/>
      <c r="BV1872" s="18"/>
    </row>
    <row r="1873" spans="1:74">
      <c r="A1873" s="18"/>
      <c r="B1873" s="19"/>
      <c r="BG1873" s="18"/>
      <c r="BH1873" s="18"/>
      <c r="BI1873" s="18"/>
      <c r="BJ1873" s="18"/>
      <c r="BK1873" s="18"/>
      <c r="BL1873" s="18"/>
      <c r="BM1873" s="18"/>
      <c r="BN1873" s="18"/>
      <c r="BO1873" s="18"/>
      <c r="BP1873" s="18"/>
      <c r="BQ1873" s="18"/>
      <c r="BR1873" s="18"/>
      <c r="BS1873" s="18"/>
      <c r="BT1873" s="18"/>
      <c r="BU1873" s="18"/>
      <c r="BV1873" s="18"/>
    </row>
    <row r="1874" spans="1:74">
      <c r="A1874" s="18"/>
      <c r="B1874" s="19"/>
      <c r="BG1874" s="18"/>
      <c r="BH1874" s="18"/>
      <c r="BI1874" s="18"/>
      <c r="BJ1874" s="18"/>
      <c r="BK1874" s="18"/>
      <c r="BL1874" s="18"/>
      <c r="BM1874" s="18"/>
      <c r="BN1874" s="18"/>
      <c r="BO1874" s="18"/>
      <c r="BP1874" s="18"/>
      <c r="BQ1874" s="18"/>
      <c r="BR1874" s="18"/>
      <c r="BS1874" s="18"/>
      <c r="BT1874" s="18"/>
      <c r="BU1874" s="18"/>
      <c r="BV1874" s="18"/>
    </row>
    <row r="1875" spans="1:74">
      <c r="A1875" s="18"/>
      <c r="B1875" s="19"/>
      <c r="BG1875" s="18"/>
      <c r="BH1875" s="18"/>
      <c r="BI1875" s="18"/>
      <c r="BJ1875" s="18"/>
      <c r="BK1875" s="18"/>
      <c r="BL1875" s="18"/>
      <c r="BM1875" s="18"/>
      <c r="BN1875" s="18"/>
      <c r="BO1875" s="18"/>
      <c r="BP1875" s="18"/>
      <c r="BQ1875" s="18"/>
      <c r="BR1875" s="18"/>
      <c r="BS1875" s="18"/>
      <c r="BT1875" s="18"/>
      <c r="BU1875" s="18"/>
      <c r="BV1875" s="18"/>
    </row>
    <row r="1876" spans="1:74">
      <c r="A1876" s="18"/>
      <c r="B1876" s="19"/>
      <c r="BG1876" s="18"/>
      <c r="BH1876" s="18"/>
      <c r="BI1876" s="18"/>
      <c r="BJ1876" s="18"/>
      <c r="BK1876" s="18"/>
      <c r="BL1876" s="18"/>
      <c r="BM1876" s="18"/>
      <c r="BN1876" s="18"/>
      <c r="BO1876" s="18"/>
      <c r="BP1876" s="18"/>
      <c r="BQ1876" s="18"/>
      <c r="BR1876" s="18"/>
      <c r="BS1876" s="18"/>
      <c r="BT1876" s="18"/>
      <c r="BU1876" s="18"/>
      <c r="BV1876" s="18"/>
    </row>
    <row r="1877" spans="1:74">
      <c r="A1877" s="18"/>
      <c r="B1877" s="19"/>
      <c r="BG1877" s="18"/>
      <c r="BH1877" s="18"/>
      <c r="BI1877" s="18"/>
      <c r="BJ1877" s="18"/>
      <c r="BK1877" s="18"/>
      <c r="BL1877" s="18"/>
      <c r="BM1877" s="18"/>
      <c r="BN1877" s="18"/>
      <c r="BO1877" s="18"/>
      <c r="BP1877" s="18"/>
      <c r="BQ1877" s="18"/>
      <c r="BR1877" s="18"/>
      <c r="BS1877" s="18"/>
      <c r="BT1877" s="18"/>
      <c r="BU1877" s="18"/>
      <c r="BV1877" s="18"/>
    </row>
    <row r="1878" spans="1:74">
      <c r="A1878" s="18"/>
      <c r="B1878" s="19"/>
      <c r="BG1878" s="18"/>
      <c r="BH1878" s="18"/>
      <c r="BI1878" s="18"/>
      <c r="BJ1878" s="18"/>
      <c r="BK1878" s="18"/>
      <c r="BL1878" s="18"/>
      <c r="BM1878" s="18"/>
      <c r="BN1878" s="18"/>
      <c r="BO1878" s="18"/>
      <c r="BP1878" s="18"/>
      <c r="BQ1878" s="18"/>
      <c r="BR1878" s="18"/>
      <c r="BS1878" s="18"/>
      <c r="BT1878" s="18"/>
      <c r="BU1878" s="18"/>
      <c r="BV1878" s="18"/>
    </row>
    <row r="1879" spans="1:74">
      <c r="A1879" s="18"/>
      <c r="B1879" s="19"/>
      <c r="BG1879" s="18"/>
      <c r="BH1879" s="18"/>
      <c r="BI1879" s="18"/>
      <c r="BJ1879" s="18"/>
      <c r="BK1879" s="18"/>
      <c r="BL1879" s="18"/>
      <c r="BM1879" s="18"/>
      <c r="BN1879" s="18"/>
      <c r="BO1879" s="18"/>
      <c r="BP1879" s="18"/>
      <c r="BQ1879" s="18"/>
      <c r="BR1879" s="18"/>
      <c r="BS1879" s="18"/>
      <c r="BT1879" s="18"/>
      <c r="BU1879" s="18"/>
      <c r="BV1879" s="18"/>
    </row>
    <row r="1880" spans="1:74">
      <c r="A1880" s="18"/>
      <c r="B1880" s="19"/>
      <c r="BG1880" s="18"/>
      <c r="BH1880" s="18"/>
      <c r="BI1880" s="18"/>
      <c r="BJ1880" s="18"/>
      <c r="BK1880" s="18"/>
      <c r="BL1880" s="18"/>
      <c r="BM1880" s="18"/>
      <c r="BN1880" s="18"/>
      <c r="BO1880" s="18"/>
      <c r="BP1880" s="18"/>
      <c r="BQ1880" s="18"/>
      <c r="BR1880" s="18"/>
      <c r="BS1880" s="18"/>
      <c r="BT1880" s="18"/>
      <c r="BU1880" s="18"/>
      <c r="BV1880" s="18"/>
    </row>
    <row r="1881" spans="1:74">
      <c r="A1881" s="18"/>
      <c r="B1881" s="19"/>
      <c r="BG1881" s="18"/>
      <c r="BH1881" s="18"/>
      <c r="BI1881" s="18"/>
      <c r="BJ1881" s="18"/>
      <c r="BK1881" s="18"/>
      <c r="BL1881" s="18"/>
      <c r="BM1881" s="18"/>
      <c r="BN1881" s="18"/>
      <c r="BO1881" s="18"/>
      <c r="BP1881" s="18"/>
      <c r="BQ1881" s="18"/>
      <c r="BR1881" s="18"/>
      <c r="BS1881" s="18"/>
      <c r="BT1881" s="18"/>
      <c r="BU1881" s="18"/>
      <c r="BV1881" s="18"/>
    </row>
    <row r="1882" spans="1:74">
      <c r="A1882" s="18"/>
      <c r="B1882" s="19"/>
      <c r="BG1882" s="18"/>
      <c r="BH1882" s="18"/>
      <c r="BI1882" s="18"/>
      <c r="BJ1882" s="18"/>
      <c r="BK1882" s="18"/>
      <c r="BL1882" s="18"/>
      <c r="BM1882" s="18"/>
      <c r="BN1882" s="18"/>
      <c r="BO1882" s="18"/>
      <c r="BP1882" s="18"/>
      <c r="BQ1882" s="18"/>
      <c r="BR1882" s="18"/>
      <c r="BS1882" s="18"/>
      <c r="BT1882" s="18"/>
      <c r="BU1882" s="18"/>
      <c r="BV1882" s="18"/>
    </row>
    <row r="1883" spans="1:74">
      <c r="A1883" s="18"/>
      <c r="B1883" s="19"/>
      <c r="BG1883" s="18"/>
      <c r="BH1883" s="18"/>
      <c r="BI1883" s="18"/>
      <c r="BJ1883" s="18"/>
      <c r="BK1883" s="18"/>
      <c r="BL1883" s="18"/>
      <c r="BM1883" s="18"/>
      <c r="BN1883" s="18"/>
      <c r="BO1883" s="18"/>
      <c r="BP1883" s="18"/>
      <c r="BQ1883" s="18"/>
      <c r="BR1883" s="18"/>
      <c r="BS1883" s="18"/>
      <c r="BT1883" s="18"/>
      <c r="BU1883" s="18"/>
      <c r="BV1883" s="18"/>
    </row>
    <row r="1884" spans="1:74">
      <c r="A1884" s="18"/>
      <c r="B1884" s="19"/>
      <c r="BG1884" s="18"/>
      <c r="BH1884" s="18"/>
      <c r="BI1884" s="18"/>
      <c r="BJ1884" s="18"/>
      <c r="BK1884" s="18"/>
      <c r="BL1884" s="18"/>
      <c r="BM1884" s="18"/>
      <c r="BN1884" s="18"/>
      <c r="BO1884" s="18"/>
      <c r="BP1884" s="18"/>
      <c r="BQ1884" s="18"/>
      <c r="BR1884" s="18"/>
      <c r="BS1884" s="18"/>
      <c r="BT1884" s="18"/>
      <c r="BU1884" s="18"/>
      <c r="BV1884" s="18"/>
    </row>
    <row r="1885" spans="1:74">
      <c r="A1885" s="18"/>
      <c r="B1885" s="19"/>
      <c r="BG1885" s="18"/>
      <c r="BH1885" s="18"/>
      <c r="BI1885" s="18"/>
      <c r="BJ1885" s="18"/>
      <c r="BK1885" s="18"/>
      <c r="BL1885" s="18"/>
      <c r="BM1885" s="18"/>
      <c r="BN1885" s="18"/>
      <c r="BO1885" s="18"/>
      <c r="BP1885" s="18"/>
      <c r="BQ1885" s="18"/>
      <c r="BR1885" s="18"/>
      <c r="BS1885" s="18"/>
      <c r="BT1885" s="18"/>
      <c r="BU1885" s="18"/>
      <c r="BV1885" s="18"/>
    </row>
    <row r="1886" spans="1:74">
      <c r="A1886" s="18"/>
      <c r="B1886" s="19"/>
      <c r="BG1886" s="18"/>
      <c r="BH1886" s="18"/>
      <c r="BI1886" s="18"/>
      <c r="BJ1886" s="18"/>
      <c r="BK1886" s="18"/>
      <c r="BL1886" s="18"/>
      <c r="BM1886" s="18"/>
      <c r="BN1886" s="18"/>
      <c r="BO1886" s="18"/>
      <c r="BP1886" s="18"/>
      <c r="BQ1886" s="18"/>
      <c r="BR1886" s="18"/>
      <c r="BS1886" s="18"/>
      <c r="BT1886" s="18"/>
      <c r="BU1886" s="18"/>
      <c r="BV1886" s="18"/>
    </row>
    <row r="1887" spans="1:74">
      <c r="A1887" s="18"/>
      <c r="B1887" s="19"/>
      <c r="BG1887" s="18"/>
      <c r="BH1887" s="18"/>
      <c r="BI1887" s="18"/>
      <c r="BJ1887" s="18"/>
      <c r="BK1887" s="18"/>
      <c r="BL1887" s="18"/>
      <c r="BM1887" s="18"/>
      <c r="BN1887" s="18"/>
      <c r="BO1887" s="18"/>
      <c r="BP1887" s="18"/>
      <c r="BQ1887" s="18"/>
      <c r="BR1887" s="18"/>
      <c r="BS1887" s="18"/>
      <c r="BT1887" s="18"/>
      <c r="BU1887" s="18"/>
      <c r="BV1887" s="18"/>
    </row>
    <row r="1888" spans="1:74">
      <c r="A1888" s="18"/>
      <c r="B1888" s="19"/>
      <c r="BG1888" s="18"/>
      <c r="BH1888" s="18"/>
      <c r="BI1888" s="18"/>
      <c r="BJ1888" s="18"/>
      <c r="BK1888" s="18"/>
      <c r="BL1888" s="18"/>
      <c r="BM1888" s="18"/>
      <c r="BN1888" s="18"/>
      <c r="BO1888" s="18"/>
      <c r="BP1888" s="18"/>
      <c r="BQ1888" s="18"/>
      <c r="BR1888" s="18"/>
      <c r="BS1888" s="18"/>
      <c r="BT1888" s="18"/>
      <c r="BU1888" s="18"/>
      <c r="BV1888" s="18"/>
    </row>
    <row r="1889" spans="1:74">
      <c r="A1889" s="18"/>
      <c r="B1889" s="19"/>
      <c r="BG1889" s="18"/>
      <c r="BH1889" s="18"/>
      <c r="BI1889" s="18"/>
      <c r="BJ1889" s="18"/>
      <c r="BK1889" s="18"/>
      <c r="BL1889" s="18"/>
      <c r="BM1889" s="18"/>
      <c r="BN1889" s="18"/>
      <c r="BO1889" s="18"/>
      <c r="BP1889" s="18"/>
      <c r="BQ1889" s="18"/>
      <c r="BR1889" s="18"/>
      <c r="BS1889" s="18"/>
      <c r="BT1889" s="18"/>
      <c r="BU1889" s="18"/>
      <c r="BV1889" s="18"/>
    </row>
    <row r="1890" spans="1:74">
      <c r="A1890" s="18"/>
      <c r="B1890" s="19"/>
      <c r="BG1890" s="18"/>
      <c r="BH1890" s="18"/>
      <c r="BI1890" s="18"/>
      <c r="BJ1890" s="18"/>
      <c r="BK1890" s="18"/>
      <c r="BL1890" s="18"/>
      <c r="BM1890" s="18"/>
      <c r="BN1890" s="18"/>
      <c r="BO1890" s="18"/>
      <c r="BP1890" s="18"/>
      <c r="BQ1890" s="18"/>
      <c r="BR1890" s="18"/>
      <c r="BS1890" s="18"/>
      <c r="BT1890" s="18"/>
      <c r="BU1890" s="18"/>
      <c r="BV1890" s="18"/>
    </row>
    <row r="1891" spans="1:74">
      <c r="A1891" s="18"/>
      <c r="B1891" s="19"/>
      <c r="BG1891" s="18"/>
      <c r="BH1891" s="18"/>
      <c r="BI1891" s="18"/>
      <c r="BJ1891" s="18"/>
      <c r="BK1891" s="18"/>
      <c r="BL1891" s="18"/>
      <c r="BM1891" s="18"/>
      <c r="BN1891" s="18"/>
      <c r="BO1891" s="18"/>
      <c r="BP1891" s="18"/>
      <c r="BQ1891" s="18"/>
      <c r="BR1891" s="18"/>
      <c r="BS1891" s="18"/>
      <c r="BT1891" s="18"/>
      <c r="BU1891" s="18"/>
      <c r="BV1891" s="18"/>
    </row>
    <row r="1892" spans="1:74">
      <c r="A1892" s="18"/>
      <c r="B1892" s="19"/>
      <c r="BG1892" s="18"/>
      <c r="BH1892" s="18"/>
      <c r="BI1892" s="18"/>
      <c r="BJ1892" s="18"/>
      <c r="BK1892" s="18"/>
      <c r="BL1892" s="18"/>
      <c r="BM1892" s="18"/>
      <c r="BN1892" s="18"/>
      <c r="BO1892" s="18"/>
      <c r="BP1892" s="18"/>
      <c r="BQ1892" s="18"/>
      <c r="BR1892" s="18"/>
      <c r="BS1892" s="18"/>
      <c r="BT1892" s="18"/>
      <c r="BU1892" s="18"/>
      <c r="BV1892" s="18"/>
    </row>
    <row r="1893" spans="1:74">
      <c r="A1893" s="18"/>
      <c r="B1893" s="19"/>
      <c r="BG1893" s="18"/>
      <c r="BH1893" s="18"/>
      <c r="BI1893" s="18"/>
      <c r="BJ1893" s="18"/>
      <c r="BK1893" s="18"/>
      <c r="BL1893" s="18"/>
      <c r="BM1893" s="18"/>
      <c r="BN1893" s="18"/>
      <c r="BO1893" s="18"/>
      <c r="BP1893" s="18"/>
      <c r="BQ1893" s="18"/>
      <c r="BR1893" s="18"/>
      <c r="BS1893" s="18"/>
      <c r="BT1893" s="18"/>
      <c r="BU1893" s="18"/>
      <c r="BV1893" s="18"/>
    </row>
    <row r="1894" spans="1:74">
      <c r="A1894" s="18"/>
      <c r="B1894" s="19"/>
      <c r="BG1894" s="18"/>
      <c r="BH1894" s="18"/>
      <c r="BI1894" s="18"/>
      <c r="BJ1894" s="18"/>
      <c r="BK1894" s="18"/>
      <c r="BL1894" s="18"/>
      <c r="BM1894" s="18"/>
      <c r="BN1894" s="18"/>
      <c r="BO1894" s="18"/>
      <c r="BP1894" s="18"/>
      <c r="BQ1894" s="18"/>
      <c r="BR1894" s="18"/>
      <c r="BS1894" s="18"/>
      <c r="BT1894" s="18"/>
      <c r="BU1894" s="18"/>
      <c r="BV1894" s="18"/>
    </row>
    <row r="1895" spans="1:74">
      <c r="A1895" s="18"/>
      <c r="B1895" s="19"/>
      <c r="BG1895" s="18"/>
      <c r="BH1895" s="18"/>
      <c r="BI1895" s="18"/>
      <c r="BJ1895" s="18"/>
      <c r="BK1895" s="18"/>
      <c r="BL1895" s="18"/>
      <c r="BM1895" s="18"/>
      <c r="BN1895" s="18"/>
      <c r="BO1895" s="18"/>
      <c r="BP1895" s="18"/>
      <c r="BQ1895" s="18"/>
      <c r="BR1895" s="18"/>
      <c r="BS1895" s="18"/>
      <c r="BT1895" s="18"/>
      <c r="BU1895" s="18"/>
      <c r="BV1895" s="18"/>
    </row>
    <row r="1896" spans="1:74">
      <c r="A1896" s="18"/>
      <c r="B1896" s="19"/>
      <c r="BG1896" s="18"/>
      <c r="BH1896" s="18"/>
      <c r="BI1896" s="18"/>
      <c r="BJ1896" s="18"/>
      <c r="BK1896" s="18"/>
      <c r="BL1896" s="18"/>
      <c r="BM1896" s="18"/>
      <c r="BN1896" s="18"/>
      <c r="BO1896" s="18"/>
      <c r="BP1896" s="18"/>
      <c r="BQ1896" s="18"/>
      <c r="BR1896" s="18"/>
      <c r="BS1896" s="18"/>
      <c r="BT1896" s="18"/>
      <c r="BU1896" s="18"/>
      <c r="BV1896" s="18"/>
    </row>
    <row r="1897" spans="1:74">
      <c r="A1897" s="18"/>
      <c r="B1897" s="19"/>
      <c r="BG1897" s="18"/>
      <c r="BH1897" s="18"/>
      <c r="BI1897" s="18"/>
      <c r="BJ1897" s="18"/>
      <c r="BK1897" s="18"/>
      <c r="BL1897" s="18"/>
      <c r="BM1897" s="18"/>
      <c r="BN1897" s="18"/>
      <c r="BO1897" s="18"/>
      <c r="BP1897" s="18"/>
      <c r="BQ1897" s="18"/>
      <c r="BR1897" s="18"/>
      <c r="BS1897" s="18"/>
      <c r="BT1897" s="18"/>
      <c r="BU1897" s="18"/>
      <c r="BV1897" s="18"/>
    </row>
    <row r="1898" spans="1:74">
      <c r="A1898" s="18"/>
      <c r="B1898" s="19"/>
      <c r="BG1898" s="18"/>
      <c r="BH1898" s="18"/>
      <c r="BI1898" s="18"/>
      <c r="BJ1898" s="18"/>
      <c r="BK1898" s="18"/>
      <c r="BL1898" s="18"/>
      <c r="BM1898" s="18"/>
      <c r="BN1898" s="18"/>
      <c r="BO1898" s="18"/>
      <c r="BP1898" s="18"/>
      <c r="BQ1898" s="18"/>
      <c r="BR1898" s="18"/>
      <c r="BS1898" s="18"/>
      <c r="BT1898" s="18"/>
      <c r="BU1898" s="18"/>
      <c r="BV1898" s="18"/>
    </row>
    <row r="1899" spans="1:74">
      <c r="A1899" s="18"/>
      <c r="B1899" s="19"/>
      <c r="BG1899" s="18"/>
      <c r="BH1899" s="18"/>
      <c r="BI1899" s="18"/>
      <c r="BJ1899" s="18"/>
      <c r="BK1899" s="18"/>
      <c r="BL1899" s="18"/>
      <c r="BM1899" s="18"/>
      <c r="BN1899" s="18"/>
      <c r="BO1899" s="18"/>
      <c r="BP1899" s="18"/>
      <c r="BQ1899" s="18"/>
      <c r="BR1899" s="18"/>
      <c r="BS1899" s="18"/>
      <c r="BT1899" s="18"/>
      <c r="BU1899" s="18"/>
      <c r="BV1899" s="18"/>
    </row>
    <row r="1900" spans="1:74">
      <c r="A1900" s="18"/>
      <c r="B1900" s="19"/>
      <c r="BG1900" s="18"/>
      <c r="BH1900" s="18"/>
      <c r="BI1900" s="18"/>
      <c r="BJ1900" s="18"/>
      <c r="BK1900" s="18"/>
      <c r="BL1900" s="18"/>
      <c r="BM1900" s="18"/>
      <c r="BN1900" s="18"/>
      <c r="BO1900" s="18"/>
      <c r="BP1900" s="18"/>
      <c r="BQ1900" s="18"/>
      <c r="BR1900" s="18"/>
      <c r="BS1900" s="18"/>
      <c r="BT1900" s="18"/>
      <c r="BU1900" s="18"/>
      <c r="BV1900" s="18"/>
    </row>
    <row r="1901" spans="1:74">
      <c r="A1901" s="18"/>
      <c r="B1901" s="19"/>
      <c r="BG1901" s="18"/>
      <c r="BH1901" s="18"/>
      <c r="BI1901" s="18"/>
      <c r="BJ1901" s="18"/>
      <c r="BK1901" s="18"/>
      <c r="BL1901" s="18"/>
      <c r="BM1901" s="18"/>
      <c r="BN1901" s="18"/>
      <c r="BO1901" s="18"/>
      <c r="BP1901" s="18"/>
      <c r="BQ1901" s="18"/>
      <c r="BR1901" s="18"/>
      <c r="BS1901" s="18"/>
      <c r="BT1901" s="18"/>
      <c r="BU1901" s="18"/>
      <c r="BV1901" s="18"/>
    </row>
    <row r="1902" spans="1:74">
      <c r="A1902" s="18"/>
      <c r="B1902" s="19"/>
      <c r="BG1902" s="18"/>
      <c r="BH1902" s="18"/>
      <c r="BI1902" s="18"/>
      <c r="BJ1902" s="18"/>
      <c r="BK1902" s="18"/>
      <c r="BL1902" s="18"/>
      <c r="BM1902" s="18"/>
      <c r="BN1902" s="18"/>
      <c r="BO1902" s="18"/>
      <c r="BP1902" s="18"/>
      <c r="BQ1902" s="18"/>
      <c r="BR1902" s="18"/>
      <c r="BS1902" s="18"/>
      <c r="BT1902" s="18"/>
      <c r="BU1902" s="18"/>
      <c r="BV1902" s="18"/>
    </row>
    <row r="1903" spans="1:74">
      <c r="A1903" s="18"/>
      <c r="B1903" s="19"/>
      <c r="BG1903" s="18"/>
      <c r="BH1903" s="18"/>
      <c r="BI1903" s="18"/>
      <c r="BJ1903" s="18"/>
      <c r="BK1903" s="18"/>
      <c r="BL1903" s="18"/>
      <c r="BM1903" s="18"/>
      <c r="BN1903" s="18"/>
      <c r="BO1903" s="18"/>
      <c r="BP1903" s="18"/>
      <c r="BQ1903" s="18"/>
      <c r="BR1903" s="18"/>
      <c r="BS1903" s="18"/>
      <c r="BT1903" s="18"/>
      <c r="BU1903" s="18"/>
      <c r="BV1903" s="18"/>
    </row>
    <row r="1904" spans="1:74">
      <c r="A1904" s="18"/>
      <c r="B1904" s="19"/>
      <c r="BG1904" s="18"/>
      <c r="BH1904" s="18"/>
      <c r="BI1904" s="18"/>
      <c r="BJ1904" s="18"/>
      <c r="BK1904" s="18"/>
      <c r="BL1904" s="18"/>
      <c r="BM1904" s="18"/>
      <c r="BN1904" s="18"/>
      <c r="BO1904" s="18"/>
      <c r="BP1904" s="18"/>
      <c r="BQ1904" s="18"/>
      <c r="BR1904" s="18"/>
      <c r="BS1904" s="18"/>
      <c r="BT1904" s="18"/>
      <c r="BU1904" s="18"/>
      <c r="BV1904" s="18"/>
    </row>
    <row r="1905" spans="1:74">
      <c r="A1905" s="18"/>
      <c r="B1905" s="19"/>
      <c r="BG1905" s="18"/>
      <c r="BH1905" s="18"/>
      <c r="BI1905" s="18"/>
      <c r="BJ1905" s="18"/>
      <c r="BK1905" s="18"/>
      <c r="BL1905" s="18"/>
      <c r="BM1905" s="18"/>
      <c r="BN1905" s="18"/>
      <c r="BO1905" s="18"/>
      <c r="BP1905" s="18"/>
      <c r="BQ1905" s="18"/>
      <c r="BR1905" s="18"/>
      <c r="BS1905" s="18"/>
      <c r="BT1905" s="18"/>
      <c r="BU1905" s="18"/>
      <c r="BV1905" s="18"/>
    </row>
    <row r="1906" spans="1:74">
      <c r="A1906" s="18"/>
      <c r="B1906" s="19"/>
      <c r="BG1906" s="18"/>
      <c r="BH1906" s="18"/>
      <c r="BI1906" s="18"/>
      <c r="BJ1906" s="18"/>
      <c r="BK1906" s="18"/>
      <c r="BL1906" s="18"/>
      <c r="BM1906" s="18"/>
      <c r="BN1906" s="18"/>
      <c r="BO1906" s="18"/>
      <c r="BP1906" s="18"/>
      <c r="BQ1906" s="18"/>
      <c r="BR1906" s="18"/>
      <c r="BS1906" s="18"/>
      <c r="BT1906" s="18"/>
      <c r="BU1906" s="18"/>
      <c r="BV1906" s="18"/>
    </row>
    <row r="1907" spans="1:74">
      <c r="A1907" s="18"/>
      <c r="B1907" s="19"/>
      <c r="BG1907" s="18"/>
      <c r="BH1907" s="18"/>
      <c r="BI1907" s="18"/>
      <c r="BJ1907" s="18"/>
      <c r="BK1907" s="18"/>
      <c r="BL1907" s="18"/>
      <c r="BM1907" s="18"/>
      <c r="BN1907" s="18"/>
      <c r="BO1907" s="18"/>
      <c r="BP1907" s="18"/>
      <c r="BQ1907" s="18"/>
      <c r="BR1907" s="18"/>
      <c r="BS1907" s="18"/>
      <c r="BT1907" s="18"/>
      <c r="BU1907" s="18"/>
      <c r="BV1907" s="18"/>
    </row>
    <row r="1908" spans="1:74">
      <c r="A1908" s="18"/>
      <c r="B1908" s="19"/>
      <c r="BG1908" s="18"/>
      <c r="BH1908" s="18"/>
      <c r="BI1908" s="18"/>
      <c r="BJ1908" s="18"/>
      <c r="BK1908" s="18"/>
      <c r="BL1908" s="18"/>
      <c r="BM1908" s="18"/>
      <c r="BN1908" s="18"/>
      <c r="BO1908" s="18"/>
      <c r="BP1908" s="18"/>
      <c r="BQ1908" s="18"/>
      <c r="BR1908" s="18"/>
      <c r="BS1908" s="18"/>
      <c r="BT1908" s="18"/>
      <c r="BU1908" s="18"/>
      <c r="BV1908" s="18"/>
    </row>
    <row r="1909" spans="1:74">
      <c r="A1909" s="18"/>
      <c r="B1909" s="19"/>
      <c r="BG1909" s="18"/>
      <c r="BH1909" s="18"/>
      <c r="BI1909" s="18"/>
      <c r="BJ1909" s="18"/>
      <c r="BK1909" s="18"/>
      <c r="BL1909" s="18"/>
      <c r="BM1909" s="18"/>
      <c r="BN1909" s="18"/>
      <c r="BO1909" s="18"/>
      <c r="BP1909" s="18"/>
      <c r="BQ1909" s="18"/>
      <c r="BR1909" s="18"/>
      <c r="BS1909" s="18"/>
      <c r="BT1909" s="18"/>
      <c r="BU1909" s="18"/>
      <c r="BV1909" s="18"/>
    </row>
    <row r="1910" spans="1:74">
      <c r="A1910" s="18"/>
      <c r="B1910" s="19"/>
      <c r="BG1910" s="18"/>
      <c r="BH1910" s="18"/>
      <c r="BI1910" s="18"/>
      <c r="BJ1910" s="18"/>
      <c r="BK1910" s="18"/>
      <c r="BL1910" s="18"/>
      <c r="BM1910" s="18"/>
      <c r="BN1910" s="18"/>
      <c r="BO1910" s="18"/>
      <c r="BP1910" s="18"/>
      <c r="BQ1910" s="18"/>
      <c r="BR1910" s="18"/>
      <c r="BS1910" s="18"/>
      <c r="BT1910" s="18"/>
      <c r="BU1910" s="18"/>
      <c r="BV1910" s="18"/>
    </row>
    <row r="1911" spans="1:74">
      <c r="A1911" s="18"/>
      <c r="B1911" s="19"/>
      <c r="BG1911" s="18"/>
      <c r="BH1911" s="18"/>
      <c r="BI1911" s="18"/>
      <c r="BJ1911" s="18"/>
      <c r="BK1911" s="18"/>
      <c r="BL1911" s="18"/>
      <c r="BM1911" s="18"/>
      <c r="BN1911" s="18"/>
      <c r="BO1911" s="18"/>
      <c r="BP1911" s="18"/>
      <c r="BQ1911" s="18"/>
      <c r="BR1911" s="18"/>
      <c r="BS1911" s="18"/>
      <c r="BT1911" s="18"/>
      <c r="BU1911" s="18"/>
      <c r="BV1911" s="18"/>
    </row>
    <row r="1912" spans="1:74">
      <c r="A1912" s="18"/>
      <c r="B1912" s="19"/>
      <c r="BG1912" s="18"/>
      <c r="BH1912" s="18"/>
      <c r="BI1912" s="18"/>
      <c r="BJ1912" s="18"/>
      <c r="BK1912" s="18"/>
      <c r="BL1912" s="18"/>
      <c r="BM1912" s="18"/>
      <c r="BN1912" s="18"/>
      <c r="BO1912" s="18"/>
      <c r="BP1912" s="18"/>
      <c r="BQ1912" s="18"/>
      <c r="BR1912" s="18"/>
      <c r="BS1912" s="18"/>
      <c r="BT1912" s="18"/>
      <c r="BU1912" s="18"/>
      <c r="BV1912" s="18"/>
    </row>
    <row r="1913" spans="1:74">
      <c r="A1913" s="18"/>
      <c r="B1913" s="19"/>
      <c r="BG1913" s="18"/>
      <c r="BH1913" s="18"/>
      <c r="BI1913" s="18"/>
      <c r="BJ1913" s="18"/>
      <c r="BK1913" s="18"/>
      <c r="BL1913" s="18"/>
      <c r="BM1913" s="18"/>
      <c r="BN1913" s="18"/>
      <c r="BO1913" s="18"/>
      <c r="BP1913" s="18"/>
      <c r="BQ1913" s="18"/>
      <c r="BR1913" s="18"/>
      <c r="BS1913" s="18"/>
      <c r="BT1913" s="18"/>
      <c r="BU1913" s="18"/>
      <c r="BV1913" s="18"/>
    </row>
    <row r="1914" spans="1:74">
      <c r="A1914" s="18"/>
      <c r="B1914" s="19"/>
      <c r="BG1914" s="18"/>
      <c r="BH1914" s="18"/>
      <c r="BI1914" s="18"/>
      <c r="BJ1914" s="18"/>
      <c r="BK1914" s="18"/>
      <c r="BL1914" s="18"/>
      <c r="BM1914" s="18"/>
      <c r="BN1914" s="18"/>
      <c r="BO1914" s="18"/>
      <c r="BP1914" s="18"/>
      <c r="BQ1914" s="18"/>
      <c r="BR1914" s="18"/>
      <c r="BS1914" s="18"/>
      <c r="BT1914" s="18"/>
      <c r="BU1914" s="18"/>
      <c r="BV1914" s="18"/>
    </row>
    <row r="1915" spans="1:74">
      <c r="A1915" s="18"/>
      <c r="B1915" s="19"/>
      <c r="BG1915" s="18"/>
      <c r="BH1915" s="18"/>
      <c r="BI1915" s="18"/>
      <c r="BJ1915" s="18"/>
      <c r="BK1915" s="18"/>
      <c r="BL1915" s="18"/>
      <c r="BM1915" s="18"/>
      <c r="BN1915" s="18"/>
      <c r="BO1915" s="18"/>
      <c r="BP1915" s="18"/>
      <c r="BQ1915" s="18"/>
      <c r="BR1915" s="18"/>
      <c r="BS1915" s="18"/>
      <c r="BT1915" s="18"/>
      <c r="BU1915" s="18"/>
      <c r="BV1915" s="18"/>
    </row>
    <row r="1916" spans="1:74">
      <c r="A1916" s="18"/>
      <c r="B1916" s="19"/>
      <c r="BG1916" s="18"/>
      <c r="BH1916" s="18"/>
      <c r="BI1916" s="18"/>
      <c r="BJ1916" s="18"/>
      <c r="BK1916" s="18"/>
      <c r="BL1916" s="18"/>
      <c r="BM1916" s="18"/>
      <c r="BN1916" s="18"/>
      <c r="BO1916" s="18"/>
      <c r="BP1916" s="18"/>
      <c r="BQ1916" s="18"/>
      <c r="BR1916" s="18"/>
      <c r="BS1916" s="18"/>
      <c r="BT1916" s="18"/>
      <c r="BU1916" s="18"/>
      <c r="BV1916" s="18"/>
    </row>
    <row r="1917" spans="1:74">
      <c r="A1917" s="18"/>
      <c r="B1917" s="19"/>
      <c r="BG1917" s="18"/>
      <c r="BH1917" s="18"/>
      <c r="BI1917" s="18"/>
      <c r="BJ1917" s="18"/>
      <c r="BK1917" s="18"/>
      <c r="BL1917" s="18"/>
      <c r="BM1917" s="18"/>
      <c r="BN1917" s="18"/>
      <c r="BO1917" s="18"/>
      <c r="BP1917" s="18"/>
      <c r="BQ1917" s="18"/>
      <c r="BR1917" s="18"/>
      <c r="BS1917" s="18"/>
      <c r="BT1917" s="18"/>
      <c r="BU1917" s="18"/>
      <c r="BV1917" s="18"/>
    </row>
    <row r="1918" spans="1:74">
      <c r="A1918" s="18"/>
      <c r="B1918" s="19"/>
      <c r="BG1918" s="18"/>
      <c r="BH1918" s="18"/>
      <c r="BI1918" s="18"/>
      <c r="BJ1918" s="18"/>
      <c r="BK1918" s="18"/>
      <c r="BL1918" s="18"/>
      <c r="BM1918" s="18"/>
      <c r="BN1918" s="18"/>
      <c r="BO1918" s="18"/>
      <c r="BP1918" s="18"/>
      <c r="BQ1918" s="18"/>
      <c r="BR1918" s="18"/>
      <c r="BS1918" s="18"/>
      <c r="BT1918" s="18"/>
      <c r="BU1918" s="18"/>
      <c r="BV1918" s="18"/>
    </row>
    <row r="1919" spans="1:74">
      <c r="A1919" s="18"/>
      <c r="B1919" s="19"/>
      <c r="BG1919" s="18"/>
      <c r="BH1919" s="18"/>
      <c r="BI1919" s="18"/>
      <c r="BJ1919" s="18"/>
      <c r="BK1919" s="18"/>
      <c r="BL1919" s="18"/>
      <c r="BM1919" s="18"/>
      <c r="BN1919" s="18"/>
      <c r="BO1919" s="18"/>
      <c r="BP1919" s="18"/>
      <c r="BQ1919" s="18"/>
      <c r="BR1919" s="18"/>
      <c r="BS1919" s="18"/>
      <c r="BT1919" s="18"/>
      <c r="BU1919" s="18"/>
      <c r="BV1919" s="18"/>
    </row>
    <row r="1920" spans="1:74">
      <c r="A1920" s="18"/>
      <c r="B1920" s="19"/>
      <c r="BG1920" s="18"/>
      <c r="BH1920" s="18"/>
      <c r="BI1920" s="18"/>
      <c r="BJ1920" s="18"/>
      <c r="BK1920" s="18"/>
      <c r="BL1920" s="18"/>
      <c r="BM1920" s="18"/>
      <c r="BN1920" s="18"/>
      <c r="BO1920" s="18"/>
      <c r="BP1920" s="18"/>
      <c r="BQ1920" s="18"/>
      <c r="BR1920" s="18"/>
      <c r="BS1920" s="18"/>
      <c r="BT1920" s="18"/>
      <c r="BU1920" s="18"/>
      <c r="BV1920" s="18"/>
    </row>
    <row r="1921" spans="1:74">
      <c r="A1921" s="18"/>
      <c r="B1921" s="19"/>
      <c r="BG1921" s="18"/>
      <c r="BH1921" s="18"/>
      <c r="BI1921" s="18"/>
      <c r="BJ1921" s="18"/>
      <c r="BK1921" s="18"/>
      <c r="BL1921" s="18"/>
      <c r="BM1921" s="18"/>
      <c r="BN1921" s="18"/>
      <c r="BO1921" s="18"/>
      <c r="BP1921" s="18"/>
      <c r="BQ1921" s="18"/>
      <c r="BR1921" s="18"/>
      <c r="BS1921" s="18"/>
      <c r="BT1921" s="18"/>
      <c r="BU1921" s="18"/>
      <c r="BV1921" s="18"/>
    </row>
    <row r="1922" spans="1:74">
      <c r="A1922" s="18"/>
      <c r="B1922" s="19"/>
      <c r="BG1922" s="18"/>
      <c r="BH1922" s="18"/>
      <c r="BI1922" s="18"/>
      <c r="BJ1922" s="18"/>
      <c r="BK1922" s="18"/>
      <c r="BL1922" s="18"/>
      <c r="BM1922" s="18"/>
      <c r="BN1922" s="18"/>
      <c r="BO1922" s="18"/>
      <c r="BP1922" s="18"/>
      <c r="BQ1922" s="18"/>
      <c r="BR1922" s="18"/>
      <c r="BS1922" s="18"/>
      <c r="BT1922" s="18"/>
      <c r="BU1922" s="18"/>
      <c r="BV1922" s="18"/>
    </row>
    <row r="1923" spans="1:74">
      <c r="A1923" s="18"/>
      <c r="B1923" s="19"/>
      <c r="BG1923" s="18"/>
      <c r="BH1923" s="18"/>
      <c r="BI1923" s="18"/>
      <c r="BJ1923" s="18"/>
      <c r="BK1923" s="18"/>
      <c r="BL1923" s="18"/>
      <c r="BM1923" s="18"/>
      <c r="BN1923" s="18"/>
      <c r="BO1923" s="18"/>
      <c r="BP1923" s="18"/>
      <c r="BQ1923" s="18"/>
      <c r="BR1923" s="18"/>
      <c r="BS1923" s="18"/>
      <c r="BT1923" s="18"/>
      <c r="BU1923" s="18"/>
      <c r="BV1923" s="18"/>
    </row>
    <row r="1924" spans="1:74">
      <c r="A1924" s="18"/>
      <c r="B1924" s="19"/>
      <c r="BG1924" s="18"/>
      <c r="BH1924" s="18"/>
      <c r="BI1924" s="18"/>
      <c r="BJ1924" s="18"/>
      <c r="BK1924" s="18"/>
      <c r="BL1924" s="18"/>
      <c r="BM1924" s="18"/>
      <c r="BN1924" s="18"/>
      <c r="BO1924" s="18"/>
      <c r="BP1924" s="18"/>
      <c r="BQ1924" s="18"/>
      <c r="BR1924" s="18"/>
      <c r="BS1924" s="18"/>
      <c r="BT1924" s="18"/>
      <c r="BU1924" s="18"/>
      <c r="BV1924" s="18"/>
    </row>
    <row r="1925" spans="1:74">
      <c r="A1925" s="18"/>
      <c r="B1925" s="19"/>
      <c r="BG1925" s="18"/>
      <c r="BH1925" s="18"/>
      <c r="BI1925" s="18"/>
      <c r="BJ1925" s="18"/>
      <c r="BK1925" s="18"/>
      <c r="BL1925" s="18"/>
      <c r="BM1925" s="18"/>
      <c r="BN1925" s="18"/>
      <c r="BO1925" s="18"/>
      <c r="BP1925" s="18"/>
      <c r="BQ1925" s="18"/>
      <c r="BR1925" s="18"/>
      <c r="BS1925" s="18"/>
      <c r="BT1925" s="18"/>
      <c r="BU1925" s="18"/>
      <c r="BV1925" s="18"/>
    </row>
    <row r="1926" spans="1:74">
      <c r="A1926" s="18"/>
      <c r="B1926" s="19"/>
      <c r="BG1926" s="18"/>
      <c r="BH1926" s="18"/>
      <c r="BI1926" s="18"/>
      <c r="BJ1926" s="18"/>
      <c r="BK1926" s="18"/>
      <c r="BL1926" s="18"/>
      <c r="BM1926" s="18"/>
      <c r="BN1926" s="18"/>
      <c r="BO1926" s="18"/>
      <c r="BP1926" s="18"/>
      <c r="BQ1926" s="18"/>
      <c r="BR1926" s="18"/>
      <c r="BS1926" s="18"/>
      <c r="BT1926" s="18"/>
      <c r="BU1926" s="18"/>
      <c r="BV1926" s="18"/>
    </row>
    <row r="1927" spans="1:74">
      <c r="A1927" s="18"/>
      <c r="B1927" s="19"/>
      <c r="BG1927" s="18"/>
      <c r="BH1927" s="18"/>
      <c r="BI1927" s="18"/>
      <c r="BJ1927" s="18"/>
      <c r="BK1927" s="18"/>
      <c r="BL1927" s="18"/>
      <c r="BM1927" s="18"/>
      <c r="BN1927" s="18"/>
      <c r="BO1927" s="18"/>
      <c r="BP1927" s="18"/>
      <c r="BQ1927" s="18"/>
      <c r="BR1927" s="18"/>
      <c r="BS1927" s="18"/>
      <c r="BT1927" s="18"/>
      <c r="BU1927" s="18"/>
      <c r="BV1927" s="18"/>
    </row>
    <row r="1928" spans="1:74">
      <c r="A1928" s="18"/>
      <c r="B1928" s="19"/>
      <c r="BG1928" s="18"/>
      <c r="BH1928" s="18"/>
      <c r="BI1928" s="18"/>
      <c r="BJ1928" s="18"/>
      <c r="BK1928" s="18"/>
      <c r="BL1928" s="18"/>
      <c r="BM1928" s="18"/>
      <c r="BN1928" s="18"/>
      <c r="BO1928" s="18"/>
      <c r="BP1928" s="18"/>
      <c r="BQ1928" s="18"/>
      <c r="BR1928" s="18"/>
      <c r="BS1928" s="18"/>
      <c r="BT1928" s="18"/>
      <c r="BU1928" s="18"/>
      <c r="BV1928" s="18"/>
    </row>
    <row r="1929" spans="1:74">
      <c r="A1929" s="18"/>
      <c r="B1929" s="19"/>
      <c r="BG1929" s="18"/>
      <c r="BH1929" s="18"/>
      <c r="BI1929" s="18"/>
      <c r="BJ1929" s="18"/>
      <c r="BK1929" s="18"/>
      <c r="BL1929" s="18"/>
      <c r="BM1929" s="18"/>
      <c r="BN1929" s="18"/>
      <c r="BO1929" s="18"/>
      <c r="BP1929" s="18"/>
      <c r="BQ1929" s="18"/>
      <c r="BR1929" s="18"/>
      <c r="BS1929" s="18"/>
      <c r="BT1929" s="18"/>
      <c r="BU1929" s="18"/>
      <c r="BV1929" s="18"/>
    </row>
    <row r="1930" spans="1:74">
      <c r="A1930" s="18"/>
      <c r="B1930" s="19"/>
      <c r="BG1930" s="18"/>
      <c r="BH1930" s="18"/>
      <c r="BI1930" s="18"/>
      <c r="BJ1930" s="18"/>
      <c r="BK1930" s="18"/>
      <c r="BL1930" s="18"/>
      <c r="BM1930" s="18"/>
      <c r="BN1930" s="18"/>
      <c r="BO1930" s="18"/>
      <c r="BP1930" s="18"/>
      <c r="BQ1930" s="18"/>
      <c r="BR1930" s="18"/>
      <c r="BS1930" s="18"/>
      <c r="BT1930" s="18"/>
      <c r="BU1930" s="18"/>
      <c r="BV1930" s="18"/>
    </row>
    <row r="1931" spans="1:74">
      <c r="A1931" s="18"/>
      <c r="B1931" s="19"/>
      <c r="BG1931" s="18"/>
      <c r="BH1931" s="18"/>
      <c r="BI1931" s="18"/>
      <c r="BJ1931" s="18"/>
      <c r="BK1931" s="18"/>
      <c r="BL1931" s="18"/>
      <c r="BM1931" s="18"/>
      <c r="BN1931" s="18"/>
      <c r="BO1931" s="18"/>
      <c r="BP1931" s="18"/>
      <c r="BQ1931" s="18"/>
      <c r="BR1931" s="18"/>
      <c r="BS1931" s="18"/>
      <c r="BT1931" s="18"/>
      <c r="BU1931" s="18"/>
      <c r="BV1931" s="18"/>
    </row>
    <row r="1932" spans="1:74">
      <c r="A1932" s="18"/>
      <c r="B1932" s="19"/>
      <c r="BG1932" s="18"/>
      <c r="BH1932" s="18"/>
      <c r="BI1932" s="18"/>
      <c r="BJ1932" s="18"/>
      <c r="BK1932" s="18"/>
      <c r="BL1932" s="18"/>
      <c r="BM1932" s="18"/>
      <c r="BN1932" s="18"/>
      <c r="BO1932" s="18"/>
      <c r="BP1932" s="18"/>
      <c r="BQ1932" s="18"/>
      <c r="BR1932" s="18"/>
      <c r="BS1932" s="18"/>
      <c r="BT1932" s="18"/>
      <c r="BU1932" s="18"/>
      <c r="BV1932" s="18"/>
    </row>
    <row r="1933" spans="1:74">
      <c r="A1933" s="18"/>
      <c r="B1933" s="19"/>
      <c r="BG1933" s="18"/>
      <c r="BH1933" s="18"/>
      <c r="BI1933" s="18"/>
      <c r="BJ1933" s="18"/>
      <c r="BK1933" s="18"/>
      <c r="BL1933" s="18"/>
      <c r="BM1933" s="18"/>
      <c r="BN1933" s="18"/>
      <c r="BO1933" s="18"/>
      <c r="BP1933" s="18"/>
      <c r="BQ1933" s="18"/>
      <c r="BR1933" s="18"/>
      <c r="BS1933" s="18"/>
      <c r="BT1933" s="18"/>
      <c r="BU1933" s="18"/>
      <c r="BV1933" s="18"/>
    </row>
    <row r="1934" spans="1:74">
      <c r="A1934" s="18"/>
      <c r="B1934" s="19"/>
      <c r="BG1934" s="18"/>
      <c r="BH1934" s="18"/>
      <c r="BI1934" s="18"/>
      <c r="BJ1934" s="18"/>
      <c r="BK1934" s="18"/>
      <c r="BL1934" s="18"/>
      <c r="BM1934" s="18"/>
      <c r="BN1934" s="18"/>
      <c r="BO1934" s="18"/>
      <c r="BP1934" s="18"/>
      <c r="BQ1934" s="18"/>
      <c r="BR1934" s="18"/>
      <c r="BS1934" s="18"/>
      <c r="BT1934" s="18"/>
      <c r="BU1934" s="18"/>
      <c r="BV1934" s="18"/>
    </row>
    <row r="1935" spans="1:74">
      <c r="A1935" s="18"/>
      <c r="B1935" s="19"/>
      <c r="BG1935" s="18"/>
      <c r="BH1935" s="18"/>
      <c r="BI1935" s="18"/>
      <c r="BJ1935" s="18"/>
      <c r="BK1935" s="18"/>
      <c r="BL1935" s="18"/>
      <c r="BM1935" s="18"/>
      <c r="BN1935" s="18"/>
      <c r="BO1935" s="18"/>
      <c r="BP1935" s="18"/>
      <c r="BQ1935" s="18"/>
      <c r="BR1935" s="18"/>
      <c r="BS1935" s="18"/>
      <c r="BT1935" s="18"/>
      <c r="BU1935" s="18"/>
      <c r="BV1935" s="18"/>
    </row>
    <row r="1936" spans="1:74">
      <c r="A1936" s="18"/>
      <c r="B1936" s="19"/>
      <c r="BG1936" s="18"/>
      <c r="BH1936" s="18"/>
      <c r="BI1936" s="18"/>
      <c r="BJ1936" s="18"/>
      <c r="BK1936" s="18"/>
      <c r="BL1936" s="18"/>
      <c r="BM1936" s="18"/>
      <c r="BN1936" s="18"/>
      <c r="BO1936" s="18"/>
      <c r="BP1936" s="18"/>
      <c r="BQ1936" s="18"/>
      <c r="BR1936" s="18"/>
      <c r="BS1936" s="18"/>
      <c r="BT1936" s="18"/>
      <c r="BU1936" s="18"/>
      <c r="BV1936" s="18"/>
    </row>
    <row r="1937" spans="1:74">
      <c r="A1937" s="18"/>
      <c r="B1937" s="19"/>
      <c r="BG1937" s="18"/>
      <c r="BH1937" s="18"/>
      <c r="BI1937" s="18"/>
      <c r="BJ1937" s="18"/>
      <c r="BK1937" s="18"/>
      <c r="BL1937" s="18"/>
      <c r="BM1937" s="18"/>
      <c r="BN1937" s="18"/>
      <c r="BO1937" s="18"/>
      <c r="BP1937" s="18"/>
      <c r="BQ1937" s="18"/>
      <c r="BR1937" s="18"/>
      <c r="BS1937" s="18"/>
      <c r="BT1937" s="18"/>
      <c r="BU1937" s="18"/>
      <c r="BV1937" s="18"/>
    </row>
    <row r="1938" spans="1:74">
      <c r="A1938" s="18"/>
      <c r="B1938" s="19"/>
      <c r="BG1938" s="18"/>
      <c r="BH1938" s="18"/>
      <c r="BI1938" s="18"/>
      <c r="BJ1938" s="18"/>
      <c r="BK1938" s="18"/>
      <c r="BL1938" s="18"/>
      <c r="BM1938" s="18"/>
      <c r="BN1938" s="18"/>
      <c r="BO1938" s="18"/>
      <c r="BP1938" s="18"/>
      <c r="BQ1938" s="18"/>
      <c r="BR1938" s="18"/>
      <c r="BS1938" s="18"/>
      <c r="BT1938" s="18"/>
      <c r="BU1938" s="18"/>
      <c r="BV1938" s="18"/>
    </row>
    <row r="1939" spans="1:74">
      <c r="A1939" s="18"/>
      <c r="B1939" s="19"/>
      <c r="BG1939" s="18"/>
      <c r="BH1939" s="18"/>
      <c r="BI1939" s="18"/>
      <c r="BJ1939" s="18"/>
      <c r="BK1939" s="18"/>
      <c r="BL1939" s="18"/>
      <c r="BM1939" s="18"/>
      <c r="BN1939" s="18"/>
      <c r="BO1939" s="18"/>
      <c r="BP1939" s="18"/>
      <c r="BQ1939" s="18"/>
      <c r="BR1939" s="18"/>
      <c r="BS1939" s="18"/>
      <c r="BT1939" s="18"/>
      <c r="BU1939" s="18"/>
      <c r="BV1939" s="18"/>
    </row>
    <row r="1940" spans="1:74">
      <c r="A1940" s="18"/>
      <c r="B1940" s="19"/>
      <c r="BG1940" s="18"/>
      <c r="BH1940" s="18"/>
      <c r="BI1940" s="18"/>
      <c r="BJ1940" s="18"/>
      <c r="BK1940" s="18"/>
      <c r="BL1940" s="18"/>
      <c r="BM1940" s="18"/>
      <c r="BN1940" s="18"/>
      <c r="BO1940" s="18"/>
      <c r="BP1940" s="18"/>
      <c r="BQ1940" s="18"/>
      <c r="BR1940" s="18"/>
      <c r="BS1940" s="18"/>
      <c r="BT1940" s="18"/>
      <c r="BU1940" s="18"/>
      <c r="BV1940" s="18"/>
    </row>
    <row r="1941" spans="1:74">
      <c r="A1941" s="18"/>
      <c r="B1941" s="19"/>
      <c r="BG1941" s="18"/>
      <c r="BH1941" s="18"/>
      <c r="BI1941" s="18"/>
      <c r="BJ1941" s="18"/>
      <c r="BK1941" s="18"/>
      <c r="BL1941" s="18"/>
      <c r="BM1941" s="18"/>
      <c r="BN1941" s="18"/>
      <c r="BO1941" s="18"/>
      <c r="BP1941" s="18"/>
      <c r="BQ1941" s="18"/>
      <c r="BR1941" s="18"/>
      <c r="BS1941" s="18"/>
      <c r="BT1941" s="18"/>
      <c r="BU1941" s="18"/>
      <c r="BV1941" s="18"/>
    </row>
    <row r="1942" spans="1:74">
      <c r="A1942" s="18"/>
      <c r="B1942" s="19"/>
      <c r="BG1942" s="18"/>
      <c r="BH1942" s="18"/>
      <c r="BI1942" s="18"/>
      <c r="BJ1942" s="18"/>
      <c r="BK1942" s="18"/>
      <c r="BL1942" s="18"/>
      <c r="BM1942" s="18"/>
      <c r="BN1942" s="18"/>
      <c r="BO1942" s="18"/>
      <c r="BP1942" s="18"/>
      <c r="BQ1942" s="18"/>
      <c r="BR1942" s="18"/>
      <c r="BS1942" s="18"/>
      <c r="BT1942" s="18"/>
      <c r="BU1942" s="18"/>
      <c r="BV1942" s="18"/>
    </row>
    <row r="1943" spans="1:74">
      <c r="A1943" s="18"/>
      <c r="B1943" s="19"/>
      <c r="BG1943" s="18"/>
      <c r="BH1943" s="18"/>
      <c r="BI1943" s="18"/>
      <c r="BJ1943" s="18"/>
      <c r="BK1943" s="18"/>
      <c r="BL1943" s="18"/>
      <c r="BM1943" s="18"/>
      <c r="BN1943" s="18"/>
      <c r="BO1943" s="18"/>
      <c r="BP1943" s="18"/>
      <c r="BQ1943" s="18"/>
      <c r="BR1943" s="18"/>
      <c r="BS1943" s="18"/>
      <c r="BT1943" s="18"/>
      <c r="BU1943" s="18"/>
      <c r="BV1943" s="18"/>
    </row>
    <row r="1944" spans="1:74">
      <c r="A1944" s="18"/>
      <c r="B1944" s="19"/>
      <c r="BG1944" s="18"/>
      <c r="BH1944" s="18"/>
      <c r="BI1944" s="18"/>
      <c r="BJ1944" s="18"/>
      <c r="BK1944" s="18"/>
      <c r="BL1944" s="18"/>
      <c r="BM1944" s="18"/>
      <c r="BN1944" s="18"/>
      <c r="BO1944" s="18"/>
      <c r="BP1944" s="18"/>
      <c r="BQ1944" s="18"/>
      <c r="BR1944" s="18"/>
      <c r="BS1944" s="18"/>
      <c r="BT1944" s="18"/>
      <c r="BU1944" s="18"/>
      <c r="BV1944" s="18"/>
    </row>
    <row r="1945" spans="1:74">
      <c r="A1945" s="18"/>
      <c r="B1945" s="19"/>
      <c r="BG1945" s="18"/>
      <c r="BH1945" s="18"/>
      <c r="BI1945" s="18"/>
      <c r="BJ1945" s="18"/>
      <c r="BK1945" s="18"/>
      <c r="BL1945" s="18"/>
      <c r="BM1945" s="18"/>
      <c r="BN1945" s="18"/>
      <c r="BO1945" s="18"/>
      <c r="BP1945" s="18"/>
      <c r="BQ1945" s="18"/>
      <c r="BR1945" s="18"/>
      <c r="BS1945" s="18"/>
      <c r="BT1945" s="18"/>
      <c r="BU1945" s="18"/>
      <c r="BV1945" s="18"/>
    </row>
    <row r="1946" spans="1:74">
      <c r="A1946" s="18"/>
      <c r="B1946" s="19"/>
      <c r="BG1946" s="18"/>
      <c r="BH1946" s="18"/>
      <c r="BI1946" s="18"/>
      <c r="BJ1946" s="18"/>
      <c r="BK1946" s="18"/>
      <c r="BL1946" s="18"/>
      <c r="BM1946" s="18"/>
      <c r="BN1946" s="18"/>
      <c r="BO1946" s="18"/>
      <c r="BP1946" s="18"/>
      <c r="BQ1946" s="18"/>
      <c r="BR1946" s="18"/>
      <c r="BS1946" s="18"/>
      <c r="BT1946" s="18"/>
      <c r="BU1946" s="18"/>
      <c r="BV1946" s="18"/>
    </row>
    <row r="1947" spans="1:74">
      <c r="A1947" s="18"/>
      <c r="B1947" s="19"/>
      <c r="BG1947" s="18"/>
      <c r="BH1947" s="18"/>
      <c r="BI1947" s="18"/>
      <c r="BJ1947" s="18"/>
      <c r="BK1947" s="18"/>
      <c r="BL1947" s="18"/>
      <c r="BM1947" s="18"/>
      <c r="BN1947" s="18"/>
      <c r="BO1947" s="18"/>
      <c r="BP1947" s="18"/>
      <c r="BQ1947" s="18"/>
      <c r="BR1947" s="18"/>
      <c r="BS1947" s="18"/>
      <c r="BT1947" s="18"/>
      <c r="BU1947" s="18"/>
      <c r="BV1947" s="18"/>
    </row>
    <row r="1948" spans="1:74">
      <c r="A1948" s="18"/>
      <c r="B1948" s="19"/>
      <c r="BG1948" s="18"/>
      <c r="BH1948" s="18"/>
      <c r="BI1948" s="18"/>
      <c r="BJ1948" s="18"/>
      <c r="BK1948" s="18"/>
      <c r="BL1948" s="18"/>
      <c r="BM1948" s="18"/>
      <c r="BN1948" s="18"/>
      <c r="BO1948" s="18"/>
      <c r="BP1948" s="18"/>
      <c r="BQ1948" s="18"/>
      <c r="BR1948" s="18"/>
      <c r="BS1948" s="18"/>
      <c r="BT1948" s="18"/>
      <c r="BU1948" s="18"/>
      <c r="BV1948" s="18"/>
    </row>
    <row r="1949" spans="1:74">
      <c r="A1949" s="18"/>
      <c r="B1949" s="19"/>
      <c r="BG1949" s="18"/>
      <c r="BH1949" s="18"/>
      <c r="BI1949" s="18"/>
      <c r="BJ1949" s="18"/>
      <c r="BK1949" s="18"/>
      <c r="BL1949" s="18"/>
      <c r="BM1949" s="18"/>
      <c r="BN1949" s="18"/>
      <c r="BO1949" s="18"/>
      <c r="BP1949" s="18"/>
      <c r="BQ1949" s="18"/>
      <c r="BR1949" s="18"/>
      <c r="BS1949" s="18"/>
      <c r="BT1949" s="18"/>
      <c r="BU1949" s="18"/>
      <c r="BV1949" s="18"/>
    </row>
    <row r="1950" spans="1:74">
      <c r="A1950" s="18"/>
      <c r="B1950" s="19"/>
      <c r="BG1950" s="18"/>
      <c r="BH1950" s="18"/>
      <c r="BI1950" s="18"/>
      <c r="BJ1950" s="18"/>
      <c r="BK1950" s="18"/>
      <c r="BL1950" s="18"/>
      <c r="BM1950" s="18"/>
      <c r="BN1950" s="18"/>
      <c r="BO1950" s="18"/>
      <c r="BP1950" s="18"/>
      <c r="BQ1950" s="18"/>
      <c r="BR1950" s="18"/>
      <c r="BS1950" s="18"/>
      <c r="BT1950" s="18"/>
      <c r="BU1950" s="18"/>
      <c r="BV1950" s="18"/>
    </row>
    <row r="1951" spans="1:74">
      <c r="A1951" s="18"/>
      <c r="B1951" s="19"/>
      <c r="BG1951" s="18"/>
      <c r="BH1951" s="18"/>
      <c r="BI1951" s="18"/>
      <c r="BJ1951" s="18"/>
      <c r="BK1951" s="18"/>
      <c r="BL1951" s="18"/>
      <c r="BM1951" s="18"/>
      <c r="BN1951" s="18"/>
      <c r="BO1951" s="18"/>
      <c r="BP1951" s="18"/>
      <c r="BQ1951" s="18"/>
      <c r="BR1951" s="18"/>
      <c r="BS1951" s="18"/>
      <c r="BT1951" s="18"/>
      <c r="BU1951" s="18"/>
      <c r="BV1951" s="18"/>
    </row>
    <row r="1952" spans="1:74">
      <c r="A1952" s="18"/>
      <c r="B1952" s="19"/>
      <c r="BG1952" s="18"/>
      <c r="BH1952" s="18"/>
      <c r="BI1952" s="18"/>
      <c r="BJ1952" s="18"/>
      <c r="BK1952" s="18"/>
      <c r="BL1952" s="18"/>
      <c r="BM1952" s="18"/>
      <c r="BN1952" s="18"/>
      <c r="BO1952" s="18"/>
      <c r="BP1952" s="18"/>
      <c r="BQ1952" s="18"/>
      <c r="BR1952" s="18"/>
      <c r="BS1952" s="18"/>
      <c r="BT1952" s="18"/>
      <c r="BU1952" s="18"/>
      <c r="BV1952" s="18"/>
    </row>
    <row r="1953" spans="1:74">
      <c r="A1953" s="18"/>
      <c r="B1953" s="19"/>
      <c r="BG1953" s="18"/>
      <c r="BH1953" s="18"/>
      <c r="BI1953" s="18"/>
      <c r="BJ1953" s="18"/>
      <c r="BK1953" s="18"/>
      <c r="BL1953" s="18"/>
      <c r="BM1953" s="18"/>
      <c r="BN1953" s="18"/>
      <c r="BO1953" s="18"/>
      <c r="BP1953" s="18"/>
      <c r="BQ1953" s="18"/>
      <c r="BR1953" s="18"/>
      <c r="BS1953" s="18"/>
      <c r="BT1953" s="18"/>
      <c r="BU1953" s="18"/>
      <c r="BV1953" s="18"/>
    </row>
    <row r="1954" spans="1:74">
      <c r="A1954" s="18"/>
      <c r="B1954" s="19"/>
      <c r="BG1954" s="18"/>
      <c r="BH1954" s="18"/>
      <c r="BI1954" s="18"/>
      <c r="BJ1954" s="18"/>
      <c r="BK1954" s="18"/>
      <c r="BL1954" s="18"/>
      <c r="BM1954" s="18"/>
      <c r="BN1954" s="18"/>
      <c r="BO1954" s="18"/>
      <c r="BP1954" s="18"/>
      <c r="BQ1954" s="18"/>
      <c r="BR1954" s="18"/>
      <c r="BS1954" s="18"/>
      <c r="BT1954" s="18"/>
      <c r="BU1954" s="18"/>
      <c r="BV1954" s="18"/>
    </row>
    <row r="1955" spans="1:74">
      <c r="A1955" s="18"/>
      <c r="B1955" s="19"/>
      <c r="BG1955" s="18"/>
      <c r="BH1955" s="18"/>
      <c r="BI1955" s="18"/>
      <c r="BJ1955" s="18"/>
      <c r="BK1955" s="18"/>
      <c r="BL1955" s="18"/>
      <c r="BM1955" s="18"/>
      <c r="BN1955" s="18"/>
      <c r="BO1955" s="18"/>
      <c r="BP1955" s="18"/>
      <c r="BQ1955" s="18"/>
      <c r="BR1955" s="18"/>
      <c r="BS1955" s="18"/>
      <c r="BT1955" s="18"/>
      <c r="BU1955" s="18"/>
      <c r="BV1955" s="18"/>
    </row>
    <row r="1956" spans="1:74">
      <c r="A1956" s="18"/>
      <c r="B1956" s="19"/>
      <c r="BG1956" s="18"/>
      <c r="BH1956" s="18"/>
      <c r="BI1956" s="18"/>
      <c r="BJ1956" s="18"/>
      <c r="BK1956" s="18"/>
      <c r="BL1956" s="18"/>
      <c r="BM1956" s="18"/>
      <c r="BN1956" s="18"/>
      <c r="BO1956" s="18"/>
      <c r="BP1956" s="18"/>
      <c r="BQ1956" s="18"/>
      <c r="BR1956" s="18"/>
      <c r="BS1956" s="18"/>
      <c r="BT1956" s="18"/>
      <c r="BU1956" s="18"/>
      <c r="BV1956" s="18"/>
    </row>
    <row r="1957" spans="1:74">
      <c r="A1957" s="18"/>
      <c r="B1957" s="19"/>
      <c r="BG1957" s="18"/>
      <c r="BH1957" s="18"/>
      <c r="BI1957" s="18"/>
      <c r="BJ1957" s="18"/>
      <c r="BK1957" s="18"/>
      <c r="BL1957" s="18"/>
      <c r="BM1957" s="18"/>
      <c r="BN1957" s="18"/>
      <c r="BO1957" s="18"/>
      <c r="BP1957" s="18"/>
      <c r="BQ1957" s="18"/>
      <c r="BR1957" s="18"/>
      <c r="BS1957" s="18"/>
      <c r="BT1957" s="18"/>
      <c r="BU1957" s="18"/>
      <c r="BV1957" s="18"/>
    </row>
    <row r="1958" spans="1:74">
      <c r="A1958" s="18"/>
      <c r="B1958" s="19"/>
      <c r="BG1958" s="18"/>
      <c r="BH1958" s="18"/>
      <c r="BI1958" s="18"/>
      <c r="BJ1958" s="18"/>
      <c r="BK1958" s="18"/>
      <c r="BL1958" s="18"/>
      <c r="BM1958" s="18"/>
      <c r="BN1958" s="18"/>
      <c r="BO1958" s="18"/>
      <c r="BP1958" s="18"/>
      <c r="BQ1958" s="18"/>
      <c r="BR1958" s="18"/>
      <c r="BS1958" s="18"/>
      <c r="BT1958" s="18"/>
      <c r="BU1958" s="18"/>
      <c r="BV1958" s="18"/>
    </row>
    <row r="1959" spans="1:74">
      <c r="A1959" s="18"/>
      <c r="B1959" s="19"/>
      <c r="BG1959" s="18"/>
      <c r="BH1959" s="18"/>
      <c r="BI1959" s="18"/>
      <c r="BJ1959" s="18"/>
      <c r="BK1959" s="18"/>
      <c r="BL1959" s="18"/>
      <c r="BM1959" s="18"/>
      <c r="BN1959" s="18"/>
      <c r="BO1959" s="18"/>
      <c r="BP1959" s="18"/>
      <c r="BQ1959" s="18"/>
      <c r="BR1959" s="18"/>
      <c r="BS1959" s="18"/>
      <c r="BT1959" s="18"/>
      <c r="BU1959" s="18"/>
      <c r="BV1959" s="18"/>
    </row>
    <row r="1960" spans="1:74">
      <c r="A1960" s="18"/>
      <c r="B1960" s="19"/>
      <c r="BG1960" s="18"/>
      <c r="BH1960" s="18"/>
      <c r="BI1960" s="18"/>
      <c r="BJ1960" s="18"/>
      <c r="BK1960" s="18"/>
      <c r="BL1960" s="18"/>
      <c r="BM1960" s="18"/>
      <c r="BN1960" s="18"/>
      <c r="BO1960" s="18"/>
      <c r="BP1960" s="18"/>
      <c r="BQ1960" s="18"/>
      <c r="BR1960" s="18"/>
      <c r="BS1960" s="18"/>
      <c r="BT1960" s="18"/>
      <c r="BU1960" s="18"/>
      <c r="BV1960" s="18"/>
    </row>
    <row r="1961" spans="1:74">
      <c r="A1961" s="18"/>
      <c r="B1961" s="19"/>
      <c r="BG1961" s="18"/>
      <c r="BH1961" s="18"/>
      <c r="BI1961" s="18"/>
      <c r="BJ1961" s="18"/>
      <c r="BK1961" s="18"/>
      <c r="BL1961" s="18"/>
      <c r="BM1961" s="18"/>
      <c r="BN1961" s="18"/>
      <c r="BO1961" s="18"/>
      <c r="BP1961" s="18"/>
      <c r="BQ1961" s="18"/>
      <c r="BR1961" s="18"/>
      <c r="BS1961" s="18"/>
      <c r="BT1961" s="18"/>
      <c r="BU1961" s="18"/>
      <c r="BV1961" s="18"/>
    </row>
    <row r="1962" spans="1:74">
      <c r="A1962" s="18"/>
      <c r="B1962" s="19"/>
      <c r="BG1962" s="18"/>
      <c r="BH1962" s="18"/>
      <c r="BI1962" s="18"/>
      <c r="BJ1962" s="18"/>
      <c r="BK1962" s="18"/>
      <c r="BL1962" s="18"/>
      <c r="BM1962" s="18"/>
      <c r="BN1962" s="18"/>
      <c r="BO1962" s="18"/>
      <c r="BP1962" s="18"/>
      <c r="BQ1962" s="18"/>
      <c r="BR1962" s="18"/>
      <c r="BS1962" s="18"/>
      <c r="BT1962" s="18"/>
      <c r="BU1962" s="18"/>
      <c r="BV1962" s="18"/>
    </row>
    <row r="1963" spans="1:74">
      <c r="A1963" s="18"/>
      <c r="B1963" s="19"/>
      <c r="BG1963" s="18"/>
      <c r="BH1963" s="18"/>
      <c r="BI1963" s="18"/>
      <c r="BJ1963" s="18"/>
      <c r="BK1963" s="18"/>
      <c r="BL1963" s="18"/>
      <c r="BM1963" s="18"/>
      <c r="BN1963" s="18"/>
      <c r="BO1963" s="18"/>
      <c r="BP1963" s="18"/>
      <c r="BQ1963" s="18"/>
      <c r="BR1963" s="18"/>
      <c r="BS1963" s="18"/>
      <c r="BT1963" s="18"/>
      <c r="BU1963" s="18"/>
      <c r="BV1963" s="18"/>
    </row>
    <row r="1964" spans="1:74">
      <c r="A1964" s="18"/>
      <c r="B1964" s="19"/>
      <c r="BG1964" s="18"/>
      <c r="BH1964" s="18"/>
      <c r="BI1964" s="18"/>
      <c r="BJ1964" s="18"/>
      <c r="BK1964" s="18"/>
      <c r="BL1964" s="18"/>
      <c r="BM1964" s="18"/>
      <c r="BN1964" s="18"/>
      <c r="BO1964" s="18"/>
      <c r="BP1964" s="18"/>
      <c r="BQ1964" s="18"/>
      <c r="BR1964" s="18"/>
      <c r="BS1964" s="18"/>
      <c r="BT1964" s="18"/>
      <c r="BU1964" s="18"/>
      <c r="BV1964" s="18"/>
    </row>
    <row r="1965" spans="1:74">
      <c r="A1965" s="18"/>
      <c r="B1965" s="19"/>
      <c r="BG1965" s="18"/>
      <c r="BH1965" s="18"/>
      <c r="BI1965" s="18"/>
      <c r="BJ1965" s="18"/>
      <c r="BK1965" s="18"/>
      <c r="BL1965" s="18"/>
      <c r="BM1965" s="18"/>
      <c r="BN1965" s="18"/>
      <c r="BO1965" s="18"/>
      <c r="BP1965" s="18"/>
      <c r="BQ1965" s="18"/>
      <c r="BR1965" s="18"/>
      <c r="BS1965" s="18"/>
      <c r="BT1965" s="18"/>
      <c r="BU1965" s="18"/>
      <c r="BV1965" s="18"/>
    </row>
    <row r="1966" spans="1:74">
      <c r="A1966" s="18"/>
      <c r="B1966" s="19"/>
      <c r="BG1966" s="18"/>
      <c r="BH1966" s="18"/>
      <c r="BI1966" s="18"/>
      <c r="BJ1966" s="18"/>
      <c r="BK1966" s="18"/>
      <c r="BL1966" s="18"/>
      <c r="BM1966" s="18"/>
      <c r="BN1966" s="18"/>
      <c r="BO1966" s="18"/>
      <c r="BP1966" s="18"/>
      <c r="BQ1966" s="18"/>
      <c r="BR1966" s="18"/>
      <c r="BS1966" s="18"/>
      <c r="BT1966" s="18"/>
      <c r="BU1966" s="18"/>
      <c r="BV1966" s="18"/>
    </row>
    <row r="1967" spans="1:74">
      <c r="A1967" s="18"/>
      <c r="B1967" s="19"/>
      <c r="BG1967" s="18"/>
      <c r="BH1967" s="18"/>
      <c r="BI1967" s="18"/>
      <c r="BJ1967" s="18"/>
      <c r="BK1967" s="18"/>
      <c r="BL1967" s="18"/>
      <c r="BM1967" s="18"/>
      <c r="BN1967" s="18"/>
      <c r="BO1967" s="18"/>
      <c r="BP1967" s="18"/>
      <c r="BQ1967" s="18"/>
      <c r="BR1967" s="18"/>
      <c r="BS1967" s="18"/>
      <c r="BT1967" s="18"/>
      <c r="BU1967" s="18"/>
      <c r="BV1967" s="18"/>
    </row>
    <row r="1968" spans="1:74">
      <c r="A1968" s="18"/>
      <c r="B1968" s="19"/>
      <c r="BG1968" s="18"/>
      <c r="BH1968" s="18"/>
      <c r="BI1968" s="18"/>
      <c r="BJ1968" s="18"/>
      <c r="BK1968" s="18"/>
      <c r="BL1968" s="18"/>
      <c r="BM1968" s="18"/>
      <c r="BN1968" s="18"/>
      <c r="BO1968" s="18"/>
      <c r="BP1968" s="18"/>
      <c r="BQ1968" s="18"/>
      <c r="BR1968" s="18"/>
      <c r="BS1968" s="18"/>
      <c r="BT1968" s="18"/>
      <c r="BU1968" s="18"/>
      <c r="BV1968" s="18"/>
    </row>
    <row r="1969" spans="1:74">
      <c r="A1969" s="18"/>
      <c r="B1969" s="19"/>
      <c r="BG1969" s="18"/>
      <c r="BH1969" s="18"/>
      <c r="BI1969" s="18"/>
      <c r="BJ1969" s="18"/>
      <c r="BK1969" s="18"/>
      <c r="BL1969" s="18"/>
      <c r="BM1969" s="18"/>
      <c r="BN1969" s="18"/>
      <c r="BO1969" s="18"/>
      <c r="BP1969" s="18"/>
      <c r="BQ1969" s="18"/>
      <c r="BR1969" s="18"/>
      <c r="BS1969" s="18"/>
      <c r="BT1969" s="18"/>
      <c r="BU1969" s="18"/>
      <c r="BV1969" s="18"/>
    </row>
    <row r="1970" spans="1:74">
      <c r="A1970" s="18"/>
      <c r="B1970" s="19"/>
      <c r="BG1970" s="18"/>
      <c r="BH1970" s="18"/>
      <c r="BI1970" s="18"/>
      <c r="BJ1970" s="18"/>
      <c r="BK1970" s="18"/>
      <c r="BL1970" s="18"/>
      <c r="BM1970" s="18"/>
      <c r="BN1970" s="18"/>
      <c r="BO1970" s="18"/>
      <c r="BP1970" s="18"/>
      <c r="BQ1970" s="18"/>
      <c r="BR1970" s="18"/>
      <c r="BS1970" s="18"/>
      <c r="BT1970" s="18"/>
      <c r="BU1970" s="18"/>
      <c r="BV1970" s="18"/>
    </row>
    <row r="1971" spans="1:74">
      <c r="A1971" s="18"/>
      <c r="B1971" s="19"/>
      <c r="BG1971" s="18"/>
      <c r="BH1971" s="18"/>
      <c r="BI1971" s="18"/>
      <c r="BJ1971" s="18"/>
      <c r="BK1971" s="18"/>
      <c r="BL1971" s="18"/>
      <c r="BM1971" s="18"/>
      <c r="BN1971" s="18"/>
      <c r="BO1971" s="18"/>
      <c r="BP1971" s="18"/>
      <c r="BQ1971" s="18"/>
      <c r="BR1971" s="18"/>
      <c r="BS1971" s="18"/>
      <c r="BT1971" s="18"/>
      <c r="BU1971" s="18"/>
      <c r="BV1971" s="18"/>
    </row>
    <row r="1972" spans="1:74">
      <c r="A1972" s="18"/>
      <c r="B1972" s="19"/>
      <c r="BG1972" s="18"/>
      <c r="BH1972" s="18"/>
      <c r="BI1972" s="18"/>
      <c r="BJ1972" s="18"/>
      <c r="BK1972" s="18"/>
      <c r="BL1972" s="18"/>
      <c r="BM1972" s="18"/>
      <c r="BN1972" s="18"/>
      <c r="BO1972" s="18"/>
      <c r="BP1972" s="18"/>
      <c r="BQ1972" s="18"/>
      <c r="BR1972" s="18"/>
      <c r="BS1972" s="18"/>
      <c r="BT1972" s="18"/>
      <c r="BU1972" s="18"/>
      <c r="BV1972" s="18"/>
    </row>
    <row r="1973" spans="1:74">
      <c r="A1973" s="18"/>
      <c r="B1973" s="19"/>
      <c r="BG1973" s="18"/>
      <c r="BH1973" s="18"/>
      <c r="BI1973" s="18"/>
      <c r="BJ1973" s="18"/>
      <c r="BK1973" s="18"/>
      <c r="BL1973" s="18"/>
      <c r="BM1973" s="18"/>
      <c r="BN1973" s="18"/>
      <c r="BO1973" s="18"/>
      <c r="BP1973" s="18"/>
      <c r="BQ1973" s="18"/>
      <c r="BR1973" s="18"/>
      <c r="BS1973" s="18"/>
      <c r="BT1973" s="18"/>
      <c r="BU1973" s="18"/>
      <c r="BV1973" s="18"/>
    </row>
    <row r="1974" spans="1:74">
      <c r="A1974" s="18"/>
      <c r="B1974" s="19"/>
      <c r="BG1974" s="18"/>
      <c r="BH1974" s="18"/>
      <c r="BI1974" s="18"/>
      <c r="BJ1974" s="18"/>
      <c r="BK1974" s="18"/>
      <c r="BL1974" s="18"/>
      <c r="BM1974" s="18"/>
      <c r="BN1974" s="18"/>
      <c r="BO1974" s="18"/>
      <c r="BP1974" s="18"/>
      <c r="BQ1974" s="18"/>
      <c r="BR1974" s="18"/>
      <c r="BS1974" s="18"/>
      <c r="BT1974" s="18"/>
      <c r="BU1974" s="18"/>
      <c r="BV1974" s="18"/>
    </row>
    <row r="1975" spans="1:74">
      <c r="A1975" s="18"/>
      <c r="B1975" s="19"/>
      <c r="BG1975" s="18"/>
      <c r="BH1975" s="18"/>
      <c r="BI1975" s="18"/>
      <c r="BJ1975" s="18"/>
      <c r="BK1975" s="18"/>
      <c r="BL1975" s="18"/>
      <c r="BM1975" s="18"/>
      <c r="BN1975" s="18"/>
      <c r="BO1975" s="18"/>
      <c r="BP1975" s="18"/>
      <c r="BQ1975" s="18"/>
      <c r="BR1975" s="18"/>
      <c r="BS1975" s="18"/>
      <c r="BT1975" s="18"/>
      <c r="BU1975" s="18"/>
      <c r="BV1975" s="18"/>
    </row>
    <row r="1976" spans="1:74">
      <c r="A1976" s="18"/>
      <c r="B1976" s="19"/>
      <c r="BG1976" s="18"/>
      <c r="BH1976" s="18"/>
      <c r="BI1976" s="18"/>
      <c r="BJ1976" s="18"/>
      <c r="BK1976" s="18"/>
      <c r="BL1976" s="18"/>
      <c r="BM1976" s="18"/>
      <c r="BN1976" s="18"/>
      <c r="BO1976" s="18"/>
      <c r="BP1976" s="18"/>
      <c r="BQ1976" s="18"/>
      <c r="BR1976" s="18"/>
      <c r="BS1976" s="18"/>
      <c r="BT1976" s="18"/>
      <c r="BU1976" s="18"/>
      <c r="BV1976" s="18"/>
    </row>
    <row r="1977" spans="1:74">
      <c r="A1977" s="18"/>
      <c r="B1977" s="19"/>
      <c r="BG1977" s="18"/>
      <c r="BH1977" s="18"/>
      <c r="BI1977" s="18"/>
      <c r="BJ1977" s="18"/>
      <c r="BK1977" s="18"/>
      <c r="BL1977" s="18"/>
      <c r="BM1977" s="18"/>
      <c r="BN1977" s="18"/>
      <c r="BO1977" s="18"/>
      <c r="BP1977" s="18"/>
      <c r="BQ1977" s="18"/>
      <c r="BR1977" s="18"/>
      <c r="BS1977" s="18"/>
      <c r="BT1977" s="18"/>
      <c r="BU1977" s="18"/>
      <c r="BV1977" s="18"/>
    </row>
    <row r="1978" spans="1:74">
      <c r="A1978" s="18"/>
      <c r="B1978" s="19"/>
      <c r="BG1978" s="18"/>
      <c r="BH1978" s="18"/>
      <c r="BI1978" s="18"/>
      <c r="BJ1978" s="18"/>
      <c r="BK1978" s="18"/>
      <c r="BL1978" s="18"/>
      <c r="BM1978" s="18"/>
      <c r="BN1978" s="18"/>
      <c r="BO1978" s="18"/>
      <c r="BP1978" s="18"/>
      <c r="BQ1978" s="18"/>
      <c r="BR1978" s="18"/>
      <c r="BS1978" s="18"/>
      <c r="BT1978" s="18"/>
      <c r="BU1978" s="18"/>
      <c r="BV1978" s="18"/>
    </row>
    <row r="1979" spans="1:74">
      <c r="A1979" s="18"/>
      <c r="B1979" s="19"/>
      <c r="BG1979" s="18"/>
      <c r="BH1979" s="18"/>
      <c r="BI1979" s="18"/>
      <c r="BJ1979" s="18"/>
      <c r="BK1979" s="18"/>
      <c r="BL1979" s="18"/>
      <c r="BM1979" s="18"/>
      <c r="BN1979" s="18"/>
      <c r="BO1979" s="18"/>
      <c r="BP1979" s="18"/>
      <c r="BQ1979" s="18"/>
      <c r="BR1979" s="18"/>
      <c r="BS1979" s="18"/>
      <c r="BT1979" s="18"/>
      <c r="BU1979" s="18"/>
      <c r="BV1979" s="18"/>
    </row>
    <row r="1980" spans="1:74">
      <c r="A1980" s="18"/>
      <c r="B1980" s="19"/>
      <c r="BG1980" s="18"/>
      <c r="BH1980" s="18"/>
      <c r="BI1980" s="18"/>
      <c r="BJ1980" s="18"/>
      <c r="BK1980" s="18"/>
      <c r="BL1980" s="18"/>
      <c r="BM1980" s="18"/>
      <c r="BN1980" s="18"/>
      <c r="BO1980" s="18"/>
      <c r="BP1980" s="18"/>
      <c r="BQ1980" s="18"/>
      <c r="BR1980" s="18"/>
      <c r="BS1980" s="18"/>
      <c r="BT1980" s="18"/>
      <c r="BU1980" s="18"/>
      <c r="BV1980" s="18"/>
    </row>
    <row r="1981" spans="1:74">
      <c r="A1981" s="18"/>
      <c r="B1981" s="19"/>
      <c r="BG1981" s="18"/>
      <c r="BH1981" s="18"/>
      <c r="BI1981" s="18"/>
      <c r="BJ1981" s="18"/>
      <c r="BK1981" s="18"/>
      <c r="BL1981" s="18"/>
      <c r="BM1981" s="18"/>
      <c r="BN1981" s="18"/>
      <c r="BO1981" s="18"/>
      <c r="BP1981" s="18"/>
      <c r="BQ1981" s="18"/>
      <c r="BR1981" s="18"/>
      <c r="BS1981" s="18"/>
      <c r="BT1981" s="18"/>
      <c r="BU1981" s="18"/>
      <c r="BV1981" s="18"/>
    </row>
    <row r="1982" spans="1:74">
      <c r="A1982" s="18"/>
      <c r="B1982" s="19"/>
      <c r="BG1982" s="18"/>
      <c r="BH1982" s="18"/>
      <c r="BI1982" s="18"/>
      <c r="BJ1982" s="18"/>
      <c r="BK1982" s="18"/>
      <c r="BL1982" s="18"/>
      <c r="BM1982" s="18"/>
      <c r="BN1982" s="18"/>
      <c r="BO1982" s="18"/>
      <c r="BP1982" s="18"/>
      <c r="BQ1982" s="18"/>
      <c r="BR1982" s="18"/>
      <c r="BS1982" s="18"/>
      <c r="BT1982" s="18"/>
      <c r="BU1982" s="18"/>
      <c r="BV1982" s="18"/>
    </row>
    <row r="1983" spans="1:74">
      <c r="A1983" s="18"/>
      <c r="B1983" s="19"/>
      <c r="BG1983" s="18"/>
      <c r="BH1983" s="18"/>
      <c r="BI1983" s="18"/>
      <c r="BJ1983" s="18"/>
      <c r="BK1983" s="18"/>
      <c r="BL1983" s="18"/>
      <c r="BM1983" s="18"/>
      <c r="BN1983" s="18"/>
      <c r="BO1983" s="18"/>
      <c r="BP1983" s="18"/>
      <c r="BQ1983" s="18"/>
      <c r="BR1983" s="18"/>
      <c r="BS1983" s="18"/>
      <c r="BT1983" s="18"/>
      <c r="BU1983" s="18"/>
      <c r="BV1983" s="18"/>
    </row>
    <row r="1984" spans="1:74">
      <c r="A1984" s="18"/>
      <c r="B1984" s="19"/>
      <c r="BG1984" s="18"/>
      <c r="BH1984" s="18"/>
      <c r="BI1984" s="18"/>
      <c r="BJ1984" s="18"/>
      <c r="BK1984" s="18"/>
      <c r="BL1984" s="18"/>
      <c r="BM1984" s="18"/>
      <c r="BN1984" s="18"/>
      <c r="BO1984" s="18"/>
      <c r="BP1984" s="18"/>
      <c r="BQ1984" s="18"/>
      <c r="BR1984" s="18"/>
      <c r="BS1984" s="18"/>
      <c r="BT1984" s="18"/>
      <c r="BU1984" s="18"/>
      <c r="BV1984" s="18"/>
    </row>
    <row r="1985" spans="1:74">
      <c r="A1985" s="18"/>
      <c r="B1985" s="19"/>
      <c r="BG1985" s="18"/>
      <c r="BH1985" s="18"/>
      <c r="BI1985" s="18"/>
      <c r="BJ1985" s="18"/>
      <c r="BK1985" s="18"/>
      <c r="BL1985" s="18"/>
      <c r="BM1985" s="18"/>
      <c r="BN1985" s="18"/>
      <c r="BO1985" s="18"/>
      <c r="BP1985" s="18"/>
      <c r="BQ1985" s="18"/>
      <c r="BR1985" s="18"/>
      <c r="BS1985" s="18"/>
      <c r="BT1985" s="18"/>
      <c r="BU1985" s="18"/>
      <c r="BV1985" s="18"/>
    </row>
    <row r="1986" spans="1:74">
      <c r="A1986" s="18"/>
      <c r="B1986" s="19"/>
      <c r="BG1986" s="18"/>
      <c r="BH1986" s="18"/>
      <c r="BI1986" s="18"/>
      <c r="BJ1986" s="18"/>
      <c r="BK1986" s="18"/>
      <c r="BL1986" s="18"/>
      <c r="BM1986" s="18"/>
      <c r="BN1986" s="18"/>
      <c r="BO1986" s="18"/>
      <c r="BP1986" s="18"/>
      <c r="BQ1986" s="18"/>
      <c r="BR1986" s="18"/>
      <c r="BS1986" s="18"/>
      <c r="BT1986" s="18"/>
      <c r="BU1986" s="18"/>
      <c r="BV1986" s="18"/>
    </row>
    <row r="1987" spans="1:74">
      <c r="A1987" s="18"/>
      <c r="B1987" s="19"/>
      <c r="BG1987" s="18"/>
      <c r="BH1987" s="18"/>
      <c r="BI1987" s="18"/>
      <c r="BJ1987" s="18"/>
      <c r="BK1987" s="18"/>
      <c r="BL1987" s="18"/>
      <c r="BM1987" s="18"/>
      <c r="BN1987" s="18"/>
      <c r="BO1987" s="18"/>
      <c r="BP1987" s="18"/>
      <c r="BQ1987" s="18"/>
      <c r="BR1987" s="18"/>
      <c r="BS1987" s="18"/>
      <c r="BT1987" s="18"/>
      <c r="BU1987" s="18"/>
      <c r="BV1987" s="18"/>
    </row>
    <row r="1988" spans="1:74">
      <c r="A1988" s="18"/>
      <c r="B1988" s="19"/>
      <c r="BG1988" s="18"/>
      <c r="BH1988" s="18"/>
      <c r="BI1988" s="18"/>
      <c r="BJ1988" s="18"/>
      <c r="BK1988" s="18"/>
      <c r="BL1988" s="18"/>
      <c r="BM1988" s="18"/>
      <c r="BN1988" s="18"/>
      <c r="BO1988" s="18"/>
      <c r="BP1988" s="18"/>
      <c r="BQ1988" s="18"/>
      <c r="BR1988" s="18"/>
      <c r="BS1988" s="18"/>
      <c r="BT1988" s="18"/>
      <c r="BU1988" s="18"/>
      <c r="BV1988" s="18"/>
    </row>
    <row r="1989" spans="1:74">
      <c r="A1989" s="18"/>
      <c r="B1989" s="19"/>
      <c r="BG1989" s="18"/>
      <c r="BH1989" s="18"/>
      <c r="BI1989" s="18"/>
      <c r="BJ1989" s="18"/>
      <c r="BK1989" s="18"/>
      <c r="BL1989" s="18"/>
      <c r="BM1989" s="18"/>
      <c r="BN1989" s="18"/>
      <c r="BO1989" s="18"/>
      <c r="BP1989" s="18"/>
      <c r="BQ1989" s="18"/>
      <c r="BR1989" s="18"/>
      <c r="BS1989" s="18"/>
      <c r="BT1989" s="18"/>
      <c r="BU1989" s="18"/>
      <c r="BV1989" s="18"/>
    </row>
    <row r="1990" spans="1:74">
      <c r="A1990" s="18"/>
      <c r="B1990" s="19"/>
      <c r="BG1990" s="18"/>
      <c r="BH1990" s="18"/>
      <c r="BI1990" s="18"/>
      <c r="BJ1990" s="18"/>
      <c r="BK1990" s="18"/>
      <c r="BL1990" s="18"/>
      <c r="BM1990" s="18"/>
      <c r="BN1990" s="18"/>
      <c r="BO1990" s="18"/>
      <c r="BP1990" s="18"/>
      <c r="BQ1990" s="18"/>
      <c r="BR1990" s="18"/>
      <c r="BS1990" s="18"/>
      <c r="BT1990" s="18"/>
      <c r="BU1990" s="18"/>
      <c r="BV1990" s="18"/>
    </row>
    <row r="1991" spans="1:74">
      <c r="A1991" s="18"/>
      <c r="B1991" s="19"/>
      <c r="BG1991" s="18"/>
      <c r="BH1991" s="18"/>
      <c r="BI1991" s="18"/>
      <c r="BJ1991" s="18"/>
      <c r="BK1991" s="18"/>
      <c r="BL1991" s="18"/>
      <c r="BM1991" s="18"/>
      <c r="BN1991" s="18"/>
      <c r="BO1991" s="18"/>
      <c r="BP1991" s="18"/>
      <c r="BQ1991" s="18"/>
      <c r="BR1991" s="18"/>
      <c r="BS1991" s="18"/>
      <c r="BT1991" s="18"/>
      <c r="BU1991" s="18"/>
      <c r="BV1991" s="18"/>
    </row>
    <row r="1992" spans="1:74">
      <c r="A1992" s="18"/>
      <c r="B1992" s="19"/>
      <c r="BG1992" s="18"/>
      <c r="BH1992" s="18"/>
      <c r="BI1992" s="18"/>
      <c r="BJ1992" s="18"/>
      <c r="BK1992" s="18"/>
      <c r="BL1992" s="18"/>
      <c r="BM1992" s="18"/>
      <c r="BN1992" s="18"/>
      <c r="BO1992" s="18"/>
      <c r="BP1992" s="18"/>
      <c r="BQ1992" s="18"/>
      <c r="BR1992" s="18"/>
      <c r="BS1992" s="18"/>
      <c r="BT1992" s="18"/>
      <c r="BU1992" s="18"/>
      <c r="BV1992" s="18"/>
    </row>
    <row r="1993" spans="1:74">
      <c r="A1993" s="18"/>
      <c r="B1993" s="19"/>
      <c r="BG1993" s="18"/>
      <c r="BH1993" s="18"/>
      <c r="BI1993" s="18"/>
      <c r="BJ1993" s="18"/>
      <c r="BK1993" s="18"/>
      <c r="BL1993" s="18"/>
      <c r="BM1993" s="18"/>
      <c r="BN1993" s="18"/>
      <c r="BO1993" s="18"/>
      <c r="BP1993" s="18"/>
      <c r="BQ1993" s="18"/>
      <c r="BR1993" s="18"/>
      <c r="BS1993" s="18"/>
      <c r="BT1993" s="18"/>
      <c r="BU1993" s="18"/>
      <c r="BV1993" s="18"/>
    </row>
    <row r="1994" spans="1:74">
      <c r="A1994" s="18"/>
      <c r="B1994" s="19"/>
      <c r="BG1994" s="18"/>
      <c r="BH1994" s="18"/>
      <c r="BI1994" s="18"/>
      <c r="BJ1994" s="18"/>
      <c r="BK1994" s="18"/>
      <c r="BL1994" s="18"/>
      <c r="BM1994" s="18"/>
      <c r="BN1994" s="18"/>
      <c r="BO1994" s="18"/>
      <c r="BP1994" s="18"/>
      <c r="BQ1994" s="18"/>
      <c r="BR1994" s="18"/>
      <c r="BS1994" s="18"/>
      <c r="BT1994" s="18"/>
      <c r="BU1994" s="18"/>
      <c r="BV1994" s="18"/>
    </row>
    <row r="1995" spans="1:74">
      <c r="A1995" s="18"/>
      <c r="B1995" s="19"/>
      <c r="BG1995" s="18"/>
      <c r="BH1995" s="18"/>
      <c r="BI1995" s="18"/>
      <c r="BJ1995" s="18"/>
      <c r="BK1995" s="18"/>
      <c r="BL1995" s="18"/>
      <c r="BM1995" s="18"/>
      <c r="BN1995" s="18"/>
      <c r="BO1995" s="18"/>
      <c r="BP1995" s="18"/>
      <c r="BQ1995" s="18"/>
      <c r="BR1995" s="18"/>
      <c r="BS1995" s="18"/>
      <c r="BT1995" s="18"/>
      <c r="BU1995" s="18"/>
      <c r="BV1995" s="18"/>
    </row>
    <row r="1996" spans="1:74">
      <c r="A1996" s="18"/>
      <c r="B1996" s="19"/>
      <c r="BG1996" s="18"/>
      <c r="BH1996" s="18"/>
      <c r="BI1996" s="18"/>
      <c r="BJ1996" s="18"/>
      <c r="BK1996" s="18"/>
      <c r="BL1996" s="18"/>
      <c r="BM1996" s="18"/>
      <c r="BN1996" s="18"/>
      <c r="BO1996" s="18"/>
      <c r="BP1996" s="18"/>
      <c r="BQ1996" s="18"/>
      <c r="BR1996" s="18"/>
      <c r="BS1996" s="18"/>
      <c r="BT1996" s="18"/>
      <c r="BU1996" s="18"/>
      <c r="BV1996" s="18"/>
    </row>
    <row r="1997" spans="1:74">
      <c r="A1997" s="18"/>
      <c r="B1997" s="19"/>
      <c r="BG1997" s="18"/>
      <c r="BH1997" s="18"/>
      <c r="BI1997" s="18"/>
      <c r="BJ1997" s="18"/>
      <c r="BK1997" s="18"/>
      <c r="BL1997" s="18"/>
      <c r="BM1997" s="18"/>
      <c r="BN1997" s="18"/>
      <c r="BO1997" s="18"/>
      <c r="BP1997" s="18"/>
      <c r="BQ1997" s="18"/>
      <c r="BR1997" s="18"/>
      <c r="BS1997" s="18"/>
      <c r="BT1997" s="18"/>
      <c r="BU1997" s="18"/>
      <c r="BV1997" s="18"/>
    </row>
    <row r="1998" spans="1:74">
      <c r="A1998" s="18"/>
      <c r="B1998" s="19"/>
      <c r="BG1998" s="18"/>
      <c r="BH1998" s="18"/>
      <c r="BI1998" s="18"/>
      <c r="BJ1998" s="18"/>
      <c r="BK1998" s="18"/>
      <c r="BL1998" s="18"/>
      <c r="BM1998" s="18"/>
      <c r="BN1998" s="18"/>
      <c r="BO1998" s="18"/>
      <c r="BP1998" s="18"/>
      <c r="BQ1998" s="18"/>
      <c r="BR1998" s="18"/>
      <c r="BS1998" s="18"/>
      <c r="BT1998" s="18"/>
      <c r="BU1998" s="18"/>
      <c r="BV1998" s="18"/>
    </row>
    <row r="1999" spans="1:74">
      <c r="A1999" s="18"/>
      <c r="B1999" s="19"/>
      <c r="BG1999" s="18"/>
      <c r="BH1999" s="18"/>
      <c r="BI1999" s="18"/>
      <c r="BJ1999" s="18"/>
      <c r="BK1999" s="18"/>
      <c r="BL1999" s="18"/>
      <c r="BM1999" s="18"/>
      <c r="BN1999" s="18"/>
      <c r="BO1999" s="18"/>
      <c r="BP1999" s="18"/>
      <c r="BQ1999" s="18"/>
      <c r="BR1999" s="18"/>
      <c r="BS1999" s="18"/>
      <c r="BT1999" s="18"/>
      <c r="BU1999" s="18"/>
      <c r="BV1999" s="18"/>
    </row>
    <row r="2000" spans="1:74">
      <c r="A2000" s="18"/>
      <c r="B2000" s="19"/>
      <c r="BG2000" s="18"/>
      <c r="BH2000" s="18"/>
      <c r="BI2000" s="18"/>
      <c r="BJ2000" s="18"/>
      <c r="BK2000" s="18"/>
      <c r="BL2000" s="18"/>
      <c r="BM2000" s="18"/>
      <c r="BN2000" s="18"/>
      <c r="BO2000" s="18"/>
      <c r="BP2000" s="18"/>
      <c r="BQ2000" s="18"/>
      <c r="BR2000" s="18"/>
      <c r="BS2000" s="18"/>
      <c r="BT2000" s="18"/>
      <c r="BU2000" s="18"/>
      <c r="BV2000" s="18"/>
    </row>
    <row r="2001" spans="1:74">
      <c r="A2001" s="18"/>
      <c r="B2001" s="19"/>
      <c r="BG2001" s="18"/>
      <c r="BH2001" s="18"/>
      <c r="BI2001" s="18"/>
      <c r="BJ2001" s="18"/>
      <c r="BK2001" s="18"/>
      <c r="BL2001" s="18"/>
      <c r="BM2001" s="18"/>
      <c r="BN2001" s="18"/>
      <c r="BO2001" s="18"/>
      <c r="BP2001" s="18"/>
      <c r="BQ2001" s="18"/>
      <c r="BR2001" s="18"/>
      <c r="BS2001" s="18"/>
      <c r="BT2001" s="18"/>
      <c r="BU2001" s="18"/>
      <c r="BV2001" s="18"/>
    </row>
    <row r="2002" spans="1:74">
      <c r="A2002" s="18"/>
      <c r="B2002" s="19"/>
      <c r="BG2002" s="18"/>
      <c r="BH2002" s="18"/>
      <c r="BI2002" s="18"/>
      <c r="BJ2002" s="18"/>
      <c r="BK2002" s="18"/>
      <c r="BL2002" s="18"/>
      <c r="BM2002" s="18"/>
      <c r="BN2002" s="18"/>
      <c r="BO2002" s="18"/>
      <c r="BP2002" s="18"/>
      <c r="BQ2002" s="18"/>
      <c r="BR2002" s="18"/>
      <c r="BS2002" s="18"/>
      <c r="BT2002" s="18"/>
      <c r="BU2002" s="18"/>
      <c r="BV2002" s="18"/>
    </row>
    <row r="2003" spans="1:74">
      <c r="A2003" s="18"/>
      <c r="B2003" s="19"/>
      <c r="BG2003" s="18"/>
      <c r="BH2003" s="18"/>
      <c r="BI2003" s="18"/>
      <c r="BJ2003" s="18"/>
      <c r="BK2003" s="18"/>
      <c r="BL2003" s="18"/>
      <c r="BM2003" s="18"/>
      <c r="BN2003" s="18"/>
      <c r="BO2003" s="18"/>
      <c r="BP2003" s="18"/>
      <c r="BQ2003" s="18"/>
      <c r="BR2003" s="18"/>
      <c r="BS2003" s="18"/>
      <c r="BT2003" s="18"/>
      <c r="BU2003" s="18"/>
      <c r="BV2003" s="18"/>
    </row>
    <row r="2004" spans="1:74">
      <c r="A2004" s="18"/>
      <c r="B2004" s="19"/>
      <c r="BG2004" s="18"/>
      <c r="BH2004" s="18"/>
      <c r="BI2004" s="18"/>
      <c r="BJ2004" s="18"/>
      <c r="BK2004" s="18"/>
      <c r="BL2004" s="18"/>
      <c r="BM2004" s="18"/>
      <c r="BN2004" s="18"/>
      <c r="BO2004" s="18"/>
      <c r="BP2004" s="18"/>
      <c r="BQ2004" s="18"/>
      <c r="BR2004" s="18"/>
      <c r="BS2004" s="18"/>
      <c r="BT2004" s="18"/>
      <c r="BU2004" s="18"/>
      <c r="BV2004" s="18"/>
    </row>
    <row r="2005" spans="1:74">
      <c r="A2005" s="18"/>
      <c r="B2005" s="19"/>
      <c r="BG2005" s="18"/>
      <c r="BH2005" s="18"/>
      <c r="BI2005" s="18"/>
      <c r="BJ2005" s="18"/>
      <c r="BK2005" s="18"/>
      <c r="BL2005" s="18"/>
      <c r="BM2005" s="18"/>
      <c r="BN2005" s="18"/>
      <c r="BO2005" s="18"/>
      <c r="BP2005" s="18"/>
      <c r="BQ2005" s="18"/>
      <c r="BR2005" s="18"/>
      <c r="BS2005" s="18"/>
      <c r="BT2005" s="18"/>
      <c r="BU2005" s="18"/>
      <c r="BV2005" s="18"/>
    </row>
    <row r="2006" spans="1:74">
      <c r="A2006" s="18"/>
      <c r="B2006" s="19"/>
      <c r="BG2006" s="18"/>
      <c r="BH2006" s="18"/>
      <c r="BI2006" s="18"/>
      <c r="BJ2006" s="18"/>
      <c r="BK2006" s="18"/>
      <c r="BL2006" s="18"/>
      <c r="BM2006" s="18"/>
      <c r="BN2006" s="18"/>
      <c r="BO2006" s="18"/>
      <c r="BP2006" s="18"/>
      <c r="BQ2006" s="18"/>
      <c r="BR2006" s="18"/>
      <c r="BS2006" s="18"/>
      <c r="BT2006" s="18"/>
      <c r="BU2006" s="18"/>
      <c r="BV2006" s="18"/>
    </row>
    <row r="2007" spans="1:74">
      <c r="A2007" s="18"/>
      <c r="B2007" s="19"/>
      <c r="BG2007" s="18"/>
      <c r="BH2007" s="18"/>
      <c r="BI2007" s="18"/>
      <c r="BJ2007" s="18"/>
      <c r="BK2007" s="18"/>
      <c r="BL2007" s="18"/>
      <c r="BM2007" s="18"/>
      <c r="BN2007" s="18"/>
      <c r="BO2007" s="18"/>
      <c r="BP2007" s="18"/>
      <c r="BQ2007" s="18"/>
      <c r="BR2007" s="18"/>
      <c r="BS2007" s="18"/>
      <c r="BT2007" s="18"/>
      <c r="BU2007" s="18"/>
      <c r="BV2007" s="18"/>
    </row>
    <row r="2008" spans="1:74">
      <c r="A2008" s="18"/>
      <c r="B2008" s="19"/>
      <c r="BG2008" s="18"/>
      <c r="BH2008" s="18"/>
      <c r="BI2008" s="18"/>
      <c r="BJ2008" s="18"/>
      <c r="BK2008" s="18"/>
      <c r="BL2008" s="18"/>
      <c r="BM2008" s="18"/>
      <c r="BN2008" s="18"/>
      <c r="BO2008" s="18"/>
      <c r="BP2008" s="18"/>
      <c r="BQ2008" s="18"/>
      <c r="BR2008" s="18"/>
      <c r="BS2008" s="18"/>
      <c r="BT2008" s="18"/>
      <c r="BU2008" s="18"/>
      <c r="BV2008" s="18"/>
    </row>
    <row r="2009" spans="1:74">
      <c r="A2009" s="18"/>
      <c r="B2009" s="19"/>
      <c r="BG2009" s="18"/>
      <c r="BH2009" s="18"/>
      <c r="BI2009" s="18"/>
      <c r="BJ2009" s="18"/>
      <c r="BK2009" s="18"/>
      <c r="BL2009" s="18"/>
      <c r="BM2009" s="18"/>
      <c r="BN2009" s="18"/>
      <c r="BO2009" s="18"/>
      <c r="BP2009" s="18"/>
      <c r="BQ2009" s="18"/>
      <c r="BR2009" s="18"/>
      <c r="BS2009" s="18"/>
      <c r="BT2009" s="18"/>
      <c r="BU2009" s="18"/>
      <c r="BV2009" s="18"/>
    </row>
    <row r="2010" spans="1:74">
      <c r="A2010" s="18"/>
      <c r="B2010" s="19"/>
      <c r="BG2010" s="18"/>
      <c r="BH2010" s="18"/>
      <c r="BI2010" s="18"/>
      <c r="BJ2010" s="18"/>
      <c r="BK2010" s="18"/>
      <c r="BL2010" s="18"/>
      <c r="BM2010" s="18"/>
      <c r="BN2010" s="18"/>
      <c r="BO2010" s="18"/>
      <c r="BP2010" s="18"/>
      <c r="BQ2010" s="18"/>
      <c r="BR2010" s="18"/>
      <c r="BS2010" s="18"/>
      <c r="BT2010" s="18"/>
      <c r="BU2010" s="18"/>
      <c r="BV2010" s="18"/>
    </row>
    <row r="2011" spans="1:74">
      <c r="A2011" s="18"/>
      <c r="B2011" s="19"/>
      <c r="BG2011" s="18"/>
      <c r="BH2011" s="18"/>
      <c r="BI2011" s="18"/>
      <c r="BJ2011" s="18"/>
      <c r="BK2011" s="18"/>
      <c r="BL2011" s="18"/>
      <c r="BM2011" s="18"/>
      <c r="BN2011" s="18"/>
      <c r="BO2011" s="18"/>
      <c r="BP2011" s="18"/>
      <c r="BQ2011" s="18"/>
      <c r="BR2011" s="18"/>
      <c r="BS2011" s="18"/>
      <c r="BT2011" s="18"/>
      <c r="BU2011" s="18"/>
      <c r="BV2011" s="18"/>
    </row>
    <row r="2012" spans="1:74">
      <c r="A2012" s="18"/>
      <c r="B2012" s="19"/>
      <c r="BG2012" s="18"/>
      <c r="BH2012" s="18"/>
      <c r="BI2012" s="18"/>
      <c r="BJ2012" s="18"/>
      <c r="BK2012" s="18"/>
      <c r="BL2012" s="18"/>
      <c r="BM2012" s="18"/>
      <c r="BN2012" s="18"/>
      <c r="BO2012" s="18"/>
      <c r="BP2012" s="18"/>
      <c r="BQ2012" s="18"/>
      <c r="BR2012" s="18"/>
      <c r="BS2012" s="18"/>
      <c r="BT2012" s="18"/>
      <c r="BU2012" s="18"/>
      <c r="BV2012" s="18"/>
    </row>
    <row r="2013" spans="1:74">
      <c r="A2013" s="18"/>
      <c r="B2013" s="19"/>
      <c r="BG2013" s="18"/>
      <c r="BH2013" s="18"/>
      <c r="BI2013" s="18"/>
      <c r="BJ2013" s="18"/>
      <c r="BK2013" s="18"/>
      <c r="BL2013" s="18"/>
      <c r="BM2013" s="18"/>
      <c r="BN2013" s="18"/>
      <c r="BO2013" s="18"/>
      <c r="BP2013" s="18"/>
      <c r="BQ2013" s="18"/>
      <c r="BR2013" s="18"/>
      <c r="BS2013" s="18"/>
      <c r="BT2013" s="18"/>
      <c r="BU2013" s="18"/>
      <c r="BV2013" s="18"/>
    </row>
    <row r="2014" spans="1:74">
      <c r="A2014" s="18"/>
      <c r="B2014" s="19"/>
      <c r="BG2014" s="18"/>
      <c r="BH2014" s="18"/>
      <c r="BI2014" s="18"/>
      <c r="BJ2014" s="18"/>
      <c r="BK2014" s="18"/>
      <c r="BL2014" s="18"/>
      <c r="BM2014" s="18"/>
      <c r="BN2014" s="18"/>
      <c r="BO2014" s="18"/>
      <c r="BP2014" s="18"/>
      <c r="BQ2014" s="18"/>
      <c r="BR2014" s="18"/>
      <c r="BS2014" s="18"/>
      <c r="BT2014" s="18"/>
      <c r="BU2014" s="18"/>
      <c r="BV2014" s="18"/>
    </row>
    <row r="2015" spans="1:74">
      <c r="A2015" s="18"/>
      <c r="B2015" s="19"/>
      <c r="BG2015" s="18"/>
      <c r="BH2015" s="18"/>
      <c r="BI2015" s="18"/>
      <c r="BJ2015" s="18"/>
      <c r="BK2015" s="18"/>
      <c r="BL2015" s="18"/>
      <c r="BM2015" s="18"/>
      <c r="BN2015" s="18"/>
      <c r="BO2015" s="18"/>
      <c r="BP2015" s="18"/>
      <c r="BQ2015" s="18"/>
      <c r="BR2015" s="18"/>
      <c r="BS2015" s="18"/>
      <c r="BT2015" s="18"/>
      <c r="BU2015" s="18"/>
      <c r="BV2015" s="18"/>
    </row>
    <row r="2016" spans="1:74">
      <c r="A2016" s="18"/>
      <c r="B2016" s="19"/>
      <c r="BG2016" s="18"/>
      <c r="BH2016" s="18"/>
      <c r="BI2016" s="18"/>
      <c r="BJ2016" s="18"/>
      <c r="BK2016" s="18"/>
      <c r="BL2016" s="18"/>
      <c r="BM2016" s="18"/>
      <c r="BN2016" s="18"/>
      <c r="BO2016" s="18"/>
      <c r="BP2016" s="18"/>
      <c r="BQ2016" s="18"/>
      <c r="BR2016" s="18"/>
      <c r="BS2016" s="18"/>
      <c r="BT2016" s="18"/>
      <c r="BU2016" s="18"/>
      <c r="BV2016" s="18"/>
    </row>
    <row r="2017" spans="1:74">
      <c r="A2017" s="18"/>
      <c r="B2017" s="19"/>
      <c r="BG2017" s="18"/>
      <c r="BH2017" s="18"/>
      <c r="BI2017" s="18"/>
      <c r="BJ2017" s="18"/>
      <c r="BK2017" s="18"/>
      <c r="BL2017" s="18"/>
      <c r="BM2017" s="18"/>
      <c r="BN2017" s="18"/>
      <c r="BO2017" s="18"/>
      <c r="BP2017" s="18"/>
      <c r="BQ2017" s="18"/>
      <c r="BR2017" s="18"/>
      <c r="BS2017" s="18"/>
      <c r="BT2017" s="18"/>
      <c r="BU2017" s="18"/>
      <c r="BV2017" s="18"/>
    </row>
    <row r="2018" spans="1:74">
      <c r="A2018" s="18"/>
      <c r="B2018" s="19"/>
      <c r="BG2018" s="18"/>
      <c r="BH2018" s="18"/>
      <c r="BI2018" s="18"/>
      <c r="BJ2018" s="18"/>
      <c r="BK2018" s="18"/>
      <c r="BL2018" s="18"/>
      <c r="BM2018" s="18"/>
      <c r="BN2018" s="18"/>
      <c r="BO2018" s="18"/>
      <c r="BP2018" s="18"/>
      <c r="BQ2018" s="18"/>
      <c r="BR2018" s="18"/>
      <c r="BS2018" s="18"/>
      <c r="BT2018" s="18"/>
      <c r="BU2018" s="18"/>
      <c r="BV2018" s="18"/>
    </row>
    <row r="2019" spans="1:74">
      <c r="A2019" s="18"/>
      <c r="B2019" s="19"/>
      <c r="BG2019" s="18"/>
      <c r="BH2019" s="18"/>
      <c r="BI2019" s="18"/>
      <c r="BJ2019" s="18"/>
      <c r="BK2019" s="18"/>
      <c r="BL2019" s="18"/>
      <c r="BM2019" s="18"/>
      <c r="BN2019" s="18"/>
      <c r="BO2019" s="18"/>
      <c r="BP2019" s="18"/>
      <c r="BQ2019" s="18"/>
      <c r="BR2019" s="18"/>
      <c r="BS2019" s="18"/>
      <c r="BT2019" s="18"/>
      <c r="BU2019" s="18"/>
      <c r="BV2019" s="18"/>
    </row>
    <row r="2020" spans="1:74">
      <c r="A2020" s="18"/>
      <c r="B2020" s="19"/>
      <c r="BG2020" s="18"/>
      <c r="BH2020" s="18"/>
      <c r="BI2020" s="18"/>
      <c r="BJ2020" s="18"/>
      <c r="BK2020" s="18"/>
      <c r="BL2020" s="18"/>
      <c r="BM2020" s="18"/>
      <c r="BN2020" s="18"/>
      <c r="BO2020" s="18"/>
      <c r="BP2020" s="18"/>
      <c r="BQ2020" s="18"/>
      <c r="BR2020" s="18"/>
      <c r="BS2020" s="18"/>
      <c r="BT2020" s="18"/>
      <c r="BU2020" s="18"/>
      <c r="BV2020" s="18"/>
    </row>
    <row r="2021" spans="1:74">
      <c r="A2021" s="18"/>
      <c r="B2021" s="19"/>
      <c r="BG2021" s="18"/>
      <c r="BH2021" s="18"/>
      <c r="BI2021" s="18"/>
      <c r="BJ2021" s="18"/>
      <c r="BK2021" s="18"/>
      <c r="BL2021" s="18"/>
      <c r="BM2021" s="18"/>
      <c r="BN2021" s="18"/>
      <c r="BO2021" s="18"/>
      <c r="BP2021" s="18"/>
      <c r="BQ2021" s="18"/>
      <c r="BR2021" s="18"/>
      <c r="BS2021" s="18"/>
      <c r="BT2021" s="18"/>
      <c r="BU2021" s="18"/>
      <c r="BV2021" s="18"/>
    </row>
    <row r="2022" spans="1:74">
      <c r="A2022" s="18"/>
      <c r="B2022" s="19"/>
      <c r="BG2022" s="18"/>
      <c r="BH2022" s="18"/>
      <c r="BI2022" s="18"/>
      <c r="BJ2022" s="18"/>
      <c r="BK2022" s="18"/>
      <c r="BL2022" s="18"/>
      <c r="BM2022" s="18"/>
      <c r="BN2022" s="18"/>
      <c r="BO2022" s="18"/>
      <c r="BP2022" s="18"/>
      <c r="BQ2022" s="18"/>
      <c r="BR2022" s="18"/>
      <c r="BS2022" s="18"/>
      <c r="BT2022" s="18"/>
      <c r="BU2022" s="18"/>
      <c r="BV2022" s="18"/>
    </row>
    <row r="2023" spans="1:74">
      <c r="A2023" s="18"/>
      <c r="B2023" s="19"/>
      <c r="BG2023" s="18"/>
      <c r="BH2023" s="18"/>
      <c r="BI2023" s="18"/>
      <c r="BJ2023" s="18"/>
      <c r="BK2023" s="18"/>
      <c r="BL2023" s="18"/>
      <c r="BM2023" s="18"/>
      <c r="BN2023" s="18"/>
      <c r="BO2023" s="18"/>
      <c r="BP2023" s="18"/>
      <c r="BQ2023" s="18"/>
      <c r="BR2023" s="18"/>
      <c r="BS2023" s="18"/>
      <c r="BT2023" s="18"/>
      <c r="BU2023" s="18"/>
      <c r="BV2023" s="18"/>
    </row>
    <row r="2024" spans="1:74">
      <c r="A2024" s="18"/>
      <c r="B2024" s="19"/>
      <c r="BG2024" s="18"/>
      <c r="BH2024" s="18"/>
      <c r="BI2024" s="18"/>
      <c r="BJ2024" s="18"/>
      <c r="BK2024" s="18"/>
      <c r="BL2024" s="18"/>
      <c r="BM2024" s="18"/>
      <c r="BN2024" s="18"/>
      <c r="BO2024" s="18"/>
      <c r="BP2024" s="18"/>
      <c r="BQ2024" s="18"/>
      <c r="BR2024" s="18"/>
      <c r="BS2024" s="18"/>
      <c r="BT2024" s="18"/>
      <c r="BU2024" s="18"/>
      <c r="BV2024" s="18"/>
    </row>
    <row r="2025" spans="1:74">
      <c r="A2025" s="18"/>
      <c r="B2025" s="19"/>
      <c r="BG2025" s="18"/>
      <c r="BH2025" s="18"/>
      <c r="BI2025" s="18"/>
      <c r="BJ2025" s="18"/>
      <c r="BK2025" s="18"/>
      <c r="BL2025" s="18"/>
      <c r="BM2025" s="18"/>
      <c r="BN2025" s="18"/>
      <c r="BO2025" s="18"/>
      <c r="BP2025" s="18"/>
      <c r="BQ2025" s="18"/>
      <c r="BR2025" s="18"/>
      <c r="BS2025" s="18"/>
      <c r="BT2025" s="18"/>
      <c r="BU2025" s="18"/>
      <c r="BV2025" s="18"/>
    </row>
    <row r="2026" spans="1:74">
      <c r="A2026" s="18"/>
      <c r="B2026" s="19"/>
      <c r="BG2026" s="18"/>
      <c r="BH2026" s="18"/>
      <c r="BI2026" s="18"/>
      <c r="BJ2026" s="18"/>
      <c r="BK2026" s="18"/>
      <c r="BL2026" s="18"/>
      <c r="BM2026" s="18"/>
      <c r="BN2026" s="18"/>
      <c r="BO2026" s="18"/>
      <c r="BP2026" s="18"/>
      <c r="BQ2026" s="18"/>
      <c r="BR2026" s="18"/>
      <c r="BS2026" s="18"/>
      <c r="BT2026" s="18"/>
      <c r="BU2026" s="18"/>
      <c r="BV2026" s="18"/>
    </row>
    <row r="2027" spans="1:74">
      <c r="A2027" s="18"/>
      <c r="B2027" s="19"/>
      <c r="BG2027" s="18"/>
      <c r="BH2027" s="18"/>
      <c r="BI2027" s="18"/>
      <c r="BJ2027" s="18"/>
      <c r="BK2027" s="18"/>
      <c r="BL2027" s="18"/>
      <c r="BM2027" s="18"/>
      <c r="BN2027" s="18"/>
      <c r="BO2027" s="18"/>
      <c r="BP2027" s="18"/>
      <c r="BQ2027" s="18"/>
      <c r="BR2027" s="18"/>
      <c r="BS2027" s="18"/>
      <c r="BT2027" s="18"/>
      <c r="BU2027" s="18"/>
      <c r="BV2027" s="18"/>
    </row>
    <row r="2028" spans="1:74">
      <c r="A2028" s="18"/>
      <c r="B2028" s="19"/>
      <c r="BG2028" s="18"/>
      <c r="BH2028" s="18"/>
      <c r="BI2028" s="18"/>
      <c r="BJ2028" s="18"/>
      <c r="BK2028" s="18"/>
      <c r="BL2028" s="18"/>
      <c r="BM2028" s="18"/>
      <c r="BN2028" s="18"/>
      <c r="BO2028" s="18"/>
      <c r="BP2028" s="18"/>
      <c r="BQ2028" s="18"/>
      <c r="BR2028" s="18"/>
      <c r="BS2028" s="18"/>
      <c r="BT2028" s="18"/>
      <c r="BU2028" s="18"/>
      <c r="BV2028" s="18"/>
    </row>
    <row r="2029" spans="1:74">
      <c r="A2029" s="18"/>
      <c r="B2029" s="19"/>
      <c r="BG2029" s="18"/>
      <c r="BH2029" s="18"/>
      <c r="BI2029" s="18"/>
      <c r="BJ2029" s="18"/>
      <c r="BK2029" s="18"/>
      <c r="BL2029" s="18"/>
      <c r="BM2029" s="18"/>
      <c r="BN2029" s="18"/>
      <c r="BO2029" s="18"/>
      <c r="BP2029" s="18"/>
      <c r="BQ2029" s="18"/>
      <c r="BR2029" s="18"/>
      <c r="BS2029" s="18"/>
      <c r="BT2029" s="18"/>
      <c r="BU2029" s="18"/>
      <c r="BV2029" s="18"/>
    </row>
    <row r="2030" spans="1:74">
      <c r="A2030" s="18"/>
      <c r="B2030" s="19"/>
      <c r="BG2030" s="18"/>
      <c r="BH2030" s="18"/>
      <c r="BI2030" s="18"/>
      <c r="BJ2030" s="18"/>
      <c r="BK2030" s="18"/>
      <c r="BL2030" s="18"/>
      <c r="BM2030" s="18"/>
      <c r="BN2030" s="18"/>
      <c r="BO2030" s="18"/>
      <c r="BP2030" s="18"/>
      <c r="BQ2030" s="18"/>
      <c r="BR2030" s="18"/>
      <c r="BS2030" s="18"/>
      <c r="BT2030" s="18"/>
      <c r="BU2030" s="18"/>
      <c r="BV2030" s="18"/>
    </row>
    <row r="2031" spans="1:74">
      <c r="A2031" s="18"/>
      <c r="B2031" s="19"/>
      <c r="BG2031" s="18"/>
      <c r="BH2031" s="18"/>
      <c r="BI2031" s="18"/>
      <c r="BJ2031" s="18"/>
      <c r="BK2031" s="18"/>
      <c r="BL2031" s="18"/>
      <c r="BM2031" s="18"/>
      <c r="BN2031" s="18"/>
      <c r="BO2031" s="18"/>
      <c r="BP2031" s="18"/>
      <c r="BQ2031" s="18"/>
      <c r="BR2031" s="18"/>
      <c r="BS2031" s="18"/>
      <c r="BT2031" s="18"/>
      <c r="BU2031" s="18"/>
      <c r="BV2031" s="18"/>
    </row>
    <row r="2032" spans="1:74">
      <c r="A2032" s="18"/>
      <c r="B2032" s="19"/>
      <c r="BG2032" s="18"/>
      <c r="BH2032" s="18"/>
      <c r="BI2032" s="18"/>
      <c r="BJ2032" s="18"/>
      <c r="BK2032" s="18"/>
      <c r="BL2032" s="18"/>
      <c r="BM2032" s="18"/>
      <c r="BN2032" s="18"/>
      <c r="BO2032" s="18"/>
      <c r="BP2032" s="18"/>
      <c r="BQ2032" s="18"/>
      <c r="BR2032" s="18"/>
      <c r="BS2032" s="18"/>
      <c r="BT2032" s="18"/>
      <c r="BU2032" s="18"/>
      <c r="BV2032" s="18"/>
    </row>
    <row r="2033" spans="1:74">
      <c r="A2033" s="18"/>
      <c r="B2033" s="19"/>
      <c r="BG2033" s="18"/>
      <c r="BH2033" s="18"/>
      <c r="BI2033" s="18"/>
      <c r="BJ2033" s="18"/>
      <c r="BK2033" s="18"/>
      <c r="BL2033" s="18"/>
      <c r="BM2033" s="18"/>
      <c r="BN2033" s="18"/>
      <c r="BO2033" s="18"/>
      <c r="BP2033" s="18"/>
      <c r="BQ2033" s="18"/>
      <c r="BR2033" s="18"/>
      <c r="BS2033" s="18"/>
      <c r="BT2033" s="18"/>
      <c r="BU2033" s="18"/>
      <c r="BV2033" s="18"/>
    </row>
    <row r="2034" spans="1:74">
      <c r="A2034" s="18"/>
      <c r="B2034" s="19"/>
      <c r="BG2034" s="18"/>
      <c r="BH2034" s="18"/>
      <c r="BI2034" s="18"/>
      <c r="BJ2034" s="18"/>
      <c r="BK2034" s="18"/>
      <c r="BL2034" s="18"/>
      <c r="BM2034" s="18"/>
      <c r="BN2034" s="18"/>
      <c r="BO2034" s="18"/>
      <c r="BP2034" s="18"/>
      <c r="BQ2034" s="18"/>
      <c r="BR2034" s="18"/>
      <c r="BS2034" s="18"/>
      <c r="BT2034" s="18"/>
      <c r="BU2034" s="18"/>
      <c r="BV2034" s="18"/>
    </row>
    <row r="2035" spans="1:74">
      <c r="A2035" s="18"/>
      <c r="B2035" s="19"/>
      <c r="BG2035" s="18"/>
      <c r="BH2035" s="18"/>
      <c r="BI2035" s="18"/>
      <c r="BJ2035" s="18"/>
      <c r="BK2035" s="18"/>
      <c r="BL2035" s="18"/>
      <c r="BM2035" s="18"/>
      <c r="BN2035" s="18"/>
      <c r="BO2035" s="18"/>
      <c r="BP2035" s="18"/>
      <c r="BQ2035" s="18"/>
      <c r="BR2035" s="18"/>
      <c r="BS2035" s="18"/>
      <c r="BT2035" s="18"/>
      <c r="BU2035" s="18"/>
      <c r="BV2035" s="18"/>
    </row>
    <row r="2036" spans="1:74">
      <c r="A2036" s="18"/>
      <c r="B2036" s="19"/>
      <c r="BG2036" s="18"/>
      <c r="BH2036" s="18"/>
      <c r="BI2036" s="18"/>
      <c r="BJ2036" s="18"/>
      <c r="BK2036" s="18"/>
      <c r="BL2036" s="18"/>
      <c r="BM2036" s="18"/>
      <c r="BN2036" s="18"/>
      <c r="BO2036" s="18"/>
      <c r="BP2036" s="18"/>
      <c r="BQ2036" s="18"/>
      <c r="BR2036" s="18"/>
      <c r="BS2036" s="18"/>
      <c r="BT2036" s="18"/>
      <c r="BU2036" s="18"/>
      <c r="BV2036" s="18"/>
    </row>
    <row r="2037" spans="1:74">
      <c r="A2037" s="18"/>
      <c r="B2037" s="19"/>
      <c r="BG2037" s="18"/>
      <c r="BH2037" s="18"/>
      <c r="BI2037" s="18"/>
      <c r="BJ2037" s="18"/>
      <c r="BK2037" s="18"/>
      <c r="BL2037" s="18"/>
      <c r="BM2037" s="18"/>
      <c r="BN2037" s="18"/>
      <c r="BO2037" s="18"/>
      <c r="BP2037" s="18"/>
      <c r="BQ2037" s="18"/>
      <c r="BR2037" s="18"/>
      <c r="BS2037" s="18"/>
      <c r="BT2037" s="18"/>
      <c r="BU2037" s="18"/>
      <c r="BV2037" s="18"/>
    </row>
    <row r="2038" spans="1:74">
      <c r="A2038" s="18"/>
      <c r="B2038" s="19"/>
      <c r="BG2038" s="18"/>
      <c r="BH2038" s="18"/>
      <c r="BI2038" s="18"/>
      <c r="BJ2038" s="18"/>
      <c r="BK2038" s="18"/>
      <c r="BL2038" s="18"/>
      <c r="BM2038" s="18"/>
      <c r="BN2038" s="18"/>
      <c r="BO2038" s="18"/>
      <c r="BP2038" s="18"/>
      <c r="BQ2038" s="18"/>
      <c r="BR2038" s="18"/>
      <c r="BS2038" s="18"/>
      <c r="BT2038" s="18"/>
      <c r="BU2038" s="18"/>
      <c r="BV2038" s="18"/>
    </row>
    <row r="2039" spans="1:74">
      <c r="A2039" s="18"/>
      <c r="B2039" s="19"/>
      <c r="BG2039" s="18"/>
      <c r="BH2039" s="18"/>
      <c r="BI2039" s="18"/>
      <c r="BJ2039" s="18"/>
      <c r="BK2039" s="18"/>
      <c r="BL2039" s="18"/>
      <c r="BM2039" s="18"/>
      <c r="BN2039" s="18"/>
      <c r="BO2039" s="18"/>
      <c r="BP2039" s="18"/>
      <c r="BQ2039" s="18"/>
      <c r="BR2039" s="18"/>
      <c r="BS2039" s="18"/>
      <c r="BT2039" s="18"/>
      <c r="BU2039" s="18"/>
      <c r="BV2039" s="18"/>
    </row>
    <row r="2040" spans="1:74">
      <c r="A2040" s="18"/>
      <c r="B2040" s="19"/>
      <c r="BG2040" s="18"/>
      <c r="BH2040" s="18"/>
      <c r="BI2040" s="18"/>
      <c r="BJ2040" s="18"/>
      <c r="BK2040" s="18"/>
      <c r="BL2040" s="18"/>
      <c r="BM2040" s="18"/>
      <c r="BN2040" s="18"/>
      <c r="BO2040" s="18"/>
      <c r="BP2040" s="18"/>
      <c r="BQ2040" s="18"/>
      <c r="BR2040" s="18"/>
      <c r="BS2040" s="18"/>
      <c r="BT2040" s="18"/>
      <c r="BU2040" s="18"/>
      <c r="BV2040" s="18"/>
    </row>
    <row r="2041" spans="1:74">
      <c r="A2041" s="18"/>
      <c r="B2041" s="19"/>
      <c r="BG2041" s="18"/>
      <c r="BH2041" s="18"/>
      <c r="BI2041" s="18"/>
      <c r="BJ2041" s="18"/>
      <c r="BK2041" s="18"/>
      <c r="BL2041" s="18"/>
      <c r="BM2041" s="18"/>
      <c r="BN2041" s="18"/>
      <c r="BO2041" s="18"/>
      <c r="BP2041" s="18"/>
      <c r="BQ2041" s="18"/>
      <c r="BR2041" s="18"/>
      <c r="BS2041" s="18"/>
      <c r="BT2041" s="18"/>
      <c r="BU2041" s="18"/>
      <c r="BV2041" s="18"/>
    </row>
    <row r="2042" spans="1:74">
      <c r="A2042" s="18"/>
      <c r="B2042" s="19"/>
      <c r="BG2042" s="18"/>
      <c r="BH2042" s="18"/>
      <c r="BI2042" s="18"/>
      <c r="BJ2042" s="18"/>
      <c r="BK2042" s="18"/>
      <c r="BL2042" s="18"/>
      <c r="BM2042" s="18"/>
      <c r="BN2042" s="18"/>
      <c r="BO2042" s="18"/>
      <c r="BP2042" s="18"/>
      <c r="BQ2042" s="18"/>
      <c r="BR2042" s="18"/>
      <c r="BS2042" s="18"/>
      <c r="BT2042" s="18"/>
      <c r="BU2042" s="18"/>
      <c r="BV2042" s="18"/>
    </row>
    <row r="2043" spans="1:74">
      <c r="A2043" s="18"/>
      <c r="B2043" s="19"/>
      <c r="BG2043" s="18"/>
      <c r="BH2043" s="18"/>
      <c r="BI2043" s="18"/>
      <c r="BJ2043" s="18"/>
      <c r="BK2043" s="18"/>
      <c r="BL2043" s="18"/>
      <c r="BM2043" s="18"/>
      <c r="BN2043" s="18"/>
      <c r="BO2043" s="18"/>
      <c r="BP2043" s="18"/>
      <c r="BQ2043" s="18"/>
      <c r="BR2043" s="18"/>
      <c r="BS2043" s="18"/>
      <c r="BT2043" s="18"/>
      <c r="BU2043" s="18"/>
      <c r="BV2043" s="18"/>
    </row>
    <row r="2044" spans="1:74">
      <c r="A2044" s="18"/>
      <c r="B2044" s="19"/>
      <c r="BG2044" s="18"/>
      <c r="BH2044" s="18"/>
      <c r="BI2044" s="18"/>
      <c r="BJ2044" s="18"/>
      <c r="BK2044" s="18"/>
      <c r="BL2044" s="18"/>
      <c r="BM2044" s="18"/>
      <c r="BN2044" s="18"/>
      <c r="BO2044" s="18"/>
      <c r="BP2044" s="18"/>
      <c r="BQ2044" s="18"/>
      <c r="BR2044" s="18"/>
      <c r="BS2044" s="18"/>
      <c r="BT2044" s="18"/>
      <c r="BU2044" s="18"/>
      <c r="BV2044" s="18"/>
    </row>
    <row r="2045" spans="1:74">
      <c r="A2045" s="18"/>
      <c r="B2045" s="19"/>
      <c r="BG2045" s="18"/>
      <c r="BH2045" s="18"/>
      <c r="BI2045" s="18"/>
      <c r="BJ2045" s="18"/>
      <c r="BK2045" s="18"/>
      <c r="BL2045" s="18"/>
      <c r="BM2045" s="18"/>
      <c r="BN2045" s="18"/>
      <c r="BO2045" s="18"/>
      <c r="BP2045" s="18"/>
      <c r="BQ2045" s="18"/>
      <c r="BR2045" s="18"/>
      <c r="BS2045" s="18"/>
      <c r="BT2045" s="18"/>
      <c r="BU2045" s="18"/>
      <c r="BV2045" s="18"/>
    </row>
    <row r="2046" spans="1:74">
      <c r="A2046" s="18"/>
      <c r="B2046" s="19"/>
      <c r="BG2046" s="18"/>
      <c r="BH2046" s="18"/>
      <c r="BI2046" s="18"/>
      <c r="BJ2046" s="18"/>
      <c r="BK2046" s="18"/>
      <c r="BL2046" s="18"/>
      <c r="BM2046" s="18"/>
      <c r="BN2046" s="18"/>
      <c r="BO2046" s="18"/>
      <c r="BP2046" s="18"/>
      <c r="BQ2046" s="18"/>
      <c r="BR2046" s="18"/>
      <c r="BS2046" s="18"/>
      <c r="BT2046" s="18"/>
      <c r="BU2046" s="18"/>
      <c r="BV2046" s="18"/>
    </row>
    <row r="2047" spans="1:74">
      <c r="A2047" s="18"/>
      <c r="B2047" s="19"/>
      <c r="BG2047" s="18"/>
      <c r="BH2047" s="18"/>
      <c r="BI2047" s="18"/>
      <c r="BJ2047" s="18"/>
      <c r="BK2047" s="18"/>
      <c r="BL2047" s="18"/>
      <c r="BM2047" s="18"/>
      <c r="BN2047" s="18"/>
      <c r="BO2047" s="18"/>
      <c r="BP2047" s="18"/>
      <c r="BQ2047" s="18"/>
      <c r="BR2047" s="18"/>
      <c r="BS2047" s="18"/>
      <c r="BT2047" s="18"/>
      <c r="BU2047" s="18"/>
      <c r="BV2047" s="18"/>
    </row>
    <row r="2048" spans="1:74">
      <c r="A2048" s="18"/>
      <c r="B2048" s="19"/>
      <c r="BG2048" s="18"/>
      <c r="BH2048" s="18"/>
      <c r="BI2048" s="18"/>
      <c r="BJ2048" s="18"/>
      <c r="BK2048" s="18"/>
      <c r="BL2048" s="18"/>
      <c r="BM2048" s="18"/>
      <c r="BN2048" s="18"/>
      <c r="BO2048" s="18"/>
      <c r="BP2048" s="18"/>
      <c r="BQ2048" s="18"/>
      <c r="BR2048" s="18"/>
      <c r="BS2048" s="18"/>
      <c r="BT2048" s="18"/>
      <c r="BU2048" s="18"/>
      <c r="BV2048" s="18"/>
    </row>
    <row r="2049" spans="1:74">
      <c r="A2049" s="18"/>
      <c r="B2049" s="19"/>
      <c r="BG2049" s="18"/>
      <c r="BH2049" s="18"/>
      <c r="BI2049" s="18"/>
      <c r="BJ2049" s="18"/>
      <c r="BK2049" s="18"/>
      <c r="BL2049" s="18"/>
      <c r="BM2049" s="18"/>
      <c r="BN2049" s="18"/>
      <c r="BO2049" s="18"/>
      <c r="BP2049" s="18"/>
      <c r="BQ2049" s="18"/>
      <c r="BR2049" s="18"/>
      <c r="BS2049" s="18"/>
      <c r="BT2049" s="18"/>
      <c r="BU2049" s="18"/>
      <c r="BV2049" s="18"/>
    </row>
    <row r="2050" spans="1:74">
      <c r="A2050" s="18"/>
      <c r="B2050" s="19"/>
      <c r="BG2050" s="18"/>
      <c r="BH2050" s="18"/>
      <c r="BI2050" s="18"/>
      <c r="BJ2050" s="18"/>
      <c r="BK2050" s="18"/>
      <c r="BL2050" s="18"/>
      <c r="BM2050" s="18"/>
      <c r="BN2050" s="18"/>
      <c r="BO2050" s="18"/>
      <c r="BP2050" s="18"/>
      <c r="BQ2050" s="18"/>
      <c r="BR2050" s="18"/>
      <c r="BS2050" s="18"/>
      <c r="BT2050" s="18"/>
      <c r="BU2050" s="18"/>
      <c r="BV2050" s="18"/>
    </row>
    <row r="2051" spans="1:74">
      <c r="A2051" s="18"/>
      <c r="B2051" s="19"/>
      <c r="BG2051" s="18"/>
      <c r="BH2051" s="18"/>
      <c r="BI2051" s="18"/>
      <c r="BJ2051" s="18"/>
      <c r="BK2051" s="18"/>
      <c r="BL2051" s="18"/>
      <c r="BM2051" s="18"/>
      <c r="BN2051" s="18"/>
      <c r="BO2051" s="18"/>
      <c r="BP2051" s="18"/>
      <c r="BQ2051" s="18"/>
      <c r="BR2051" s="18"/>
      <c r="BS2051" s="18"/>
      <c r="BT2051" s="18"/>
      <c r="BU2051" s="18"/>
      <c r="BV2051" s="18"/>
    </row>
    <row r="2052" spans="1:74">
      <c r="A2052" s="18"/>
      <c r="B2052" s="19"/>
      <c r="BG2052" s="18"/>
      <c r="BH2052" s="18"/>
      <c r="BI2052" s="18"/>
      <c r="BJ2052" s="18"/>
      <c r="BK2052" s="18"/>
      <c r="BL2052" s="18"/>
      <c r="BM2052" s="18"/>
      <c r="BN2052" s="18"/>
      <c r="BO2052" s="18"/>
      <c r="BP2052" s="18"/>
      <c r="BQ2052" s="18"/>
      <c r="BR2052" s="18"/>
      <c r="BS2052" s="18"/>
      <c r="BT2052" s="18"/>
      <c r="BU2052" s="18"/>
      <c r="BV2052" s="18"/>
    </row>
    <row r="2053" spans="1:74">
      <c r="A2053" s="18"/>
      <c r="B2053" s="19"/>
      <c r="BG2053" s="18"/>
      <c r="BH2053" s="18"/>
      <c r="BI2053" s="18"/>
      <c r="BJ2053" s="18"/>
      <c r="BK2053" s="18"/>
      <c r="BL2053" s="18"/>
      <c r="BM2053" s="18"/>
      <c r="BN2053" s="18"/>
      <c r="BO2053" s="18"/>
      <c r="BP2053" s="18"/>
      <c r="BQ2053" s="18"/>
      <c r="BR2053" s="18"/>
      <c r="BS2053" s="18"/>
      <c r="BT2053" s="18"/>
      <c r="BU2053" s="18"/>
      <c r="BV2053" s="18"/>
    </row>
    <row r="2054" spans="1:74">
      <c r="A2054" s="18"/>
      <c r="B2054" s="19"/>
      <c r="BG2054" s="18"/>
      <c r="BH2054" s="18"/>
      <c r="BI2054" s="18"/>
      <c r="BJ2054" s="18"/>
      <c r="BK2054" s="18"/>
      <c r="BL2054" s="18"/>
      <c r="BM2054" s="18"/>
      <c r="BN2054" s="18"/>
      <c r="BO2054" s="18"/>
      <c r="BP2054" s="18"/>
      <c r="BQ2054" s="18"/>
      <c r="BR2054" s="18"/>
      <c r="BS2054" s="18"/>
      <c r="BT2054" s="18"/>
      <c r="BU2054" s="18"/>
      <c r="BV2054" s="18"/>
    </row>
    <row r="2055" spans="1:74">
      <c r="A2055" s="18"/>
      <c r="B2055" s="19"/>
      <c r="BG2055" s="18"/>
      <c r="BH2055" s="18"/>
      <c r="BI2055" s="18"/>
      <c r="BJ2055" s="18"/>
      <c r="BK2055" s="18"/>
      <c r="BL2055" s="18"/>
      <c r="BM2055" s="18"/>
      <c r="BN2055" s="18"/>
      <c r="BO2055" s="18"/>
      <c r="BP2055" s="18"/>
      <c r="BQ2055" s="18"/>
      <c r="BR2055" s="18"/>
      <c r="BS2055" s="18"/>
      <c r="BT2055" s="18"/>
      <c r="BU2055" s="18"/>
      <c r="BV2055" s="18"/>
    </row>
    <row r="2056" spans="1:74">
      <c r="A2056" s="18"/>
      <c r="B2056" s="19"/>
      <c r="BG2056" s="18"/>
      <c r="BH2056" s="18"/>
      <c r="BI2056" s="18"/>
      <c r="BJ2056" s="18"/>
      <c r="BK2056" s="18"/>
      <c r="BL2056" s="18"/>
      <c r="BM2056" s="18"/>
      <c r="BN2056" s="18"/>
      <c r="BO2056" s="18"/>
      <c r="BP2056" s="18"/>
      <c r="BQ2056" s="18"/>
      <c r="BR2056" s="18"/>
      <c r="BS2056" s="18"/>
      <c r="BT2056" s="18"/>
      <c r="BU2056" s="18"/>
      <c r="BV2056" s="18"/>
    </row>
    <row r="2057" spans="1:74">
      <c r="A2057" s="18"/>
      <c r="B2057" s="19"/>
      <c r="BG2057" s="18"/>
      <c r="BH2057" s="18"/>
      <c r="BI2057" s="18"/>
      <c r="BJ2057" s="18"/>
      <c r="BK2057" s="18"/>
      <c r="BL2057" s="18"/>
      <c r="BM2057" s="18"/>
      <c r="BN2057" s="18"/>
      <c r="BO2057" s="18"/>
      <c r="BP2057" s="18"/>
      <c r="BQ2057" s="18"/>
      <c r="BR2057" s="18"/>
      <c r="BS2057" s="18"/>
      <c r="BT2057" s="18"/>
      <c r="BU2057" s="18"/>
      <c r="BV2057" s="18"/>
    </row>
    <row r="2058" spans="1:74">
      <c r="A2058" s="18"/>
      <c r="B2058" s="19"/>
      <c r="BG2058" s="18"/>
      <c r="BH2058" s="18"/>
      <c r="BI2058" s="18"/>
      <c r="BJ2058" s="18"/>
      <c r="BK2058" s="18"/>
      <c r="BL2058" s="18"/>
      <c r="BM2058" s="18"/>
      <c r="BN2058" s="18"/>
      <c r="BO2058" s="18"/>
      <c r="BP2058" s="18"/>
      <c r="BQ2058" s="18"/>
      <c r="BR2058" s="18"/>
      <c r="BS2058" s="18"/>
      <c r="BT2058" s="18"/>
      <c r="BU2058" s="18"/>
      <c r="BV2058" s="18"/>
    </row>
    <row r="2059" spans="1:74">
      <c r="A2059" s="18"/>
      <c r="B2059" s="19"/>
      <c r="BG2059" s="18"/>
      <c r="BH2059" s="18"/>
      <c r="BI2059" s="18"/>
      <c r="BJ2059" s="18"/>
      <c r="BK2059" s="18"/>
      <c r="BL2059" s="18"/>
      <c r="BM2059" s="18"/>
      <c r="BN2059" s="18"/>
      <c r="BO2059" s="18"/>
      <c r="BP2059" s="18"/>
      <c r="BQ2059" s="18"/>
      <c r="BR2059" s="18"/>
      <c r="BS2059" s="18"/>
      <c r="BT2059" s="18"/>
      <c r="BU2059" s="18"/>
      <c r="BV2059" s="18"/>
    </row>
    <row r="2060" spans="1:74">
      <c r="A2060" s="18"/>
      <c r="B2060" s="19"/>
      <c r="BG2060" s="18"/>
      <c r="BH2060" s="18"/>
      <c r="BI2060" s="18"/>
      <c r="BJ2060" s="18"/>
      <c r="BK2060" s="18"/>
      <c r="BL2060" s="18"/>
      <c r="BM2060" s="18"/>
      <c r="BN2060" s="18"/>
      <c r="BO2060" s="18"/>
      <c r="BP2060" s="18"/>
      <c r="BQ2060" s="18"/>
      <c r="BR2060" s="18"/>
      <c r="BS2060" s="18"/>
      <c r="BT2060" s="18"/>
      <c r="BU2060" s="18"/>
      <c r="BV2060" s="18"/>
    </row>
    <row r="2061" spans="1:74">
      <c r="A2061" s="18"/>
      <c r="B2061" s="19"/>
      <c r="BG2061" s="18"/>
      <c r="BH2061" s="18"/>
      <c r="BI2061" s="18"/>
      <c r="BJ2061" s="18"/>
      <c r="BK2061" s="18"/>
      <c r="BL2061" s="18"/>
      <c r="BM2061" s="18"/>
      <c r="BN2061" s="18"/>
      <c r="BO2061" s="18"/>
      <c r="BP2061" s="18"/>
      <c r="BQ2061" s="18"/>
      <c r="BR2061" s="18"/>
      <c r="BS2061" s="18"/>
      <c r="BT2061" s="18"/>
      <c r="BU2061" s="18"/>
      <c r="BV2061" s="18"/>
    </row>
    <row r="2062" spans="1:74">
      <c r="A2062" s="18"/>
      <c r="B2062" s="19"/>
      <c r="BG2062" s="18"/>
      <c r="BH2062" s="18"/>
      <c r="BI2062" s="18"/>
      <c r="BJ2062" s="18"/>
      <c r="BK2062" s="18"/>
      <c r="BL2062" s="18"/>
      <c r="BM2062" s="18"/>
      <c r="BN2062" s="18"/>
      <c r="BO2062" s="18"/>
      <c r="BP2062" s="18"/>
      <c r="BQ2062" s="18"/>
      <c r="BR2062" s="18"/>
      <c r="BS2062" s="18"/>
      <c r="BT2062" s="18"/>
      <c r="BU2062" s="18"/>
      <c r="BV2062" s="18"/>
    </row>
    <row r="2063" spans="1:74">
      <c r="A2063" s="18"/>
      <c r="B2063" s="19"/>
      <c r="BG2063" s="18"/>
      <c r="BH2063" s="18"/>
      <c r="BI2063" s="18"/>
      <c r="BJ2063" s="18"/>
      <c r="BK2063" s="18"/>
      <c r="BL2063" s="18"/>
      <c r="BM2063" s="18"/>
      <c r="BN2063" s="18"/>
      <c r="BO2063" s="18"/>
      <c r="BP2063" s="18"/>
      <c r="BQ2063" s="18"/>
      <c r="BR2063" s="18"/>
      <c r="BS2063" s="18"/>
      <c r="BT2063" s="18"/>
      <c r="BU2063" s="18"/>
      <c r="BV2063" s="18"/>
    </row>
    <row r="2064" spans="1:74">
      <c r="A2064" s="18"/>
      <c r="B2064" s="19"/>
      <c r="BG2064" s="18"/>
      <c r="BH2064" s="18"/>
      <c r="BI2064" s="18"/>
      <c r="BJ2064" s="18"/>
      <c r="BK2064" s="18"/>
      <c r="BL2064" s="18"/>
      <c r="BM2064" s="18"/>
      <c r="BN2064" s="18"/>
      <c r="BO2064" s="18"/>
      <c r="BP2064" s="18"/>
      <c r="BQ2064" s="18"/>
      <c r="BR2064" s="18"/>
      <c r="BS2064" s="18"/>
      <c r="BT2064" s="18"/>
      <c r="BU2064" s="18"/>
      <c r="BV2064" s="18"/>
    </row>
    <row r="2065" spans="1:74">
      <c r="A2065" s="18"/>
      <c r="B2065" s="19"/>
      <c r="BG2065" s="18"/>
      <c r="BH2065" s="18"/>
      <c r="BI2065" s="18"/>
      <c r="BJ2065" s="18"/>
      <c r="BK2065" s="18"/>
      <c r="BL2065" s="18"/>
      <c r="BM2065" s="18"/>
      <c r="BN2065" s="18"/>
      <c r="BO2065" s="18"/>
      <c r="BP2065" s="18"/>
      <c r="BQ2065" s="18"/>
      <c r="BR2065" s="18"/>
      <c r="BS2065" s="18"/>
      <c r="BT2065" s="18"/>
      <c r="BU2065" s="18"/>
      <c r="BV2065" s="18"/>
    </row>
    <row r="2066" spans="1:74">
      <c r="A2066" s="18"/>
      <c r="B2066" s="19"/>
      <c r="BG2066" s="18"/>
      <c r="BH2066" s="18"/>
      <c r="BI2066" s="18"/>
      <c r="BJ2066" s="18"/>
      <c r="BK2066" s="18"/>
      <c r="BL2066" s="18"/>
      <c r="BM2066" s="18"/>
      <c r="BN2066" s="18"/>
      <c r="BO2066" s="18"/>
      <c r="BP2066" s="18"/>
      <c r="BQ2066" s="18"/>
      <c r="BR2066" s="18"/>
      <c r="BS2066" s="18"/>
      <c r="BT2066" s="18"/>
      <c r="BU2066" s="18"/>
      <c r="BV2066" s="18"/>
    </row>
    <row r="2067" spans="1:74">
      <c r="A2067" s="18"/>
      <c r="B2067" s="19"/>
      <c r="BG2067" s="18"/>
      <c r="BH2067" s="18"/>
      <c r="BI2067" s="18"/>
      <c r="BJ2067" s="18"/>
      <c r="BK2067" s="18"/>
      <c r="BL2067" s="18"/>
      <c r="BM2067" s="18"/>
      <c r="BN2067" s="18"/>
      <c r="BO2067" s="18"/>
      <c r="BP2067" s="18"/>
      <c r="BQ2067" s="18"/>
      <c r="BR2067" s="18"/>
      <c r="BS2067" s="18"/>
      <c r="BT2067" s="18"/>
      <c r="BU2067" s="18"/>
      <c r="BV2067" s="18"/>
    </row>
    <row r="2068" spans="1:74">
      <c r="A2068" s="18"/>
      <c r="B2068" s="19"/>
      <c r="BG2068" s="18"/>
      <c r="BH2068" s="18"/>
      <c r="BI2068" s="18"/>
      <c r="BJ2068" s="18"/>
      <c r="BK2068" s="18"/>
      <c r="BL2068" s="18"/>
      <c r="BM2068" s="18"/>
      <c r="BN2068" s="18"/>
      <c r="BO2068" s="18"/>
      <c r="BP2068" s="18"/>
      <c r="BQ2068" s="18"/>
      <c r="BR2068" s="18"/>
      <c r="BS2068" s="18"/>
      <c r="BT2068" s="18"/>
      <c r="BU2068" s="18"/>
      <c r="BV2068" s="18"/>
    </row>
    <row r="2069" spans="1:74">
      <c r="A2069" s="18"/>
      <c r="B2069" s="19"/>
      <c r="BG2069" s="18"/>
      <c r="BH2069" s="18"/>
      <c r="BI2069" s="18"/>
      <c r="BJ2069" s="18"/>
      <c r="BK2069" s="18"/>
      <c r="BL2069" s="18"/>
      <c r="BM2069" s="18"/>
      <c r="BN2069" s="18"/>
      <c r="BO2069" s="18"/>
      <c r="BP2069" s="18"/>
      <c r="BQ2069" s="18"/>
      <c r="BR2069" s="18"/>
      <c r="BS2069" s="18"/>
      <c r="BT2069" s="18"/>
      <c r="BU2069" s="18"/>
      <c r="BV2069" s="18"/>
    </row>
    <row r="2070" spans="1:74">
      <c r="A2070" s="18"/>
      <c r="B2070" s="19"/>
      <c r="BG2070" s="18"/>
      <c r="BH2070" s="18"/>
      <c r="BI2070" s="18"/>
      <c r="BJ2070" s="18"/>
      <c r="BK2070" s="18"/>
      <c r="BL2070" s="18"/>
      <c r="BM2070" s="18"/>
      <c r="BN2070" s="18"/>
      <c r="BO2070" s="18"/>
      <c r="BP2070" s="18"/>
      <c r="BQ2070" s="18"/>
      <c r="BR2070" s="18"/>
      <c r="BS2070" s="18"/>
      <c r="BT2070" s="18"/>
      <c r="BU2070" s="18"/>
      <c r="BV2070" s="18"/>
    </row>
    <row r="2071" spans="1:74">
      <c r="A2071" s="18"/>
      <c r="B2071" s="19"/>
      <c r="BG2071" s="18"/>
      <c r="BH2071" s="18"/>
      <c r="BI2071" s="18"/>
      <c r="BJ2071" s="18"/>
      <c r="BK2071" s="18"/>
      <c r="BL2071" s="18"/>
      <c r="BM2071" s="18"/>
      <c r="BN2071" s="18"/>
      <c r="BO2071" s="18"/>
      <c r="BP2071" s="18"/>
      <c r="BQ2071" s="18"/>
      <c r="BR2071" s="18"/>
      <c r="BS2071" s="18"/>
      <c r="BT2071" s="18"/>
      <c r="BU2071" s="18"/>
      <c r="BV2071" s="18"/>
    </row>
    <row r="2072" spans="1:74">
      <c r="A2072" s="18"/>
      <c r="B2072" s="19"/>
      <c r="BG2072" s="18"/>
      <c r="BH2072" s="18"/>
      <c r="BI2072" s="18"/>
      <c r="BJ2072" s="18"/>
      <c r="BK2072" s="18"/>
      <c r="BL2072" s="18"/>
      <c r="BM2072" s="18"/>
      <c r="BN2072" s="18"/>
      <c r="BO2072" s="18"/>
      <c r="BP2072" s="18"/>
      <c r="BQ2072" s="18"/>
      <c r="BR2072" s="18"/>
      <c r="BS2072" s="18"/>
      <c r="BT2072" s="18"/>
      <c r="BU2072" s="18"/>
      <c r="BV2072" s="18"/>
    </row>
    <row r="2073" spans="1:74">
      <c r="A2073" s="18"/>
      <c r="B2073" s="19"/>
      <c r="BG2073" s="18"/>
      <c r="BH2073" s="18"/>
      <c r="BI2073" s="18"/>
      <c r="BJ2073" s="18"/>
      <c r="BK2073" s="18"/>
      <c r="BL2073" s="18"/>
      <c r="BM2073" s="18"/>
      <c r="BN2073" s="18"/>
      <c r="BO2073" s="18"/>
      <c r="BP2073" s="18"/>
      <c r="BQ2073" s="18"/>
      <c r="BR2073" s="18"/>
      <c r="BS2073" s="18"/>
      <c r="BT2073" s="18"/>
      <c r="BU2073" s="18"/>
      <c r="BV2073" s="18"/>
    </row>
    <row r="2074" spans="1:74">
      <c r="A2074" s="18"/>
      <c r="B2074" s="19"/>
      <c r="BG2074" s="18"/>
      <c r="BH2074" s="18"/>
      <c r="BI2074" s="18"/>
      <c r="BJ2074" s="18"/>
      <c r="BK2074" s="18"/>
      <c r="BL2074" s="18"/>
      <c r="BM2074" s="18"/>
      <c r="BN2074" s="18"/>
      <c r="BO2074" s="18"/>
      <c r="BP2074" s="18"/>
      <c r="BQ2074" s="18"/>
      <c r="BR2074" s="18"/>
      <c r="BS2074" s="18"/>
      <c r="BT2074" s="18"/>
      <c r="BU2074" s="18"/>
      <c r="BV2074" s="18"/>
    </row>
    <row r="2075" spans="1:74">
      <c r="A2075" s="18"/>
      <c r="B2075" s="19"/>
      <c r="BG2075" s="18"/>
      <c r="BH2075" s="18"/>
      <c r="BI2075" s="18"/>
      <c r="BJ2075" s="18"/>
      <c r="BK2075" s="18"/>
      <c r="BL2075" s="18"/>
      <c r="BM2075" s="18"/>
      <c r="BN2075" s="18"/>
      <c r="BO2075" s="18"/>
      <c r="BP2075" s="18"/>
      <c r="BQ2075" s="18"/>
      <c r="BR2075" s="18"/>
      <c r="BS2075" s="18"/>
      <c r="BT2075" s="18"/>
      <c r="BU2075" s="18"/>
      <c r="BV2075" s="18"/>
    </row>
    <row r="2076" spans="1:74">
      <c r="A2076" s="18"/>
      <c r="B2076" s="19"/>
      <c r="BG2076" s="18"/>
      <c r="BH2076" s="18"/>
      <c r="BI2076" s="18"/>
      <c r="BJ2076" s="18"/>
      <c r="BK2076" s="18"/>
      <c r="BL2076" s="18"/>
      <c r="BM2076" s="18"/>
      <c r="BN2076" s="18"/>
      <c r="BO2076" s="18"/>
      <c r="BP2076" s="18"/>
      <c r="BQ2076" s="18"/>
      <c r="BR2076" s="18"/>
      <c r="BS2076" s="18"/>
      <c r="BT2076" s="18"/>
      <c r="BU2076" s="18"/>
      <c r="BV2076" s="18"/>
    </row>
    <row r="2077" spans="1:74">
      <c r="A2077" s="18"/>
      <c r="B2077" s="19"/>
      <c r="BG2077" s="18"/>
      <c r="BH2077" s="18"/>
      <c r="BI2077" s="18"/>
      <c r="BJ2077" s="18"/>
      <c r="BK2077" s="18"/>
      <c r="BL2077" s="18"/>
      <c r="BM2077" s="18"/>
      <c r="BN2077" s="18"/>
      <c r="BO2077" s="18"/>
      <c r="BP2077" s="18"/>
      <c r="BQ2077" s="18"/>
      <c r="BR2077" s="18"/>
      <c r="BS2077" s="18"/>
      <c r="BT2077" s="18"/>
      <c r="BU2077" s="18"/>
      <c r="BV2077" s="18"/>
    </row>
    <row r="2078" spans="1:74">
      <c r="A2078" s="69"/>
      <c r="B2078" s="19"/>
      <c r="BG2078" s="18"/>
      <c r="BH2078" s="18"/>
      <c r="BI2078" s="18"/>
      <c r="BJ2078" s="18"/>
      <c r="BK2078" s="18"/>
      <c r="BL2078" s="18"/>
      <c r="BM2078" s="18"/>
      <c r="BN2078" s="18"/>
      <c r="BO2078" s="18"/>
      <c r="BP2078" s="18"/>
      <c r="BQ2078" s="18"/>
      <c r="BR2078" s="18"/>
      <c r="BS2078" s="18"/>
      <c r="BT2078" s="18"/>
      <c r="BU2078" s="18"/>
      <c r="BV2078" s="18"/>
    </row>
    <row r="2079" spans="1:74">
      <c r="A2079" s="18"/>
      <c r="B2079" s="19"/>
      <c r="BG2079" s="18"/>
      <c r="BH2079" s="18"/>
      <c r="BI2079" s="18"/>
      <c r="BJ2079" s="18"/>
      <c r="BK2079" s="18"/>
      <c r="BL2079" s="18"/>
      <c r="BM2079" s="18"/>
      <c r="BN2079" s="18"/>
      <c r="BO2079" s="18"/>
      <c r="BP2079" s="18"/>
      <c r="BQ2079" s="18"/>
      <c r="BR2079" s="18"/>
      <c r="BS2079" s="18"/>
      <c r="BT2079" s="18"/>
      <c r="BU2079" s="18"/>
      <c r="BV2079" s="18"/>
    </row>
    <row r="2080" spans="1:74">
      <c r="A2080" s="18"/>
      <c r="B2080" s="19"/>
      <c r="BG2080" s="18"/>
      <c r="BH2080" s="18"/>
      <c r="BI2080" s="18"/>
      <c r="BJ2080" s="18"/>
      <c r="BK2080" s="18"/>
      <c r="BL2080" s="18"/>
      <c r="BM2080" s="18"/>
      <c r="BN2080" s="18"/>
      <c r="BO2080" s="18"/>
      <c r="BP2080" s="18"/>
      <c r="BQ2080" s="18"/>
      <c r="BR2080" s="18"/>
      <c r="BS2080" s="18"/>
      <c r="BT2080" s="18"/>
      <c r="BU2080" s="18"/>
      <c r="BV2080" s="18"/>
    </row>
    <row r="2081" spans="1:74">
      <c r="A2081" s="18"/>
      <c r="B2081" s="19"/>
      <c r="BG2081" s="18"/>
      <c r="BH2081" s="18"/>
      <c r="BI2081" s="18"/>
      <c r="BJ2081" s="18"/>
      <c r="BK2081" s="18"/>
      <c r="BL2081" s="18"/>
      <c r="BM2081" s="18"/>
      <c r="BN2081" s="18"/>
      <c r="BO2081" s="18"/>
      <c r="BP2081" s="18"/>
      <c r="BQ2081" s="18"/>
      <c r="BR2081" s="18"/>
      <c r="BS2081" s="18"/>
      <c r="BT2081" s="18"/>
      <c r="BU2081" s="18"/>
      <c r="BV2081" s="18"/>
    </row>
    <row r="2082" spans="1:74">
      <c r="A2082" s="18"/>
      <c r="B2082" s="19"/>
      <c r="BG2082" s="18"/>
      <c r="BH2082" s="18"/>
      <c r="BI2082" s="18"/>
      <c r="BJ2082" s="18"/>
      <c r="BK2082" s="18"/>
      <c r="BL2082" s="18"/>
      <c r="BM2082" s="18"/>
      <c r="BN2082" s="18"/>
      <c r="BO2082" s="18"/>
      <c r="BP2082" s="18"/>
      <c r="BQ2082" s="18"/>
      <c r="BR2082" s="18"/>
      <c r="BS2082" s="18"/>
      <c r="BT2082" s="18"/>
      <c r="BU2082" s="18"/>
      <c r="BV2082" s="18"/>
    </row>
    <row r="2083" spans="1:74">
      <c r="A2083" s="18"/>
      <c r="B2083" s="19"/>
      <c r="BG2083" s="18"/>
      <c r="BH2083" s="18"/>
      <c r="BI2083" s="18"/>
      <c r="BJ2083" s="18"/>
      <c r="BK2083" s="18"/>
      <c r="BL2083" s="18"/>
      <c r="BM2083" s="18"/>
      <c r="BN2083" s="18"/>
      <c r="BO2083" s="18"/>
      <c r="BP2083" s="18"/>
      <c r="BQ2083" s="18"/>
      <c r="BR2083" s="18"/>
      <c r="BS2083" s="18"/>
      <c r="BT2083" s="18"/>
      <c r="BU2083" s="18"/>
      <c r="BV2083" s="18"/>
    </row>
    <row r="2084" spans="1:74">
      <c r="A2084" s="18"/>
      <c r="B2084" s="19"/>
      <c r="BG2084" s="18"/>
      <c r="BH2084" s="18"/>
      <c r="BI2084" s="18"/>
      <c r="BJ2084" s="18"/>
      <c r="BK2084" s="18"/>
      <c r="BL2084" s="18"/>
      <c r="BM2084" s="18"/>
      <c r="BN2084" s="18"/>
      <c r="BO2084" s="18"/>
      <c r="BP2084" s="18"/>
      <c r="BQ2084" s="18"/>
      <c r="BR2084" s="18"/>
      <c r="BS2084" s="18"/>
      <c r="BT2084" s="18"/>
      <c r="BU2084" s="18"/>
      <c r="BV2084" s="18"/>
    </row>
    <row r="2085" spans="1:74">
      <c r="A2085" s="18"/>
      <c r="B2085" s="19"/>
      <c r="BG2085" s="18"/>
      <c r="BH2085" s="18"/>
      <c r="BI2085" s="18"/>
      <c r="BJ2085" s="18"/>
      <c r="BK2085" s="18"/>
      <c r="BL2085" s="18"/>
      <c r="BM2085" s="18"/>
      <c r="BN2085" s="18"/>
      <c r="BO2085" s="18"/>
      <c r="BP2085" s="18"/>
      <c r="BQ2085" s="18"/>
      <c r="BR2085" s="18"/>
      <c r="BS2085" s="18"/>
      <c r="BT2085" s="18"/>
      <c r="BU2085" s="18"/>
      <c r="BV2085" s="18"/>
    </row>
    <row r="2086" spans="1:74">
      <c r="A2086" s="18"/>
      <c r="B2086" s="19"/>
      <c r="BG2086" s="18"/>
      <c r="BH2086" s="18"/>
      <c r="BI2086" s="18"/>
      <c r="BJ2086" s="18"/>
      <c r="BK2086" s="18"/>
      <c r="BL2086" s="18"/>
      <c r="BM2086" s="18"/>
      <c r="BN2086" s="18"/>
      <c r="BO2086" s="18"/>
      <c r="BP2086" s="18"/>
      <c r="BQ2086" s="18"/>
      <c r="BR2086" s="18"/>
      <c r="BS2086" s="18"/>
      <c r="BT2086" s="18"/>
      <c r="BU2086" s="18"/>
      <c r="BV2086" s="18"/>
    </row>
    <row r="2087" spans="1:74">
      <c r="A2087" s="18"/>
      <c r="B2087" s="19"/>
      <c r="BG2087" s="18"/>
      <c r="BH2087" s="18"/>
      <c r="BI2087" s="18"/>
      <c r="BJ2087" s="18"/>
      <c r="BK2087" s="18"/>
      <c r="BL2087" s="18"/>
      <c r="BM2087" s="18"/>
      <c r="BN2087" s="18"/>
      <c r="BO2087" s="18"/>
      <c r="BP2087" s="18"/>
      <c r="BQ2087" s="18"/>
      <c r="BR2087" s="18"/>
      <c r="BS2087" s="18"/>
      <c r="BT2087" s="18"/>
      <c r="BU2087" s="18"/>
      <c r="BV2087" s="18"/>
    </row>
    <row r="2088" spans="1:74">
      <c r="A2088" s="18"/>
      <c r="B2088" s="19"/>
      <c r="BG2088" s="18"/>
      <c r="BH2088" s="18"/>
      <c r="BI2088" s="18"/>
      <c r="BJ2088" s="18"/>
      <c r="BK2088" s="18"/>
      <c r="BL2088" s="18"/>
      <c r="BM2088" s="18"/>
      <c r="BN2088" s="18"/>
      <c r="BO2088" s="18"/>
      <c r="BP2088" s="18"/>
      <c r="BQ2088" s="18"/>
      <c r="BR2088" s="18"/>
      <c r="BS2088" s="18"/>
      <c r="BT2088" s="18"/>
      <c r="BU2088" s="18"/>
      <c r="BV2088" s="18"/>
    </row>
    <row r="2089" spans="1:74">
      <c r="A2089" s="18"/>
      <c r="B2089" s="19"/>
      <c r="BG2089" s="18"/>
      <c r="BH2089" s="18"/>
      <c r="BI2089" s="18"/>
      <c r="BJ2089" s="18"/>
      <c r="BK2089" s="18"/>
      <c r="BL2089" s="18"/>
      <c r="BM2089" s="18"/>
      <c r="BN2089" s="18"/>
      <c r="BO2089" s="18"/>
      <c r="BP2089" s="18"/>
      <c r="BQ2089" s="18"/>
      <c r="BR2089" s="18"/>
      <c r="BS2089" s="18"/>
      <c r="BT2089" s="18"/>
      <c r="BU2089" s="18"/>
      <c r="BV2089" s="18"/>
    </row>
    <row r="2090" spans="1:74">
      <c r="A2090" s="18"/>
      <c r="B2090" s="19"/>
      <c r="BG2090" s="18"/>
      <c r="BH2090" s="18"/>
      <c r="BI2090" s="18"/>
      <c r="BJ2090" s="18"/>
      <c r="BK2090" s="18"/>
      <c r="BL2090" s="18"/>
      <c r="BM2090" s="18"/>
      <c r="BN2090" s="18"/>
      <c r="BO2090" s="18"/>
      <c r="BP2090" s="18"/>
      <c r="BQ2090" s="18"/>
      <c r="BR2090" s="18"/>
      <c r="BS2090" s="18"/>
      <c r="BT2090" s="18"/>
      <c r="BU2090" s="18"/>
      <c r="BV2090" s="18"/>
    </row>
    <row r="2091" spans="1:74">
      <c r="A2091" s="18"/>
      <c r="B2091" s="19"/>
      <c r="BG2091" s="18"/>
      <c r="BH2091" s="18"/>
      <c r="BI2091" s="18"/>
      <c r="BJ2091" s="18"/>
      <c r="BK2091" s="18"/>
      <c r="BL2091" s="18"/>
      <c r="BM2091" s="18"/>
      <c r="BN2091" s="18"/>
      <c r="BO2091" s="18"/>
      <c r="BP2091" s="18"/>
      <c r="BQ2091" s="18"/>
      <c r="BR2091" s="18"/>
      <c r="BS2091" s="18"/>
      <c r="BT2091" s="18"/>
      <c r="BU2091" s="18"/>
      <c r="BV2091" s="18"/>
    </row>
    <row r="2092" spans="1:74">
      <c r="A2092" s="18"/>
      <c r="B2092" s="19"/>
      <c r="BG2092" s="18"/>
      <c r="BH2092" s="18"/>
      <c r="BI2092" s="18"/>
      <c r="BJ2092" s="18"/>
      <c r="BK2092" s="18"/>
      <c r="BL2092" s="18"/>
      <c r="BM2092" s="18"/>
      <c r="BN2092" s="18"/>
      <c r="BO2092" s="18"/>
      <c r="BP2092" s="18"/>
      <c r="BQ2092" s="18"/>
      <c r="BR2092" s="18"/>
      <c r="BS2092" s="18"/>
      <c r="BT2092" s="18"/>
      <c r="BU2092" s="18"/>
      <c r="BV2092" s="18"/>
    </row>
    <row r="2093" spans="1:74">
      <c r="A2093" s="18"/>
      <c r="B2093" s="19"/>
      <c r="BG2093" s="18"/>
      <c r="BH2093" s="18"/>
      <c r="BI2093" s="18"/>
      <c r="BJ2093" s="18"/>
      <c r="BK2093" s="18"/>
      <c r="BL2093" s="18"/>
      <c r="BM2093" s="18"/>
      <c r="BN2093" s="18"/>
      <c r="BO2093" s="18"/>
      <c r="BP2093" s="18"/>
      <c r="BQ2093" s="18"/>
      <c r="BR2093" s="18"/>
      <c r="BS2093" s="18"/>
      <c r="BT2093" s="18"/>
      <c r="BU2093" s="18"/>
      <c r="BV2093" s="18"/>
    </row>
    <row r="2094" spans="1:74">
      <c r="A2094" s="18"/>
      <c r="B2094" s="19"/>
      <c r="BG2094" s="18"/>
      <c r="BH2094" s="18"/>
      <c r="BI2094" s="18"/>
      <c r="BJ2094" s="18"/>
      <c r="BK2094" s="18"/>
      <c r="BL2094" s="18"/>
      <c r="BM2094" s="18"/>
      <c r="BN2094" s="18"/>
      <c r="BO2094" s="18"/>
      <c r="BP2094" s="18"/>
      <c r="BQ2094" s="18"/>
      <c r="BR2094" s="18"/>
      <c r="BS2094" s="18"/>
      <c r="BT2094" s="18"/>
      <c r="BU2094" s="18"/>
      <c r="BV2094" s="18"/>
    </row>
    <row r="2095" spans="1:74">
      <c r="A2095" s="18"/>
      <c r="B2095" s="19"/>
      <c r="BG2095" s="18"/>
      <c r="BH2095" s="18"/>
      <c r="BI2095" s="18"/>
      <c r="BJ2095" s="18"/>
      <c r="BK2095" s="18"/>
      <c r="BL2095" s="18"/>
      <c r="BM2095" s="18"/>
      <c r="BN2095" s="18"/>
      <c r="BO2095" s="18"/>
      <c r="BP2095" s="18"/>
      <c r="BQ2095" s="18"/>
      <c r="BR2095" s="18"/>
      <c r="BS2095" s="18"/>
      <c r="BT2095" s="18"/>
      <c r="BU2095" s="18"/>
      <c r="BV2095" s="18"/>
    </row>
    <row r="2096" spans="1:74">
      <c r="A2096" s="18"/>
      <c r="B2096" s="19"/>
      <c r="BG2096" s="18"/>
      <c r="BH2096" s="18"/>
      <c r="BI2096" s="18"/>
      <c r="BJ2096" s="18"/>
      <c r="BK2096" s="18"/>
      <c r="BL2096" s="18"/>
      <c r="BM2096" s="18"/>
      <c r="BN2096" s="18"/>
      <c r="BO2096" s="18"/>
      <c r="BP2096" s="18"/>
      <c r="BQ2096" s="18"/>
      <c r="BR2096" s="18"/>
      <c r="BS2096" s="18"/>
      <c r="BT2096" s="18"/>
      <c r="BU2096" s="18"/>
      <c r="BV2096" s="18"/>
    </row>
    <row r="2097" spans="1:74">
      <c r="A2097" s="18"/>
      <c r="B2097" s="19"/>
      <c r="BG2097" s="18"/>
      <c r="BH2097" s="18"/>
      <c r="BI2097" s="18"/>
      <c r="BJ2097" s="18"/>
      <c r="BK2097" s="18"/>
      <c r="BL2097" s="18"/>
      <c r="BM2097" s="18"/>
      <c r="BN2097" s="18"/>
      <c r="BO2097" s="18"/>
      <c r="BP2097" s="18"/>
      <c r="BQ2097" s="18"/>
      <c r="BR2097" s="18"/>
      <c r="BS2097" s="18"/>
      <c r="BT2097" s="18"/>
      <c r="BU2097" s="18"/>
      <c r="BV2097" s="18"/>
    </row>
    <row r="2098" spans="1:74">
      <c r="A2098" s="18"/>
      <c r="B2098" s="19"/>
      <c r="BG2098" s="18"/>
      <c r="BH2098" s="18"/>
      <c r="BI2098" s="18"/>
      <c r="BJ2098" s="18"/>
      <c r="BK2098" s="18"/>
      <c r="BL2098" s="18"/>
      <c r="BM2098" s="18"/>
      <c r="BN2098" s="18"/>
      <c r="BO2098" s="18"/>
      <c r="BP2098" s="18"/>
      <c r="BQ2098" s="18"/>
      <c r="BR2098" s="18"/>
      <c r="BS2098" s="18"/>
      <c r="BT2098" s="18"/>
      <c r="BU2098" s="18"/>
      <c r="BV2098" s="18"/>
    </row>
    <row r="2099" spans="1:74">
      <c r="A2099" s="18"/>
      <c r="B2099" s="19"/>
      <c r="BG2099" s="18"/>
      <c r="BH2099" s="18"/>
      <c r="BI2099" s="18"/>
      <c r="BJ2099" s="18"/>
      <c r="BK2099" s="18"/>
      <c r="BL2099" s="18"/>
      <c r="BM2099" s="18"/>
      <c r="BN2099" s="18"/>
      <c r="BO2099" s="18"/>
      <c r="BP2099" s="18"/>
      <c r="BQ2099" s="18"/>
      <c r="BR2099" s="18"/>
      <c r="BS2099" s="18"/>
      <c r="BT2099" s="18"/>
      <c r="BU2099" s="18"/>
      <c r="BV2099" s="18"/>
    </row>
    <row r="2100" spans="1:74">
      <c r="A2100" s="18"/>
      <c r="B2100" s="19"/>
      <c r="BG2100" s="18"/>
      <c r="BH2100" s="18"/>
      <c r="BI2100" s="18"/>
      <c r="BJ2100" s="18"/>
      <c r="BK2100" s="18"/>
      <c r="BL2100" s="18"/>
      <c r="BM2100" s="18"/>
      <c r="BN2100" s="18"/>
      <c r="BO2100" s="18"/>
      <c r="BP2100" s="18"/>
      <c r="BQ2100" s="18"/>
      <c r="BR2100" s="18"/>
      <c r="BS2100" s="18"/>
      <c r="BT2100" s="18"/>
      <c r="BU2100" s="18"/>
      <c r="BV2100" s="18"/>
    </row>
    <row r="2101" spans="1:74">
      <c r="A2101" s="18"/>
      <c r="B2101" s="19"/>
      <c r="BG2101" s="18"/>
      <c r="BH2101" s="18"/>
      <c r="BI2101" s="18"/>
      <c r="BJ2101" s="18"/>
      <c r="BK2101" s="18"/>
      <c r="BL2101" s="18"/>
      <c r="BM2101" s="18"/>
      <c r="BN2101" s="18"/>
      <c r="BO2101" s="18"/>
      <c r="BP2101" s="18"/>
      <c r="BQ2101" s="18"/>
      <c r="BR2101" s="18"/>
      <c r="BS2101" s="18"/>
      <c r="BT2101" s="18"/>
      <c r="BU2101" s="18"/>
      <c r="BV2101" s="18"/>
    </row>
    <row r="2102" spans="1:74">
      <c r="A2102" s="18"/>
      <c r="B2102" s="19"/>
      <c r="BG2102" s="18"/>
      <c r="BH2102" s="18"/>
      <c r="BI2102" s="18"/>
      <c r="BJ2102" s="18"/>
      <c r="BK2102" s="18"/>
      <c r="BL2102" s="18"/>
      <c r="BM2102" s="18"/>
      <c r="BN2102" s="18"/>
      <c r="BO2102" s="18"/>
      <c r="BP2102" s="18"/>
      <c r="BQ2102" s="18"/>
      <c r="BR2102" s="18"/>
      <c r="BS2102" s="18"/>
      <c r="BT2102" s="18"/>
      <c r="BU2102" s="18"/>
      <c r="BV2102" s="18"/>
    </row>
    <row r="2103" spans="1:74">
      <c r="A2103" s="18"/>
      <c r="B2103" s="19"/>
      <c r="BG2103" s="18"/>
      <c r="BH2103" s="18"/>
      <c r="BI2103" s="18"/>
      <c r="BJ2103" s="18"/>
      <c r="BK2103" s="18"/>
      <c r="BL2103" s="18"/>
      <c r="BM2103" s="18"/>
      <c r="BN2103" s="18"/>
      <c r="BO2103" s="18"/>
      <c r="BP2103" s="18"/>
      <c r="BQ2103" s="18"/>
      <c r="BR2103" s="18"/>
      <c r="BS2103" s="18"/>
      <c r="BT2103" s="18"/>
      <c r="BU2103" s="18"/>
      <c r="BV2103" s="18"/>
    </row>
    <row r="2104" spans="1:74">
      <c r="A2104" s="18"/>
      <c r="B2104" s="19"/>
      <c r="BG2104" s="18"/>
      <c r="BH2104" s="18"/>
      <c r="BI2104" s="18"/>
      <c r="BJ2104" s="18"/>
      <c r="BK2104" s="18"/>
      <c r="BL2104" s="18"/>
      <c r="BM2104" s="18"/>
      <c r="BN2104" s="18"/>
      <c r="BO2104" s="18"/>
      <c r="BP2104" s="18"/>
      <c r="BQ2104" s="18"/>
      <c r="BR2104" s="18"/>
      <c r="BS2104" s="18"/>
      <c r="BT2104" s="18"/>
      <c r="BU2104" s="18"/>
      <c r="BV2104" s="18"/>
    </row>
    <row r="2105" spans="1:74">
      <c r="A2105" s="18"/>
      <c r="B2105" s="19"/>
      <c r="BG2105" s="18"/>
      <c r="BH2105" s="18"/>
      <c r="BI2105" s="18"/>
      <c r="BJ2105" s="18"/>
      <c r="BK2105" s="18"/>
      <c r="BL2105" s="18"/>
      <c r="BM2105" s="18"/>
      <c r="BN2105" s="18"/>
      <c r="BO2105" s="18"/>
      <c r="BP2105" s="18"/>
      <c r="BQ2105" s="18"/>
      <c r="BR2105" s="18"/>
      <c r="BS2105" s="18"/>
      <c r="BT2105" s="18"/>
      <c r="BU2105" s="18"/>
      <c r="BV2105" s="18"/>
    </row>
    <row r="2106" spans="1:74">
      <c r="A2106" s="18"/>
      <c r="B2106" s="19"/>
      <c r="BG2106" s="18"/>
      <c r="BH2106" s="18"/>
      <c r="BI2106" s="18"/>
      <c r="BJ2106" s="18"/>
      <c r="BK2106" s="18"/>
      <c r="BL2106" s="18"/>
      <c r="BM2106" s="18"/>
      <c r="BN2106" s="18"/>
      <c r="BO2106" s="18"/>
      <c r="BP2106" s="18"/>
      <c r="BQ2106" s="18"/>
      <c r="BR2106" s="18"/>
      <c r="BS2106" s="18"/>
      <c r="BT2106" s="18"/>
      <c r="BU2106" s="18"/>
      <c r="BV2106" s="18"/>
    </row>
    <row r="2107" spans="1:74">
      <c r="A2107" s="18"/>
      <c r="B2107" s="19"/>
      <c r="BG2107" s="18"/>
      <c r="BH2107" s="18"/>
      <c r="BI2107" s="18"/>
      <c r="BJ2107" s="18"/>
      <c r="BK2107" s="18"/>
      <c r="BL2107" s="18"/>
      <c r="BM2107" s="18"/>
      <c r="BN2107" s="18"/>
      <c r="BO2107" s="18"/>
      <c r="BP2107" s="18"/>
      <c r="BQ2107" s="18"/>
      <c r="BR2107" s="18"/>
      <c r="BS2107" s="18"/>
      <c r="BT2107" s="18"/>
      <c r="BU2107" s="18"/>
      <c r="BV2107" s="18"/>
    </row>
    <row r="2108" spans="1:74">
      <c r="A2108" s="18"/>
      <c r="B2108" s="19"/>
      <c r="BG2108" s="18"/>
      <c r="BH2108" s="18"/>
      <c r="BI2108" s="18"/>
      <c r="BJ2108" s="18"/>
      <c r="BK2108" s="18"/>
      <c r="BL2108" s="18"/>
      <c r="BM2108" s="18"/>
      <c r="BN2108" s="18"/>
      <c r="BO2108" s="18"/>
      <c r="BP2108" s="18"/>
      <c r="BQ2108" s="18"/>
      <c r="BR2108" s="18"/>
      <c r="BS2108" s="18"/>
      <c r="BT2108" s="18"/>
      <c r="BU2108" s="18"/>
      <c r="BV2108" s="18"/>
    </row>
    <row r="2109" spans="1:74">
      <c r="A2109" s="18"/>
      <c r="B2109" s="19"/>
      <c r="BG2109" s="18"/>
      <c r="BH2109" s="18"/>
      <c r="BI2109" s="18"/>
      <c r="BJ2109" s="18"/>
      <c r="BK2109" s="18"/>
      <c r="BL2109" s="18"/>
      <c r="BM2109" s="18"/>
      <c r="BN2109" s="18"/>
      <c r="BO2109" s="18"/>
      <c r="BP2109" s="18"/>
      <c r="BQ2109" s="18"/>
      <c r="BR2109" s="18"/>
      <c r="BS2109" s="18"/>
      <c r="BT2109" s="18"/>
      <c r="BU2109" s="18"/>
      <c r="BV2109" s="18"/>
    </row>
    <row r="2110" spans="1:74">
      <c r="A2110" s="18"/>
      <c r="B2110" s="19"/>
      <c r="BG2110" s="18"/>
      <c r="BH2110" s="18"/>
      <c r="BI2110" s="18"/>
      <c r="BJ2110" s="18"/>
      <c r="BK2110" s="18"/>
      <c r="BL2110" s="18"/>
      <c r="BM2110" s="18"/>
      <c r="BN2110" s="18"/>
      <c r="BO2110" s="18"/>
      <c r="BP2110" s="18"/>
      <c r="BQ2110" s="18"/>
      <c r="BR2110" s="18"/>
      <c r="BS2110" s="18"/>
      <c r="BT2110" s="18"/>
      <c r="BU2110" s="18"/>
      <c r="BV2110" s="18"/>
    </row>
    <row r="2111" spans="1:74">
      <c r="A2111" s="18"/>
      <c r="B2111" s="19"/>
      <c r="BG2111" s="18"/>
      <c r="BH2111" s="18"/>
      <c r="BI2111" s="18"/>
      <c r="BJ2111" s="18"/>
      <c r="BK2111" s="18"/>
      <c r="BL2111" s="18"/>
      <c r="BM2111" s="18"/>
      <c r="BN2111" s="18"/>
      <c r="BO2111" s="18"/>
      <c r="BP2111" s="18"/>
      <c r="BQ2111" s="18"/>
      <c r="BR2111" s="18"/>
      <c r="BS2111" s="18"/>
      <c r="BT2111" s="18"/>
      <c r="BU2111" s="18"/>
      <c r="BV2111" s="18"/>
    </row>
    <row r="2112" spans="1:74">
      <c r="A2112" s="18"/>
      <c r="B2112" s="19"/>
      <c r="BG2112" s="18"/>
      <c r="BH2112" s="18"/>
      <c r="BI2112" s="18"/>
      <c r="BJ2112" s="18"/>
      <c r="BK2112" s="18"/>
      <c r="BL2112" s="18"/>
      <c r="BM2112" s="18"/>
      <c r="BN2112" s="18"/>
      <c r="BO2112" s="18"/>
      <c r="BP2112" s="18"/>
      <c r="BQ2112" s="18"/>
      <c r="BR2112" s="18"/>
      <c r="BS2112" s="18"/>
      <c r="BT2112" s="18"/>
      <c r="BU2112" s="18"/>
      <c r="BV2112" s="18"/>
    </row>
    <row r="2113" spans="1:74">
      <c r="A2113" s="18"/>
      <c r="B2113" s="19"/>
      <c r="BG2113" s="18"/>
      <c r="BH2113" s="18"/>
      <c r="BI2113" s="18"/>
      <c r="BJ2113" s="18"/>
      <c r="BK2113" s="18"/>
      <c r="BL2113" s="18"/>
      <c r="BM2113" s="18"/>
      <c r="BN2113" s="18"/>
      <c r="BO2113" s="18"/>
      <c r="BP2113" s="18"/>
      <c r="BQ2113" s="18"/>
      <c r="BR2113" s="18"/>
      <c r="BS2113" s="18"/>
      <c r="BT2113" s="18"/>
      <c r="BU2113" s="18"/>
      <c r="BV2113" s="18"/>
    </row>
    <row r="2114" spans="1:74">
      <c r="A2114" s="18"/>
      <c r="B2114" s="19"/>
      <c r="BG2114" s="18"/>
      <c r="BH2114" s="18"/>
      <c r="BI2114" s="18"/>
      <c r="BJ2114" s="18"/>
      <c r="BK2114" s="18"/>
      <c r="BL2114" s="18"/>
      <c r="BM2114" s="18"/>
      <c r="BN2114" s="18"/>
      <c r="BO2114" s="18"/>
      <c r="BP2114" s="18"/>
      <c r="BQ2114" s="18"/>
      <c r="BR2114" s="18"/>
      <c r="BS2114" s="18"/>
      <c r="BT2114" s="18"/>
      <c r="BU2114" s="18"/>
      <c r="BV2114" s="18"/>
    </row>
    <row r="2115" spans="1:74">
      <c r="A2115" s="18"/>
      <c r="B2115" s="19"/>
      <c r="BG2115" s="18"/>
      <c r="BH2115" s="18"/>
      <c r="BI2115" s="18"/>
      <c r="BJ2115" s="18"/>
      <c r="BK2115" s="18"/>
      <c r="BL2115" s="18"/>
      <c r="BM2115" s="18"/>
      <c r="BN2115" s="18"/>
      <c r="BO2115" s="18"/>
      <c r="BP2115" s="18"/>
      <c r="BQ2115" s="18"/>
      <c r="BR2115" s="18"/>
      <c r="BS2115" s="18"/>
      <c r="BT2115" s="18"/>
      <c r="BU2115" s="18"/>
      <c r="BV2115" s="18"/>
    </row>
    <row r="2116" spans="1:74">
      <c r="A2116" s="18"/>
      <c r="B2116" s="19"/>
      <c r="BG2116" s="18"/>
      <c r="BH2116" s="18"/>
      <c r="BI2116" s="18"/>
      <c r="BJ2116" s="18"/>
      <c r="BK2116" s="18"/>
      <c r="BL2116" s="18"/>
      <c r="BM2116" s="18"/>
      <c r="BN2116" s="18"/>
      <c r="BO2116" s="18"/>
      <c r="BP2116" s="18"/>
      <c r="BQ2116" s="18"/>
      <c r="BR2116" s="18"/>
      <c r="BS2116" s="18"/>
      <c r="BT2116" s="18"/>
      <c r="BU2116" s="18"/>
      <c r="BV2116" s="18"/>
    </row>
    <row r="2117" spans="1:74">
      <c r="A2117" s="18"/>
      <c r="B2117" s="19"/>
      <c r="BG2117" s="18"/>
      <c r="BH2117" s="18"/>
      <c r="BI2117" s="18"/>
      <c r="BJ2117" s="18"/>
      <c r="BK2117" s="18"/>
      <c r="BL2117" s="18"/>
      <c r="BM2117" s="18"/>
      <c r="BN2117" s="18"/>
      <c r="BO2117" s="18"/>
      <c r="BP2117" s="18"/>
      <c r="BQ2117" s="18"/>
      <c r="BR2117" s="18"/>
      <c r="BS2117" s="18"/>
      <c r="BT2117" s="18"/>
      <c r="BU2117" s="18"/>
      <c r="BV2117" s="18"/>
    </row>
    <row r="2118" spans="1:74">
      <c r="A2118" s="18"/>
      <c r="B2118" s="19"/>
      <c r="BG2118" s="18"/>
      <c r="BH2118" s="18"/>
      <c r="BI2118" s="18"/>
      <c r="BJ2118" s="18"/>
      <c r="BK2118" s="18"/>
      <c r="BL2118" s="18"/>
      <c r="BM2118" s="18"/>
      <c r="BN2118" s="18"/>
      <c r="BO2118" s="18"/>
      <c r="BP2118" s="18"/>
      <c r="BQ2118" s="18"/>
      <c r="BR2118" s="18"/>
      <c r="BS2118" s="18"/>
      <c r="BT2118" s="18"/>
      <c r="BU2118" s="18"/>
      <c r="BV2118" s="18"/>
    </row>
    <row r="2119" spans="1:74">
      <c r="A2119" s="18"/>
      <c r="B2119" s="19"/>
      <c r="BG2119" s="18"/>
      <c r="BH2119" s="18"/>
      <c r="BI2119" s="18"/>
      <c r="BJ2119" s="18"/>
      <c r="BK2119" s="18"/>
      <c r="BL2119" s="18"/>
      <c r="BM2119" s="18"/>
      <c r="BN2119" s="18"/>
      <c r="BO2119" s="18"/>
      <c r="BP2119" s="18"/>
      <c r="BQ2119" s="18"/>
      <c r="BR2119" s="18"/>
      <c r="BS2119" s="18"/>
      <c r="BT2119" s="18"/>
      <c r="BU2119" s="18"/>
      <c r="BV2119" s="18"/>
    </row>
    <row r="2120" spans="1:74">
      <c r="A2120" s="18"/>
      <c r="B2120" s="19"/>
      <c r="BG2120" s="18"/>
      <c r="BH2120" s="18"/>
      <c r="BI2120" s="18"/>
      <c r="BJ2120" s="18"/>
      <c r="BK2120" s="18"/>
      <c r="BL2120" s="18"/>
      <c r="BM2120" s="18"/>
      <c r="BN2120" s="18"/>
      <c r="BO2120" s="18"/>
      <c r="BP2120" s="18"/>
      <c r="BQ2120" s="18"/>
      <c r="BR2120" s="18"/>
      <c r="BS2120" s="18"/>
      <c r="BT2120" s="18"/>
      <c r="BU2120" s="18"/>
      <c r="BV2120" s="18"/>
    </row>
    <row r="2121" spans="1:74">
      <c r="A2121" s="18"/>
      <c r="B2121" s="19"/>
      <c r="BG2121" s="18"/>
      <c r="BH2121" s="18"/>
      <c r="BI2121" s="18"/>
      <c r="BJ2121" s="18"/>
      <c r="BK2121" s="18"/>
      <c r="BL2121" s="18"/>
      <c r="BM2121" s="18"/>
      <c r="BN2121" s="18"/>
      <c r="BO2121" s="18"/>
      <c r="BP2121" s="18"/>
      <c r="BQ2121" s="18"/>
      <c r="BR2121" s="18"/>
      <c r="BS2121" s="18"/>
      <c r="BT2121" s="18"/>
      <c r="BU2121" s="18"/>
      <c r="BV2121" s="18"/>
    </row>
    <row r="2122" spans="1:74">
      <c r="A2122" s="18"/>
      <c r="B2122" s="19"/>
      <c r="BG2122" s="18"/>
      <c r="BH2122" s="18"/>
      <c r="BI2122" s="18"/>
      <c r="BJ2122" s="18"/>
      <c r="BK2122" s="18"/>
      <c r="BL2122" s="18"/>
      <c r="BM2122" s="18"/>
      <c r="BN2122" s="18"/>
      <c r="BO2122" s="18"/>
      <c r="BP2122" s="18"/>
      <c r="BQ2122" s="18"/>
      <c r="BR2122" s="18"/>
      <c r="BS2122" s="18"/>
      <c r="BT2122" s="18"/>
      <c r="BU2122" s="18"/>
      <c r="BV2122" s="18"/>
    </row>
    <row r="2123" spans="1:74">
      <c r="A2123" s="18"/>
      <c r="B2123" s="19"/>
      <c r="BG2123" s="18"/>
      <c r="BH2123" s="18"/>
      <c r="BI2123" s="18"/>
      <c r="BJ2123" s="18"/>
      <c r="BK2123" s="18"/>
      <c r="BL2123" s="18"/>
      <c r="BM2123" s="18"/>
      <c r="BN2123" s="18"/>
      <c r="BO2123" s="18"/>
      <c r="BP2123" s="18"/>
      <c r="BQ2123" s="18"/>
      <c r="BR2123" s="18"/>
      <c r="BS2123" s="18"/>
      <c r="BT2123" s="18"/>
      <c r="BU2123" s="18"/>
      <c r="BV2123" s="18"/>
    </row>
    <row r="2124" spans="1:74">
      <c r="A2124" s="18"/>
      <c r="B2124" s="19"/>
      <c r="BG2124" s="18"/>
      <c r="BH2124" s="18"/>
      <c r="BI2124" s="18"/>
      <c r="BJ2124" s="18"/>
      <c r="BK2124" s="18"/>
      <c r="BL2124" s="18"/>
      <c r="BM2124" s="18"/>
      <c r="BN2124" s="18"/>
      <c r="BO2124" s="18"/>
      <c r="BP2124" s="18"/>
      <c r="BQ2124" s="18"/>
      <c r="BR2124" s="18"/>
      <c r="BS2124" s="18"/>
      <c r="BT2124" s="18"/>
      <c r="BU2124" s="18"/>
      <c r="BV2124" s="18"/>
    </row>
    <row r="2125" spans="1:74">
      <c r="A2125" s="18"/>
      <c r="B2125" s="19"/>
      <c r="BG2125" s="18"/>
      <c r="BH2125" s="18"/>
      <c r="BI2125" s="18"/>
      <c r="BJ2125" s="18"/>
      <c r="BK2125" s="18"/>
      <c r="BL2125" s="18"/>
      <c r="BM2125" s="18"/>
      <c r="BN2125" s="18"/>
      <c r="BO2125" s="18"/>
      <c r="BP2125" s="18"/>
      <c r="BQ2125" s="18"/>
      <c r="BR2125" s="18"/>
      <c r="BS2125" s="18"/>
      <c r="BT2125" s="18"/>
      <c r="BU2125" s="18"/>
      <c r="BV2125" s="18"/>
    </row>
    <row r="2126" spans="1:74">
      <c r="A2126" s="18"/>
      <c r="B2126" s="19"/>
      <c r="BG2126" s="18"/>
      <c r="BH2126" s="18"/>
      <c r="BI2126" s="18"/>
      <c r="BJ2126" s="18"/>
      <c r="BK2126" s="18"/>
      <c r="BL2126" s="18"/>
      <c r="BM2126" s="18"/>
      <c r="BN2126" s="18"/>
      <c r="BO2126" s="18"/>
      <c r="BP2126" s="18"/>
      <c r="BQ2126" s="18"/>
      <c r="BR2126" s="18"/>
      <c r="BS2126" s="18"/>
      <c r="BT2126" s="18"/>
      <c r="BU2126" s="18"/>
      <c r="BV2126" s="18"/>
    </row>
    <row r="2127" spans="1:74">
      <c r="A2127" s="18"/>
      <c r="B2127" s="19"/>
      <c r="BG2127" s="18"/>
      <c r="BH2127" s="18"/>
      <c r="BI2127" s="18"/>
      <c r="BJ2127" s="18"/>
      <c r="BK2127" s="18"/>
      <c r="BL2127" s="18"/>
      <c r="BM2127" s="18"/>
      <c r="BN2127" s="18"/>
      <c r="BO2127" s="18"/>
      <c r="BP2127" s="18"/>
      <c r="BQ2127" s="18"/>
      <c r="BR2127" s="18"/>
      <c r="BS2127" s="18"/>
      <c r="BT2127" s="18"/>
      <c r="BU2127" s="18"/>
      <c r="BV2127" s="18"/>
    </row>
    <row r="2128" spans="1:74">
      <c r="A2128" s="18"/>
      <c r="B2128" s="19"/>
      <c r="BG2128" s="18"/>
      <c r="BH2128" s="18"/>
      <c r="BI2128" s="18"/>
      <c r="BJ2128" s="18"/>
      <c r="BK2128" s="18"/>
      <c r="BL2128" s="18"/>
      <c r="BM2128" s="18"/>
      <c r="BN2128" s="18"/>
      <c r="BO2128" s="18"/>
      <c r="BP2128" s="18"/>
      <c r="BQ2128" s="18"/>
      <c r="BR2128" s="18"/>
      <c r="BS2128" s="18"/>
      <c r="BT2128" s="18"/>
      <c r="BU2128" s="18"/>
      <c r="BV2128" s="18"/>
    </row>
    <row r="2129" spans="1:74">
      <c r="A2129" s="18"/>
      <c r="B2129" s="19"/>
      <c r="BG2129" s="18"/>
      <c r="BH2129" s="18"/>
      <c r="BI2129" s="18"/>
      <c r="BJ2129" s="18"/>
      <c r="BK2129" s="18"/>
      <c r="BL2129" s="18"/>
      <c r="BM2129" s="18"/>
      <c r="BN2129" s="18"/>
      <c r="BO2129" s="18"/>
      <c r="BP2129" s="18"/>
      <c r="BQ2129" s="18"/>
      <c r="BR2129" s="18"/>
      <c r="BS2129" s="18"/>
      <c r="BT2129" s="18"/>
      <c r="BU2129" s="18"/>
      <c r="BV2129" s="18"/>
    </row>
    <row r="2130" spans="1:74">
      <c r="A2130" s="18"/>
      <c r="B2130" s="19"/>
      <c r="BG2130" s="18"/>
      <c r="BH2130" s="18"/>
      <c r="BI2130" s="18"/>
      <c r="BJ2130" s="18"/>
      <c r="BK2130" s="18"/>
      <c r="BL2130" s="18"/>
      <c r="BM2130" s="18"/>
      <c r="BN2130" s="18"/>
      <c r="BO2130" s="18"/>
      <c r="BP2130" s="18"/>
      <c r="BQ2130" s="18"/>
      <c r="BR2130" s="18"/>
      <c r="BS2130" s="18"/>
      <c r="BT2130" s="18"/>
      <c r="BU2130" s="18"/>
      <c r="BV2130" s="18"/>
    </row>
    <row r="2131" spans="1:74">
      <c r="A2131" s="18"/>
      <c r="B2131" s="19"/>
      <c r="BG2131" s="18"/>
      <c r="BH2131" s="18"/>
      <c r="BI2131" s="18"/>
      <c r="BJ2131" s="18"/>
      <c r="BK2131" s="18"/>
      <c r="BL2131" s="18"/>
      <c r="BM2131" s="18"/>
      <c r="BN2131" s="18"/>
      <c r="BO2131" s="18"/>
      <c r="BP2131" s="18"/>
      <c r="BQ2131" s="18"/>
      <c r="BR2131" s="18"/>
      <c r="BS2131" s="18"/>
      <c r="BT2131" s="18"/>
      <c r="BU2131" s="18"/>
      <c r="BV2131" s="18"/>
    </row>
    <row r="2132" spans="1:74">
      <c r="A2132" s="18"/>
      <c r="B2132" s="19"/>
      <c r="BG2132" s="18"/>
      <c r="BH2132" s="18"/>
      <c r="BI2132" s="18"/>
      <c r="BJ2132" s="18"/>
      <c r="BK2132" s="18"/>
      <c r="BL2132" s="18"/>
      <c r="BM2132" s="18"/>
      <c r="BN2132" s="18"/>
      <c r="BO2132" s="18"/>
      <c r="BP2132" s="18"/>
      <c r="BQ2132" s="18"/>
      <c r="BR2132" s="18"/>
      <c r="BS2132" s="18"/>
      <c r="BT2132" s="18"/>
      <c r="BU2132" s="18"/>
      <c r="BV2132" s="18"/>
    </row>
    <row r="2133" spans="1:74">
      <c r="A2133" s="18"/>
      <c r="B2133" s="19"/>
      <c r="BG2133" s="18"/>
      <c r="BH2133" s="18"/>
      <c r="BI2133" s="18"/>
      <c r="BJ2133" s="18"/>
      <c r="BK2133" s="18"/>
      <c r="BL2133" s="18"/>
      <c r="BM2133" s="18"/>
      <c r="BN2133" s="18"/>
      <c r="BO2133" s="18"/>
      <c r="BP2133" s="18"/>
      <c r="BQ2133" s="18"/>
      <c r="BR2133" s="18"/>
      <c r="BS2133" s="18"/>
      <c r="BT2133" s="18"/>
      <c r="BU2133" s="18"/>
      <c r="BV2133" s="18"/>
    </row>
    <row r="2134" spans="1:74">
      <c r="A2134" s="18"/>
      <c r="B2134" s="19"/>
      <c r="BG2134" s="18"/>
      <c r="BH2134" s="18"/>
      <c r="BI2134" s="18"/>
      <c r="BJ2134" s="18"/>
      <c r="BK2134" s="18"/>
      <c r="BL2134" s="18"/>
      <c r="BM2134" s="18"/>
      <c r="BN2134" s="18"/>
      <c r="BO2134" s="18"/>
      <c r="BP2134" s="18"/>
      <c r="BQ2134" s="18"/>
      <c r="BR2134" s="18"/>
      <c r="BS2134" s="18"/>
      <c r="BT2134" s="18"/>
      <c r="BU2134" s="18"/>
      <c r="BV2134" s="18"/>
    </row>
    <row r="2135" spans="1:74">
      <c r="A2135" s="18"/>
      <c r="B2135" s="19"/>
      <c r="BG2135" s="18"/>
      <c r="BH2135" s="18"/>
      <c r="BI2135" s="18"/>
      <c r="BJ2135" s="18"/>
      <c r="BK2135" s="18"/>
      <c r="BL2135" s="18"/>
      <c r="BM2135" s="18"/>
      <c r="BN2135" s="18"/>
      <c r="BO2135" s="18"/>
      <c r="BP2135" s="18"/>
      <c r="BQ2135" s="18"/>
      <c r="BR2135" s="18"/>
      <c r="BS2135" s="18"/>
      <c r="BT2135" s="18"/>
      <c r="BU2135" s="18"/>
      <c r="BV2135" s="18"/>
    </row>
    <row r="2136" spans="1:74">
      <c r="A2136" s="18"/>
      <c r="B2136" s="19"/>
      <c r="BG2136" s="18"/>
      <c r="BH2136" s="18"/>
      <c r="BI2136" s="18"/>
      <c r="BJ2136" s="18"/>
      <c r="BK2136" s="18"/>
      <c r="BL2136" s="18"/>
      <c r="BM2136" s="18"/>
      <c r="BN2136" s="18"/>
      <c r="BO2136" s="18"/>
      <c r="BP2136" s="18"/>
      <c r="BQ2136" s="18"/>
      <c r="BR2136" s="18"/>
      <c r="BS2136" s="18"/>
      <c r="BT2136" s="18"/>
      <c r="BU2136" s="18"/>
      <c r="BV2136" s="18"/>
    </row>
    <row r="2137" spans="1:74">
      <c r="A2137" s="18"/>
      <c r="B2137" s="19"/>
      <c r="BG2137" s="18"/>
      <c r="BH2137" s="18"/>
      <c r="BI2137" s="18"/>
      <c r="BJ2137" s="18"/>
      <c r="BK2137" s="18"/>
      <c r="BL2137" s="18"/>
      <c r="BM2137" s="18"/>
      <c r="BN2137" s="18"/>
      <c r="BO2137" s="18"/>
      <c r="BP2137" s="18"/>
      <c r="BQ2137" s="18"/>
      <c r="BR2137" s="18"/>
      <c r="BS2137" s="18"/>
      <c r="BT2137" s="18"/>
      <c r="BU2137" s="18"/>
      <c r="BV2137" s="18"/>
    </row>
    <row r="2138" spans="1:74">
      <c r="A2138" s="18"/>
      <c r="B2138" s="19"/>
      <c r="BG2138" s="18"/>
      <c r="BH2138" s="18"/>
      <c r="BI2138" s="18"/>
      <c r="BJ2138" s="18"/>
      <c r="BK2138" s="18"/>
      <c r="BL2138" s="18"/>
      <c r="BM2138" s="18"/>
      <c r="BN2138" s="18"/>
      <c r="BO2138" s="18"/>
      <c r="BP2138" s="18"/>
      <c r="BQ2138" s="18"/>
      <c r="BR2138" s="18"/>
      <c r="BS2138" s="18"/>
      <c r="BT2138" s="18"/>
      <c r="BU2138" s="18"/>
      <c r="BV2138" s="18"/>
    </row>
    <row r="2139" spans="1:74">
      <c r="A2139" s="18"/>
      <c r="B2139" s="19"/>
      <c r="BG2139" s="18"/>
      <c r="BH2139" s="18"/>
      <c r="BI2139" s="18"/>
      <c r="BJ2139" s="18"/>
      <c r="BK2139" s="18"/>
      <c r="BL2139" s="18"/>
      <c r="BM2139" s="18"/>
      <c r="BN2139" s="18"/>
      <c r="BO2139" s="18"/>
      <c r="BP2139" s="18"/>
      <c r="BQ2139" s="18"/>
      <c r="BR2139" s="18"/>
      <c r="BS2139" s="18"/>
      <c r="BT2139" s="18"/>
      <c r="BU2139" s="18"/>
      <c r="BV2139" s="18"/>
    </row>
    <row r="2140" spans="1:74">
      <c r="A2140" s="18"/>
      <c r="B2140" s="19"/>
      <c r="BG2140" s="18"/>
      <c r="BH2140" s="18"/>
      <c r="BI2140" s="18"/>
      <c r="BJ2140" s="18"/>
      <c r="BK2140" s="18"/>
      <c r="BL2140" s="18"/>
      <c r="BM2140" s="18"/>
      <c r="BN2140" s="18"/>
      <c r="BO2140" s="18"/>
      <c r="BP2140" s="18"/>
      <c r="BQ2140" s="18"/>
      <c r="BR2140" s="18"/>
      <c r="BS2140" s="18"/>
      <c r="BT2140" s="18"/>
      <c r="BU2140" s="18"/>
      <c r="BV2140" s="18"/>
    </row>
    <row r="2141" spans="1:74">
      <c r="A2141" s="18"/>
      <c r="B2141" s="19"/>
      <c r="BG2141" s="18"/>
      <c r="BH2141" s="18"/>
      <c r="BI2141" s="18"/>
      <c r="BJ2141" s="18"/>
      <c r="BK2141" s="18"/>
      <c r="BL2141" s="18"/>
      <c r="BM2141" s="18"/>
      <c r="BN2141" s="18"/>
      <c r="BO2141" s="18"/>
      <c r="BP2141" s="18"/>
      <c r="BQ2141" s="18"/>
      <c r="BR2141" s="18"/>
      <c r="BS2141" s="18"/>
      <c r="BT2141" s="18"/>
      <c r="BU2141" s="18"/>
      <c r="BV2141" s="18"/>
    </row>
    <row r="2142" spans="1:74">
      <c r="A2142" s="18"/>
      <c r="B2142" s="19"/>
      <c r="BG2142" s="18"/>
      <c r="BH2142" s="18"/>
      <c r="BI2142" s="18"/>
      <c r="BJ2142" s="18"/>
      <c r="BK2142" s="18"/>
      <c r="BL2142" s="18"/>
      <c r="BM2142" s="18"/>
      <c r="BN2142" s="18"/>
      <c r="BO2142" s="18"/>
      <c r="BP2142" s="18"/>
      <c r="BQ2142" s="18"/>
      <c r="BR2142" s="18"/>
      <c r="BS2142" s="18"/>
      <c r="BT2142" s="18"/>
      <c r="BU2142" s="18"/>
      <c r="BV2142" s="18"/>
    </row>
    <row r="2143" spans="1:74">
      <c r="A2143" s="18"/>
      <c r="B2143" s="19"/>
      <c r="BG2143" s="18"/>
      <c r="BH2143" s="18"/>
      <c r="BI2143" s="18"/>
      <c r="BJ2143" s="18"/>
      <c r="BK2143" s="18"/>
      <c r="BL2143" s="18"/>
      <c r="BM2143" s="18"/>
      <c r="BN2143" s="18"/>
      <c r="BO2143" s="18"/>
      <c r="BP2143" s="18"/>
      <c r="BQ2143" s="18"/>
      <c r="BR2143" s="18"/>
      <c r="BS2143" s="18"/>
      <c r="BT2143" s="18"/>
      <c r="BU2143" s="18"/>
      <c r="BV2143" s="18"/>
    </row>
    <row r="2144" spans="1:74">
      <c r="A2144" s="18"/>
      <c r="B2144" s="19"/>
      <c r="BG2144" s="18"/>
      <c r="BH2144" s="18"/>
      <c r="BI2144" s="18"/>
      <c r="BJ2144" s="18"/>
      <c r="BK2144" s="18"/>
      <c r="BL2144" s="18"/>
      <c r="BM2144" s="18"/>
      <c r="BN2144" s="18"/>
      <c r="BO2144" s="18"/>
      <c r="BP2144" s="18"/>
      <c r="BQ2144" s="18"/>
      <c r="BR2144" s="18"/>
      <c r="BS2144" s="18"/>
      <c r="BT2144" s="18"/>
      <c r="BU2144" s="18"/>
      <c r="BV2144" s="18"/>
    </row>
    <row r="2145" spans="1:74">
      <c r="A2145" s="18"/>
      <c r="B2145" s="19"/>
      <c r="BG2145" s="18"/>
      <c r="BH2145" s="18"/>
      <c r="BI2145" s="18"/>
      <c r="BJ2145" s="18"/>
      <c r="BK2145" s="18"/>
      <c r="BL2145" s="18"/>
      <c r="BM2145" s="18"/>
      <c r="BN2145" s="18"/>
      <c r="BO2145" s="18"/>
      <c r="BP2145" s="18"/>
      <c r="BQ2145" s="18"/>
      <c r="BR2145" s="18"/>
      <c r="BS2145" s="18"/>
      <c r="BT2145" s="18"/>
      <c r="BU2145" s="18"/>
      <c r="BV2145" s="18"/>
    </row>
    <row r="2146" spans="1:74">
      <c r="A2146" s="18"/>
      <c r="B2146" s="19"/>
      <c r="BG2146" s="18"/>
      <c r="BH2146" s="18"/>
      <c r="BI2146" s="18"/>
      <c r="BJ2146" s="18"/>
      <c r="BK2146" s="18"/>
      <c r="BL2146" s="18"/>
      <c r="BM2146" s="18"/>
      <c r="BN2146" s="18"/>
      <c r="BO2146" s="18"/>
      <c r="BP2146" s="18"/>
      <c r="BQ2146" s="18"/>
      <c r="BR2146" s="18"/>
      <c r="BS2146" s="18"/>
      <c r="BT2146" s="18"/>
      <c r="BU2146" s="18"/>
      <c r="BV2146" s="18"/>
    </row>
    <row r="2147" spans="1:74">
      <c r="A2147" s="18"/>
      <c r="B2147" s="19"/>
      <c r="BG2147" s="18"/>
      <c r="BH2147" s="18"/>
      <c r="BI2147" s="18"/>
      <c r="BJ2147" s="18"/>
      <c r="BK2147" s="18"/>
      <c r="BL2147" s="18"/>
      <c r="BM2147" s="18"/>
      <c r="BN2147" s="18"/>
      <c r="BO2147" s="18"/>
      <c r="BP2147" s="18"/>
      <c r="BQ2147" s="18"/>
      <c r="BR2147" s="18"/>
      <c r="BS2147" s="18"/>
      <c r="BT2147" s="18"/>
      <c r="BU2147" s="18"/>
      <c r="BV2147" s="18"/>
    </row>
    <row r="2148" spans="1:74">
      <c r="A2148" s="18"/>
      <c r="B2148" s="19"/>
      <c r="BG2148" s="18"/>
      <c r="BH2148" s="18"/>
      <c r="BI2148" s="18"/>
      <c r="BJ2148" s="18"/>
      <c r="BK2148" s="18"/>
      <c r="BL2148" s="18"/>
      <c r="BM2148" s="18"/>
      <c r="BN2148" s="18"/>
      <c r="BO2148" s="18"/>
      <c r="BP2148" s="18"/>
      <c r="BQ2148" s="18"/>
      <c r="BR2148" s="18"/>
      <c r="BS2148" s="18"/>
      <c r="BT2148" s="18"/>
      <c r="BU2148" s="18"/>
      <c r="BV2148" s="18"/>
    </row>
    <row r="2149" spans="1:74">
      <c r="A2149" s="18"/>
      <c r="B2149" s="19"/>
      <c r="BG2149" s="18"/>
      <c r="BH2149" s="18"/>
      <c r="BI2149" s="18"/>
      <c r="BJ2149" s="18"/>
      <c r="BK2149" s="18"/>
      <c r="BL2149" s="18"/>
      <c r="BM2149" s="18"/>
      <c r="BN2149" s="18"/>
      <c r="BO2149" s="18"/>
      <c r="BP2149" s="18"/>
      <c r="BQ2149" s="18"/>
      <c r="BR2149" s="18"/>
      <c r="BS2149" s="18"/>
      <c r="BT2149" s="18"/>
      <c r="BU2149" s="18"/>
      <c r="BV2149" s="18"/>
    </row>
    <row r="2150" spans="1:74">
      <c r="A2150" s="18"/>
      <c r="B2150" s="19"/>
      <c r="BG2150" s="18"/>
      <c r="BH2150" s="18"/>
      <c r="BI2150" s="18"/>
      <c r="BJ2150" s="18"/>
      <c r="BK2150" s="18"/>
      <c r="BL2150" s="18"/>
      <c r="BM2150" s="18"/>
      <c r="BN2150" s="18"/>
      <c r="BO2150" s="18"/>
      <c r="BP2150" s="18"/>
      <c r="BQ2150" s="18"/>
      <c r="BR2150" s="18"/>
      <c r="BS2150" s="18"/>
      <c r="BT2150" s="18"/>
      <c r="BU2150" s="18"/>
      <c r="BV2150" s="18"/>
    </row>
    <row r="2151" spans="1:74">
      <c r="A2151" s="18"/>
      <c r="B2151" s="19"/>
      <c r="BG2151" s="18"/>
      <c r="BH2151" s="18"/>
      <c r="BI2151" s="18"/>
      <c r="BJ2151" s="18"/>
      <c r="BK2151" s="18"/>
      <c r="BL2151" s="18"/>
      <c r="BM2151" s="18"/>
      <c r="BN2151" s="18"/>
      <c r="BO2151" s="18"/>
      <c r="BP2151" s="18"/>
      <c r="BQ2151" s="18"/>
      <c r="BR2151" s="18"/>
      <c r="BS2151" s="18"/>
      <c r="BT2151" s="18"/>
      <c r="BU2151" s="18"/>
      <c r="BV2151" s="18"/>
    </row>
    <row r="2152" spans="1:74">
      <c r="A2152" s="18"/>
      <c r="B2152" s="19"/>
      <c r="BG2152" s="18"/>
      <c r="BH2152" s="18"/>
      <c r="BI2152" s="18"/>
      <c r="BJ2152" s="18"/>
      <c r="BK2152" s="18"/>
      <c r="BL2152" s="18"/>
      <c r="BM2152" s="18"/>
      <c r="BN2152" s="18"/>
      <c r="BO2152" s="18"/>
      <c r="BP2152" s="18"/>
      <c r="BQ2152" s="18"/>
      <c r="BR2152" s="18"/>
      <c r="BS2152" s="18"/>
      <c r="BT2152" s="18"/>
      <c r="BU2152" s="18"/>
      <c r="BV2152" s="18"/>
    </row>
    <row r="2153" spans="1:74">
      <c r="A2153" s="18"/>
      <c r="B2153" s="19"/>
      <c r="BG2153" s="18"/>
      <c r="BH2153" s="18"/>
      <c r="BI2153" s="18"/>
      <c r="BJ2153" s="18"/>
      <c r="BK2153" s="18"/>
      <c r="BL2153" s="18"/>
      <c r="BM2153" s="18"/>
      <c r="BN2153" s="18"/>
      <c r="BO2153" s="18"/>
      <c r="BP2153" s="18"/>
      <c r="BQ2153" s="18"/>
      <c r="BR2153" s="18"/>
      <c r="BS2153" s="18"/>
      <c r="BT2153" s="18"/>
      <c r="BU2153" s="18"/>
      <c r="BV2153" s="18"/>
    </row>
    <row r="2154" spans="1:74">
      <c r="A2154" s="18"/>
      <c r="B2154" s="19"/>
      <c r="BG2154" s="18"/>
      <c r="BH2154" s="18"/>
      <c r="BI2154" s="18"/>
      <c r="BJ2154" s="18"/>
      <c r="BK2154" s="18"/>
      <c r="BL2154" s="18"/>
      <c r="BM2154" s="18"/>
      <c r="BN2154" s="18"/>
      <c r="BO2154" s="18"/>
      <c r="BP2154" s="18"/>
      <c r="BQ2154" s="18"/>
      <c r="BR2154" s="18"/>
      <c r="BS2154" s="18"/>
      <c r="BT2154" s="18"/>
      <c r="BU2154" s="18"/>
      <c r="BV2154" s="18"/>
    </row>
    <row r="2155" spans="1:74">
      <c r="A2155" s="18"/>
      <c r="B2155" s="19"/>
      <c r="BG2155" s="18"/>
      <c r="BH2155" s="18"/>
      <c r="BI2155" s="18"/>
      <c r="BJ2155" s="18"/>
      <c r="BK2155" s="18"/>
      <c r="BL2155" s="18"/>
      <c r="BM2155" s="18"/>
      <c r="BN2155" s="18"/>
      <c r="BO2155" s="18"/>
      <c r="BP2155" s="18"/>
      <c r="BQ2155" s="18"/>
      <c r="BR2155" s="18"/>
      <c r="BS2155" s="18"/>
      <c r="BT2155" s="18"/>
      <c r="BU2155" s="18"/>
      <c r="BV2155" s="18"/>
    </row>
    <row r="2156" spans="1:74">
      <c r="A2156" s="18"/>
      <c r="B2156" s="19"/>
      <c r="BG2156" s="18"/>
      <c r="BH2156" s="18"/>
      <c r="BI2156" s="18"/>
      <c r="BJ2156" s="18"/>
      <c r="BK2156" s="18"/>
      <c r="BL2156" s="18"/>
      <c r="BM2156" s="18"/>
      <c r="BN2156" s="18"/>
      <c r="BO2156" s="18"/>
      <c r="BP2156" s="18"/>
      <c r="BQ2156" s="18"/>
      <c r="BR2156" s="18"/>
      <c r="BS2156" s="18"/>
      <c r="BT2156" s="18"/>
      <c r="BU2156" s="18"/>
      <c r="BV2156" s="18"/>
    </row>
    <row r="2157" spans="1:74">
      <c r="A2157" s="18"/>
      <c r="B2157" s="19"/>
      <c r="BG2157" s="18"/>
      <c r="BH2157" s="18"/>
      <c r="BI2157" s="18"/>
      <c r="BJ2157" s="18"/>
      <c r="BK2157" s="18"/>
      <c r="BL2157" s="18"/>
      <c r="BM2157" s="18"/>
      <c r="BN2157" s="18"/>
      <c r="BO2157" s="18"/>
      <c r="BP2157" s="18"/>
      <c r="BQ2157" s="18"/>
      <c r="BR2157" s="18"/>
      <c r="BS2157" s="18"/>
      <c r="BT2157" s="18"/>
      <c r="BU2157" s="18"/>
      <c r="BV2157" s="18"/>
    </row>
    <row r="2158" spans="1:74">
      <c r="A2158" s="18"/>
      <c r="B2158" s="19"/>
      <c r="BG2158" s="18"/>
      <c r="BH2158" s="18"/>
      <c r="BI2158" s="18"/>
      <c r="BJ2158" s="18"/>
      <c r="BK2158" s="18"/>
      <c r="BL2158" s="18"/>
      <c r="BM2158" s="18"/>
      <c r="BN2158" s="18"/>
      <c r="BO2158" s="18"/>
      <c r="BP2158" s="18"/>
      <c r="BQ2158" s="18"/>
      <c r="BR2158" s="18"/>
      <c r="BS2158" s="18"/>
      <c r="BT2158" s="18"/>
      <c r="BU2158" s="18"/>
      <c r="BV2158" s="18"/>
    </row>
    <row r="2159" spans="1:74">
      <c r="A2159" s="18"/>
      <c r="B2159" s="19"/>
      <c r="BG2159" s="18"/>
      <c r="BH2159" s="18"/>
      <c r="BI2159" s="18"/>
      <c r="BJ2159" s="18"/>
      <c r="BK2159" s="18"/>
      <c r="BL2159" s="18"/>
      <c r="BM2159" s="18"/>
      <c r="BN2159" s="18"/>
      <c r="BO2159" s="18"/>
      <c r="BP2159" s="18"/>
      <c r="BQ2159" s="18"/>
      <c r="BR2159" s="18"/>
      <c r="BS2159" s="18"/>
      <c r="BT2159" s="18"/>
      <c r="BU2159" s="18"/>
      <c r="BV2159" s="18"/>
    </row>
    <row r="2160" spans="1:74">
      <c r="A2160" s="18"/>
      <c r="B2160" s="19"/>
      <c r="BG2160" s="18"/>
      <c r="BH2160" s="18"/>
      <c r="BI2160" s="18"/>
      <c r="BJ2160" s="18"/>
      <c r="BK2160" s="18"/>
      <c r="BL2160" s="18"/>
      <c r="BM2160" s="18"/>
      <c r="BN2160" s="18"/>
      <c r="BO2160" s="18"/>
      <c r="BP2160" s="18"/>
      <c r="BQ2160" s="18"/>
      <c r="BR2160" s="18"/>
      <c r="BS2160" s="18"/>
      <c r="BT2160" s="18"/>
      <c r="BU2160" s="18"/>
      <c r="BV2160" s="18"/>
    </row>
    <row r="2161" spans="1:74">
      <c r="A2161" s="18"/>
      <c r="B2161" s="19"/>
      <c r="BG2161" s="18"/>
      <c r="BH2161" s="18"/>
      <c r="BI2161" s="18"/>
      <c r="BJ2161" s="18"/>
      <c r="BK2161" s="18"/>
      <c r="BL2161" s="18"/>
      <c r="BM2161" s="18"/>
      <c r="BN2161" s="18"/>
      <c r="BO2161" s="18"/>
      <c r="BP2161" s="18"/>
      <c r="BQ2161" s="18"/>
      <c r="BR2161" s="18"/>
      <c r="BS2161" s="18"/>
      <c r="BT2161" s="18"/>
      <c r="BU2161" s="18"/>
      <c r="BV2161" s="18"/>
    </row>
    <row r="2162" spans="1:74">
      <c r="A2162" s="18"/>
      <c r="B2162" s="19"/>
      <c r="BG2162" s="18"/>
      <c r="BH2162" s="18"/>
      <c r="BI2162" s="18"/>
      <c r="BJ2162" s="18"/>
      <c r="BK2162" s="18"/>
      <c r="BL2162" s="18"/>
      <c r="BM2162" s="18"/>
      <c r="BN2162" s="18"/>
      <c r="BO2162" s="18"/>
      <c r="BP2162" s="18"/>
      <c r="BQ2162" s="18"/>
      <c r="BR2162" s="18"/>
      <c r="BS2162" s="18"/>
      <c r="BT2162" s="18"/>
      <c r="BU2162" s="18"/>
      <c r="BV2162" s="18"/>
    </row>
    <row r="2163" spans="1:74">
      <c r="A2163" s="18"/>
      <c r="B2163" s="19"/>
      <c r="BG2163" s="18"/>
      <c r="BH2163" s="18"/>
      <c r="BI2163" s="18"/>
      <c r="BJ2163" s="18"/>
      <c r="BK2163" s="18"/>
      <c r="BL2163" s="18"/>
      <c r="BM2163" s="18"/>
      <c r="BN2163" s="18"/>
      <c r="BO2163" s="18"/>
      <c r="BP2163" s="18"/>
      <c r="BQ2163" s="18"/>
      <c r="BR2163" s="18"/>
      <c r="BS2163" s="18"/>
      <c r="BT2163" s="18"/>
      <c r="BU2163" s="18"/>
      <c r="BV2163" s="18"/>
    </row>
    <row r="2164" spans="1:74">
      <c r="A2164" s="18"/>
      <c r="B2164" s="19"/>
      <c r="BG2164" s="18"/>
      <c r="BH2164" s="18"/>
      <c r="BI2164" s="18"/>
      <c r="BJ2164" s="18"/>
      <c r="BK2164" s="18"/>
      <c r="BL2164" s="18"/>
      <c r="BM2164" s="18"/>
      <c r="BN2164" s="18"/>
      <c r="BO2164" s="18"/>
      <c r="BP2164" s="18"/>
      <c r="BQ2164" s="18"/>
      <c r="BR2164" s="18"/>
      <c r="BS2164" s="18"/>
      <c r="BT2164" s="18"/>
      <c r="BU2164" s="18"/>
      <c r="BV2164" s="18"/>
    </row>
    <row r="2165" spans="1:74">
      <c r="A2165" s="18"/>
      <c r="B2165" s="19"/>
      <c r="BG2165" s="18"/>
      <c r="BH2165" s="18"/>
      <c r="BI2165" s="18"/>
      <c r="BJ2165" s="18"/>
      <c r="BK2165" s="18"/>
      <c r="BL2165" s="18"/>
      <c r="BM2165" s="18"/>
      <c r="BN2165" s="18"/>
      <c r="BO2165" s="18"/>
      <c r="BP2165" s="18"/>
      <c r="BQ2165" s="18"/>
      <c r="BR2165" s="18"/>
      <c r="BS2165" s="18"/>
      <c r="BT2165" s="18"/>
      <c r="BU2165" s="18"/>
      <c r="BV2165" s="18"/>
    </row>
    <row r="2166" spans="1:74">
      <c r="A2166" s="18"/>
      <c r="B2166" s="19"/>
      <c r="BG2166" s="18"/>
      <c r="BH2166" s="18"/>
      <c r="BI2166" s="18"/>
      <c r="BJ2166" s="18"/>
      <c r="BK2166" s="18"/>
      <c r="BL2166" s="18"/>
      <c r="BM2166" s="18"/>
      <c r="BN2166" s="18"/>
      <c r="BO2166" s="18"/>
      <c r="BP2166" s="18"/>
      <c r="BQ2166" s="18"/>
      <c r="BR2166" s="18"/>
      <c r="BS2166" s="18"/>
      <c r="BT2166" s="18"/>
      <c r="BU2166" s="18"/>
      <c r="BV2166" s="18"/>
    </row>
    <row r="2167" spans="1:74">
      <c r="A2167" s="18"/>
      <c r="B2167" s="19"/>
      <c r="BG2167" s="18"/>
      <c r="BH2167" s="18"/>
      <c r="BI2167" s="18"/>
      <c r="BJ2167" s="18"/>
      <c r="BK2167" s="18"/>
      <c r="BL2167" s="18"/>
      <c r="BM2167" s="18"/>
      <c r="BN2167" s="18"/>
      <c r="BO2167" s="18"/>
      <c r="BP2167" s="18"/>
      <c r="BQ2167" s="18"/>
      <c r="BR2167" s="18"/>
      <c r="BS2167" s="18"/>
      <c r="BT2167" s="18"/>
      <c r="BU2167" s="18"/>
      <c r="BV2167" s="18"/>
    </row>
    <row r="2168" spans="1:74">
      <c r="A2168" s="18"/>
      <c r="B2168" s="19"/>
      <c r="BG2168" s="18"/>
      <c r="BH2168" s="18"/>
      <c r="BI2168" s="18"/>
      <c r="BJ2168" s="18"/>
      <c r="BK2168" s="18"/>
      <c r="BL2168" s="18"/>
      <c r="BM2168" s="18"/>
      <c r="BN2168" s="18"/>
      <c r="BO2168" s="18"/>
      <c r="BP2168" s="18"/>
      <c r="BQ2168" s="18"/>
      <c r="BR2168" s="18"/>
      <c r="BS2168" s="18"/>
      <c r="BT2168" s="18"/>
      <c r="BU2168" s="18"/>
      <c r="BV2168" s="18"/>
    </row>
    <row r="2169" spans="1:74">
      <c r="A2169" s="18"/>
      <c r="B2169" s="19"/>
      <c r="BG2169" s="18"/>
      <c r="BH2169" s="18"/>
      <c r="BI2169" s="18"/>
      <c r="BJ2169" s="18"/>
      <c r="BK2169" s="18"/>
      <c r="BL2169" s="18"/>
      <c r="BM2169" s="18"/>
      <c r="BN2169" s="18"/>
      <c r="BO2169" s="18"/>
      <c r="BP2169" s="18"/>
      <c r="BQ2169" s="18"/>
      <c r="BR2169" s="18"/>
      <c r="BS2169" s="18"/>
      <c r="BT2169" s="18"/>
      <c r="BU2169" s="18"/>
      <c r="BV2169" s="18"/>
    </row>
    <row r="2170" spans="1:74">
      <c r="A2170" s="18"/>
      <c r="B2170" s="19"/>
      <c r="BG2170" s="18"/>
      <c r="BH2170" s="18"/>
      <c r="BI2170" s="18"/>
      <c r="BJ2170" s="18"/>
      <c r="BK2170" s="18"/>
      <c r="BL2170" s="18"/>
      <c r="BM2170" s="18"/>
      <c r="BN2170" s="18"/>
      <c r="BO2170" s="18"/>
      <c r="BP2170" s="18"/>
      <c r="BQ2170" s="18"/>
      <c r="BR2170" s="18"/>
      <c r="BS2170" s="18"/>
      <c r="BT2170" s="18"/>
      <c r="BU2170" s="18"/>
      <c r="BV2170" s="18"/>
    </row>
    <row r="2171" spans="1:74">
      <c r="A2171" s="18"/>
      <c r="B2171" s="19"/>
      <c r="BG2171" s="18"/>
      <c r="BH2171" s="18"/>
      <c r="BI2171" s="18"/>
      <c r="BJ2171" s="18"/>
      <c r="BK2171" s="18"/>
      <c r="BL2171" s="18"/>
      <c r="BM2171" s="18"/>
      <c r="BN2171" s="18"/>
      <c r="BO2171" s="18"/>
      <c r="BP2171" s="18"/>
      <c r="BQ2171" s="18"/>
      <c r="BR2171" s="18"/>
      <c r="BS2171" s="18"/>
      <c r="BT2171" s="18"/>
      <c r="BU2171" s="18"/>
      <c r="BV2171" s="18"/>
    </row>
    <row r="2172" spans="1:74">
      <c r="A2172" s="18"/>
      <c r="B2172" s="19"/>
      <c r="BG2172" s="18"/>
      <c r="BH2172" s="18"/>
      <c r="BI2172" s="18"/>
      <c r="BJ2172" s="18"/>
      <c r="BK2172" s="18"/>
      <c r="BL2172" s="18"/>
      <c r="BM2172" s="18"/>
      <c r="BN2172" s="18"/>
      <c r="BO2172" s="18"/>
      <c r="BP2172" s="18"/>
      <c r="BQ2172" s="18"/>
      <c r="BR2172" s="18"/>
      <c r="BS2172" s="18"/>
      <c r="BT2172" s="18"/>
      <c r="BU2172" s="18"/>
      <c r="BV2172" s="18"/>
    </row>
    <row r="2173" spans="1:74">
      <c r="A2173" s="18"/>
      <c r="B2173" s="19"/>
      <c r="BG2173" s="18"/>
      <c r="BH2173" s="18"/>
      <c r="BI2173" s="18"/>
      <c r="BJ2173" s="18"/>
      <c r="BK2173" s="18"/>
      <c r="BL2173" s="18"/>
      <c r="BM2173" s="18"/>
      <c r="BN2173" s="18"/>
      <c r="BO2173" s="18"/>
      <c r="BP2173" s="18"/>
      <c r="BQ2173" s="18"/>
      <c r="BR2173" s="18"/>
      <c r="BS2173" s="18"/>
      <c r="BT2173" s="18"/>
      <c r="BU2173" s="18"/>
      <c r="BV2173" s="18"/>
    </row>
    <row r="2174" spans="1:74">
      <c r="A2174" s="18"/>
      <c r="B2174" s="19"/>
      <c r="BG2174" s="18"/>
      <c r="BH2174" s="18"/>
      <c r="BI2174" s="18"/>
      <c r="BJ2174" s="18"/>
      <c r="BK2174" s="18"/>
      <c r="BL2174" s="18"/>
      <c r="BM2174" s="18"/>
      <c r="BN2174" s="18"/>
      <c r="BO2174" s="18"/>
      <c r="BP2174" s="18"/>
      <c r="BQ2174" s="18"/>
      <c r="BR2174" s="18"/>
      <c r="BS2174" s="18"/>
      <c r="BT2174" s="18"/>
      <c r="BU2174" s="18"/>
      <c r="BV2174" s="18"/>
    </row>
    <row r="2175" spans="1:74">
      <c r="A2175" s="18"/>
      <c r="B2175" s="19"/>
      <c r="BG2175" s="18"/>
      <c r="BH2175" s="18"/>
      <c r="BI2175" s="18"/>
      <c r="BJ2175" s="18"/>
      <c r="BK2175" s="18"/>
      <c r="BL2175" s="18"/>
      <c r="BM2175" s="18"/>
      <c r="BN2175" s="18"/>
      <c r="BO2175" s="18"/>
      <c r="BP2175" s="18"/>
      <c r="BQ2175" s="18"/>
      <c r="BR2175" s="18"/>
      <c r="BS2175" s="18"/>
      <c r="BT2175" s="18"/>
      <c r="BU2175" s="18"/>
      <c r="BV2175" s="18"/>
    </row>
    <row r="2176" spans="1:74">
      <c r="A2176" s="18"/>
      <c r="B2176" s="19"/>
      <c r="BG2176" s="18"/>
      <c r="BH2176" s="18"/>
      <c r="BI2176" s="18"/>
      <c r="BJ2176" s="18"/>
      <c r="BK2176" s="18"/>
      <c r="BL2176" s="18"/>
      <c r="BM2176" s="18"/>
      <c r="BN2176" s="18"/>
      <c r="BO2176" s="18"/>
      <c r="BP2176" s="18"/>
      <c r="BQ2176" s="18"/>
      <c r="BR2176" s="18"/>
      <c r="BS2176" s="18"/>
      <c r="BT2176" s="18"/>
      <c r="BU2176" s="18"/>
      <c r="BV2176" s="18"/>
    </row>
    <row r="2177" spans="1:74">
      <c r="A2177" s="18"/>
      <c r="B2177" s="19"/>
      <c r="BG2177" s="18"/>
      <c r="BH2177" s="18"/>
      <c r="BI2177" s="18"/>
      <c r="BJ2177" s="18"/>
      <c r="BK2177" s="18"/>
      <c r="BL2177" s="18"/>
      <c r="BM2177" s="18"/>
      <c r="BN2177" s="18"/>
      <c r="BO2177" s="18"/>
      <c r="BP2177" s="18"/>
      <c r="BQ2177" s="18"/>
      <c r="BR2177" s="18"/>
      <c r="BS2177" s="18"/>
      <c r="BT2177" s="18"/>
      <c r="BU2177" s="18"/>
      <c r="BV2177" s="18"/>
    </row>
    <row r="2178" spans="1:74">
      <c r="A2178" s="18"/>
      <c r="B2178" s="19"/>
      <c r="BG2178" s="18"/>
      <c r="BH2178" s="18"/>
      <c r="BI2178" s="18"/>
      <c r="BJ2178" s="18"/>
      <c r="BK2178" s="18"/>
      <c r="BL2178" s="18"/>
      <c r="BM2178" s="18"/>
      <c r="BN2178" s="18"/>
      <c r="BO2178" s="18"/>
      <c r="BP2178" s="18"/>
      <c r="BQ2178" s="18"/>
      <c r="BR2178" s="18"/>
      <c r="BS2178" s="18"/>
      <c r="BT2178" s="18"/>
      <c r="BU2178" s="18"/>
      <c r="BV2178" s="18"/>
    </row>
    <row r="2179" spans="1:74">
      <c r="A2179" s="18"/>
      <c r="B2179" s="19"/>
      <c r="BG2179" s="18"/>
      <c r="BH2179" s="18"/>
      <c r="BI2179" s="18"/>
      <c r="BJ2179" s="18"/>
      <c r="BK2179" s="18"/>
      <c r="BL2179" s="18"/>
      <c r="BM2179" s="18"/>
      <c r="BN2179" s="18"/>
      <c r="BO2179" s="18"/>
      <c r="BP2179" s="18"/>
      <c r="BQ2179" s="18"/>
      <c r="BR2179" s="18"/>
      <c r="BS2179" s="18"/>
      <c r="BT2179" s="18"/>
      <c r="BU2179" s="18"/>
      <c r="BV2179" s="18"/>
    </row>
    <row r="2180" spans="1:74">
      <c r="A2180" s="18"/>
      <c r="B2180" s="19"/>
      <c r="BG2180" s="18"/>
      <c r="BH2180" s="18"/>
      <c r="BI2180" s="18"/>
      <c r="BJ2180" s="18"/>
      <c r="BK2180" s="18"/>
      <c r="BL2180" s="18"/>
      <c r="BM2180" s="18"/>
      <c r="BN2180" s="18"/>
      <c r="BO2180" s="18"/>
      <c r="BP2180" s="18"/>
      <c r="BQ2180" s="18"/>
      <c r="BR2180" s="18"/>
      <c r="BS2180" s="18"/>
      <c r="BT2180" s="18"/>
      <c r="BU2180" s="18"/>
      <c r="BV2180" s="18"/>
    </row>
    <row r="2181" spans="1:74">
      <c r="A2181" s="18"/>
      <c r="B2181" s="19"/>
      <c r="BG2181" s="18"/>
      <c r="BH2181" s="18"/>
      <c r="BI2181" s="18"/>
      <c r="BJ2181" s="18"/>
      <c r="BK2181" s="18"/>
      <c r="BL2181" s="18"/>
      <c r="BM2181" s="18"/>
      <c r="BN2181" s="18"/>
      <c r="BO2181" s="18"/>
      <c r="BP2181" s="18"/>
      <c r="BQ2181" s="18"/>
      <c r="BR2181" s="18"/>
      <c r="BS2181" s="18"/>
      <c r="BT2181" s="18"/>
      <c r="BU2181" s="18"/>
      <c r="BV2181" s="18"/>
    </row>
    <row r="2182" spans="1:74">
      <c r="A2182" s="18"/>
      <c r="B2182" s="19"/>
      <c r="BG2182" s="18"/>
      <c r="BH2182" s="18"/>
      <c r="BI2182" s="18"/>
      <c r="BJ2182" s="18"/>
      <c r="BK2182" s="18"/>
      <c r="BL2182" s="18"/>
      <c r="BM2182" s="18"/>
      <c r="BN2182" s="18"/>
      <c r="BO2182" s="18"/>
      <c r="BP2182" s="18"/>
      <c r="BQ2182" s="18"/>
      <c r="BR2182" s="18"/>
      <c r="BS2182" s="18"/>
      <c r="BT2182" s="18"/>
      <c r="BU2182" s="18"/>
      <c r="BV2182" s="18"/>
    </row>
    <row r="2183" spans="1:74">
      <c r="A2183" s="18"/>
      <c r="B2183" s="19"/>
      <c r="BG2183" s="18"/>
      <c r="BH2183" s="18"/>
      <c r="BI2183" s="18"/>
      <c r="BJ2183" s="18"/>
      <c r="BK2183" s="18"/>
      <c r="BL2183" s="18"/>
      <c r="BM2183" s="18"/>
      <c r="BN2183" s="18"/>
      <c r="BO2183" s="18"/>
      <c r="BP2183" s="18"/>
      <c r="BQ2183" s="18"/>
      <c r="BR2183" s="18"/>
      <c r="BS2183" s="18"/>
      <c r="BT2183" s="18"/>
      <c r="BU2183" s="18"/>
      <c r="BV2183" s="18"/>
    </row>
    <row r="2184" spans="1:74">
      <c r="A2184" s="18"/>
      <c r="B2184" s="19"/>
      <c r="BG2184" s="18"/>
      <c r="BH2184" s="18"/>
      <c r="BI2184" s="18"/>
      <c r="BJ2184" s="18"/>
      <c r="BK2184" s="18"/>
      <c r="BL2184" s="18"/>
      <c r="BM2184" s="18"/>
      <c r="BN2184" s="18"/>
      <c r="BO2184" s="18"/>
      <c r="BP2184" s="18"/>
      <c r="BQ2184" s="18"/>
      <c r="BR2184" s="18"/>
      <c r="BS2184" s="18"/>
      <c r="BT2184" s="18"/>
      <c r="BU2184" s="18"/>
      <c r="BV2184" s="18"/>
    </row>
    <row r="2185" spans="1:74">
      <c r="A2185" s="18"/>
      <c r="B2185" s="19"/>
      <c r="BG2185" s="18"/>
      <c r="BH2185" s="18"/>
      <c r="BI2185" s="18"/>
      <c r="BJ2185" s="18"/>
      <c r="BK2185" s="18"/>
      <c r="BL2185" s="18"/>
      <c r="BM2185" s="18"/>
      <c r="BN2185" s="18"/>
      <c r="BO2185" s="18"/>
      <c r="BP2185" s="18"/>
      <c r="BQ2185" s="18"/>
      <c r="BR2185" s="18"/>
      <c r="BS2185" s="18"/>
      <c r="BT2185" s="18"/>
      <c r="BU2185" s="18"/>
      <c r="BV2185" s="18"/>
    </row>
    <row r="2186" spans="1:74">
      <c r="A2186" s="18"/>
      <c r="B2186" s="19"/>
      <c r="BG2186" s="18"/>
      <c r="BH2186" s="18"/>
      <c r="BI2186" s="18"/>
      <c r="BJ2186" s="18"/>
      <c r="BK2186" s="18"/>
      <c r="BL2186" s="18"/>
      <c r="BM2186" s="18"/>
      <c r="BN2186" s="18"/>
      <c r="BO2186" s="18"/>
      <c r="BP2186" s="18"/>
      <c r="BQ2186" s="18"/>
      <c r="BR2186" s="18"/>
      <c r="BS2186" s="18"/>
      <c r="BT2186" s="18"/>
      <c r="BU2186" s="18"/>
      <c r="BV2186" s="18"/>
    </row>
    <row r="2187" spans="1:74">
      <c r="A2187" s="18"/>
      <c r="B2187" s="19"/>
      <c r="BG2187" s="18"/>
      <c r="BH2187" s="18"/>
      <c r="BI2187" s="18"/>
      <c r="BJ2187" s="18"/>
      <c r="BK2187" s="18"/>
      <c r="BL2187" s="18"/>
      <c r="BM2187" s="18"/>
      <c r="BN2187" s="18"/>
      <c r="BO2187" s="18"/>
      <c r="BP2187" s="18"/>
      <c r="BQ2187" s="18"/>
      <c r="BR2187" s="18"/>
      <c r="BS2187" s="18"/>
      <c r="BT2187" s="18"/>
      <c r="BU2187" s="18"/>
      <c r="BV2187" s="18"/>
    </row>
    <row r="2188" spans="1:74">
      <c r="A2188" s="18"/>
      <c r="B2188" s="19"/>
      <c r="BG2188" s="18"/>
      <c r="BH2188" s="18"/>
      <c r="BI2188" s="18"/>
      <c r="BJ2188" s="18"/>
      <c r="BK2188" s="18"/>
      <c r="BL2188" s="18"/>
      <c r="BM2188" s="18"/>
      <c r="BN2188" s="18"/>
      <c r="BO2188" s="18"/>
      <c r="BP2188" s="18"/>
      <c r="BQ2188" s="18"/>
      <c r="BR2188" s="18"/>
      <c r="BS2188" s="18"/>
      <c r="BT2188" s="18"/>
      <c r="BU2188" s="18"/>
      <c r="BV2188" s="18"/>
    </row>
    <row r="2189" spans="1:74">
      <c r="A2189" s="18"/>
      <c r="B2189" s="19"/>
      <c r="BG2189" s="18"/>
      <c r="BH2189" s="18"/>
      <c r="BI2189" s="18"/>
      <c r="BJ2189" s="18"/>
      <c r="BK2189" s="18"/>
      <c r="BL2189" s="18"/>
      <c r="BM2189" s="18"/>
      <c r="BN2189" s="18"/>
      <c r="BO2189" s="18"/>
      <c r="BP2189" s="18"/>
      <c r="BQ2189" s="18"/>
      <c r="BR2189" s="18"/>
      <c r="BS2189" s="18"/>
      <c r="BT2189" s="18"/>
      <c r="BU2189" s="18"/>
      <c r="BV2189" s="18"/>
    </row>
    <row r="2190" spans="1:74">
      <c r="A2190" s="18"/>
      <c r="B2190" s="19"/>
      <c r="BG2190" s="18"/>
      <c r="BH2190" s="18"/>
      <c r="BI2190" s="18"/>
      <c r="BJ2190" s="18"/>
      <c r="BK2190" s="18"/>
      <c r="BL2190" s="18"/>
      <c r="BM2190" s="18"/>
      <c r="BN2190" s="18"/>
      <c r="BO2190" s="18"/>
      <c r="BP2190" s="18"/>
      <c r="BQ2190" s="18"/>
      <c r="BR2190" s="18"/>
      <c r="BS2190" s="18"/>
      <c r="BT2190" s="18"/>
      <c r="BU2190" s="18"/>
      <c r="BV2190" s="18"/>
    </row>
    <row r="2191" spans="1:74">
      <c r="A2191" s="18"/>
      <c r="B2191" s="19"/>
      <c r="BG2191" s="18"/>
      <c r="BH2191" s="18"/>
      <c r="BI2191" s="18"/>
      <c r="BJ2191" s="18"/>
      <c r="BK2191" s="18"/>
      <c r="BL2191" s="18"/>
      <c r="BM2191" s="18"/>
      <c r="BN2191" s="18"/>
      <c r="BO2191" s="18"/>
      <c r="BP2191" s="18"/>
      <c r="BQ2191" s="18"/>
      <c r="BR2191" s="18"/>
      <c r="BS2191" s="18"/>
      <c r="BT2191" s="18"/>
      <c r="BU2191" s="18"/>
      <c r="BV2191" s="18"/>
    </row>
    <row r="2192" spans="1:74">
      <c r="A2192" s="18"/>
      <c r="B2192" s="19"/>
      <c r="BG2192" s="18"/>
      <c r="BH2192" s="18"/>
      <c r="BI2192" s="18"/>
      <c r="BJ2192" s="18"/>
      <c r="BK2192" s="18"/>
      <c r="BL2192" s="18"/>
      <c r="BM2192" s="18"/>
      <c r="BN2192" s="18"/>
      <c r="BO2192" s="18"/>
      <c r="BP2192" s="18"/>
      <c r="BQ2192" s="18"/>
      <c r="BR2192" s="18"/>
      <c r="BS2192" s="18"/>
      <c r="BT2192" s="18"/>
      <c r="BU2192" s="18"/>
      <c r="BV2192" s="18"/>
    </row>
    <row r="2193" spans="1:74">
      <c r="A2193" s="18"/>
      <c r="B2193" s="19"/>
      <c r="BG2193" s="18"/>
      <c r="BH2193" s="18"/>
      <c r="BI2193" s="18"/>
      <c r="BJ2193" s="18"/>
      <c r="BK2193" s="18"/>
      <c r="BL2193" s="18"/>
      <c r="BM2193" s="18"/>
      <c r="BN2193" s="18"/>
      <c r="BO2193" s="18"/>
      <c r="BP2193" s="18"/>
      <c r="BQ2193" s="18"/>
      <c r="BR2193" s="18"/>
      <c r="BS2193" s="18"/>
      <c r="BT2193" s="18"/>
      <c r="BU2193" s="18"/>
      <c r="BV2193" s="18"/>
    </row>
    <row r="2194" spans="1:74">
      <c r="A2194" s="18"/>
      <c r="B2194" s="19"/>
      <c r="BG2194" s="18"/>
      <c r="BH2194" s="18"/>
      <c r="BI2194" s="18"/>
      <c r="BJ2194" s="18"/>
      <c r="BK2194" s="18"/>
      <c r="BL2194" s="18"/>
      <c r="BM2194" s="18"/>
      <c r="BN2194" s="18"/>
      <c r="BO2194" s="18"/>
      <c r="BP2194" s="18"/>
      <c r="BQ2194" s="18"/>
      <c r="BR2194" s="18"/>
      <c r="BS2194" s="18"/>
      <c r="BT2194" s="18"/>
      <c r="BU2194" s="18"/>
      <c r="BV2194" s="18"/>
    </row>
    <row r="2195" spans="1:74">
      <c r="A2195" s="18"/>
      <c r="B2195" s="19"/>
      <c r="BG2195" s="18"/>
      <c r="BH2195" s="18"/>
      <c r="BI2195" s="18"/>
      <c r="BJ2195" s="18"/>
      <c r="BK2195" s="18"/>
      <c r="BL2195" s="18"/>
      <c r="BM2195" s="18"/>
      <c r="BN2195" s="18"/>
      <c r="BO2195" s="18"/>
      <c r="BP2195" s="18"/>
      <c r="BQ2195" s="18"/>
      <c r="BR2195" s="18"/>
      <c r="BS2195" s="18"/>
      <c r="BT2195" s="18"/>
      <c r="BU2195" s="18"/>
      <c r="BV2195" s="18"/>
    </row>
    <row r="2196" spans="1:74">
      <c r="A2196" s="18"/>
      <c r="B2196" s="19"/>
      <c r="BG2196" s="18"/>
      <c r="BH2196" s="18"/>
      <c r="BI2196" s="18"/>
      <c r="BJ2196" s="18"/>
      <c r="BK2196" s="18"/>
      <c r="BL2196" s="18"/>
      <c r="BM2196" s="18"/>
      <c r="BN2196" s="18"/>
      <c r="BO2196" s="18"/>
      <c r="BP2196" s="18"/>
      <c r="BQ2196" s="18"/>
      <c r="BR2196" s="18"/>
      <c r="BS2196" s="18"/>
      <c r="BT2196" s="18"/>
      <c r="BU2196" s="18"/>
      <c r="BV2196" s="18"/>
    </row>
    <row r="2197" spans="1:74">
      <c r="A2197" s="18"/>
      <c r="B2197" s="19"/>
      <c r="BG2197" s="18"/>
      <c r="BH2197" s="18"/>
      <c r="BI2197" s="18"/>
      <c r="BJ2197" s="18"/>
      <c r="BK2197" s="18"/>
      <c r="BL2197" s="18"/>
      <c r="BM2197" s="18"/>
      <c r="BN2197" s="18"/>
      <c r="BO2197" s="18"/>
      <c r="BP2197" s="18"/>
      <c r="BQ2197" s="18"/>
      <c r="BR2197" s="18"/>
      <c r="BS2197" s="18"/>
      <c r="BT2197" s="18"/>
      <c r="BU2197" s="18"/>
      <c r="BV2197" s="18"/>
    </row>
    <row r="2198" spans="1:74">
      <c r="A2198" s="18"/>
      <c r="B2198" s="19"/>
      <c r="BG2198" s="18"/>
      <c r="BH2198" s="18"/>
      <c r="BI2198" s="18"/>
      <c r="BJ2198" s="18"/>
      <c r="BK2198" s="18"/>
      <c r="BL2198" s="18"/>
      <c r="BM2198" s="18"/>
      <c r="BN2198" s="18"/>
      <c r="BO2198" s="18"/>
      <c r="BP2198" s="18"/>
      <c r="BQ2198" s="18"/>
      <c r="BR2198" s="18"/>
      <c r="BS2198" s="18"/>
      <c r="BT2198" s="18"/>
      <c r="BU2198" s="18"/>
      <c r="BV2198" s="18"/>
    </row>
    <row r="2199" spans="1:74">
      <c r="A2199" s="18"/>
      <c r="B2199" s="19"/>
      <c r="BG2199" s="18"/>
      <c r="BH2199" s="18"/>
      <c r="BI2199" s="18"/>
      <c r="BJ2199" s="18"/>
      <c r="BK2199" s="18"/>
      <c r="BL2199" s="18"/>
      <c r="BM2199" s="18"/>
      <c r="BN2199" s="18"/>
      <c r="BO2199" s="18"/>
      <c r="BP2199" s="18"/>
      <c r="BQ2199" s="18"/>
      <c r="BR2199" s="18"/>
      <c r="BS2199" s="18"/>
      <c r="BT2199" s="18"/>
      <c r="BU2199" s="18"/>
      <c r="BV2199" s="18"/>
    </row>
    <row r="2200" spans="1:74">
      <c r="A2200" s="18"/>
      <c r="B2200" s="19"/>
      <c r="BG2200" s="18"/>
      <c r="BH2200" s="18"/>
      <c r="BI2200" s="18"/>
      <c r="BJ2200" s="18"/>
      <c r="BK2200" s="18"/>
      <c r="BL2200" s="18"/>
      <c r="BM2200" s="18"/>
      <c r="BN2200" s="18"/>
      <c r="BO2200" s="18"/>
      <c r="BP2200" s="18"/>
      <c r="BQ2200" s="18"/>
      <c r="BR2200" s="18"/>
      <c r="BS2200" s="18"/>
      <c r="BT2200" s="18"/>
      <c r="BU2200" s="18"/>
      <c r="BV2200" s="18"/>
    </row>
    <row r="2201" spans="1:74">
      <c r="A2201" s="18"/>
      <c r="B2201" s="19"/>
      <c r="BG2201" s="18"/>
      <c r="BH2201" s="18"/>
      <c r="BI2201" s="18"/>
      <c r="BJ2201" s="18"/>
      <c r="BK2201" s="18"/>
      <c r="BL2201" s="18"/>
      <c r="BM2201" s="18"/>
      <c r="BN2201" s="18"/>
      <c r="BO2201" s="18"/>
      <c r="BP2201" s="18"/>
      <c r="BQ2201" s="18"/>
      <c r="BR2201" s="18"/>
      <c r="BS2201" s="18"/>
      <c r="BT2201" s="18"/>
      <c r="BU2201" s="18"/>
      <c r="BV2201" s="18"/>
    </row>
    <row r="2202" spans="1:74">
      <c r="A2202" s="18"/>
      <c r="B2202" s="19"/>
      <c r="BG2202" s="18"/>
      <c r="BH2202" s="18"/>
      <c r="BI2202" s="18"/>
      <c r="BJ2202" s="18"/>
      <c r="BK2202" s="18"/>
      <c r="BL2202" s="18"/>
      <c r="BM2202" s="18"/>
      <c r="BN2202" s="18"/>
      <c r="BO2202" s="18"/>
      <c r="BP2202" s="18"/>
      <c r="BQ2202" s="18"/>
      <c r="BR2202" s="18"/>
      <c r="BS2202" s="18"/>
      <c r="BT2202" s="18"/>
      <c r="BU2202" s="18"/>
      <c r="BV2202" s="18"/>
    </row>
    <row r="2203" spans="1:74">
      <c r="A2203" s="18"/>
      <c r="B2203" s="19"/>
      <c r="BG2203" s="18"/>
      <c r="BH2203" s="18"/>
      <c r="BI2203" s="18"/>
      <c r="BJ2203" s="18"/>
      <c r="BK2203" s="18"/>
      <c r="BL2203" s="18"/>
      <c r="BM2203" s="18"/>
      <c r="BN2203" s="18"/>
      <c r="BO2203" s="18"/>
      <c r="BP2203" s="18"/>
      <c r="BQ2203" s="18"/>
      <c r="BR2203" s="18"/>
      <c r="BS2203" s="18"/>
      <c r="BT2203" s="18"/>
      <c r="BU2203" s="18"/>
      <c r="BV2203" s="18"/>
    </row>
    <row r="2204" spans="1:74">
      <c r="A2204" s="18"/>
      <c r="B2204" s="19"/>
      <c r="BG2204" s="18"/>
      <c r="BH2204" s="18"/>
      <c r="BI2204" s="18"/>
      <c r="BJ2204" s="18"/>
      <c r="BK2204" s="18"/>
      <c r="BL2204" s="18"/>
      <c r="BM2204" s="18"/>
      <c r="BN2204" s="18"/>
      <c r="BO2204" s="18"/>
      <c r="BP2204" s="18"/>
      <c r="BQ2204" s="18"/>
      <c r="BR2204" s="18"/>
      <c r="BS2204" s="18"/>
      <c r="BT2204" s="18"/>
      <c r="BU2204" s="18"/>
      <c r="BV2204" s="18"/>
    </row>
    <row r="2205" spans="1:74">
      <c r="A2205" s="18"/>
      <c r="B2205" s="19"/>
      <c r="BG2205" s="18"/>
      <c r="BH2205" s="18"/>
      <c r="BI2205" s="18"/>
      <c r="BJ2205" s="18"/>
      <c r="BK2205" s="18"/>
      <c r="BL2205" s="18"/>
      <c r="BM2205" s="18"/>
      <c r="BN2205" s="18"/>
      <c r="BO2205" s="18"/>
      <c r="BP2205" s="18"/>
      <c r="BQ2205" s="18"/>
      <c r="BR2205" s="18"/>
      <c r="BS2205" s="18"/>
      <c r="BT2205" s="18"/>
      <c r="BU2205" s="18"/>
      <c r="BV2205" s="18"/>
    </row>
    <row r="2206" spans="1:74">
      <c r="A2206" s="18"/>
      <c r="B2206" s="19"/>
      <c r="BG2206" s="18"/>
      <c r="BH2206" s="18"/>
      <c r="BI2206" s="18"/>
      <c r="BJ2206" s="18"/>
      <c r="BK2206" s="18"/>
      <c r="BL2206" s="18"/>
      <c r="BM2206" s="18"/>
      <c r="BN2206" s="18"/>
      <c r="BO2206" s="18"/>
      <c r="BP2206" s="18"/>
      <c r="BQ2206" s="18"/>
      <c r="BR2206" s="18"/>
      <c r="BS2206" s="18"/>
      <c r="BT2206" s="18"/>
      <c r="BU2206" s="18"/>
      <c r="BV2206" s="18"/>
    </row>
    <row r="2207" spans="1:74">
      <c r="A2207" s="18"/>
      <c r="B2207" s="19"/>
      <c r="BG2207" s="18"/>
      <c r="BH2207" s="18"/>
      <c r="BI2207" s="18"/>
      <c r="BJ2207" s="18"/>
      <c r="BK2207" s="18"/>
      <c r="BL2207" s="18"/>
      <c r="BM2207" s="18"/>
      <c r="BN2207" s="18"/>
      <c r="BO2207" s="18"/>
      <c r="BP2207" s="18"/>
      <c r="BQ2207" s="18"/>
      <c r="BR2207" s="18"/>
      <c r="BS2207" s="18"/>
      <c r="BT2207" s="18"/>
      <c r="BU2207" s="18"/>
      <c r="BV2207" s="18"/>
    </row>
    <row r="2208" spans="1:74">
      <c r="A2208" s="18"/>
      <c r="B2208" s="19"/>
      <c r="BG2208" s="18"/>
      <c r="BH2208" s="18"/>
      <c r="BI2208" s="18"/>
      <c r="BJ2208" s="18"/>
      <c r="BK2208" s="18"/>
      <c r="BL2208" s="18"/>
      <c r="BM2208" s="18"/>
      <c r="BN2208" s="18"/>
      <c r="BO2208" s="18"/>
      <c r="BP2208" s="18"/>
      <c r="BQ2208" s="18"/>
      <c r="BR2208" s="18"/>
      <c r="BS2208" s="18"/>
      <c r="BT2208" s="18"/>
      <c r="BU2208" s="18"/>
      <c r="BV2208" s="18"/>
    </row>
    <row r="2209" spans="1:74">
      <c r="A2209" s="18"/>
      <c r="B2209" s="19"/>
      <c r="BG2209" s="18"/>
      <c r="BH2209" s="18"/>
      <c r="BI2209" s="18"/>
      <c r="BJ2209" s="18"/>
      <c r="BK2209" s="18"/>
      <c r="BL2209" s="18"/>
      <c r="BM2209" s="18"/>
      <c r="BN2209" s="18"/>
      <c r="BO2209" s="18"/>
      <c r="BP2209" s="18"/>
      <c r="BQ2209" s="18"/>
      <c r="BR2209" s="18"/>
      <c r="BS2209" s="18"/>
      <c r="BT2209" s="18"/>
      <c r="BU2209" s="18"/>
      <c r="BV2209" s="18"/>
    </row>
    <row r="2210" spans="1:74">
      <c r="A2210" s="18"/>
      <c r="B2210" s="19"/>
      <c r="BG2210" s="18"/>
      <c r="BH2210" s="18"/>
      <c r="BI2210" s="18"/>
      <c r="BJ2210" s="18"/>
      <c r="BK2210" s="18"/>
      <c r="BL2210" s="18"/>
      <c r="BM2210" s="18"/>
      <c r="BN2210" s="18"/>
      <c r="BO2210" s="18"/>
      <c r="BP2210" s="18"/>
      <c r="BQ2210" s="18"/>
      <c r="BR2210" s="18"/>
      <c r="BS2210" s="18"/>
      <c r="BT2210" s="18"/>
      <c r="BU2210" s="18"/>
      <c r="BV2210" s="18"/>
    </row>
    <row r="2211" spans="1:74">
      <c r="A2211" s="18"/>
      <c r="B2211" s="19"/>
      <c r="BG2211" s="18"/>
      <c r="BH2211" s="18"/>
      <c r="BI2211" s="18"/>
      <c r="BJ2211" s="18"/>
      <c r="BK2211" s="18"/>
      <c r="BL2211" s="18"/>
      <c r="BM2211" s="18"/>
      <c r="BN2211" s="18"/>
      <c r="BO2211" s="18"/>
      <c r="BP2211" s="18"/>
      <c r="BQ2211" s="18"/>
      <c r="BR2211" s="18"/>
      <c r="BS2211" s="18"/>
      <c r="BT2211" s="18"/>
      <c r="BU2211" s="18"/>
      <c r="BV2211" s="18"/>
    </row>
    <row r="2212" spans="1:74">
      <c r="A2212" s="18"/>
      <c r="B2212" s="19"/>
      <c r="BG2212" s="18"/>
      <c r="BH2212" s="18"/>
      <c r="BI2212" s="18"/>
      <c r="BJ2212" s="18"/>
      <c r="BK2212" s="18"/>
      <c r="BL2212" s="18"/>
      <c r="BM2212" s="18"/>
      <c r="BN2212" s="18"/>
      <c r="BO2212" s="18"/>
      <c r="BP2212" s="18"/>
      <c r="BQ2212" s="18"/>
      <c r="BR2212" s="18"/>
      <c r="BS2212" s="18"/>
      <c r="BT2212" s="18"/>
      <c r="BU2212" s="18"/>
      <c r="BV2212" s="18"/>
    </row>
    <row r="2213" spans="1:74">
      <c r="A2213" s="18"/>
      <c r="B2213" s="19"/>
      <c r="BG2213" s="18"/>
      <c r="BH2213" s="18"/>
      <c r="BI2213" s="18"/>
      <c r="BJ2213" s="18"/>
      <c r="BK2213" s="18"/>
      <c r="BL2213" s="18"/>
      <c r="BM2213" s="18"/>
      <c r="BN2213" s="18"/>
      <c r="BO2213" s="18"/>
      <c r="BP2213" s="18"/>
      <c r="BQ2213" s="18"/>
      <c r="BR2213" s="18"/>
      <c r="BS2213" s="18"/>
      <c r="BT2213" s="18"/>
      <c r="BU2213" s="18"/>
      <c r="BV2213" s="18"/>
    </row>
    <row r="2214" spans="1:74">
      <c r="A2214" s="18"/>
      <c r="B2214" s="19"/>
      <c r="BG2214" s="18"/>
      <c r="BH2214" s="18"/>
      <c r="BI2214" s="18"/>
      <c r="BJ2214" s="18"/>
      <c r="BK2214" s="18"/>
      <c r="BL2214" s="18"/>
      <c r="BM2214" s="18"/>
      <c r="BN2214" s="18"/>
      <c r="BO2214" s="18"/>
      <c r="BP2214" s="18"/>
      <c r="BQ2214" s="18"/>
      <c r="BR2214" s="18"/>
      <c r="BS2214" s="18"/>
      <c r="BT2214" s="18"/>
      <c r="BU2214" s="18"/>
      <c r="BV2214" s="18"/>
    </row>
    <row r="2215" spans="1:74">
      <c r="A2215" s="18"/>
      <c r="B2215" s="19"/>
      <c r="BG2215" s="18"/>
      <c r="BH2215" s="18"/>
      <c r="BI2215" s="18"/>
      <c r="BJ2215" s="18"/>
      <c r="BK2215" s="18"/>
      <c r="BL2215" s="18"/>
      <c r="BM2215" s="18"/>
      <c r="BN2215" s="18"/>
      <c r="BO2215" s="18"/>
      <c r="BP2215" s="18"/>
      <c r="BQ2215" s="18"/>
      <c r="BR2215" s="18"/>
      <c r="BS2215" s="18"/>
      <c r="BT2215" s="18"/>
      <c r="BU2215" s="18"/>
      <c r="BV2215" s="18"/>
    </row>
    <row r="2216" spans="1:74">
      <c r="A2216" s="18"/>
      <c r="B2216" s="19"/>
      <c r="BG2216" s="18"/>
      <c r="BH2216" s="18"/>
      <c r="BI2216" s="18"/>
      <c r="BJ2216" s="18"/>
      <c r="BK2216" s="18"/>
      <c r="BL2216" s="18"/>
      <c r="BM2216" s="18"/>
      <c r="BN2216" s="18"/>
      <c r="BO2216" s="18"/>
      <c r="BP2216" s="18"/>
      <c r="BQ2216" s="18"/>
      <c r="BR2216" s="18"/>
      <c r="BS2216" s="18"/>
      <c r="BT2216" s="18"/>
      <c r="BU2216" s="18"/>
      <c r="BV2216" s="18"/>
    </row>
    <row r="2217" spans="1:74">
      <c r="A2217" s="18"/>
      <c r="B2217" s="19"/>
      <c r="BG2217" s="18"/>
      <c r="BH2217" s="18"/>
      <c r="BI2217" s="18"/>
      <c r="BJ2217" s="18"/>
      <c r="BK2217" s="18"/>
      <c r="BL2217" s="18"/>
      <c r="BM2217" s="18"/>
      <c r="BN2217" s="18"/>
      <c r="BO2217" s="18"/>
      <c r="BP2217" s="18"/>
      <c r="BQ2217" s="18"/>
      <c r="BR2217" s="18"/>
      <c r="BS2217" s="18"/>
      <c r="BT2217" s="18"/>
      <c r="BU2217" s="18"/>
      <c r="BV2217" s="18"/>
    </row>
    <row r="2218" spans="1:74">
      <c r="A2218" s="18"/>
      <c r="B2218" s="19"/>
      <c r="BG2218" s="18"/>
      <c r="BH2218" s="18"/>
      <c r="BI2218" s="18"/>
      <c r="BJ2218" s="18"/>
      <c r="BK2218" s="18"/>
      <c r="BL2218" s="18"/>
      <c r="BM2218" s="18"/>
      <c r="BN2218" s="18"/>
      <c r="BO2218" s="18"/>
      <c r="BP2218" s="18"/>
      <c r="BQ2218" s="18"/>
      <c r="BR2218" s="18"/>
      <c r="BS2218" s="18"/>
      <c r="BT2218" s="18"/>
      <c r="BU2218" s="18"/>
      <c r="BV2218" s="18"/>
    </row>
    <row r="2219" spans="1:74">
      <c r="A2219" s="18"/>
      <c r="B2219" s="19"/>
      <c r="BG2219" s="18"/>
      <c r="BH2219" s="18"/>
      <c r="BI2219" s="18"/>
      <c r="BJ2219" s="18"/>
      <c r="BK2219" s="18"/>
      <c r="BL2219" s="18"/>
      <c r="BM2219" s="18"/>
      <c r="BN2219" s="18"/>
      <c r="BO2219" s="18"/>
      <c r="BP2219" s="18"/>
      <c r="BQ2219" s="18"/>
      <c r="BR2219" s="18"/>
      <c r="BS2219" s="18"/>
      <c r="BT2219" s="18"/>
      <c r="BU2219" s="18"/>
      <c r="BV2219" s="18"/>
    </row>
    <row r="2220" spans="1:74">
      <c r="A2220" s="18"/>
      <c r="B2220" s="19"/>
      <c r="BG2220" s="18"/>
      <c r="BH2220" s="18"/>
      <c r="BI2220" s="18"/>
      <c r="BJ2220" s="18"/>
      <c r="BK2220" s="18"/>
      <c r="BL2220" s="18"/>
      <c r="BM2220" s="18"/>
      <c r="BN2220" s="18"/>
      <c r="BO2220" s="18"/>
      <c r="BP2220" s="18"/>
      <c r="BQ2220" s="18"/>
      <c r="BR2220" s="18"/>
      <c r="BS2220" s="18"/>
      <c r="BT2220" s="18"/>
      <c r="BU2220" s="18"/>
      <c r="BV2220" s="18"/>
    </row>
    <row r="2221" spans="1:74">
      <c r="A2221" s="18"/>
      <c r="B2221" s="19"/>
      <c r="BG2221" s="18"/>
      <c r="BH2221" s="18"/>
      <c r="BI2221" s="18"/>
      <c r="BJ2221" s="18"/>
      <c r="BK2221" s="18"/>
      <c r="BL2221" s="18"/>
      <c r="BM2221" s="18"/>
      <c r="BN2221" s="18"/>
      <c r="BO2221" s="18"/>
      <c r="BP2221" s="18"/>
      <c r="BQ2221" s="18"/>
      <c r="BR2221" s="18"/>
      <c r="BS2221" s="18"/>
      <c r="BT2221" s="18"/>
      <c r="BU2221" s="18"/>
      <c r="BV2221" s="18"/>
    </row>
    <row r="2222" spans="1:74">
      <c r="A2222" s="18"/>
      <c r="B2222" s="19"/>
      <c r="BG2222" s="18"/>
      <c r="BH2222" s="18"/>
      <c r="BI2222" s="18"/>
      <c r="BJ2222" s="18"/>
      <c r="BK2222" s="18"/>
      <c r="BL2222" s="18"/>
      <c r="BM2222" s="18"/>
      <c r="BN2222" s="18"/>
      <c r="BO2222" s="18"/>
      <c r="BP2222" s="18"/>
      <c r="BQ2222" s="18"/>
      <c r="BR2222" s="18"/>
      <c r="BS2222" s="18"/>
      <c r="BT2222" s="18"/>
      <c r="BU2222" s="18"/>
      <c r="BV2222" s="18"/>
    </row>
    <row r="2223" spans="1:74">
      <c r="A2223" s="18"/>
      <c r="B2223" s="19"/>
      <c r="BG2223" s="18"/>
      <c r="BH2223" s="18"/>
      <c r="BI2223" s="18"/>
      <c r="BJ2223" s="18"/>
      <c r="BK2223" s="18"/>
      <c r="BL2223" s="18"/>
      <c r="BM2223" s="18"/>
      <c r="BN2223" s="18"/>
      <c r="BO2223" s="18"/>
      <c r="BP2223" s="18"/>
      <c r="BQ2223" s="18"/>
      <c r="BR2223" s="18"/>
      <c r="BS2223" s="18"/>
      <c r="BT2223" s="18"/>
      <c r="BU2223" s="18"/>
      <c r="BV2223" s="18"/>
    </row>
    <row r="2224" spans="1:74">
      <c r="A2224" s="18"/>
      <c r="B2224" s="19"/>
      <c r="BG2224" s="18"/>
      <c r="BH2224" s="18"/>
      <c r="BI2224" s="18"/>
      <c r="BJ2224" s="18"/>
      <c r="BK2224" s="18"/>
      <c r="BL2224" s="18"/>
      <c r="BM2224" s="18"/>
      <c r="BN2224" s="18"/>
      <c r="BO2224" s="18"/>
      <c r="BP2224" s="18"/>
      <c r="BQ2224" s="18"/>
      <c r="BR2224" s="18"/>
      <c r="BS2224" s="18"/>
      <c r="BT2224" s="18"/>
      <c r="BU2224" s="18"/>
      <c r="BV2224" s="18"/>
    </row>
    <row r="2225" spans="1:74">
      <c r="A2225" s="18"/>
      <c r="B2225" s="19"/>
      <c r="BG2225" s="18"/>
      <c r="BH2225" s="18"/>
      <c r="BI2225" s="18"/>
      <c r="BJ2225" s="18"/>
      <c r="BK2225" s="18"/>
      <c r="BL2225" s="18"/>
      <c r="BM2225" s="18"/>
      <c r="BN2225" s="18"/>
      <c r="BO2225" s="18"/>
      <c r="BP2225" s="18"/>
      <c r="BQ2225" s="18"/>
      <c r="BR2225" s="18"/>
      <c r="BS2225" s="18"/>
      <c r="BT2225" s="18"/>
      <c r="BU2225" s="18"/>
      <c r="BV2225" s="18"/>
    </row>
    <row r="2226" spans="1:74">
      <c r="A2226" s="18"/>
      <c r="B2226" s="19"/>
      <c r="BG2226" s="18"/>
      <c r="BH2226" s="18"/>
      <c r="BI2226" s="18"/>
      <c r="BJ2226" s="18"/>
      <c r="BK2226" s="18"/>
      <c r="BL2226" s="18"/>
      <c r="BM2226" s="18"/>
      <c r="BN2226" s="18"/>
      <c r="BO2226" s="18"/>
      <c r="BP2226" s="18"/>
      <c r="BQ2226" s="18"/>
      <c r="BR2226" s="18"/>
      <c r="BS2226" s="18"/>
      <c r="BT2226" s="18"/>
      <c r="BU2226" s="18"/>
      <c r="BV2226" s="18"/>
    </row>
    <row r="2227" spans="1:74">
      <c r="A2227" s="18"/>
      <c r="B2227" s="19"/>
      <c r="BG2227" s="18"/>
      <c r="BH2227" s="18"/>
      <c r="BI2227" s="18"/>
      <c r="BJ2227" s="18"/>
      <c r="BK2227" s="18"/>
      <c r="BL2227" s="18"/>
      <c r="BM2227" s="18"/>
      <c r="BN2227" s="18"/>
      <c r="BO2227" s="18"/>
      <c r="BP2227" s="18"/>
      <c r="BQ2227" s="18"/>
      <c r="BR2227" s="18"/>
      <c r="BS2227" s="18"/>
      <c r="BT2227" s="18"/>
      <c r="BU2227" s="18"/>
      <c r="BV2227" s="18"/>
    </row>
    <row r="2228" spans="1:74">
      <c r="A2228" s="18"/>
      <c r="B2228" s="19"/>
      <c r="BG2228" s="18"/>
      <c r="BH2228" s="18"/>
      <c r="BI2228" s="18"/>
      <c r="BJ2228" s="18"/>
      <c r="BK2228" s="18"/>
      <c r="BL2228" s="18"/>
      <c r="BM2228" s="18"/>
      <c r="BN2228" s="18"/>
      <c r="BO2228" s="18"/>
      <c r="BP2228" s="18"/>
      <c r="BQ2228" s="18"/>
      <c r="BR2228" s="18"/>
      <c r="BS2228" s="18"/>
      <c r="BT2228" s="18"/>
      <c r="BU2228" s="18"/>
      <c r="BV2228" s="18"/>
    </row>
    <row r="2229" spans="1:74">
      <c r="A2229" s="18"/>
      <c r="B2229" s="19"/>
      <c r="BG2229" s="18"/>
      <c r="BH2229" s="18"/>
      <c r="BI2229" s="18"/>
      <c r="BJ2229" s="18"/>
      <c r="BK2229" s="18"/>
      <c r="BL2229" s="18"/>
      <c r="BM2229" s="18"/>
      <c r="BN2229" s="18"/>
      <c r="BO2229" s="18"/>
      <c r="BP2229" s="18"/>
      <c r="BQ2229" s="18"/>
      <c r="BR2229" s="18"/>
      <c r="BS2229" s="18"/>
      <c r="BT2229" s="18"/>
      <c r="BU2229" s="18"/>
      <c r="BV2229" s="18"/>
    </row>
    <row r="2230" spans="1:74">
      <c r="A2230" s="18"/>
      <c r="B2230" s="19"/>
      <c r="BG2230" s="18"/>
      <c r="BH2230" s="18"/>
      <c r="BI2230" s="18"/>
      <c r="BJ2230" s="18"/>
      <c r="BK2230" s="18"/>
      <c r="BL2230" s="18"/>
      <c r="BM2230" s="18"/>
      <c r="BN2230" s="18"/>
      <c r="BO2230" s="18"/>
      <c r="BP2230" s="18"/>
      <c r="BQ2230" s="18"/>
      <c r="BR2230" s="18"/>
      <c r="BS2230" s="18"/>
      <c r="BT2230" s="18"/>
      <c r="BU2230" s="18"/>
      <c r="BV2230" s="18"/>
    </row>
    <row r="2231" spans="1:74">
      <c r="A2231" s="18"/>
      <c r="B2231" s="19"/>
      <c r="BG2231" s="18"/>
      <c r="BH2231" s="18"/>
      <c r="BI2231" s="18"/>
      <c r="BJ2231" s="18"/>
      <c r="BK2231" s="18"/>
      <c r="BL2231" s="18"/>
      <c r="BM2231" s="18"/>
      <c r="BN2231" s="18"/>
      <c r="BO2231" s="18"/>
      <c r="BP2231" s="18"/>
      <c r="BQ2231" s="18"/>
      <c r="BR2231" s="18"/>
      <c r="BS2231" s="18"/>
      <c r="BT2231" s="18"/>
      <c r="BU2231" s="18"/>
      <c r="BV2231" s="18"/>
    </row>
    <row r="2232" spans="1:74">
      <c r="A2232" s="18"/>
      <c r="B2232" s="19"/>
      <c r="BG2232" s="18"/>
      <c r="BH2232" s="18"/>
      <c r="BI2232" s="18"/>
      <c r="BJ2232" s="18"/>
      <c r="BK2232" s="18"/>
      <c r="BL2232" s="18"/>
      <c r="BM2232" s="18"/>
      <c r="BN2232" s="18"/>
      <c r="BO2232" s="18"/>
      <c r="BP2232" s="18"/>
      <c r="BQ2232" s="18"/>
      <c r="BR2232" s="18"/>
      <c r="BS2232" s="18"/>
      <c r="BT2232" s="18"/>
      <c r="BU2232" s="18"/>
      <c r="BV2232" s="18"/>
    </row>
    <row r="2233" spans="1:74">
      <c r="A2233" s="18"/>
      <c r="B2233" s="19"/>
      <c r="BG2233" s="18"/>
      <c r="BH2233" s="18"/>
      <c r="BI2233" s="18"/>
      <c r="BJ2233" s="18"/>
      <c r="BK2233" s="18"/>
      <c r="BL2233" s="18"/>
      <c r="BM2233" s="18"/>
      <c r="BN2233" s="18"/>
      <c r="BO2233" s="18"/>
      <c r="BP2233" s="18"/>
      <c r="BQ2233" s="18"/>
      <c r="BR2233" s="18"/>
      <c r="BS2233" s="18"/>
      <c r="BT2233" s="18"/>
      <c r="BU2233" s="18"/>
      <c r="BV2233" s="18"/>
    </row>
    <row r="2234" spans="1:74">
      <c r="A2234" s="18"/>
      <c r="B2234" s="19"/>
      <c r="BG2234" s="18"/>
      <c r="BH2234" s="18"/>
      <c r="BI2234" s="18"/>
      <c r="BJ2234" s="18"/>
      <c r="BK2234" s="18"/>
      <c r="BL2234" s="18"/>
      <c r="BM2234" s="18"/>
      <c r="BN2234" s="18"/>
      <c r="BO2234" s="18"/>
      <c r="BP2234" s="18"/>
      <c r="BQ2234" s="18"/>
      <c r="BR2234" s="18"/>
      <c r="BS2234" s="18"/>
      <c r="BT2234" s="18"/>
      <c r="BU2234" s="18"/>
      <c r="BV2234" s="18"/>
    </row>
    <row r="2235" spans="1:74">
      <c r="A2235" s="18"/>
      <c r="B2235" s="19"/>
      <c r="BG2235" s="18"/>
      <c r="BH2235" s="18"/>
      <c r="BI2235" s="18"/>
      <c r="BJ2235" s="18"/>
      <c r="BK2235" s="18"/>
      <c r="BL2235" s="18"/>
      <c r="BM2235" s="18"/>
      <c r="BN2235" s="18"/>
      <c r="BO2235" s="18"/>
      <c r="BP2235" s="18"/>
      <c r="BQ2235" s="18"/>
      <c r="BR2235" s="18"/>
      <c r="BS2235" s="18"/>
      <c r="BT2235" s="18"/>
      <c r="BU2235" s="18"/>
      <c r="BV2235" s="18"/>
    </row>
    <row r="2236" spans="1:74">
      <c r="A2236" s="18"/>
      <c r="B2236" s="19"/>
      <c r="BG2236" s="18"/>
      <c r="BH2236" s="18"/>
      <c r="BI2236" s="18"/>
      <c r="BJ2236" s="18"/>
      <c r="BK2236" s="18"/>
      <c r="BL2236" s="18"/>
      <c r="BM2236" s="18"/>
      <c r="BN2236" s="18"/>
      <c r="BO2236" s="18"/>
      <c r="BP2236" s="18"/>
      <c r="BQ2236" s="18"/>
      <c r="BR2236" s="18"/>
      <c r="BS2236" s="18"/>
      <c r="BT2236" s="18"/>
      <c r="BU2236" s="18"/>
      <c r="BV2236" s="18"/>
    </row>
    <row r="2237" spans="1:74">
      <c r="A2237" s="18"/>
      <c r="B2237" s="19"/>
      <c r="BG2237" s="18"/>
      <c r="BH2237" s="18"/>
      <c r="BI2237" s="18"/>
      <c r="BJ2237" s="18"/>
      <c r="BK2237" s="18"/>
      <c r="BL2237" s="18"/>
      <c r="BM2237" s="18"/>
      <c r="BN2237" s="18"/>
      <c r="BO2237" s="18"/>
      <c r="BP2237" s="18"/>
      <c r="BQ2237" s="18"/>
      <c r="BR2237" s="18"/>
      <c r="BS2237" s="18"/>
      <c r="BT2237" s="18"/>
      <c r="BU2237" s="18"/>
      <c r="BV2237" s="18"/>
    </row>
    <row r="2238" spans="1:74">
      <c r="A2238" s="18"/>
      <c r="B2238" s="19"/>
      <c r="BG2238" s="18"/>
      <c r="BH2238" s="18"/>
      <c r="BI2238" s="18"/>
      <c r="BJ2238" s="18"/>
      <c r="BK2238" s="18"/>
      <c r="BL2238" s="18"/>
      <c r="BM2238" s="18"/>
      <c r="BN2238" s="18"/>
      <c r="BO2238" s="18"/>
      <c r="BP2238" s="18"/>
      <c r="BQ2238" s="18"/>
      <c r="BR2238" s="18"/>
      <c r="BS2238" s="18"/>
      <c r="BT2238" s="18"/>
      <c r="BU2238" s="18"/>
      <c r="BV2238" s="18"/>
    </row>
    <row r="2239" spans="1:74">
      <c r="A2239" s="18"/>
      <c r="B2239" s="19"/>
      <c r="BG2239" s="18"/>
      <c r="BH2239" s="18"/>
      <c r="BI2239" s="18"/>
      <c r="BJ2239" s="18"/>
      <c r="BK2239" s="18"/>
      <c r="BL2239" s="18"/>
      <c r="BM2239" s="18"/>
      <c r="BN2239" s="18"/>
      <c r="BO2239" s="18"/>
      <c r="BP2239" s="18"/>
      <c r="BQ2239" s="18"/>
      <c r="BR2239" s="18"/>
      <c r="BS2239" s="18"/>
      <c r="BT2239" s="18"/>
      <c r="BU2239" s="18"/>
      <c r="BV2239" s="18"/>
    </row>
    <row r="2240" spans="1:74">
      <c r="A2240" s="18"/>
      <c r="B2240" s="19"/>
      <c r="BG2240" s="18"/>
      <c r="BH2240" s="18"/>
      <c r="BI2240" s="18"/>
      <c r="BJ2240" s="18"/>
      <c r="BK2240" s="18"/>
      <c r="BL2240" s="18"/>
      <c r="BM2240" s="18"/>
      <c r="BN2240" s="18"/>
      <c r="BO2240" s="18"/>
      <c r="BP2240" s="18"/>
      <c r="BQ2240" s="18"/>
      <c r="BR2240" s="18"/>
      <c r="BS2240" s="18"/>
      <c r="BT2240" s="18"/>
      <c r="BU2240" s="18"/>
      <c r="BV2240" s="18"/>
    </row>
    <row r="2241" spans="1:74">
      <c r="A2241" s="18"/>
      <c r="B2241" s="19"/>
      <c r="BG2241" s="18"/>
      <c r="BH2241" s="18"/>
      <c r="BI2241" s="18"/>
      <c r="BJ2241" s="18"/>
      <c r="BK2241" s="18"/>
      <c r="BL2241" s="18"/>
      <c r="BM2241" s="18"/>
      <c r="BN2241" s="18"/>
      <c r="BO2241" s="18"/>
      <c r="BP2241" s="18"/>
      <c r="BQ2241" s="18"/>
      <c r="BR2241" s="18"/>
      <c r="BS2241" s="18"/>
      <c r="BT2241" s="18"/>
      <c r="BU2241" s="18"/>
      <c r="BV2241" s="18"/>
    </row>
    <row r="2242" spans="1:74">
      <c r="A2242" s="18"/>
      <c r="B2242" s="19"/>
      <c r="BG2242" s="18"/>
      <c r="BH2242" s="18"/>
      <c r="BI2242" s="18"/>
      <c r="BJ2242" s="18"/>
      <c r="BK2242" s="18"/>
      <c r="BL2242" s="18"/>
      <c r="BM2242" s="18"/>
      <c r="BN2242" s="18"/>
      <c r="BO2242" s="18"/>
      <c r="BP2242" s="18"/>
      <c r="BQ2242" s="18"/>
      <c r="BR2242" s="18"/>
      <c r="BS2242" s="18"/>
      <c r="BT2242" s="18"/>
      <c r="BU2242" s="18"/>
      <c r="BV2242" s="18"/>
    </row>
    <row r="2243" spans="1:74">
      <c r="A2243" s="18"/>
      <c r="B2243" s="19"/>
      <c r="BG2243" s="18"/>
      <c r="BH2243" s="18"/>
      <c r="BI2243" s="18"/>
      <c r="BJ2243" s="18"/>
      <c r="BK2243" s="18"/>
      <c r="BL2243" s="18"/>
      <c r="BM2243" s="18"/>
      <c r="BN2243" s="18"/>
      <c r="BO2243" s="18"/>
      <c r="BP2243" s="18"/>
      <c r="BQ2243" s="18"/>
      <c r="BR2243" s="18"/>
      <c r="BS2243" s="18"/>
      <c r="BT2243" s="18"/>
      <c r="BU2243" s="18"/>
      <c r="BV2243" s="18"/>
    </row>
    <row r="2244" spans="1:74">
      <c r="A2244" s="18"/>
      <c r="B2244" s="19"/>
      <c r="BG2244" s="18"/>
      <c r="BH2244" s="18"/>
      <c r="BI2244" s="18"/>
      <c r="BJ2244" s="18"/>
      <c r="BK2244" s="18"/>
      <c r="BL2244" s="18"/>
      <c r="BM2244" s="18"/>
      <c r="BN2244" s="18"/>
      <c r="BO2244" s="18"/>
      <c r="BP2244" s="18"/>
      <c r="BQ2244" s="18"/>
      <c r="BR2244" s="18"/>
      <c r="BS2244" s="18"/>
      <c r="BT2244" s="18"/>
      <c r="BU2244" s="18"/>
      <c r="BV2244" s="18"/>
    </row>
    <row r="2245" spans="1:74">
      <c r="A2245" s="18"/>
      <c r="B2245" s="19"/>
      <c r="BG2245" s="18"/>
      <c r="BH2245" s="18"/>
      <c r="BI2245" s="18"/>
      <c r="BJ2245" s="18"/>
      <c r="BK2245" s="18"/>
      <c r="BL2245" s="18"/>
      <c r="BM2245" s="18"/>
      <c r="BN2245" s="18"/>
      <c r="BO2245" s="18"/>
      <c r="BP2245" s="18"/>
      <c r="BQ2245" s="18"/>
      <c r="BR2245" s="18"/>
      <c r="BS2245" s="18"/>
      <c r="BT2245" s="18"/>
      <c r="BU2245" s="18"/>
      <c r="BV2245" s="18"/>
    </row>
    <row r="2246" spans="1:74">
      <c r="A2246" s="18"/>
      <c r="B2246" s="19"/>
      <c r="BG2246" s="18"/>
      <c r="BH2246" s="18"/>
      <c r="BI2246" s="18"/>
      <c r="BJ2246" s="18"/>
      <c r="BK2246" s="18"/>
      <c r="BL2246" s="18"/>
      <c r="BM2246" s="18"/>
      <c r="BN2246" s="18"/>
      <c r="BO2246" s="18"/>
      <c r="BP2246" s="18"/>
      <c r="BQ2246" s="18"/>
      <c r="BR2246" s="18"/>
      <c r="BS2246" s="18"/>
      <c r="BT2246" s="18"/>
      <c r="BU2246" s="18"/>
      <c r="BV2246" s="18"/>
    </row>
    <row r="2247" spans="1:74">
      <c r="A2247" s="18"/>
      <c r="B2247" s="19"/>
      <c r="BG2247" s="18"/>
      <c r="BH2247" s="18"/>
      <c r="BI2247" s="18"/>
      <c r="BJ2247" s="18"/>
      <c r="BK2247" s="18"/>
      <c r="BL2247" s="18"/>
      <c r="BM2247" s="18"/>
      <c r="BN2247" s="18"/>
      <c r="BO2247" s="18"/>
      <c r="BP2247" s="18"/>
      <c r="BQ2247" s="18"/>
      <c r="BR2247" s="18"/>
      <c r="BS2247" s="18"/>
      <c r="BT2247" s="18"/>
      <c r="BU2247" s="18"/>
      <c r="BV2247" s="18"/>
    </row>
    <row r="2248" spans="1:74">
      <c r="A2248" s="18"/>
      <c r="B2248" s="19"/>
      <c r="BG2248" s="18"/>
      <c r="BH2248" s="18"/>
      <c r="BI2248" s="18"/>
      <c r="BJ2248" s="18"/>
      <c r="BK2248" s="18"/>
      <c r="BL2248" s="18"/>
      <c r="BM2248" s="18"/>
      <c r="BN2248" s="18"/>
      <c r="BO2248" s="18"/>
      <c r="BP2248" s="18"/>
      <c r="BQ2248" s="18"/>
      <c r="BR2248" s="18"/>
      <c r="BS2248" s="18"/>
      <c r="BT2248" s="18"/>
      <c r="BU2248" s="18"/>
      <c r="BV2248" s="18"/>
    </row>
    <row r="2249" spans="1:74">
      <c r="A2249" s="18"/>
      <c r="B2249" s="19"/>
      <c r="BG2249" s="18"/>
      <c r="BH2249" s="18"/>
      <c r="BI2249" s="18"/>
      <c r="BJ2249" s="18"/>
      <c r="BK2249" s="18"/>
      <c r="BL2249" s="18"/>
      <c r="BM2249" s="18"/>
      <c r="BN2249" s="18"/>
      <c r="BO2249" s="18"/>
      <c r="BP2249" s="18"/>
      <c r="BQ2249" s="18"/>
      <c r="BR2249" s="18"/>
      <c r="BS2249" s="18"/>
      <c r="BT2249" s="18"/>
      <c r="BU2249" s="18"/>
      <c r="BV2249" s="18"/>
    </row>
    <row r="2250" spans="1:74">
      <c r="A2250" s="18"/>
      <c r="B2250" s="19"/>
      <c r="BG2250" s="18"/>
      <c r="BH2250" s="18"/>
      <c r="BI2250" s="18"/>
      <c r="BJ2250" s="18"/>
      <c r="BK2250" s="18"/>
      <c r="BL2250" s="18"/>
      <c r="BM2250" s="18"/>
      <c r="BN2250" s="18"/>
      <c r="BO2250" s="18"/>
      <c r="BP2250" s="18"/>
      <c r="BQ2250" s="18"/>
      <c r="BR2250" s="18"/>
      <c r="BS2250" s="18"/>
      <c r="BT2250" s="18"/>
      <c r="BU2250" s="18"/>
      <c r="BV2250" s="18"/>
    </row>
    <row r="2251" spans="1:74">
      <c r="A2251" s="18"/>
      <c r="B2251" s="19"/>
      <c r="BG2251" s="18"/>
      <c r="BH2251" s="18"/>
      <c r="BI2251" s="18"/>
      <c r="BJ2251" s="18"/>
      <c r="BK2251" s="18"/>
      <c r="BL2251" s="18"/>
      <c r="BM2251" s="18"/>
      <c r="BN2251" s="18"/>
      <c r="BO2251" s="18"/>
      <c r="BP2251" s="18"/>
      <c r="BQ2251" s="18"/>
      <c r="BR2251" s="18"/>
      <c r="BS2251" s="18"/>
      <c r="BT2251" s="18"/>
      <c r="BU2251" s="18"/>
      <c r="BV2251" s="18"/>
    </row>
    <row r="2252" spans="1:74">
      <c r="A2252" s="18"/>
      <c r="B2252" s="19"/>
      <c r="BG2252" s="18"/>
      <c r="BH2252" s="18"/>
      <c r="BI2252" s="18"/>
      <c r="BJ2252" s="18"/>
      <c r="BK2252" s="18"/>
      <c r="BL2252" s="18"/>
      <c r="BM2252" s="18"/>
      <c r="BN2252" s="18"/>
      <c r="BO2252" s="18"/>
      <c r="BP2252" s="18"/>
      <c r="BQ2252" s="18"/>
      <c r="BR2252" s="18"/>
      <c r="BS2252" s="18"/>
      <c r="BT2252" s="18"/>
      <c r="BU2252" s="18"/>
      <c r="BV2252" s="18"/>
    </row>
    <row r="2253" spans="1:74">
      <c r="A2253" s="18"/>
      <c r="B2253" s="19"/>
      <c r="BG2253" s="18"/>
      <c r="BH2253" s="18"/>
      <c r="BI2253" s="18"/>
      <c r="BJ2253" s="18"/>
      <c r="BK2253" s="18"/>
      <c r="BL2253" s="18"/>
      <c r="BM2253" s="18"/>
      <c r="BN2253" s="18"/>
      <c r="BO2253" s="18"/>
      <c r="BP2253" s="18"/>
      <c r="BQ2253" s="18"/>
      <c r="BR2253" s="18"/>
      <c r="BS2253" s="18"/>
      <c r="BT2253" s="18"/>
      <c r="BU2253" s="18"/>
      <c r="BV2253" s="18"/>
    </row>
    <row r="2254" spans="1:74">
      <c r="A2254" s="18"/>
      <c r="B2254" s="19"/>
      <c r="BG2254" s="18"/>
      <c r="BH2254" s="18"/>
      <c r="BI2254" s="18"/>
      <c r="BJ2254" s="18"/>
      <c r="BK2254" s="18"/>
      <c r="BL2254" s="18"/>
      <c r="BM2254" s="18"/>
      <c r="BN2254" s="18"/>
      <c r="BO2254" s="18"/>
      <c r="BP2254" s="18"/>
      <c r="BQ2254" s="18"/>
      <c r="BR2254" s="18"/>
      <c r="BS2254" s="18"/>
      <c r="BT2254" s="18"/>
      <c r="BU2254" s="18"/>
      <c r="BV2254" s="18"/>
    </row>
    <row r="2255" spans="1:74">
      <c r="A2255" s="18"/>
      <c r="B2255" s="19"/>
      <c r="BG2255" s="18"/>
      <c r="BH2255" s="18"/>
      <c r="BI2255" s="18"/>
      <c r="BJ2255" s="18"/>
      <c r="BK2255" s="18"/>
      <c r="BL2255" s="18"/>
      <c r="BM2255" s="18"/>
      <c r="BN2255" s="18"/>
      <c r="BO2255" s="18"/>
      <c r="BP2255" s="18"/>
      <c r="BQ2255" s="18"/>
      <c r="BR2255" s="18"/>
      <c r="BS2255" s="18"/>
      <c r="BT2255" s="18"/>
      <c r="BU2255" s="18"/>
      <c r="BV2255" s="18"/>
    </row>
    <row r="2256" spans="1:74">
      <c r="A2256" s="18"/>
      <c r="B2256" s="19"/>
      <c r="BG2256" s="18"/>
      <c r="BH2256" s="18"/>
      <c r="BI2256" s="18"/>
      <c r="BJ2256" s="18"/>
      <c r="BK2256" s="18"/>
      <c r="BL2256" s="18"/>
      <c r="BM2256" s="18"/>
      <c r="BN2256" s="18"/>
      <c r="BO2256" s="18"/>
      <c r="BP2256" s="18"/>
      <c r="BQ2256" s="18"/>
      <c r="BR2256" s="18"/>
      <c r="BS2256" s="18"/>
      <c r="BT2256" s="18"/>
      <c r="BU2256" s="18"/>
      <c r="BV2256" s="18"/>
    </row>
    <row r="2257" spans="1:74">
      <c r="A2257" s="18"/>
      <c r="B2257" s="19"/>
      <c r="BG2257" s="18"/>
      <c r="BH2257" s="18"/>
      <c r="BI2257" s="18"/>
      <c r="BJ2257" s="18"/>
      <c r="BK2257" s="18"/>
      <c r="BL2257" s="18"/>
      <c r="BM2257" s="18"/>
      <c r="BN2257" s="18"/>
      <c r="BO2257" s="18"/>
      <c r="BP2257" s="18"/>
      <c r="BQ2257" s="18"/>
      <c r="BR2257" s="18"/>
      <c r="BS2257" s="18"/>
      <c r="BT2257" s="18"/>
      <c r="BU2257" s="18"/>
      <c r="BV2257" s="18"/>
    </row>
    <row r="2258" spans="1:74">
      <c r="A2258" s="18"/>
      <c r="B2258" s="19"/>
      <c r="BG2258" s="18"/>
      <c r="BH2258" s="18"/>
      <c r="BI2258" s="18"/>
      <c r="BJ2258" s="18"/>
      <c r="BK2258" s="18"/>
      <c r="BL2258" s="18"/>
      <c r="BM2258" s="18"/>
      <c r="BN2258" s="18"/>
      <c r="BO2258" s="18"/>
      <c r="BP2258" s="18"/>
      <c r="BQ2258" s="18"/>
      <c r="BR2258" s="18"/>
      <c r="BS2258" s="18"/>
      <c r="BT2258" s="18"/>
      <c r="BU2258" s="18"/>
      <c r="BV2258" s="18"/>
    </row>
    <row r="2259" spans="1:74">
      <c r="A2259" s="18"/>
      <c r="B2259" s="19"/>
      <c r="BG2259" s="18"/>
      <c r="BH2259" s="18"/>
      <c r="BI2259" s="18"/>
      <c r="BJ2259" s="18"/>
      <c r="BK2259" s="18"/>
      <c r="BL2259" s="18"/>
      <c r="BM2259" s="18"/>
      <c r="BN2259" s="18"/>
      <c r="BO2259" s="18"/>
      <c r="BP2259" s="18"/>
      <c r="BQ2259" s="18"/>
      <c r="BR2259" s="18"/>
      <c r="BS2259" s="18"/>
      <c r="BT2259" s="18"/>
      <c r="BU2259" s="18"/>
      <c r="BV2259" s="18"/>
    </row>
    <row r="2260" spans="1:74">
      <c r="A2260" s="18"/>
      <c r="B2260" s="19"/>
      <c r="BG2260" s="18"/>
      <c r="BH2260" s="18"/>
      <c r="BI2260" s="18"/>
      <c r="BJ2260" s="18"/>
      <c r="BK2260" s="18"/>
      <c r="BL2260" s="18"/>
      <c r="BM2260" s="18"/>
      <c r="BN2260" s="18"/>
      <c r="BO2260" s="18"/>
      <c r="BP2260" s="18"/>
      <c r="BQ2260" s="18"/>
      <c r="BR2260" s="18"/>
      <c r="BS2260" s="18"/>
      <c r="BT2260" s="18"/>
      <c r="BU2260" s="18"/>
      <c r="BV2260" s="18"/>
    </row>
    <row r="2261" spans="1:74">
      <c r="A2261" s="18"/>
      <c r="B2261" s="19"/>
      <c r="BG2261" s="18"/>
      <c r="BH2261" s="18"/>
      <c r="BI2261" s="18"/>
      <c r="BJ2261" s="18"/>
      <c r="BK2261" s="18"/>
      <c r="BL2261" s="18"/>
      <c r="BM2261" s="18"/>
      <c r="BN2261" s="18"/>
      <c r="BO2261" s="18"/>
      <c r="BP2261" s="18"/>
      <c r="BQ2261" s="18"/>
      <c r="BR2261" s="18"/>
      <c r="BS2261" s="18"/>
      <c r="BT2261" s="18"/>
      <c r="BU2261" s="18"/>
      <c r="BV2261" s="18"/>
    </row>
    <row r="2262" spans="1:74">
      <c r="A2262" s="18"/>
      <c r="B2262" s="19"/>
      <c r="BG2262" s="18"/>
      <c r="BH2262" s="18"/>
      <c r="BI2262" s="18"/>
      <c r="BJ2262" s="18"/>
      <c r="BK2262" s="18"/>
      <c r="BL2262" s="18"/>
      <c r="BM2262" s="18"/>
      <c r="BN2262" s="18"/>
      <c r="BO2262" s="18"/>
      <c r="BP2262" s="18"/>
      <c r="BQ2262" s="18"/>
      <c r="BR2262" s="18"/>
      <c r="BS2262" s="18"/>
      <c r="BT2262" s="18"/>
      <c r="BU2262" s="18"/>
      <c r="BV2262" s="18"/>
    </row>
    <row r="2263" spans="1:74">
      <c r="A2263" s="18"/>
      <c r="B2263" s="19"/>
      <c r="BG2263" s="18"/>
      <c r="BH2263" s="18"/>
      <c r="BI2263" s="18"/>
      <c r="BJ2263" s="18"/>
      <c r="BK2263" s="18"/>
      <c r="BL2263" s="18"/>
      <c r="BM2263" s="18"/>
      <c r="BN2263" s="18"/>
      <c r="BO2263" s="18"/>
      <c r="BP2263" s="18"/>
      <c r="BQ2263" s="18"/>
      <c r="BR2263" s="18"/>
      <c r="BS2263" s="18"/>
      <c r="BT2263" s="18"/>
      <c r="BU2263" s="18"/>
      <c r="BV2263" s="18"/>
    </row>
    <row r="2264" spans="1:74">
      <c r="A2264" s="18"/>
      <c r="B2264" s="19"/>
      <c r="BG2264" s="18"/>
      <c r="BH2264" s="18"/>
      <c r="BI2264" s="18"/>
      <c r="BJ2264" s="18"/>
      <c r="BK2264" s="18"/>
      <c r="BL2264" s="18"/>
      <c r="BM2264" s="18"/>
      <c r="BN2264" s="18"/>
      <c r="BO2264" s="18"/>
      <c r="BP2264" s="18"/>
      <c r="BQ2264" s="18"/>
      <c r="BR2264" s="18"/>
      <c r="BS2264" s="18"/>
      <c r="BT2264" s="18"/>
      <c r="BU2264" s="18"/>
      <c r="BV2264" s="18"/>
    </row>
    <row r="2265" spans="1:74">
      <c r="A2265" s="18"/>
      <c r="B2265" s="19"/>
      <c r="BG2265" s="18"/>
      <c r="BH2265" s="18"/>
      <c r="BI2265" s="18"/>
      <c r="BJ2265" s="18"/>
      <c r="BK2265" s="18"/>
      <c r="BL2265" s="18"/>
      <c r="BM2265" s="18"/>
      <c r="BN2265" s="18"/>
      <c r="BO2265" s="18"/>
      <c r="BP2265" s="18"/>
      <c r="BQ2265" s="18"/>
      <c r="BR2265" s="18"/>
      <c r="BS2265" s="18"/>
      <c r="BT2265" s="18"/>
      <c r="BU2265" s="18"/>
      <c r="BV2265" s="18"/>
    </row>
    <row r="2266" spans="1:74">
      <c r="A2266" s="18"/>
      <c r="B2266" s="19"/>
      <c r="BG2266" s="18"/>
      <c r="BH2266" s="18"/>
      <c r="BI2266" s="18"/>
      <c r="BJ2266" s="18"/>
      <c r="BK2266" s="18"/>
      <c r="BL2266" s="18"/>
      <c r="BM2266" s="18"/>
      <c r="BN2266" s="18"/>
      <c r="BO2266" s="18"/>
      <c r="BP2266" s="18"/>
      <c r="BQ2266" s="18"/>
      <c r="BR2266" s="18"/>
      <c r="BS2266" s="18"/>
      <c r="BT2266" s="18"/>
      <c r="BU2266" s="18"/>
      <c r="BV2266" s="18"/>
    </row>
    <row r="2267" spans="1:74">
      <c r="A2267" s="18"/>
      <c r="B2267" s="19"/>
      <c r="BG2267" s="18"/>
      <c r="BH2267" s="18"/>
      <c r="BI2267" s="18"/>
      <c r="BJ2267" s="18"/>
      <c r="BK2267" s="18"/>
      <c r="BL2267" s="18"/>
      <c r="BM2267" s="18"/>
      <c r="BN2267" s="18"/>
      <c r="BO2267" s="18"/>
      <c r="BP2267" s="18"/>
      <c r="BQ2267" s="18"/>
      <c r="BR2267" s="18"/>
      <c r="BS2267" s="18"/>
      <c r="BT2267" s="18"/>
      <c r="BU2267" s="18"/>
      <c r="BV2267" s="18"/>
    </row>
    <row r="2268" spans="1:74">
      <c r="A2268" s="18"/>
      <c r="B2268" s="19"/>
      <c r="BG2268" s="18"/>
      <c r="BH2268" s="18"/>
      <c r="BI2268" s="18"/>
      <c r="BJ2268" s="18"/>
      <c r="BK2268" s="18"/>
      <c r="BL2268" s="18"/>
      <c r="BM2268" s="18"/>
      <c r="BN2268" s="18"/>
      <c r="BO2268" s="18"/>
      <c r="BP2268" s="18"/>
      <c r="BQ2268" s="18"/>
      <c r="BR2268" s="18"/>
      <c r="BS2268" s="18"/>
      <c r="BT2268" s="18"/>
      <c r="BU2268" s="18"/>
      <c r="BV2268" s="18"/>
    </row>
    <row r="2269" spans="1:74">
      <c r="A2269" s="18"/>
      <c r="B2269" s="19"/>
      <c r="BG2269" s="18"/>
      <c r="BH2269" s="18"/>
      <c r="BI2269" s="18"/>
      <c r="BJ2269" s="18"/>
      <c r="BK2269" s="18"/>
      <c r="BL2269" s="18"/>
      <c r="BM2269" s="18"/>
      <c r="BN2269" s="18"/>
      <c r="BO2269" s="18"/>
      <c r="BP2269" s="18"/>
      <c r="BQ2269" s="18"/>
      <c r="BR2269" s="18"/>
      <c r="BS2269" s="18"/>
      <c r="BT2269" s="18"/>
      <c r="BU2269" s="18"/>
      <c r="BV2269" s="18"/>
    </row>
    <row r="2270" spans="1:74">
      <c r="A2270" s="18"/>
      <c r="B2270" s="19"/>
      <c r="BG2270" s="18"/>
      <c r="BH2270" s="18"/>
      <c r="BI2270" s="18"/>
      <c r="BJ2270" s="18"/>
      <c r="BK2270" s="18"/>
      <c r="BL2270" s="18"/>
      <c r="BM2270" s="18"/>
      <c r="BN2270" s="18"/>
      <c r="BO2270" s="18"/>
      <c r="BP2270" s="18"/>
      <c r="BQ2270" s="18"/>
      <c r="BR2270" s="18"/>
      <c r="BS2270" s="18"/>
      <c r="BT2270" s="18"/>
      <c r="BU2270" s="18"/>
      <c r="BV2270" s="18"/>
    </row>
    <row r="2271" spans="1:74">
      <c r="A2271" s="18"/>
      <c r="B2271" s="19"/>
      <c r="BG2271" s="18"/>
      <c r="BH2271" s="18"/>
      <c r="BI2271" s="18"/>
      <c r="BJ2271" s="18"/>
      <c r="BK2271" s="18"/>
      <c r="BL2271" s="18"/>
      <c r="BM2271" s="18"/>
      <c r="BN2271" s="18"/>
      <c r="BO2271" s="18"/>
      <c r="BP2271" s="18"/>
      <c r="BQ2271" s="18"/>
      <c r="BR2271" s="18"/>
      <c r="BS2271" s="18"/>
      <c r="BT2271" s="18"/>
      <c r="BU2271" s="18"/>
      <c r="BV2271" s="18"/>
    </row>
    <row r="2272" spans="1:74">
      <c r="A2272" s="18"/>
      <c r="B2272" s="19"/>
      <c r="BG2272" s="18"/>
      <c r="BH2272" s="18"/>
      <c r="BI2272" s="18"/>
      <c r="BJ2272" s="18"/>
      <c r="BK2272" s="18"/>
      <c r="BL2272" s="18"/>
      <c r="BM2272" s="18"/>
      <c r="BN2272" s="18"/>
      <c r="BO2272" s="18"/>
      <c r="BP2272" s="18"/>
      <c r="BQ2272" s="18"/>
      <c r="BR2272" s="18"/>
      <c r="BS2272" s="18"/>
      <c r="BT2272" s="18"/>
      <c r="BU2272" s="18"/>
      <c r="BV2272" s="18"/>
    </row>
    <row r="2273" spans="1:74">
      <c r="A2273" s="18"/>
      <c r="B2273" s="19"/>
      <c r="BG2273" s="18"/>
      <c r="BH2273" s="18"/>
      <c r="BI2273" s="18"/>
      <c r="BJ2273" s="18"/>
      <c r="BK2273" s="18"/>
      <c r="BL2273" s="18"/>
      <c r="BM2273" s="18"/>
      <c r="BN2273" s="18"/>
      <c r="BO2273" s="18"/>
      <c r="BP2273" s="18"/>
      <c r="BQ2273" s="18"/>
      <c r="BR2273" s="18"/>
      <c r="BS2273" s="18"/>
      <c r="BT2273" s="18"/>
      <c r="BU2273" s="18"/>
      <c r="BV2273" s="18"/>
    </row>
    <row r="2274" spans="1:74">
      <c r="A2274" s="18"/>
      <c r="B2274" s="19"/>
      <c r="BG2274" s="18"/>
      <c r="BH2274" s="18"/>
      <c r="BI2274" s="18"/>
      <c r="BJ2274" s="18"/>
      <c r="BK2274" s="18"/>
      <c r="BL2274" s="18"/>
      <c r="BM2274" s="18"/>
      <c r="BN2274" s="18"/>
      <c r="BO2274" s="18"/>
      <c r="BP2274" s="18"/>
      <c r="BQ2274" s="18"/>
      <c r="BR2274" s="18"/>
      <c r="BS2274" s="18"/>
      <c r="BT2274" s="18"/>
      <c r="BU2274" s="18"/>
      <c r="BV2274" s="18"/>
    </row>
    <row r="2275" spans="1:74">
      <c r="A2275" s="18"/>
      <c r="B2275" s="19"/>
      <c r="BG2275" s="18"/>
      <c r="BH2275" s="18"/>
      <c r="BI2275" s="18"/>
      <c r="BJ2275" s="18"/>
      <c r="BK2275" s="18"/>
      <c r="BL2275" s="18"/>
      <c r="BM2275" s="18"/>
      <c r="BN2275" s="18"/>
      <c r="BO2275" s="18"/>
      <c r="BP2275" s="18"/>
      <c r="BQ2275" s="18"/>
      <c r="BR2275" s="18"/>
      <c r="BS2275" s="18"/>
      <c r="BT2275" s="18"/>
      <c r="BU2275" s="18"/>
      <c r="BV2275" s="18"/>
    </row>
    <row r="2276" spans="1:74">
      <c r="A2276" s="18"/>
      <c r="B2276" s="19"/>
      <c r="BG2276" s="18"/>
      <c r="BH2276" s="18"/>
      <c r="BI2276" s="18"/>
      <c r="BJ2276" s="18"/>
      <c r="BK2276" s="18"/>
      <c r="BL2276" s="18"/>
      <c r="BM2276" s="18"/>
      <c r="BN2276" s="18"/>
      <c r="BO2276" s="18"/>
      <c r="BP2276" s="18"/>
      <c r="BQ2276" s="18"/>
      <c r="BR2276" s="18"/>
      <c r="BS2276" s="18"/>
      <c r="BT2276" s="18"/>
      <c r="BU2276" s="18"/>
      <c r="BV2276" s="18"/>
    </row>
    <row r="2277" spans="1:74">
      <c r="A2277" s="18"/>
      <c r="B2277" s="19"/>
      <c r="BG2277" s="18"/>
      <c r="BH2277" s="18"/>
      <c r="BI2277" s="18"/>
      <c r="BJ2277" s="18"/>
      <c r="BK2277" s="18"/>
      <c r="BL2277" s="18"/>
      <c r="BM2277" s="18"/>
      <c r="BN2277" s="18"/>
      <c r="BO2277" s="18"/>
      <c r="BP2277" s="18"/>
      <c r="BQ2277" s="18"/>
      <c r="BR2277" s="18"/>
      <c r="BS2277" s="18"/>
      <c r="BT2277" s="18"/>
      <c r="BU2277" s="18"/>
      <c r="BV2277" s="18"/>
    </row>
    <row r="2278" spans="1:74">
      <c r="A2278" s="18"/>
      <c r="B2278" s="19"/>
      <c r="BG2278" s="18"/>
      <c r="BH2278" s="18"/>
      <c r="BI2278" s="18"/>
      <c r="BJ2278" s="18"/>
      <c r="BK2278" s="18"/>
      <c r="BL2278" s="18"/>
      <c r="BM2278" s="18"/>
      <c r="BN2278" s="18"/>
      <c r="BO2278" s="18"/>
      <c r="BP2278" s="18"/>
      <c r="BQ2278" s="18"/>
      <c r="BR2278" s="18"/>
      <c r="BS2278" s="18"/>
      <c r="BT2278" s="18"/>
      <c r="BU2278" s="18"/>
      <c r="BV2278" s="18"/>
    </row>
    <row r="2279" spans="1:74">
      <c r="A2279" s="18"/>
      <c r="B2279" s="19"/>
      <c r="BG2279" s="18"/>
      <c r="BH2279" s="18"/>
      <c r="BI2279" s="18"/>
      <c r="BJ2279" s="18"/>
      <c r="BK2279" s="18"/>
      <c r="BL2279" s="18"/>
      <c r="BM2279" s="18"/>
      <c r="BN2279" s="18"/>
      <c r="BO2279" s="18"/>
      <c r="BP2279" s="18"/>
      <c r="BQ2279" s="18"/>
      <c r="BR2279" s="18"/>
      <c r="BS2279" s="18"/>
      <c r="BT2279" s="18"/>
      <c r="BU2279" s="18"/>
      <c r="BV2279" s="18"/>
    </row>
    <row r="2280" spans="1:74">
      <c r="A2280" s="18"/>
      <c r="B2280" s="19"/>
      <c r="BG2280" s="18"/>
      <c r="BH2280" s="18"/>
      <c r="BI2280" s="18"/>
      <c r="BJ2280" s="18"/>
      <c r="BK2280" s="18"/>
      <c r="BL2280" s="18"/>
      <c r="BM2280" s="18"/>
      <c r="BN2280" s="18"/>
      <c r="BO2280" s="18"/>
      <c r="BP2280" s="18"/>
      <c r="BQ2280" s="18"/>
      <c r="BR2280" s="18"/>
      <c r="BS2280" s="18"/>
      <c r="BT2280" s="18"/>
      <c r="BU2280" s="18"/>
      <c r="BV2280" s="18"/>
    </row>
    <row r="2281" spans="1:74">
      <c r="A2281" s="18"/>
      <c r="B2281" s="19"/>
      <c r="BG2281" s="18"/>
      <c r="BH2281" s="18"/>
      <c r="BI2281" s="18"/>
      <c r="BJ2281" s="18"/>
      <c r="BK2281" s="18"/>
      <c r="BL2281" s="18"/>
      <c r="BM2281" s="18"/>
      <c r="BN2281" s="18"/>
      <c r="BO2281" s="18"/>
      <c r="BP2281" s="18"/>
      <c r="BQ2281" s="18"/>
      <c r="BR2281" s="18"/>
      <c r="BS2281" s="18"/>
      <c r="BT2281" s="18"/>
      <c r="BU2281" s="18"/>
      <c r="BV2281" s="18"/>
    </row>
    <row r="2282" spans="1:74">
      <c r="A2282" s="18"/>
      <c r="B2282" s="19"/>
      <c r="BG2282" s="18"/>
      <c r="BH2282" s="18"/>
      <c r="BI2282" s="18"/>
      <c r="BJ2282" s="18"/>
      <c r="BK2282" s="18"/>
      <c r="BL2282" s="18"/>
      <c r="BM2282" s="18"/>
      <c r="BN2282" s="18"/>
      <c r="BO2282" s="18"/>
      <c r="BP2282" s="18"/>
      <c r="BQ2282" s="18"/>
      <c r="BR2282" s="18"/>
      <c r="BS2282" s="18"/>
      <c r="BT2282" s="18"/>
      <c r="BU2282" s="18"/>
      <c r="BV2282" s="18"/>
    </row>
    <row r="2283" spans="1:74">
      <c r="A2283" s="18"/>
      <c r="B2283" s="19"/>
      <c r="BG2283" s="18"/>
      <c r="BH2283" s="18"/>
      <c r="BI2283" s="18"/>
      <c r="BJ2283" s="18"/>
      <c r="BK2283" s="18"/>
      <c r="BL2283" s="18"/>
      <c r="BM2283" s="18"/>
      <c r="BN2283" s="18"/>
      <c r="BO2283" s="18"/>
      <c r="BP2283" s="18"/>
      <c r="BQ2283" s="18"/>
      <c r="BR2283" s="18"/>
      <c r="BS2283" s="18"/>
      <c r="BT2283" s="18"/>
      <c r="BU2283" s="18"/>
      <c r="BV2283" s="18"/>
    </row>
    <row r="2284" spans="1:74">
      <c r="A2284" s="18"/>
      <c r="B2284" s="19"/>
      <c r="BG2284" s="18"/>
      <c r="BH2284" s="18"/>
      <c r="BI2284" s="18"/>
      <c r="BJ2284" s="18"/>
      <c r="BK2284" s="18"/>
      <c r="BL2284" s="18"/>
      <c r="BM2284" s="18"/>
      <c r="BN2284" s="18"/>
      <c r="BO2284" s="18"/>
      <c r="BP2284" s="18"/>
      <c r="BQ2284" s="18"/>
      <c r="BR2284" s="18"/>
      <c r="BS2284" s="18"/>
      <c r="BT2284" s="18"/>
      <c r="BU2284" s="18"/>
      <c r="BV2284" s="18"/>
    </row>
    <row r="2285" spans="1:74">
      <c r="A2285" s="18"/>
      <c r="B2285" s="19"/>
      <c r="BG2285" s="18"/>
      <c r="BH2285" s="18"/>
      <c r="BI2285" s="18"/>
      <c r="BJ2285" s="18"/>
      <c r="BK2285" s="18"/>
      <c r="BL2285" s="18"/>
      <c r="BM2285" s="18"/>
      <c r="BN2285" s="18"/>
      <c r="BO2285" s="18"/>
      <c r="BP2285" s="18"/>
      <c r="BQ2285" s="18"/>
      <c r="BR2285" s="18"/>
      <c r="BS2285" s="18"/>
      <c r="BT2285" s="18"/>
      <c r="BU2285" s="18"/>
      <c r="BV2285" s="18"/>
    </row>
    <row r="2286" spans="1:74">
      <c r="A2286" s="18"/>
      <c r="B2286" s="19"/>
      <c r="BG2286" s="18"/>
      <c r="BH2286" s="18"/>
      <c r="BI2286" s="18"/>
      <c r="BJ2286" s="18"/>
      <c r="BK2286" s="18"/>
      <c r="BL2286" s="18"/>
      <c r="BM2286" s="18"/>
      <c r="BN2286" s="18"/>
      <c r="BO2286" s="18"/>
      <c r="BP2286" s="18"/>
      <c r="BQ2286" s="18"/>
      <c r="BR2286" s="18"/>
      <c r="BS2286" s="18"/>
      <c r="BT2286" s="18"/>
      <c r="BU2286" s="18"/>
      <c r="BV2286" s="18"/>
    </row>
    <row r="2287" spans="1:74">
      <c r="A2287" s="18"/>
      <c r="B2287" s="19"/>
      <c r="BG2287" s="18"/>
      <c r="BH2287" s="18"/>
      <c r="BI2287" s="18"/>
      <c r="BJ2287" s="18"/>
      <c r="BK2287" s="18"/>
      <c r="BL2287" s="18"/>
      <c r="BM2287" s="18"/>
      <c r="BN2287" s="18"/>
      <c r="BO2287" s="18"/>
      <c r="BP2287" s="18"/>
      <c r="BQ2287" s="18"/>
      <c r="BR2287" s="18"/>
      <c r="BS2287" s="18"/>
      <c r="BT2287" s="18"/>
      <c r="BU2287" s="18"/>
      <c r="BV2287" s="18"/>
    </row>
    <row r="2288" spans="1:74">
      <c r="A2288" s="18"/>
      <c r="B2288" s="19"/>
      <c r="BG2288" s="18"/>
      <c r="BH2288" s="18"/>
      <c r="BI2288" s="18"/>
      <c r="BJ2288" s="18"/>
      <c r="BK2288" s="18"/>
      <c r="BL2288" s="18"/>
      <c r="BM2288" s="18"/>
      <c r="BN2288" s="18"/>
      <c r="BO2288" s="18"/>
      <c r="BP2288" s="18"/>
      <c r="BQ2288" s="18"/>
      <c r="BR2288" s="18"/>
      <c r="BS2288" s="18"/>
      <c r="BT2288" s="18"/>
      <c r="BU2288" s="18"/>
      <c r="BV2288" s="18"/>
    </row>
    <row r="2289" spans="1:74">
      <c r="A2289" s="18"/>
      <c r="B2289" s="19"/>
      <c r="BG2289" s="18"/>
      <c r="BH2289" s="18"/>
      <c r="BI2289" s="18"/>
      <c r="BJ2289" s="18"/>
      <c r="BK2289" s="18"/>
      <c r="BL2289" s="18"/>
      <c r="BM2289" s="18"/>
      <c r="BN2289" s="18"/>
      <c r="BO2289" s="18"/>
      <c r="BP2289" s="18"/>
      <c r="BQ2289" s="18"/>
      <c r="BR2289" s="18"/>
      <c r="BS2289" s="18"/>
      <c r="BT2289" s="18"/>
      <c r="BU2289" s="18"/>
      <c r="BV2289" s="18"/>
    </row>
    <row r="2290" spans="1:74">
      <c r="A2290" s="18"/>
      <c r="B2290" s="19"/>
      <c r="BG2290" s="18"/>
      <c r="BH2290" s="18"/>
      <c r="BI2290" s="18"/>
      <c r="BJ2290" s="18"/>
      <c r="BK2290" s="18"/>
      <c r="BL2290" s="18"/>
      <c r="BM2290" s="18"/>
      <c r="BN2290" s="18"/>
      <c r="BO2290" s="18"/>
      <c r="BP2290" s="18"/>
      <c r="BQ2290" s="18"/>
      <c r="BR2290" s="18"/>
      <c r="BS2290" s="18"/>
      <c r="BT2290" s="18"/>
      <c r="BU2290" s="18"/>
      <c r="BV2290" s="18"/>
    </row>
    <row r="2291" spans="1:74">
      <c r="A2291" s="18"/>
      <c r="B2291" s="19"/>
      <c r="BG2291" s="18"/>
      <c r="BH2291" s="18"/>
      <c r="BI2291" s="18"/>
      <c r="BJ2291" s="18"/>
      <c r="BK2291" s="18"/>
      <c r="BL2291" s="18"/>
      <c r="BM2291" s="18"/>
      <c r="BN2291" s="18"/>
      <c r="BO2291" s="18"/>
      <c r="BP2291" s="18"/>
      <c r="BQ2291" s="18"/>
      <c r="BR2291" s="18"/>
      <c r="BS2291" s="18"/>
      <c r="BT2291" s="18"/>
      <c r="BU2291" s="18"/>
      <c r="BV2291" s="18"/>
    </row>
    <row r="2292" spans="1:74">
      <c r="A2292" s="18"/>
      <c r="B2292" s="19"/>
      <c r="BG2292" s="18"/>
      <c r="BH2292" s="18"/>
      <c r="BI2292" s="18"/>
      <c r="BJ2292" s="18"/>
      <c r="BK2292" s="18"/>
      <c r="BL2292" s="18"/>
      <c r="BM2292" s="18"/>
      <c r="BN2292" s="18"/>
      <c r="BO2292" s="18"/>
      <c r="BP2292" s="18"/>
      <c r="BQ2292" s="18"/>
      <c r="BR2292" s="18"/>
      <c r="BS2292" s="18"/>
      <c r="BT2292" s="18"/>
      <c r="BU2292" s="18"/>
      <c r="BV2292" s="18"/>
    </row>
    <row r="2293" spans="1:74">
      <c r="A2293" s="18"/>
      <c r="B2293" s="19"/>
      <c r="BG2293" s="18"/>
      <c r="BH2293" s="18"/>
      <c r="BI2293" s="18"/>
      <c r="BJ2293" s="18"/>
      <c r="BK2293" s="18"/>
      <c r="BL2293" s="18"/>
      <c r="BM2293" s="18"/>
      <c r="BN2293" s="18"/>
      <c r="BO2293" s="18"/>
      <c r="BP2293" s="18"/>
      <c r="BQ2293" s="18"/>
      <c r="BR2293" s="18"/>
      <c r="BS2293" s="18"/>
      <c r="BT2293" s="18"/>
      <c r="BU2293" s="18"/>
      <c r="BV2293" s="18"/>
    </row>
    <row r="2294" spans="1:74">
      <c r="A2294" s="18"/>
      <c r="B2294" s="19"/>
      <c r="BG2294" s="18"/>
      <c r="BH2294" s="18"/>
      <c r="BI2294" s="18"/>
      <c r="BJ2294" s="18"/>
      <c r="BK2294" s="18"/>
      <c r="BL2294" s="18"/>
      <c r="BM2294" s="18"/>
      <c r="BN2294" s="18"/>
      <c r="BO2294" s="18"/>
      <c r="BP2294" s="18"/>
      <c r="BQ2294" s="18"/>
      <c r="BR2294" s="18"/>
      <c r="BS2294" s="18"/>
      <c r="BT2294" s="18"/>
      <c r="BU2294" s="18"/>
      <c r="BV2294" s="18"/>
    </row>
    <row r="2295" spans="1:74">
      <c r="A2295" s="18"/>
      <c r="B2295" s="19"/>
      <c r="BG2295" s="18"/>
      <c r="BH2295" s="18"/>
      <c r="BI2295" s="18"/>
      <c r="BJ2295" s="18"/>
      <c r="BK2295" s="18"/>
      <c r="BL2295" s="18"/>
      <c r="BM2295" s="18"/>
      <c r="BN2295" s="18"/>
      <c r="BO2295" s="18"/>
      <c r="BP2295" s="18"/>
      <c r="BQ2295" s="18"/>
      <c r="BR2295" s="18"/>
      <c r="BS2295" s="18"/>
      <c r="BT2295" s="18"/>
      <c r="BU2295" s="18"/>
      <c r="BV2295" s="18"/>
    </row>
    <row r="2296" spans="1:74">
      <c r="A2296" s="18"/>
      <c r="B2296" s="19"/>
      <c r="BG2296" s="18"/>
      <c r="BH2296" s="18"/>
      <c r="BI2296" s="18"/>
      <c r="BJ2296" s="18"/>
      <c r="BK2296" s="18"/>
      <c r="BL2296" s="18"/>
      <c r="BM2296" s="18"/>
      <c r="BN2296" s="18"/>
      <c r="BO2296" s="18"/>
      <c r="BP2296" s="18"/>
      <c r="BQ2296" s="18"/>
      <c r="BR2296" s="18"/>
      <c r="BS2296" s="18"/>
      <c r="BT2296" s="18"/>
      <c r="BU2296" s="18"/>
      <c r="BV2296" s="18"/>
    </row>
    <row r="2297" spans="1:74">
      <c r="A2297" s="18"/>
      <c r="B2297" s="19"/>
      <c r="BG2297" s="18"/>
      <c r="BH2297" s="18"/>
      <c r="BI2297" s="18"/>
      <c r="BJ2297" s="18"/>
      <c r="BK2297" s="18"/>
      <c r="BL2297" s="18"/>
      <c r="BM2297" s="18"/>
      <c r="BN2297" s="18"/>
      <c r="BO2297" s="18"/>
      <c r="BP2297" s="18"/>
      <c r="BQ2297" s="18"/>
      <c r="BR2297" s="18"/>
      <c r="BS2297" s="18"/>
      <c r="BT2297" s="18"/>
      <c r="BU2297" s="18"/>
      <c r="BV2297" s="18"/>
    </row>
    <row r="2298" spans="1:74">
      <c r="A2298" s="18"/>
      <c r="B2298" s="19"/>
      <c r="BG2298" s="18"/>
      <c r="BH2298" s="18"/>
      <c r="BI2298" s="18"/>
      <c r="BJ2298" s="18"/>
      <c r="BK2298" s="18"/>
      <c r="BL2298" s="18"/>
      <c r="BM2298" s="18"/>
      <c r="BN2298" s="18"/>
      <c r="BO2298" s="18"/>
      <c r="BP2298" s="18"/>
      <c r="BQ2298" s="18"/>
      <c r="BR2298" s="18"/>
      <c r="BS2298" s="18"/>
      <c r="BT2298" s="18"/>
      <c r="BU2298" s="18"/>
      <c r="BV2298" s="18"/>
    </row>
    <row r="2299" spans="1:74">
      <c r="A2299" s="18"/>
      <c r="B2299" s="19"/>
      <c r="BG2299" s="18"/>
      <c r="BH2299" s="18"/>
      <c r="BI2299" s="18"/>
      <c r="BJ2299" s="18"/>
      <c r="BK2299" s="18"/>
      <c r="BL2299" s="18"/>
      <c r="BM2299" s="18"/>
      <c r="BN2299" s="18"/>
      <c r="BO2299" s="18"/>
      <c r="BP2299" s="18"/>
      <c r="BQ2299" s="18"/>
      <c r="BR2299" s="18"/>
      <c r="BS2299" s="18"/>
      <c r="BT2299" s="18"/>
      <c r="BU2299" s="18"/>
      <c r="BV2299" s="18"/>
    </row>
    <row r="2300" spans="1:74">
      <c r="A2300" s="18"/>
      <c r="B2300" s="19"/>
      <c r="BG2300" s="18"/>
      <c r="BH2300" s="18"/>
      <c r="BI2300" s="18"/>
      <c r="BJ2300" s="18"/>
      <c r="BK2300" s="18"/>
      <c r="BL2300" s="18"/>
      <c r="BM2300" s="18"/>
      <c r="BN2300" s="18"/>
      <c r="BO2300" s="18"/>
      <c r="BP2300" s="18"/>
      <c r="BQ2300" s="18"/>
      <c r="BR2300" s="18"/>
      <c r="BS2300" s="18"/>
      <c r="BT2300" s="18"/>
      <c r="BU2300" s="18"/>
      <c r="BV2300" s="18"/>
    </row>
    <row r="2301" spans="1:74">
      <c r="A2301" s="18"/>
      <c r="B2301" s="19"/>
      <c r="BG2301" s="18"/>
      <c r="BH2301" s="18"/>
      <c r="BI2301" s="18"/>
      <c r="BJ2301" s="18"/>
      <c r="BK2301" s="18"/>
      <c r="BL2301" s="18"/>
      <c r="BM2301" s="18"/>
      <c r="BN2301" s="18"/>
      <c r="BO2301" s="18"/>
      <c r="BP2301" s="18"/>
      <c r="BQ2301" s="18"/>
      <c r="BR2301" s="18"/>
      <c r="BS2301" s="18"/>
      <c r="BT2301" s="18"/>
      <c r="BU2301" s="18"/>
      <c r="BV2301" s="18"/>
    </row>
    <row r="2302" spans="1:74">
      <c r="A2302" s="18"/>
      <c r="B2302" s="19"/>
      <c r="BG2302" s="18"/>
      <c r="BH2302" s="18"/>
      <c r="BI2302" s="18"/>
      <c r="BJ2302" s="18"/>
      <c r="BK2302" s="18"/>
      <c r="BL2302" s="18"/>
      <c r="BM2302" s="18"/>
      <c r="BN2302" s="18"/>
      <c r="BO2302" s="18"/>
      <c r="BP2302" s="18"/>
      <c r="BQ2302" s="18"/>
      <c r="BR2302" s="18"/>
      <c r="BS2302" s="18"/>
      <c r="BT2302" s="18"/>
      <c r="BU2302" s="18"/>
      <c r="BV2302" s="18"/>
    </row>
    <row r="2303" spans="1:74">
      <c r="A2303" s="18"/>
      <c r="B2303" s="19"/>
      <c r="BG2303" s="18"/>
      <c r="BH2303" s="18"/>
      <c r="BI2303" s="18"/>
      <c r="BJ2303" s="18"/>
      <c r="BK2303" s="18"/>
      <c r="BL2303" s="18"/>
      <c r="BM2303" s="18"/>
      <c r="BN2303" s="18"/>
      <c r="BO2303" s="18"/>
      <c r="BP2303" s="18"/>
      <c r="BQ2303" s="18"/>
      <c r="BR2303" s="18"/>
      <c r="BS2303" s="18"/>
      <c r="BT2303" s="18"/>
      <c r="BU2303" s="18"/>
      <c r="BV2303" s="18"/>
    </row>
    <row r="2304" spans="1:74">
      <c r="A2304" s="18"/>
      <c r="B2304" s="19"/>
      <c r="BG2304" s="18"/>
      <c r="BH2304" s="18"/>
      <c r="BI2304" s="18"/>
      <c r="BJ2304" s="18"/>
      <c r="BK2304" s="18"/>
      <c r="BL2304" s="18"/>
      <c r="BM2304" s="18"/>
      <c r="BN2304" s="18"/>
      <c r="BO2304" s="18"/>
      <c r="BP2304" s="18"/>
      <c r="BQ2304" s="18"/>
      <c r="BR2304" s="18"/>
      <c r="BS2304" s="18"/>
      <c r="BT2304" s="18"/>
      <c r="BU2304" s="18"/>
      <c r="BV2304" s="18"/>
    </row>
    <row r="2305" spans="1:74">
      <c r="A2305" s="18"/>
      <c r="B2305" s="19"/>
      <c r="BG2305" s="18"/>
      <c r="BH2305" s="18"/>
      <c r="BI2305" s="18"/>
      <c r="BJ2305" s="18"/>
      <c r="BK2305" s="18"/>
      <c r="BL2305" s="18"/>
      <c r="BM2305" s="18"/>
      <c r="BN2305" s="18"/>
      <c r="BO2305" s="18"/>
      <c r="BP2305" s="18"/>
      <c r="BQ2305" s="18"/>
      <c r="BR2305" s="18"/>
      <c r="BS2305" s="18"/>
      <c r="BT2305" s="18"/>
      <c r="BU2305" s="18"/>
      <c r="BV2305" s="18"/>
    </row>
    <row r="2306" spans="1:74">
      <c r="A2306" s="18"/>
      <c r="B2306" s="19"/>
      <c r="BG2306" s="18"/>
      <c r="BH2306" s="18"/>
      <c r="BI2306" s="18"/>
      <c r="BJ2306" s="18"/>
      <c r="BK2306" s="18"/>
      <c r="BL2306" s="18"/>
      <c r="BM2306" s="18"/>
      <c r="BN2306" s="18"/>
      <c r="BO2306" s="18"/>
      <c r="BP2306" s="18"/>
      <c r="BQ2306" s="18"/>
      <c r="BR2306" s="18"/>
      <c r="BS2306" s="18"/>
      <c r="BT2306" s="18"/>
      <c r="BU2306" s="18"/>
      <c r="BV2306" s="18"/>
    </row>
    <row r="2307" spans="1:74">
      <c r="A2307" s="18"/>
      <c r="B2307" s="19"/>
      <c r="BG2307" s="18"/>
      <c r="BH2307" s="18"/>
      <c r="BI2307" s="18"/>
      <c r="BJ2307" s="18"/>
      <c r="BK2307" s="18"/>
      <c r="BL2307" s="18"/>
      <c r="BM2307" s="18"/>
      <c r="BN2307" s="18"/>
      <c r="BO2307" s="18"/>
      <c r="BP2307" s="18"/>
      <c r="BQ2307" s="18"/>
      <c r="BR2307" s="18"/>
      <c r="BS2307" s="18"/>
      <c r="BT2307" s="18"/>
      <c r="BU2307" s="18"/>
      <c r="BV2307" s="18"/>
    </row>
    <row r="2308" spans="1:74">
      <c r="A2308" s="18"/>
      <c r="B2308" s="19"/>
      <c r="BG2308" s="18"/>
      <c r="BH2308" s="18"/>
      <c r="BI2308" s="18"/>
      <c r="BJ2308" s="18"/>
      <c r="BK2308" s="18"/>
      <c r="BL2308" s="18"/>
      <c r="BM2308" s="18"/>
      <c r="BN2308" s="18"/>
      <c r="BO2308" s="18"/>
      <c r="BP2308" s="18"/>
      <c r="BQ2308" s="18"/>
      <c r="BR2308" s="18"/>
      <c r="BS2308" s="18"/>
      <c r="BT2308" s="18"/>
      <c r="BU2308" s="18"/>
      <c r="BV2308" s="18"/>
    </row>
    <row r="2309" spans="1:74">
      <c r="A2309" s="18"/>
      <c r="B2309" s="19"/>
      <c r="BG2309" s="18"/>
      <c r="BH2309" s="18"/>
      <c r="BI2309" s="18"/>
      <c r="BJ2309" s="18"/>
      <c r="BK2309" s="18"/>
      <c r="BL2309" s="18"/>
      <c r="BM2309" s="18"/>
      <c r="BN2309" s="18"/>
      <c r="BO2309" s="18"/>
      <c r="BP2309" s="18"/>
      <c r="BQ2309" s="18"/>
      <c r="BR2309" s="18"/>
      <c r="BS2309" s="18"/>
      <c r="BT2309" s="18"/>
      <c r="BU2309" s="18"/>
      <c r="BV2309" s="18"/>
    </row>
    <row r="2310" spans="1:74">
      <c r="A2310" s="18"/>
      <c r="B2310" s="19"/>
      <c r="BG2310" s="18"/>
      <c r="BH2310" s="18"/>
      <c r="BI2310" s="18"/>
      <c r="BJ2310" s="18"/>
      <c r="BK2310" s="18"/>
      <c r="BL2310" s="18"/>
      <c r="BM2310" s="18"/>
      <c r="BN2310" s="18"/>
      <c r="BO2310" s="18"/>
      <c r="BP2310" s="18"/>
      <c r="BQ2310" s="18"/>
      <c r="BR2310" s="18"/>
      <c r="BS2310" s="18"/>
      <c r="BT2310" s="18"/>
      <c r="BU2310" s="18"/>
      <c r="BV2310" s="18"/>
    </row>
    <row r="2311" spans="1:74">
      <c r="A2311" s="18"/>
      <c r="B2311" s="19"/>
      <c r="BG2311" s="18"/>
      <c r="BH2311" s="18"/>
      <c r="BI2311" s="18"/>
      <c r="BJ2311" s="18"/>
      <c r="BK2311" s="18"/>
      <c r="BL2311" s="18"/>
      <c r="BM2311" s="18"/>
      <c r="BN2311" s="18"/>
      <c r="BO2311" s="18"/>
      <c r="BP2311" s="18"/>
      <c r="BQ2311" s="18"/>
      <c r="BR2311" s="18"/>
      <c r="BS2311" s="18"/>
      <c r="BT2311" s="18"/>
      <c r="BU2311" s="18"/>
      <c r="BV2311" s="18"/>
    </row>
    <row r="2312" spans="1:74">
      <c r="A2312" s="18"/>
      <c r="B2312" s="19"/>
      <c r="BG2312" s="18"/>
      <c r="BH2312" s="18"/>
      <c r="BI2312" s="18"/>
      <c r="BJ2312" s="18"/>
      <c r="BK2312" s="18"/>
      <c r="BL2312" s="18"/>
      <c r="BM2312" s="18"/>
      <c r="BN2312" s="18"/>
      <c r="BO2312" s="18"/>
      <c r="BP2312" s="18"/>
      <c r="BQ2312" s="18"/>
      <c r="BR2312" s="18"/>
      <c r="BS2312" s="18"/>
      <c r="BT2312" s="18"/>
      <c r="BU2312" s="18"/>
      <c r="BV2312" s="18"/>
    </row>
    <row r="2313" spans="1:74">
      <c r="A2313" s="18"/>
      <c r="B2313" s="19"/>
      <c r="BG2313" s="18"/>
      <c r="BH2313" s="18"/>
      <c r="BI2313" s="18"/>
      <c r="BJ2313" s="18"/>
      <c r="BK2313" s="18"/>
      <c r="BL2313" s="18"/>
      <c r="BM2313" s="18"/>
      <c r="BN2313" s="18"/>
      <c r="BO2313" s="18"/>
      <c r="BP2313" s="18"/>
      <c r="BQ2313" s="18"/>
      <c r="BR2313" s="18"/>
      <c r="BS2313" s="18"/>
      <c r="BT2313" s="18"/>
      <c r="BU2313" s="18"/>
      <c r="BV2313" s="18"/>
    </row>
    <row r="2314" spans="1:74">
      <c r="A2314" s="18"/>
      <c r="B2314" s="19"/>
      <c r="BG2314" s="18"/>
      <c r="BH2314" s="18"/>
      <c r="BI2314" s="18"/>
      <c r="BJ2314" s="18"/>
      <c r="BK2314" s="18"/>
      <c r="BL2314" s="18"/>
      <c r="BM2314" s="18"/>
      <c r="BN2314" s="18"/>
      <c r="BO2314" s="18"/>
      <c r="BP2314" s="18"/>
      <c r="BQ2314" s="18"/>
      <c r="BR2314" s="18"/>
      <c r="BS2314" s="18"/>
      <c r="BT2314" s="18"/>
      <c r="BU2314" s="18"/>
      <c r="BV2314" s="18"/>
    </row>
    <row r="2315" spans="1:74">
      <c r="A2315" s="18"/>
      <c r="B2315" s="19"/>
      <c r="BG2315" s="18"/>
      <c r="BH2315" s="18"/>
      <c r="BI2315" s="18"/>
      <c r="BJ2315" s="18"/>
      <c r="BK2315" s="18"/>
      <c r="BL2315" s="18"/>
      <c r="BM2315" s="18"/>
      <c r="BN2315" s="18"/>
      <c r="BO2315" s="18"/>
      <c r="BP2315" s="18"/>
      <c r="BQ2315" s="18"/>
      <c r="BR2315" s="18"/>
      <c r="BS2315" s="18"/>
      <c r="BT2315" s="18"/>
      <c r="BU2315" s="18"/>
      <c r="BV2315" s="18"/>
    </row>
    <row r="2316" spans="1:74">
      <c r="A2316" s="18"/>
      <c r="B2316" s="19"/>
      <c r="BG2316" s="18"/>
      <c r="BH2316" s="18"/>
      <c r="BI2316" s="18"/>
      <c r="BJ2316" s="18"/>
      <c r="BK2316" s="18"/>
      <c r="BL2316" s="18"/>
      <c r="BM2316" s="18"/>
      <c r="BN2316" s="18"/>
      <c r="BO2316" s="18"/>
      <c r="BP2316" s="18"/>
      <c r="BQ2316" s="18"/>
      <c r="BR2316" s="18"/>
      <c r="BS2316" s="18"/>
      <c r="BT2316" s="18"/>
      <c r="BU2316" s="18"/>
      <c r="BV2316" s="18"/>
    </row>
    <row r="2317" spans="1:74">
      <c r="A2317" s="18"/>
      <c r="B2317" s="19"/>
      <c r="BG2317" s="18"/>
      <c r="BH2317" s="18"/>
      <c r="BI2317" s="18"/>
      <c r="BJ2317" s="18"/>
      <c r="BK2317" s="18"/>
      <c r="BL2317" s="18"/>
      <c r="BM2317" s="18"/>
      <c r="BN2317" s="18"/>
      <c r="BO2317" s="18"/>
      <c r="BP2317" s="18"/>
      <c r="BQ2317" s="18"/>
      <c r="BR2317" s="18"/>
      <c r="BS2317" s="18"/>
      <c r="BT2317" s="18"/>
      <c r="BU2317" s="18"/>
      <c r="BV2317" s="18"/>
    </row>
    <row r="2318" spans="1:74">
      <c r="A2318" s="18"/>
      <c r="B2318" s="19"/>
      <c r="BG2318" s="18"/>
      <c r="BH2318" s="18"/>
      <c r="BI2318" s="18"/>
      <c r="BJ2318" s="18"/>
      <c r="BK2318" s="18"/>
      <c r="BL2318" s="18"/>
      <c r="BM2318" s="18"/>
      <c r="BN2318" s="18"/>
      <c r="BO2318" s="18"/>
      <c r="BP2318" s="18"/>
      <c r="BQ2318" s="18"/>
      <c r="BR2318" s="18"/>
      <c r="BS2318" s="18"/>
      <c r="BT2318" s="18"/>
      <c r="BU2318" s="18"/>
      <c r="BV2318" s="18"/>
    </row>
    <row r="2319" spans="1:74">
      <c r="A2319" s="18"/>
      <c r="B2319" s="19"/>
      <c r="BG2319" s="18"/>
      <c r="BH2319" s="18"/>
      <c r="BI2319" s="18"/>
      <c r="BJ2319" s="18"/>
      <c r="BK2319" s="18"/>
      <c r="BL2319" s="18"/>
      <c r="BM2319" s="18"/>
      <c r="BN2319" s="18"/>
      <c r="BO2319" s="18"/>
      <c r="BP2319" s="18"/>
      <c r="BQ2319" s="18"/>
      <c r="BR2319" s="18"/>
      <c r="BS2319" s="18"/>
      <c r="BT2319" s="18"/>
      <c r="BU2319" s="18"/>
      <c r="BV2319" s="18"/>
    </row>
    <row r="2320" spans="1:74">
      <c r="A2320" s="18"/>
      <c r="B2320" s="19"/>
      <c r="BG2320" s="18"/>
      <c r="BH2320" s="18"/>
      <c r="BI2320" s="18"/>
      <c r="BJ2320" s="18"/>
      <c r="BK2320" s="18"/>
      <c r="BL2320" s="18"/>
      <c r="BM2320" s="18"/>
      <c r="BN2320" s="18"/>
      <c r="BO2320" s="18"/>
      <c r="BP2320" s="18"/>
      <c r="BQ2320" s="18"/>
      <c r="BR2320" s="18"/>
      <c r="BS2320" s="18"/>
      <c r="BT2320" s="18"/>
      <c r="BU2320" s="18"/>
      <c r="BV2320" s="18"/>
    </row>
    <row r="2321" spans="1:74">
      <c r="A2321" s="18"/>
      <c r="B2321" s="19"/>
      <c r="BG2321" s="18"/>
      <c r="BH2321" s="18"/>
      <c r="BI2321" s="18"/>
      <c r="BJ2321" s="18"/>
      <c r="BK2321" s="18"/>
      <c r="BL2321" s="18"/>
      <c r="BM2321" s="18"/>
      <c r="BN2321" s="18"/>
      <c r="BO2321" s="18"/>
      <c r="BP2321" s="18"/>
      <c r="BQ2321" s="18"/>
      <c r="BR2321" s="18"/>
      <c r="BS2321" s="18"/>
      <c r="BT2321" s="18"/>
      <c r="BU2321" s="18"/>
      <c r="BV2321" s="18"/>
    </row>
    <row r="2322" spans="1:74">
      <c r="A2322" s="18"/>
      <c r="B2322" s="19"/>
      <c r="BG2322" s="18"/>
      <c r="BH2322" s="18"/>
      <c r="BI2322" s="18"/>
      <c r="BJ2322" s="18"/>
      <c r="BK2322" s="18"/>
      <c r="BL2322" s="18"/>
      <c r="BM2322" s="18"/>
      <c r="BN2322" s="18"/>
      <c r="BO2322" s="18"/>
      <c r="BP2322" s="18"/>
      <c r="BQ2322" s="18"/>
      <c r="BR2322" s="18"/>
      <c r="BS2322" s="18"/>
      <c r="BT2322" s="18"/>
      <c r="BU2322" s="18"/>
      <c r="BV2322" s="18"/>
    </row>
    <row r="2323" spans="1:74">
      <c r="A2323" s="18"/>
      <c r="B2323" s="19"/>
      <c r="BG2323" s="18"/>
      <c r="BH2323" s="18"/>
      <c r="BI2323" s="18"/>
      <c r="BJ2323" s="18"/>
      <c r="BK2323" s="18"/>
      <c r="BL2323" s="18"/>
      <c r="BM2323" s="18"/>
      <c r="BN2323" s="18"/>
      <c r="BO2323" s="18"/>
      <c r="BP2323" s="18"/>
      <c r="BQ2323" s="18"/>
      <c r="BR2323" s="18"/>
      <c r="BS2323" s="18"/>
      <c r="BT2323" s="18"/>
      <c r="BU2323" s="18"/>
      <c r="BV2323" s="18"/>
    </row>
    <row r="2324" spans="1:74">
      <c r="A2324" s="18"/>
      <c r="B2324" s="19"/>
      <c r="BG2324" s="18"/>
      <c r="BH2324" s="18"/>
      <c r="BI2324" s="18"/>
      <c r="BJ2324" s="18"/>
      <c r="BK2324" s="18"/>
      <c r="BL2324" s="18"/>
      <c r="BM2324" s="18"/>
      <c r="BN2324" s="18"/>
      <c r="BO2324" s="18"/>
      <c r="BP2324" s="18"/>
      <c r="BQ2324" s="18"/>
      <c r="BR2324" s="18"/>
      <c r="BS2324" s="18"/>
      <c r="BT2324" s="18"/>
      <c r="BU2324" s="18"/>
      <c r="BV2324" s="18"/>
    </row>
    <row r="2325" spans="1:74">
      <c r="A2325" s="18"/>
      <c r="B2325" s="19"/>
      <c r="BG2325" s="18"/>
      <c r="BH2325" s="18"/>
      <c r="BI2325" s="18"/>
      <c r="BJ2325" s="18"/>
      <c r="BK2325" s="18"/>
      <c r="BL2325" s="18"/>
      <c r="BM2325" s="18"/>
      <c r="BN2325" s="18"/>
      <c r="BO2325" s="18"/>
      <c r="BP2325" s="18"/>
      <c r="BQ2325" s="18"/>
      <c r="BR2325" s="18"/>
      <c r="BS2325" s="18"/>
      <c r="BT2325" s="18"/>
      <c r="BU2325" s="18"/>
      <c r="BV2325" s="18"/>
    </row>
    <row r="2326" spans="1:74">
      <c r="A2326" s="18"/>
      <c r="B2326" s="19"/>
      <c r="BG2326" s="18"/>
      <c r="BH2326" s="18"/>
      <c r="BI2326" s="18"/>
      <c r="BJ2326" s="18"/>
      <c r="BK2326" s="18"/>
      <c r="BL2326" s="18"/>
      <c r="BM2326" s="18"/>
      <c r="BN2326" s="18"/>
      <c r="BO2326" s="18"/>
      <c r="BP2326" s="18"/>
      <c r="BQ2326" s="18"/>
      <c r="BR2326" s="18"/>
      <c r="BS2326" s="18"/>
      <c r="BT2326" s="18"/>
      <c r="BU2326" s="18"/>
      <c r="BV2326" s="18"/>
    </row>
    <row r="2327" spans="1:74">
      <c r="A2327" s="18"/>
      <c r="B2327" s="19"/>
      <c r="BG2327" s="18"/>
      <c r="BH2327" s="18"/>
      <c r="BI2327" s="18"/>
      <c r="BJ2327" s="18"/>
      <c r="BK2327" s="18"/>
      <c r="BL2327" s="18"/>
      <c r="BM2327" s="18"/>
      <c r="BN2327" s="18"/>
      <c r="BO2327" s="18"/>
      <c r="BP2327" s="18"/>
      <c r="BQ2327" s="18"/>
      <c r="BR2327" s="18"/>
      <c r="BS2327" s="18"/>
      <c r="BT2327" s="18"/>
      <c r="BU2327" s="18"/>
      <c r="BV2327" s="18"/>
    </row>
    <row r="2328" spans="1:74">
      <c r="A2328" s="18"/>
      <c r="B2328" s="19"/>
      <c r="BG2328" s="18"/>
      <c r="BH2328" s="18"/>
      <c r="BI2328" s="18"/>
      <c r="BJ2328" s="18"/>
      <c r="BK2328" s="18"/>
      <c r="BL2328" s="18"/>
      <c r="BM2328" s="18"/>
      <c r="BN2328" s="18"/>
      <c r="BO2328" s="18"/>
      <c r="BP2328" s="18"/>
      <c r="BQ2328" s="18"/>
      <c r="BR2328" s="18"/>
      <c r="BS2328" s="18"/>
      <c r="BT2328" s="18"/>
      <c r="BU2328" s="18"/>
      <c r="BV2328" s="18"/>
    </row>
    <row r="2329" spans="1:74">
      <c r="A2329" s="18"/>
      <c r="B2329" s="19"/>
      <c r="BG2329" s="18"/>
      <c r="BH2329" s="18"/>
      <c r="BI2329" s="18"/>
      <c r="BJ2329" s="18"/>
      <c r="BK2329" s="18"/>
      <c r="BL2329" s="18"/>
      <c r="BM2329" s="18"/>
      <c r="BN2329" s="18"/>
      <c r="BO2329" s="18"/>
      <c r="BP2329" s="18"/>
      <c r="BQ2329" s="18"/>
      <c r="BR2329" s="18"/>
      <c r="BS2329" s="18"/>
      <c r="BT2329" s="18"/>
      <c r="BU2329" s="18"/>
      <c r="BV2329" s="18"/>
    </row>
    <row r="2330" spans="1:74">
      <c r="A2330" s="18"/>
      <c r="B2330" s="19"/>
      <c r="BG2330" s="18"/>
      <c r="BH2330" s="18"/>
      <c r="BI2330" s="18"/>
      <c r="BJ2330" s="18"/>
      <c r="BK2330" s="18"/>
      <c r="BL2330" s="18"/>
      <c r="BM2330" s="18"/>
      <c r="BN2330" s="18"/>
      <c r="BO2330" s="18"/>
      <c r="BP2330" s="18"/>
      <c r="BQ2330" s="18"/>
      <c r="BR2330" s="18"/>
      <c r="BS2330" s="18"/>
      <c r="BT2330" s="18"/>
      <c r="BU2330" s="18"/>
      <c r="BV2330" s="18"/>
    </row>
    <row r="2331" spans="1:74">
      <c r="A2331" s="18"/>
      <c r="B2331" s="19"/>
      <c r="BG2331" s="18"/>
      <c r="BH2331" s="18"/>
      <c r="BI2331" s="18"/>
      <c r="BJ2331" s="18"/>
      <c r="BK2331" s="18"/>
      <c r="BL2331" s="18"/>
      <c r="BM2331" s="18"/>
      <c r="BN2331" s="18"/>
      <c r="BO2331" s="18"/>
      <c r="BP2331" s="18"/>
      <c r="BQ2331" s="18"/>
      <c r="BR2331" s="18"/>
      <c r="BS2331" s="18"/>
      <c r="BT2331" s="18"/>
      <c r="BU2331" s="18"/>
      <c r="BV2331" s="18"/>
    </row>
    <row r="2332" spans="1:74">
      <c r="A2332" s="18"/>
      <c r="B2332" s="19"/>
      <c r="BG2332" s="18"/>
      <c r="BH2332" s="18"/>
      <c r="BI2332" s="18"/>
      <c r="BJ2332" s="18"/>
      <c r="BK2332" s="18"/>
      <c r="BL2332" s="18"/>
      <c r="BM2332" s="18"/>
      <c r="BN2332" s="18"/>
      <c r="BO2332" s="18"/>
      <c r="BP2332" s="18"/>
      <c r="BQ2332" s="18"/>
      <c r="BR2332" s="18"/>
      <c r="BS2332" s="18"/>
      <c r="BT2332" s="18"/>
      <c r="BU2332" s="18"/>
      <c r="BV2332" s="18"/>
    </row>
    <row r="2333" spans="1:74">
      <c r="A2333" s="18"/>
      <c r="B2333" s="19"/>
      <c r="BG2333" s="18"/>
      <c r="BH2333" s="18"/>
      <c r="BI2333" s="18"/>
      <c r="BJ2333" s="18"/>
      <c r="BK2333" s="18"/>
      <c r="BL2333" s="18"/>
      <c r="BM2333" s="18"/>
      <c r="BN2333" s="18"/>
      <c r="BO2333" s="18"/>
      <c r="BP2333" s="18"/>
      <c r="BQ2333" s="18"/>
      <c r="BR2333" s="18"/>
      <c r="BS2333" s="18"/>
      <c r="BT2333" s="18"/>
      <c r="BU2333" s="18"/>
      <c r="BV2333" s="18"/>
    </row>
    <row r="2334" spans="1:74">
      <c r="A2334" s="18"/>
      <c r="B2334" s="19"/>
      <c r="BG2334" s="18"/>
      <c r="BH2334" s="18"/>
      <c r="BI2334" s="18"/>
      <c r="BJ2334" s="18"/>
      <c r="BK2334" s="18"/>
      <c r="BL2334" s="18"/>
      <c r="BM2334" s="18"/>
      <c r="BN2334" s="18"/>
      <c r="BO2334" s="18"/>
      <c r="BP2334" s="18"/>
      <c r="BQ2334" s="18"/>
      <c r="BR2334" s="18"/>
      <c r="BS2334" s="18"/>
      <c r="BT2334" s="18"/>
      <c r="BU2334" s="18"/>
      <c r="BV2334" s="18"/>
    </row>
    <row r="2335" spans="1:74">
      <c r="A2335" s="18"/>
      <c r="B2335" s="19"/>
      <c r="BG2335" s="18"/>
      <c r="BH2335" s="18"/>
      <c r="BI2335" s="18"/>
      <c r="BJ2335" s="18"/>
      <c r="BK2335" s="18"/>
      <c r="BL2335" s="18"/>
      <c r="BM2335" s="18"/>
      <c r="BN2335" s="18"/>
      <c r="BO2335" s="18"/>
      <c r="BP2335" s="18"/>
      <c r="BQ2335" s="18"/>
      <c r="BR2335" s="18"/>
      <c r="BS2335" s="18"/>
      <c r="BT2335" s="18"/>
      <c r="BU2335" s="18"/>
      <c r="BV2335" s="18"/>
    </row>
    <row r="2336" spans="1:74">
      <c r="A2336" s="18"/>
      <c r="B2336" s="19"/>
      <c r="BG2336" s="18"/>
      <c r="BH2336" s="18"/>
      <c r="BI2336" s="18"/>
      <c r="BJ2336" s="18"/>
      <c r="BK2336" s="18"/>
      <c r="BL2336" s="18"/>
      <c r="BM2336" s="18"/>
      <c r="BN2336" s="18"/>
      <c r="BO2336" s="18"/>
      <c r="BP2336" s="18"/>
      <c r="BQ2336" s="18"/>
      <c r="BR2336" s="18"/>
      <c r="BS2336" s="18"/>
      <c r="BT2336" s="18"/>
      <c r="BU2336" s="18"/>
      <c r="BV2336" s="18"/>
    </row>
    <row r="2337" spans="1:74">
      <c r="A2337" s="18"/>
      <c r="B2337" s="19"/>
      <c r="BG2337" s="18"/>
      <c r="BH2337" s="18"/>
      <c r="BI2337" s="18"/>
      <c r="BJ2337" s="18"/>
      <c r="BK2337" s="18"/>
      <c r="BL2337" s="18"/>
      <c r="BM2337" s="18"/>
      <c r="BN2337" s="18"/>
      <c r="BO2337" s="18"/>
      <c r="BP2337" s="18"/>
      <c r="BQ2337" s="18"/>
      <c r="BR2337" s="18"/>
      <c r="BS2337" s="18"/>
      <c r="BT2337" s="18"/>
      <c r="BU2337" s="18"/>
      <c r="BV2337" s="18"/>
    </row>
    <row r="2338" spans="1:74">
      <c r="A2338" s="18"/>
      <c r="B2338" s="19"/>
      <c r="BG2338" s="18"/>
      <c r="BH2338" s="18"/>
      <c r="BI2338" s="18"/>
      <c r="BJ2338" s="18"/>
      <c r="BK2338" s="18"/>
      <c r="BL2338" s="18"/>
      <c r="BM2338" s="18"/>
      <c r="BN2338" s="18"/>
      <c r="BO2338" s="18"/>
      <c r="BP2338" s="18"/>
      <c r="BQ2338" s="18"/>
      <c r="BR2338" s="18"/>
      <c r="BS2338" s="18"/>
      <c r="BT2338" s="18"/>
      <c r="BU2338" s="18"/>
      <c r="BV2338" s="18"/>
    </row>
    <row r="2339" spans="1:74">
      <c r="A2339" s="18"/>
      <c r="B2339" s="19"/>
      <c r="BG2339" s="18"/>
      <c r="BH2339" s="18"/>
      <c r="BI2339" s="18"/>
      <c r="BJ2339" s="18"/>
      <c r="BK2339" s="18"/>
      <c r="BL2339" s="18"/>
      <c r="BM2339" s="18"/>
      <c r="BN2339" s="18"/>
      <c r="BO2339" s="18"/>
      <c r="BP2339" s="18"/>
      <c r="BQ2339" s="18"/>
      <c r="BR2339" s="18"/>
      <c r="BS2339" s="18"/>
      <c r="BT2339" s="18"/>
      <c r="BU2339" s="18"/>
      <c r="BV2339" s="18"/>
    </row>
    <row r="2340" spans="1:74">
      <c r="A2340" s="18"/>
      <c r="B2340" s="19"/>
      <c r="BG2340" s="18"/>
      <c r="BH2340" s="18"/>
      <c r="BI2340" s="18"/>
      <c r="BJ2340" s="18"/>
      <c r="BK2340" s="18"/>
      <c r="BL2340" s="18"/>
      <c r="BM2340" s="18"/>
      <c r="BN2340" s="18"/>
      <c r="BO2340" s="18"/>
      <c r="BP2340" s="18"/>
      <c r="BQ2340" s="18"/>
      <c r="BR2340" s="18"/>
      <c r="BS2340" s="18"/>
      <c r="BT2340" s="18"/>
      <c r="BU2340" s="18"/>
      <c r="BV2340" s="18"/>
    </row>
    <row r="2341" spans="1:74">
      <c r="A2341" s="18"/>
      <c r="B2341" s="19"/>
      <c r="BG2341" s="18"/>
      <c r="BH2341" s="18"/>
      <c r="BI2341" s="18"/>
      <c r="BJ2341" s="18"/>
      <c r="BK2341" s="18"/>
      <c r="BL2341" s="18"/>
      <c r="BM2341" s="18"/>
      <c r="BN2341" s="18"/>
      <c r="BO2341" s="18"/>
      <c r="BP2341" s="18"/>
      <c r="BQ2341" s="18"/>
      <c r="BR2341" s="18"/>
      <c r="BS2341" s="18"/>
      <c r="BT2341" s="18"/>
      <c r="BU2341" s="18"/>
      <c r="BV2341" s="18"/>
    </row>
    <row r="2342" spans="1:74">
      <c r="A2342" s="18"/>
      <c r="B2342" s="19"/>
      <c r="BG2342" s="18"/>
      <c r="BH2342" s="18"/>
      <c r="BI2342" s="18"/>
      <c r="BJ2342" s="18"/>
      <c r="BK2342" s="18"/>
      <c r="BL2342" s="18"/>
      <c r="BM2342" s="18"/>
      <c r="BN2342" s="18"/>
      <c r="BO2342" s="18"/>
      <c r="BP2342" s="18"/>
      <c r="BQ2342" s="18"/>
      <c r="BR2342" s="18"/>
      <c r="BS2342" s="18"/>
      <c r="BT2342" s="18"/>
      <c r="BU2342" s="18"/>
      <c r="BV2342" s="18"/>
    </row>
    <row r="2343" spans="1:74">
      <c r="A2343" s="18"/>
      <c r="B2343" s="19"/>
      <c r="BG2343" s="18"/>
      <c r="BH2343" s="18"/>
      <c r="BI2343" s="18"/>
      <c r="BJ2343" s="18"/>
      <c r="BK2343" s="18"/>
      <c r="BL2343" s="18"/>
      <c r="BM2343" s="18"/>
      <c r="BN2343" s="18"/>
      <c r="BO2343" s="18"/>
      <c r="BP2343" s="18"/>
      <c r="BQ2343" s="18"/>
      <c r="BR2343" s="18"/>
      <c r="BS2343" s="18"/>
      <c r="BT2343" s="18"/>
      <c r="BU2343" s="18"/>
      <c r="BV2343" s="18"/>
    </row>
    <row r="2344" spans="1:74">
      <c r="A2344" s="18"/>
      <c r="B2344" s="19"/>
      <c r="BG2344" s="18"/>
      <c r="BH2344" s="18"/>
      <c r="BI2344" s="18"/>
      <c r="BJ2344" s="18"/>
      <c r="BK2344" s="18"/>
      <c r="BL2344" s="18"/>
      <c r="BM2344" s="18"/>
      <c r="BN2344" s="18"/>
      <c r="BO2344" s="18"/>
      <c r="BP2344" s="18"/>
      <c r="BQ2344" s="18"/>
      <c r="BR2344" s="18"/>
      <c r="BS2344" s="18"/>
      <c r="BT2344" s="18"/>
      <c r="BU2344" s="18"/>
      <c r="BV2344" s="18"/>
    </row>
    <row r="2345" spans="1:74">
      <c r="A2345" s="18"/>
      <c r="B2345" s="19"/>
      <c r="BG2345" s="18"/>
      <c r="BH2345" s="18"/>
      <c r="BI2345" s="18"/>
      <c r="BJ2345" s="18"/>
      <c r="BK2345" s="18"/>
      <c r="BL2345" s="18"/>
      <c r="BM2345" s="18"/>
      <c r="BN2345" s="18"/>
      <c r="BO2345" s="18"/>
      <c r="BP2345" s="18"/>
      <c r="BQ2345" s="18"/>
      <c r="BR2345" s="18"/>
      <c r="BS2345" s="18"/>
      <c r="BT2345" s="18"/>
      <c r="BU2345" s="18"/>
      <c r="BV2345" s="18"/>
    </row>
    <row r="2346" spans="1:74">
      <c r="A2346" s="18"/>
      <c r="B2346" s="19"/>
      <c r="BG2346" s="18"/>
      <c r="BH2346" s="18"/>
      <c r="BI2346" s="18"/>
      <c r="BJ2346" s="18"/>
      <c r="BK2346" s="18"/>
      <c r="BL2346" s="18"/>
      <c r="BM2346" s="18"/>
      <c r="BN2346" s="18"/>
      <c r="BO2346" s="18"/>
      <c r="BP2346" s="18"/>
      <c r="BQ2346" s="18"/>
      <c r="BR2346" s="18"/>
      <c r="BS2346" s="18"/>
      <c r="BT2346" s="18"/>
      <c r="BU2346" s="18"/>
      <c r="BV2346" s="18"/>
    </row>
    <row r="2347" spans="1:74">
      <c r="A2347" s="18"/>
      <c r="B2347" s="19"/>
      <c r="BG2347" s="18"/>
      <c r="BH2347" s="18"/>
      <c r="BI2347" s="18"/>
      <c r="BJ2347" s="18"/>
      <c r="BK2347" s="18"/>
      <c r="BL2347" s="18"/>
      <c r="BM2347" s="18"/>
      <c r="BN2347" s="18"/>
      <c r="BO2347" s="18"/>
      <c r="BP2347" s="18"/>
      <c r="BQ2347" s="18"/>
      <c r="BR2347" s="18"/>
      <c r="BS2347" s="18"/>
      <c r="BT2347" s="18"/>
      <c r="BU2347" s="18"/>
      <c r="BV2347" s="18"/>
    </row>
    <row r="2348" spans="1:74">
      <c r="A2348" s="18"/>
      <c r="B2348" s="19"/>
      <c r="BG2348" s="18"/>
      <c r="BH2348" s="18"/>
      <c r="BI2348" s="18"/>
      <c r="BJ2348" s="18"/>
      <c r="BK2348" s="18"/>
      <c r="BL2348" s="18"/>
      <c r="BM2348" s="18"/>
      <c r="BN2348" s="18"/>
      <c r="BO2348" s="18"/>
      <c r="BP2348" s="18"/>
      <c r="BQ2348" s="18"/>
      <c r="BR2348" s="18"/>
      <c r="BS2348" s="18"/>
      <c r="BT2348" s="18"/>
      <c r="BU2348" s="18"/>
      <c r="BV2348" s="18"/>
    </row>
    <row r="2349" spans="1:74">
      <c r="A2349" s="18"/>
      <c r="B2349" s="19"/>
      <c r="BG2349" s="18"/>
      <c r="BH2349" s="18"/>
      <c r="BI2349" s="18"/>
      <c r="BJ2349" s="18"/>
      <c r="BK2349" s="18"/>
      <c r="BL2349" s="18"/>
      <c r="BM2349" s="18"/>
      <c r="BN2349" s="18"/>
      <c r="BO2349" s="18"/>
      <c r="BP2349" s="18"/>
      <c r="BQ2349" s="18"/>
      <c r="BR2349" s="18"/>
      <c r="BS2349" s="18"/>
      <c r="BT2349" s="18"/>
      <c r="BU2349" s="18"/>
      <c r="BV2349" s="18"/>
    </row>
    <row r="2350" spans="1:74">
      <c r="A2350" s="18"/>
      <c r="B2350" s="19"/>
      <c r="BG2350" s="18"/>
      <c r="BH2350" s="18"/>
      <c r="BI2350" s="18"/>
      <c r="BJ2350" s="18"/>
      <c r="BK2350" s="18"/>
      <c r="BL2350" s="18"/>
      <c r="BM2350" s="18"/>
      <c r="BN2350" s="18"/>
      <c r="BO2350" s="18"/>
      <c r="BP2350" s="18"/>
      <c r="BQ2350" s="18"/>
      <c r="BR2350" s="18"/>
      <c r="BS2350" s="18"/>
      <c r="BT2350" s="18"/>
      <c r="BU2350" s="18"/>
      <c r="BV2350" s="18"/>
    </row>
    <row r="2351" spans="1:74">
      <c r="A2351" s="18"/>
      <c r="B2351" s="19"/>
      <c r="BG2351" s="18"/>
      <c r="BH2351" s="18"/>
      <c r="BI2351" s="18"/>
      <c r="BJ2351" s="18"/>
      <c r="BK2351" s="18"/>
      <c r="BL2351" s="18"/>
      <c r="BM2351" s="18"/>
      <c r="BN2351" s="18"/>
      <c r="BO2351" s="18"/>
      <c r="BP2351" s="18"/>
      <c r="BQ2351" s="18"/>
      <c r="BR2351" s="18"/>
      <c r="BS2351" s="18"/>
      <c r="BT2351" s="18"/>
      <c r="BU2351" s="18"/>
      <c r="BV2351" s="18"/>
    </row>
    <row r="2352" spans="1:74">
      <c r="A2352" s="18"/>
      <c r="B2352" s="19"/>
      <c r="BG2352" s="18"/>
      <c r="BH2352" s="18"/>
      <c r="BI2352" s="18"/>
      <c r="BJ2352" s="18"/>
      <c r="BK2352" s="18"/>
      <c r="BL2352" s="18"/>
      <c r="BM2352" s="18"/>
      <c r="BN2352" s="18"/>
      <c r="BO2352" s="18"/>
      <c r="BP2352" s="18"/>
      <c r="BQ2352" s="18"/>
      <c r="BR2352" s="18"/>
      <c r="BS2352" s="18"/>
      <c r="BT2352" s="18"/>
      <c r="BU2352" s="18"/>
      <c r="BV2352" s="18"/>
    </row>
    <row r="2353" spans="1:74">
      <c r="A2353" s="18"/>
      <c r="B2353" s="19"/>
      <c r="BG2353" s="18"/>
      <c r="BH2353" s="18"/>
      <c r="BI2353" s="18"/>
      <c r="BJ2353" s="18"/>
      <c r="BK2353" s="18"/>
      <c r="BL2353" s="18"/>
      <c r="BM2353" s="18"/>
      <c r="BN2353" s="18"/>
      <c r="BO2353" s="18"/>
      <c r="BP2353" s="18"/>
      <c r="BQ2353" s="18"/>
      <c r="BR2353" s="18"/>
      <c r="BS2353" s="18"/>
      <c r="BT2353" s="18"/>
      <c r="BU2353" s="18"/>
      <c r="BV2353" s="18"/>
    </row>
    <row r="2354" spans="1:74">
      <c r="A2354" s="18"/>
      <c r="B2354" s="19"/>
      <c r="BG2354" s="18"/>
      <c r="BH2354" s="18"/>
      <c r="BI2354" s="18"/>
      <c r="BJ2354" s="18"/>
      <c r="BK2354" s="18"/>
      <c r="BL2354" s="18"/>
      <c r="BM2354" s="18"/>
      <c r="BN2354" s="18"/>
      <c r="BO2354" s="18"/>
      <c r="BP2354" s="18"/>
      <c r="BQ2354" s="18"/>
      <c r="BR2354" s="18"/>
      <c r="BS2354" s="18"/>
      <c r="BT2354" s="18"/>
      <c r="BU2354" s="18"/>
      <c r="BV2354" s="18"/>
    </row>
    <row r="2355" spans="1:74">
      <c r="A2355" s="18"/>
      <c r="B2355" s="19"/>
      <c r="BG2355" s="18"/>
      <c r="BH2355" s="18"/>
      <c r="BI2355" s="18"/>
      <c r="BJ2355" s="18"/>
      <c r="BK2355" s="18"/>
      <c r="BL2355" s="18"/>
      <c r="BM2355" s="18"/>
      <c r="BN2355" s="18"/>
      <c r="BO2355" s="18"/>
      <c r="BP2355" s="18"/>
      <c r="BQ2355" s="18"/>
      <c r="BR2355" s="18"/>
      <c r="BS2355" s="18"/>
      <c r="BT2355" s="18"/>
      <c r="BU2355" s="18"/>
      <c r="BV2355" s="18"/>
    </row>
    <row r="2356" spans="1:74">
      <c r="A2356" s="18"/>
      <c r="B2356" s="19"/>
      <c r="BG2356" s="18"/>
      <c r="BH2356" s="18"/>
      <c r="BI2356" s="18"/>
      <c r="BJ2356" s="18"/>
      <c r="BK2356" s="18"/>
      <c r="BL2356" s="18"/>
      <c r="BM2356" s="18"/>
      <c r="BN2356" s="18"/>
      <c r="BO2356" s="18"/>
      <c r="BP2356" s="18"/>
      <c r="BQ2356" s="18"/>
      <c r="BR2356" s="18"/>
      <c r="BS2356" s="18"/>
      <c r="BT2356" s="18"/>
      <c r="BU2356" s="18"/>
      <c r="BV2356" s="18"/>
    </row>
    <row r="2357" spans="1:74">
      <c r="A2357" s="18"/>
      <c r="B2357" s="19"/>
      <c r="BG2357" s="18"/>
      <c r="BH2357" s="18"/>
      <c r="BI2357" s="18"/>
      <c r="BJ2357" s="18"/>
      <c r="BK2357" s="18"/>
      <c r="BL2357" s="18"/>
      <c r="BM2357" s="18"/>
      <c r="BN2357" s="18"/>
      <c r="BO2357" s="18"/>
      <c r="BP2357" s="18"/>
      <c r="BQ2357" s="18"/>
      <c r="BR2357" s="18"/>
      <c r="BS2357" s="18"/>
      <c r="BT2357" s="18"/>
      <c r="BU2357" s="18"/>
      <c r="BV2357" s="18"/>
    </row>
    <row r="2358" spans="1:74">
      <c r="A2358" s="18"/>
      <c r="B2358" s="19"/>
      <c r="BG2358" s="18"/>
      <c r="BH2358" s="18"/>
      <c r="BI2358" s="18"/>
      <c r="BJ2358" s="18"/>
      <c r="BK2358" s="18"/>
      <c r="BL2358" s="18"/>
      <c r="BM2358" s="18"/>
      <c r="BN2358" s="18"/>
      <c r="BO2358" s="18"/>
      <c r="BP2358" s="18"/>
      <c r="BQ2358" s="18"/>
      <c r="BR2358" s="18"/>
      <c r="BS2358" s="18"/>
      <c r="BT2358" s="18"/>
      <c r="BU2358" s="18"/>
      <c r="BV2358" s="18"/>
    </row>
    <row r="2359" spans="1:74">
      <c r="A2359" s="18"/>
      <c r="B2359" s="19"/>
      <c r="BG2359" s="18"/>
      <c r="BH2359" s="18"/>
      <c r="BI2359" s="18"/>
      <c r="BJ2359" s="18"/>
      <c r="BK2359" s="18"/>
      <c r="BL2359" s="18"/>
      <c r="BM2359" s="18"/>
      <c r="BN2359" s="18"/>
      <c r="BO2359" s="18"/>
      <c r="BP2359" s="18"/>
      <c r="BQ2359" s="18"/>
      <c r="BR2359" s="18"/>
      <c r="BS2359" s="18"/>
      <c r="BT2359" s="18"/>
      <c r="BU2359" s="18"/>
      <c r="BV2359" s="18"/>
    </row>
    <row r="2360" spans="1:74">
      <c r="A2360" s="18"/>
      <c r="B2360" s="19"/>
      <c r="BG2360" s="18"/>
      <c r="BH2360" s="18"/>
      <c r="BI2360" s="18"/>
      <c r="BJ2360" s="18"/>
      <c r="BK2360" s="18"/>
      <c r="BL2360" s="18"/>
      <c r="BM2360" s="18"/>
      <c r="BN2360" s="18"/>
      <c r="BO2360" s="18"/>
      <c r="BP2360" s="18"/>
      <c r="BQ2360" s="18"/>
      <c r="BR2360" s="18"/>
      <c r="BS2360" s="18"/>
      <c r="BT2360" s="18"/>
      <c r="BU2360" s="18"/>
      <c r="BV2360" s="18"/>
    </row>
    <row r="2361" spans="1:74">
      <c r="A2361" s="18"/>
      <c r="B2361" s="19"/>
      <c r="BG2361" s="18"/>
      <c r="BH2361" s="18"/>
      <c r="BI2361" s="18"/>
      <c r="BJ2361" s="18"/>
      <c r="BK2361" s="18"/>
      <c r="BL2361" s="18"/>
      <c r="BM2361" s="18"/>
      <c r="BN2361" s="18"/>
      <c r="BO2361" s="18"/>
      <c r="BP2361" s="18"/>
      <c r="BQ2361" s="18"/>
      <c r="BR2361" s="18"/>
      <c r="BS2361" s="18"/>
      <c r="BT2361" s="18"/>
      <c r="BU2361" s="18"/>
      <c r="BV2361" s="18"/>
    </row>
    <row r="2362" spans="1:74">
      <c r="A2362" s="18"/>
      <c r="B2362" s="19"/>
      <c r="BG2362" s="18"/>
      <c r="BH2362" s="18"/>
      <c r="BI2362" s="18"/>
      <c r="BJ2362" s="18"/>
      <c r="BK2362" s="18"/>
      <c r="BL2362" s="18"/>
      <c r="BM2362" s="18"/>
      <c r="BN2362" s="18"/>
      <c r="BO2362" s="18"/>
      <c r="BP2362" s="18"/>
      <c r="BQ2362" s="18"/>
      <c r="BR2362" s="18"/>
      <c r="BS2362" s="18"/>
      <c r="BT2362" s="18"/>
      <c r="BU2362" s="18"/>
      <c r="BV2362" s="18"/>
    </row>
    <row r="2363" spans="1:74">
      <c r="A2363" s="18"/>
      <c r="B2363" s="19"/>
      <c r="BG2363" s="18"/>
      <c r="BH2363" s="18"/>
      <c r="BI2363" s="18"/>
      <c r="BJ2363" s="18"/>
      <c r="BK2363" s="18"/>
      <c r="BL2363" s="18"/>
      <c r="BM2363" s="18"/>
      <c r="BN2363" s="18"/>
      <c r="BO2363" s="18"/>
      <c r="BP2363" s="18"/>
      <c r="BQ2363" s="18"/>
      <c r="BR2363" s="18"/>
      <c r="BS2363" s="18"/>
      <c r="BT2363" s="18"/>
      <c r="BU2363" s="18"/>
      <c r="BV2363" s="18"/>
    </row>
    <row r="2364" spans="1:74">
      <c r="A2364" s="18"/>
      <c r="B2364" s="19"/>
      <c r="BG2364" s="18"/>
      <c r="BH2364" s="18"/>
      <c r="BI2364" s="18"/>
      <c r="BJ2364" s="18"/>
      <c r="BK2364" s="18"/>
      <c r="BL2364" s="18"/>
      <c r="BM2364" s="18"/>
      <c r="BN2364" s="18"/>
      <c r="BO2364" s="18"/>
      <c r="BP2364" s="18"/>
      <c r="BQ2364" s="18"/>
      <c r="BR2364" s="18"/>
      <c r="BS2364" s="18"/>
      <c r="BT2364" s="18"/>
      <c r="BU2364" s="18"/>
      <c r="BV2364" s="18"/>
    </row>
    <row r="2365" spans="1:74">
      <c r="A2365" s="18"/>
      <c r="B2365" s="19"/>
      <c r="BG2365" s="18"/>
      <c r="BH2365" s="18"/>
      <c r="BI2365" s="18"/>
      <c r="BJ2365" s="18"/>
      <c r="BK2365" s="18"/>
      <c r="BL2365" s="18"/>
      <c r="BM2365" s="18"/>
      <c r="BN2365" s="18"/>
      <c r="BO2365" s="18"/>
      <c r="BP2365" s="18"/>
      <c r="BQ2365" s="18"/>
      <c r="BR2365" s="18"/>
      <c r="BS2365" s="18"/>
      <c r="BT2365" s="18"/>
      <c r="BU2365" s="18"/>
      <c r="BV2365" s="18"/>
    </row>
    <row r="2366" spans="1:74">
      <c r="A2366" s="18"/>
      <c r="B2366" s="19"/>
      <c r="BG2366" s="18"/>
      <c r="BH2366" s="18"/>
      <c r="BI2366" s="18"/>
      <c r="BJ2366" s="18"/>
      <c r="BK2366" s="18"/>
      <c r="BL2366" s="18"/>
      <c r="BM2366" s="18"/>
      <c r="BN2366" s="18"/>
      <c r="BO2366" s="18"/>
      <c r="BP2366" s="18"/>
      <c r="BQ2366" s="18"/>
      <c r="BR2366" s="18"/>
      <c r="BS2366" s="18"/>
      <c r="BT2366" s="18"/>
      <c r="BU2366" s="18"/>
      <c r="BV2366" s="18"/>
    </row>
    <row r="2367" spans="1:74">
      <c r="A2367" s="18"/>
      <c r="B2367" s="19"/>
      <c r="BG2367" s="18"/>
      <c r="BH2367" s="18"/>
      <c r="BI2367" s="18"/>
      <c r="BJ2367" s="18"/>
      <c r="BK2367" s="18"/>
      <c r="BL2367" s="18"/>
      <c r="BM2367" s="18"/>
      <c r="BN2367" s="18"/>
      <c r="BO2367" s="18"/>
      <c r="BP2367" s="18"/>
      <c r="BQ2367" s="18"/>
      <c r="BR2367" s="18"/>
      <c r="BS2367" s="18"/>
      <c r="BT2367" s="18"/>
      <c r="BU2367" s="18"/>
      <c r="BV2367" s="18"/>
    </row>
    <row r="2368" spans="1:74">
      <c r="A2368" s="18"/>
      <c r="B2368" s="19"/>
      <c r="BG2368" s="18"/>
      <c r="BH2368" s="18"/>
      <c r="BI2368" s="18"/>
      <c r="BJ2368" s="18"/>
      <c r="BK2368" s="18"/>
      <c r="BL2368" s="18"/>
      <c r="BM2368" s="18"/>
      <c r="BN2368" s="18"/>
      <c r="BO2368" s="18"/>
      <c r="BP2368" s="18"/>
      <c r="BQ2368" s="18"/>
      <c r="BR2368" s="18"/>
      <c r="BS2368" s="18"/>
      <c r="BT2368" s="18"/>
      <c r="BU2368" s="18"/>
      <c r="BV2368" s="18"/>
    </row>
    <row r="2369" spans="1:74">
      <c r="A2369" s="18"/>
      <c r="B2369" s="19"/>
      <c r="BG2369" s="18"/>
      <c r="BH2369" s="18"/>
      <c r="BI2369" s="18"/>
      <c r="BJ2369" s="18"/>
      <c r="BK2369" s="18"/>
      <c r="BL2369" s="18"/>
      <c r="BM2369" s="18"/>
      <c r="BN2369" s="18"/>
      <c r="BO2369" s="18"/>
      <c r="BP2369" s="18"/>
      <c r="BQ2369" s="18"/>
      <c r="BR2369" s="18"/>
      <c r="BS2369" s="18"/>
      <c r="BT2369" s="18"/>
      <c r="BU2369" s="18"/>
      <c r="BV2369" s="18"/>
    </row>
    <row r="2370" spans="1:74">
      <c r="A2370" s="18"/>
      <c r="B2370" s="19"/>
      <c r="BG2370" s="18"/>
      <c r="BH2370" s="18"/>
      <c r="BI2370" s="18"/>
      <c r="BJ2370" s="18"/>
      <c r="BK2370" s="18"/>
      <c r="BL2370" s="18"/>
      <c r="BM2370" s="18"/>
      <c r="BN2370" s="18"/>
      <c r="BO2370" s="18"/>
      <c r="BP2370" s="18"/>
      <c r="BQ2370" s="18"/>
      <c r="BR2370" s="18"/>
      <c r="BS2370" s="18"/>
      <c r="BT2370" s="18"/>
      <c r="BU2370" s="18"/>
      <c r="BV2370" s="18"/>
    </row>
    <row r="2371" spans="1:74">
      <c r="A2371" s="18"/>
      <c r="B2371" s="19"/>
      <c r="BG2371" s="18"/>
      <c r="BH2371" s="18"/>
      <c r="BI2371" s="18"/>
      <c r="BJ2371" s="18"/>
      <c r="BK2371" s="18"/>
      <c r="BL2371" s="18"/>
      <c r="BM2371" s="18"/>
      <c r="BN2371" s="18"/>
      <c r="BO2371" s="18"/>
      <c r="BP2371" s="18"/>
      <c r="BQ2371" s="18"/>
      <c r="BR2371" s="18"/>
      <c r="BS2371" s="18"/>
      <c r="BT2371" s="18"/>
      <c r="BU2371" s="18"/>
      <c r="BV2371" s="18"/>
    </row>
    <row r="2372" spans="1:74">
      <c r="A2372" s="18"/>
      <c r="B2372" s="19"/>
      <c r="BG2372" s="18"/>
      <c r="BH2372" s="18"/>
      <c r="BI2372" s="18"/>
      <c r="BJ2372" s="18"/>
      <c r="BK2372" s="18"/>
      <c r="BL2372" s="18"/>
      <c r="BM2372" s="18"/>
      <c r="BN2372" s="18"/>
      <c r="BO2372" s="18"/>
      <c r="BP2372" s="18"/>
      <c r="BQ2372" s="18"/>
      <c r="BR2372" s="18"/>
      <c r="BS2372" s="18"/>
      <c r="BT2372" s="18"/>
      <c r="BU2372" s="18"/>
      <c r="BV2372" s="18"/>
    </row>
    <row r="2373" spans="1:74">
      <c r="A2373" s="18"/>
      <c r="B2373" s="19"/>
      <c r="BG2373" s="18"/>
      <c r="BH2373" s="18"/>
      <c r="BI2373" s="18"/>
      <c r="BJ2373" s="18"/>
      <c r="BK2373" s="18"/>
      <c r="BL2373" s="18"/>
      <c r="BM2373" s="18"/>
      <c r="BN2373" s="18"/>
      <c r="BO2373" s="18"/>
      <c r="BP2373" s="18"/>
      <c r="BQ2373" s="18"/>
      <c r="BR2373" s="18"/>
      <c r="BS2373" s="18"/>
      <c r="BT2373" s="18"/>
      <c r="BU2373" s="18"/>
      <c r="BV2373" s="18"/>
    </row>
    <row r="2374" spans="1:74">
      <c r="A2374" s="18"/>
      <c r="B2374" s="19"/>
      <c r="BG2374" s="18"/>
      <c r="BH2374" s="18"/>
      <c r="BI2374" s="18"/>
      <c r="BJ2374" s="18"/>
      <c r="BK2374" s="18"/>
      <c r="BL2374" s="18"/>
      <c r="BM2374" s="18"/>
      <c r="BN2374" s="18"/>
      <c r="BO2374" s="18"/>
      <c r="BP2374" s="18"/>
      <c r="BQ2374" s="18"/>
      <c r="BR2374" s="18"/>
      <c r="BS2374" s="18"/>
      <c r="BT2374" s="18"/>
      <c r="BU2374" s="18"/>
      <c r="BV2374" s="18"/>
    </row>
    <row r="2375" spans="1:74">
      <c r="A2375" s="18"/>
      <c r="B2375" s="19"/>
      <c r="BG2375" s="18"/>
      <c r="BH2375" s="18"/>
      <c r="BI2375" s="18"/>
      <c r="BJ2375" s="18"/>
      <c r="BK2375" s="18"/>
      <c r="BL2375" s="18"/>
      <c r="BM2375" s="18"/>
      <c r="BN2375" s="18"/>
      <c r="BO2375" s="18"/>
      <c r="BP2375" s="18"/>
      <c r="BQ2375" s="18"/>
      <c r="BR2375" s="18"/>
      <c r="BS2375" s="18"/>
      <c r="BT2375" s="18"/>
      <c r="BU2375" s="18"/>
      <c r="BV2375" s="18"/>
    </row>
    <row r="2376" spans="1:74">
      <c r="A2376" s="18"/>
      <c r="B2376" s="19"/>
      <c r="BG2376" s="18"/>
      <c r="BH2376" s="18"/>
      <c r="BI2376" s="18"/>
      <c r="BJ2376" s="18"/>
      <c r="BK2376" s="18"/>
      <c r="BL2376" s="18"/>
      <c r="BM2376" s="18"/>
      <c r="BN2376" s="18"/>
      <c r="BO2376" s="18"/>
      <c r="BP2376" s="18"/>
      <c r="BQ2376" s="18"/>
      <c r="BR2376" s="18"/>
      <c r="BS2376" s="18"/>
      <c r="BT2376" s="18"/>
      <c r="BU2376" s="18"/>
      <c r="BV2376" s="18"/>
    </row>
    <row r="2377" spans="1:74">
      <c r="A2377" s="18"/>
      <c r="B2377" s="19"/>
      <c r="BG2377" s="18"/>
      <c r="BH2377" s="18"/>
      <c r="BI2377" s="18"/>
      <c r="BJ2377" s="18"/>
      <c r="BK2377" s="18"/>
      <c r="BL2377" s="18"/>
      <c r="BM2377" s="18"/>
      <c r="BN2377" s="18"/>
      <c r="BO2377" s="18"/>
      <c r="BP2377" s="18"/>
      <c r="BQ2377" s="18"/>
      <c r="BR2377" s="18"/>
      <c r="BS2377" s="18"/>
      <c r="BT2377" s="18"/>
      <c r="BU2377" s="18"/>
      <c r="BV2377" s="18"/>
    </row>
    <row r="2378" spans="1:74">
      <c r="A2378" s="18"/>
      <c r="B2378" s="19"/>
      <c r="BG2378" s="18"/>
      <c r="BH2378" s="18"/>
      <c r="BI2378" s="18"/>
      <c r="BJ2378" s="18"/>
      <c r="BK2378" s="18"/>
      <c r="BL2378" s="18"/>
      <c r="BM2378" s="18"/>
      <c r="BN2378" s="18"/>
      <c r="BO2378" s="18"/>
      <c r="BP2378" s="18"/>
      <c r="BQ2378" s="18"/>
      <c r="BR2378" s="18"/>
      <c r="BS2378" s="18"/>
      <c r="BT2378" s="18"/>
      <c r="BU2378" s="18"/>
      <c r="BV2378" s="18"/>
    </row>
    <row r="2379" spans="1:74">
      <c r="A2379" s="18"/>
      <c r="B2379" s="19"/>
      <c r="BG2379" s="18"/>
      <c r="BH2379" s="18"/>
      <c r="BI2379" s="18"/>
      <c r="BJ2379" s="18"/>
      <c r="BK2379" s="18"/>
      <c r="BL2379" s="18"/>
      <c r="BM2379" s="18"/>
      <c r="BN2379" s="18"/>
      <c r="BO2379" s="18"/>
      <c r="BP2379" s="18"/>
      <c r="BQ2379" s="18"/>
      <c r="BR2379" s="18"/>
      <c r="BS2379" s="18"/>
      <c r="BT2379" s="18"/>
      <c r="BU2379" s="18"/>
      <c r="BV2379" s="18"/>
    </row>
    <row r="2380" spans="1:74">
      <c r="A2380" s="18"/>
      <c r="B2380" s="19"/>
      <c r="BG2380" s="18"/>
      <c r="BH2380" s="18"/>
      <c r="BI2380" s="18"/>
      <c r="BJ2380" s="18"/>
      <c r="BK2380" s="18"/>
      <c r="BL2380" s="18"/>
      <c r="BM2380" s="18"/>
      <c r="BN2380" s="18"/>
      <c r="BO2380" s="18"/>
      <c r="BP2380" s="18"/>
      <c r="BQ2380" s="18"/>
      <c r="BR2380" s="18"/>
      <c r="BS2380" s="18"/>
      <c r="BT2380" s="18"/>
      <c r="BU2380" s="18"/>
      <c r="BV2380" s="18"/>
    </row>
    <row r="2381" spans="1:74">
      <c r="A2381" s="18"/>
      <c r="B2381" s="19"/>
      <c r="BG2381" s="18"/>
      <c r="BH2381" s="18"/>
      <c r="BI2381" s="18"/>
      <c r="BJ2381" s="18"/>
      <c r="BK2381" s="18"/>
      <c r="BL2381" s="18"/>
      <c r="BM2381" s="18"/>
      <c r="BN2381" s="18"/>
      <c r="BO2381" s="18"/>
      <c r="BP2381" s="18"/>
      <c r="BQ2381" s="18"/>
      <c r="BR2381" s="18"/>
      <c r="BS2381" s="18"/>
      <c r="BT2381" s="18"/>
      <c r="BU2381" s="18"/>
      <c r="BV2381" s="18"/>
    </row>
    <row r="2382" spans="1:74">
      <c r="A2382" s="18"/>
      <c r="B2382" s="19"/>
      <c r="BG2382" s="18"/>
      <c r="BH2382" s="18"/>
      <c r="BI2382" s="18"/>
      <c r="BJ2382" s="18"/>
      <c r="BK2382" s="18"/>
      <c r="BL2382" s="18"/>
      <c r="BM2382" s="18"/>
      <c r="BN2382" s="18"/>
      <c r="BO2382" s="18"/>
      <c r="BP2382" s="18"/>
      <c r="BQ2382" s="18"/>
      <c r="BR2382" s="18"/>
      <c r="BS2382" s="18"/>
      <c r="BT2382" s="18"/>
      <c r="BU2382" s="18"/>
      <c r="BV2382" s="18"/>
    </row>
    <row r="2383" spans="1:74">
      <c r="A2383" s="18"/>
      <c r="B2383" s="19"/>
      <c r="BG2383" s="18"/>
      <c r="BH2383" s="18"/>
      <c r="BI2383" s="18"/>
      <c r="BJ2383" s="18"/>
      <c r="BK2383" s="18"/>
      <c r="BL2383" s="18"/>
      <c r="BM2383" s="18"/>
      <c r="BN2383" s="18"/>
      <c r="BO2383" s="18"/>
      <c r="BP2383" s="18"/>
      <c r="BQ2383" s="18"/>
      <c r="BR2383" s="18"/>
      <c r="BS2383" s="18"/>
      <c r="BT2383" s="18"/>
      <c r="BU2383" s="18"/>
      <c r="BV2383" s="18"/>
    </row>
    <row r="2384" spans="1:74">
      <c r="A2384" s="18"/>
      <c r="B2384" s="19"/>
      <c r="BG2384" s="18"/>
      <c r="BH2384" s="18"/>
      <c r="BI2384" s="18"/>
      <c r="BJ2384" s="18"/>
      <c r="BK2384" s="18"/>
      <c r="BL2384" s="18"/>
      <c r="BM2384" s="18"/>
      <c r="BN2384" s="18"/>
      <c r="BO2384" s="18"/>
      <c r="BP2384" s="18"/>
      <c r="BQ2384" s="18"/>
      <c r="BR2384" s="18"/>
      <c r="BS2384" s="18"/>
      <c r="BT2384" s="18"/>
      <c r="BU2384" s="18"/>
      <c r="BV2384" s="18"/>
    </row>
    <row r="2385" spans="1:74">
      <c r="A2385" s="18"/>
      <c r="B2385" s="19"/>
      <c r="BG2385" s="18"/>
      <c r="BH2385" s="18"/>
      <c r="BI2385" s="18"/>
      <c r="BJ2385" s="18"/>
      <c r="BK2385" s="18"/>
      <c r="BL2385" s="18"/>
      <c r="BM2385" s="18"/>
      <c r="BN2385" s="18"/>
      <c r="BO2385" s="18"/>
      <c r="BP2385" s="18"/>
      <c r="BQ2385" s="18"/>
      <c r="BR2385" s="18"/>
      <c r="BS2385" s="18"/>
      <c r="BT2385" s="18"/>
      <c r="BU2385" s="18"/>
      <c r="BV2385" s="18"/>
    </row>
    <row r="2386" spans="1:74">
      <c r="A2386" s="18"/>
      <c r="B2386" s="19"/>
      <c r="BG2386" s="18"/>
      <c r="BH2386" s="18"/>
      <c r="BI2386" s="18"/>
      <c r="BJ2386" s="18"/>
      <c r="BK2386" s="18"/>
      <c r="BL2386" s="18"/>
      <c r="BM2386" s="18"/>
      <c r="BN2386" s="18"/>
      <c r="BO2386" s="18"/>
      <c r="BP2386" s="18"/>
      <c r="BQ2386" s="18"/>
      <c r="BR2386" s="18"/>
      <c r="BS2386" s="18"/>
      <c r="BT2386" s="18"/>
      <c r="BU2386" s="18"/>
      <c r="BV2386" s="18"/>
    </row>
    <row r="2387" spans="1:74">
      <c r="A2387" s="18"/>
      <c r="B2387" s="19"/>
      <c r="BG2387" s="18"/>
      <c r="BH2387" s="18"/>
      <c r="BI2387" s="18"/>
      <c r="BJ2387" s="18"/>
      <c r="BK2387" s="18"/>
      <c r="BL2387" s="18"/>
      <c r="BM2387" s="18"/>
      <c r="BN2387" s="18"/>
      <c r="BO2387" s="18"/>
      <c r="BP2387" s="18"/>
      <c r="BQ2387" s="18"/>
      <c r="BR2387" s="18"/>
      <c r="BS2387" s="18"/>
      <c r="BT2387" s="18"/>
      <c r="BU2387" s="18"/>
      <c r="BV2387" s="18"/>
    </row>
    <row r="2388" spans="1:74">
      <c r="A2388" s="18"/>
      <c r="B2388" s="19"/>
      <c r="BG2388" s="18"/>
      <c r="BH2388" s="18"/>
      <c r="BI2388" s="18"/>
      <c r="BJ2388" s="18"/>
      <c r="BK2388" s="18"/>
      <c r="BL2388" s="18"/>
      <c r="BM2388" s="18"/>
      <c r="BN2388" s="18"/>
      <c r="BO2388" s="18"/>
      <c r="BP2388" s="18"/>
      <c r="BQ2388" s="18"/>
      <c r="BR2388" s="18"/>
      <c r="BS2388" s="18"/>
      <c r="BT2388" s="18"/>
      <c r="BU2388" s="18"/>
      <c r="BV2388" s="18"/>
    </row>
    <row r="2389" spans="1:74">
      <c r="A2389" s="18"/>
      <c r="B2389" s="19"/>
      <c r="BG2389" s="18"/>
      <c r="BH2389" s="18"/>
      <c r="BI2389" s="18"/>
      <c r="BJ2389" s="18"/>
      <c r="BK2389" s="18"/>
      <c r="BL2389" s="18"/>
      <c r="BM2389" s="18"/>
      <c r="BN2389" s="18"/>
      <c r="BO2389" s="18"/>
      <c r="BP2389" s="18"/>
      <c r="BQ2389" s="18"/>
      <c r="BR2389" s="18"/>
      <c r="BS2389" s="18"/>
      <c r="BT2389" s="18"/>
      <c r="BU2389" s="18"/>
      <c r="BV2389" s="18"/>
    </row>
    <row r="2390" spans="1:74">
      <c r="A2390" s="18"/>
      <c r="B2390" s="19"/>
      <c r="BG2390" s="18"/>
      <c r="BH2390" s="18"/>
      <c r="BI2390" s="18"/>
      <c r="BJ2390" s="18"/>
      <c r="BK2390" s="18"/>
      <c r="BL2390" s="18"/>
      <c r="BM2390" s="18"/>
      <c r="BN2390" s="18"/>
      <c r="BO2390" s="18"/>
      <c r="BP2390" s="18"/>
      <c r="BQ2390" s="18"/>
      <c r="BR2390" s="18"/>
      <c r="BS2390" s="18"/>
      <c r="BT2390" s="18"/>
      <c r="BU2390" s="18"/>
      <c r="BV2390" s="18"/>
    </row>
    <row r="2391" spans="1:74">
      <c r="A2391" s="18"/>
      <c r="B2391" s="19"/>
      <c r="BG2391" s="18"/>
      <c r="BH2391" s="18"/>
      <c r="BI2391" s="18"/>
      <c r="BJ2391" s="18"/>
      <c r="BK2391" s="18"/>
      <c r="BL2391" s="18"/>
      <c r="BM2391" s="18"/>
      <c r="BN2391" s="18"/>
      <c r="BO2391" s="18"/>
      <c r="BP2391" s="18"/>
      <c r="BQ2391" s="18"/>
      <c r="BR2391" s="18"/>
      <c r="BS2391" s="18"/>
      <c r="BT2391" s="18"/>
      <c r="BU2391" s="18"/>
      <c r="BV2391" s="18"/>
    </row>
    <row r="2392" spans="1:74">
      <c r="A2392" s="18"/>
      <c r="B2392" s="19"/>
      <c r="BG2392" s="18"/>
      <c r="BH2392" s="18"/>
      <c r="BI2392" s="18"/>
      <c r="BJ2392" s="18"/>
      <c r="BK2392" s="18"/>
      <c r="BL2392" s="18"/>
      <c r="BM2392" s="18"/>
      <c r="BN2392" s="18"/>
      <c r="BO2392" s="18"/>
      <c r="BP2392" s="18"/>
      <c r="BQ2392" s="18"/>
      <c r="BR2392" s="18"/>
      <c r="BS2392" s="18"/>
      <c r="BT2392" s="18"/>
      <c r="BU2392" s="18"/>
      <c r="BV2392" s="18"/>
    </row>
    <row r="2393" spans="1:74">
      <c r="A2393" s="18"/>
      <c r="B2393" s="19"/>
      <c r="BG2393" s="18"/>
      <c r="BH2393" s="18"/>
      <c r="BI2393" s="18"/>
      <c r="BJ2393" s="18"/>
      <c r="BK2393" s="18"/>
      <c r="BL2393" s="18"/>
      <c r="BM2393" s="18"/>
      <c r="BN2393" s="18"/>
      <c r="BO2393" s="18"/>
      <c r="BP2393" s="18"/>
      <c r="BQ2393" s="18"/>
      <c r="BR2393" s="18"/>
      <c r="BS2393" s="18"/>
      <c r="BT2393" s="18"/>
      <c r="BU2393" s="18"/>
      <c r="BV2393" s="18"/>
    </row>
    <row r="2394" spans="1:74">
      <c r="A2394" s="18"/>
      <c r="B2394" s="19"/>
      <c r="BG2394" s="18"/>
      <c r="BH2394" s="18"/>
      <c r="BI2394" s="18"/>
      <c r="BJ2394" s="18"/>
      <c r="BK2394" s="18"/>
      <c r="BL2394" s="18"/>
      <c r="BM2394" s="18"/>
      <c r="BN2394" s="18"/>
      <c r="BO2394" s="18"/>
      <c r="BP2394" s="18"/>
      <c r="BQ2394" s="18"/>
      <c r="BR2394" s="18"/>
      <c r="BS2394" s="18"/>
      <c r="BT2394" s="18"/>
      <c r="BU2394" s="18"/>
      <c r="BV2394" s="18"/>
    </row>
    <row r="2395" spans="1:74">
      <c r="A2395" s="18"/>
      <c r="B2395" s="19"/>
      <c r="BG2395" s="18"/>
      <c r="BH2395" s="18"/>
      <c r="BI2395" s="18"/>
      <c r="BJ2395" s="18"/>
      <c r="BK2395" s="18"/>
      <c r="BL2395" s="18"/>
      <c r="BM2395" s="18"/>
      <c r="BN2395" s="18"/>
      <c r="BO2395" s="18"/>
      <c r="BP2395" s="18"/>
      <c r="BQ2395" s="18"/>
      <c r="BR2395" s="18"/>
      <c r="BS2395" s="18"/>
      <c r="BT2395" s="18"/>
      <c r="BU2395" s="18"/>
      <c r="BV2395" s="18"/>
    </row>
    <row r="2396" spans="1:74">
      <c r="A2396" s="18"/>
      <c r="B2396" s="19"/>
      <c r="BG2396" s="18"/>
      <c r="BH2396" s="18"/>
      <c r="BI2396" s="18"/>
      <c r="BJ2396" s="18"/>
      <c r="BK2396" s="18"/>
      <c r="BL2396" s="18"/>
      <c r="BM2396" s="18"/>
      <c r="BN2396" s="18"/>
      <c r="BO2396" s="18"/>
      <c r="BP2396" s="18"/>
      <c r="BQ2396" s="18"/>
      <c r="BR2396" s="18"/>
      <c r="BS2396" s="18"/>
      <c r="BT2396" s="18"/>
      <c r="BU2396" s="18"/>
      <c r="BV2396" s="18"/>
    </row>
    <row r="2397" spans="1:74">
      <c r="A2397" s="18"/>
      <c r="B2397" s="19"/>
      <c r="BG2397" s="18"/>
      <c r="BH2397" s="18"/>
      <c r="BI2397" s="18"/>
      <c r="BJ2397" s="18"/>
      <c r="BK2397" s="18"/>
      <c r="BL2397" s="18"/>
      <c r="BM2397" s="18"/>
      <c r="BN2397" s="18"/>
      <c r="BO2397" s="18"/>
      <c r="BP2397" s="18"/>
      <c r="BQ2397" s="18"/>
      <c r="BR2397" s="18"/>
      <c r="BS2397" s="18"/>
      <c r="BT2397" s="18"/>
      <c r="BU2397" s="18"/>
      <c r="BV2397" s="18"/>
    </row>
    <row r="2398" spans="1:74">
      <c r="A2398" s="18"/>
      <c r="B2398" s="19"/>
      <c r="BG2398" s="18"/>
      <c r="BH2398" s="18"/>
      <c r="BI2398" s="18"/>
      <c r="BJ2398" s="18"/>
      <c r="BK2398" s="18"/>
      <c r="BL2398" s="18"/>
      <c r="BM2398" s="18"/>
      <c r="BN2398" s="18"/>
      <c r="BO2398" s="18"/>
      <c r="BP2398" s="18"/>
      <c r="BQ2398" s="18"/>
      <c r="BR2398" s="18"/>
      <c r="BS2398" s="18"/>
      <c r="BT2398" s="18"/>
      <c r="BU2398" s="18"/>
      <c r="BV2398" s="18"/>
    </row>
    <row r="2399" spans="1:74">
      <c r="A2399" s="18"/>
      <c r="B2399" s="19"/>
      <c r="BG2399" s="18"/>
      <c r="BH2399" s="18"/>
      <c r="BI2399" s="18"/>
      <c r="BJ2399" s="18"/>
      <c r="BK2399" s="18"/>
      <c r="BL2399" s="18"/>
      <c r="BM2399" s="18"/>
      <c r="BN2399" s="18"/>
      <c r="BO2399" s="18"/>
      <c r="BP2399" s="18"/>
      <c r="BQ2399" s="18"/>
      <c r="BR2399" s="18"/>
      <c r="BS2399" s="18"/>
      <c r="BT2399" s="18"/>
      <c r="BU2399" s="18"/>
      <c r="BV2399" s="18"/>
    </row>
    <row r="2400" spans="1:74">
      <c r="A2400" s="18"/>
      <c r="B2400" s="19"/>
      <c r="BG2400" s="18"/>
      <c r="BH2400" s="18"/>
      <c r="BI2400" s="18"/>
      <c r="BJ2400" s="18"/>
      <c r="BK2400" s="18"/>
      <c r="BL2400" s="18"/>
      <c r="BM2400" s="18"/>
      <c r="BN2400" s="18"/>
      <c r="BO2400" s="18"/>
      <c r="BP2400" s="18"/>
      <c r="BQ2400" s="18"/>
      <c r="BR2400" s="18"/>
      <c r="BS2400" s="18"/>
      <c r="BT2400" s="18"/>
      <c r="BU2400" s="18"/>
      <c r="BV2400" s="18"/>
    </row>
    <row r="2401" spans="1:74">
      <c r="A2401" s="18"/>
      <c r="B2401" s="19"/>
      <c r="BG2401" s="18"/>
      <c r="BH2401" s="18"/>
      <c r="BI2401" s="18"/>
      <c r="BJ2401" s="18"/>
      <c r="BK2401" s="18"/>
      <c r="BL2401" s="18"/>
      <c r="BM2401" s="18"/>
      <c r="BN2401" s="18"/>
      <c r="BO2401" s="18"/>
      <c r="BP2401" s="18"/>
      <c r="BQ2401" s="18"/>
      <c r="BR2401" s="18"/>
      <c r="BS2401" s="18"/>
      <c r="BT2401" s="18"/>
      <c r="BU2401" s="18"/>
      <c r="BV2401" s="18"/>
    </row>
    <row r="2402" spans="1:74">
      <c r="A2402" s="18"/>
      <c r="B2402" s="19"/>
      <c r="BG2402" s="18"/>
      <c r="BH2402" s="18"/>
      <c r="BI2402" s="18"/>
      <c r="BJ2402" s="18"/>
      <c r="BK2402" s="18"/>
      <c r="BL2402" s="18"/>
      <c r="BM2402" s="18"/>
      <c r="BN2402" s="18"/>
      <c r="BO2402" s="18"/>
      <c r="BP2402" s="18"/>
      <c r="BQ2402" s="18"/>
      <c r="BR2402" s="18"/>
      <c r="BS2402" s="18"/>
      <c r="BT2402" s="18"/>
      <c r="BU2402" s="18"/>
      <c r="BV2402" s="18"/>
    </row>
    <row r="2403" spans="1:74">
      <c r="A2403" s="18"/>
      <c r="B2403" s="19"/>
      <c r="BG2403" s="18"/>
      <c r="BH2403" s="18"/>
      <c r="BI2403" s="18"/>
      <c r="BJ2403" s="18"/>
      <c r="BK2403" s="18"/>
      <c r="BL2403" s="18"/>
      <c r="BM2403" s="18"/>
      <c r="BN2403" s="18"/>
      <c r="BO2403" s="18"/>
      <c r="BP2403" s="18"/>
      <c r="BQ2403" s="18"/>
      <c r="BR2403" s="18"/>
      <c r="BS2403" s="18"/>
      <c r="BT2403" s="18"/>
      <c r="BU2403" s="18"/>
      <c r="BV2403" s="18"/>
    </row>
    <row r="2404" spans="1:74">
      <c r="A2404" s="18"/>
      <c r="B2404" s="19"/>
      <c r="BG2404" s="18"/>
      <c r="BH2404" s="18"/>
      <c r="BI2404" s="18"/>
      <c r="BJ2404" s="18"/>
      <c r="BK2404" s="18"/>
      <c r="BL2404" s="18"/>
      <c r="BM2404" s="18"/>
      <c r="BN2404" s="18"/>
      <c r="BO2404" s="18"/>
      <c r="BP2404" s="18"/>
      <c r="BQ2404" s="18"/>
      <c r="BR2404" s="18"/>
      <c r="BS2404" s="18"/>
      <c r="BT2404" s="18"/>
      <c r="BU2404" s="18"/>
      <c r="BV2404" s="18"/>
    </row>
    <row r="2405" spans="1:74">
      <c r="A2405" s="18"/>
      <c r="B2405" s="19"/>
      <c r="BG2405" s="18"/>
      <c r="BH2405" s="18"/>
      <c r="BI2405" s="18"/>
      <c r="BJ2405" s="18"/>
      <c r="BK2405" s="18"/>
      <c r="BL2405" s="18"/>
      <c r="BM2405" s="18"/>
      <c r="BN2405" s="18"/>
      <c r="BO2405" s="18"/>
      <c r="BP2405" s="18"/>
      <c r="BQ2405" s="18"/>
      <c r="BR2405" s="18"/>
      <c r="BS2405" s="18"/>
      <c r="BT2405" s="18"/>
      <c r="BU2405" s="18"/>
      <c r="BV2405" s="18"/>
    </row>
    <row r="2406" spans="1:74">
      <c r="A2406" s="18"/>
      <c r="B2406" s="19"/>
      <c r="BG2406" s="18"/>
      <c r="BH2406" s="18"/>
      <c r="BI2406" s="18"/>
      <c r="BJ2406" s="18"/>
      <c r="BK2406" s="18"/>
      <c r="BL2406" s="18"/>
      <c r="BM2406" s="18"/>
      <c r="BN2406" s="18"/>
      <c r="BO2406" s="18"/>
      <c r="BP2406" s="18"/>
      <c r="BQ2406" s="18"/>
      <c r="BR2406" s="18"/>
      <c r="BS2406" s="18"/>
      <c r="BT2406" s="18"/>
      <c r="BU2406" s="18"/>
      <c r="BV2406" s="18"/>
    </row>
    <row r="2407" spans="1:74">
      <c r="A2407" s="18"/>
      <c r="B2407" s="19"/>
      <c r="BG2407" s="18"/>
      <c r="BH2407" s="18"/>
      <c r="BI2407" s="18"/>
      <c r="BJ2407" s="18"/>
      <c r="BK2407" s="18"/>
      <c r="BL2407" s="18"/>
      <c r="BM2407" s="18"/>
      <c r="BN2407" s="18"/>
      <c r="BO2407" s="18"/>
      <c r="BP2407" s="18"/>
      <c r="BQ2407" s="18"/>
      <c r="BR2407" s="18"/>
      <c r="BS2407" s="18"/>
      <c r="BT2407" s="18"/>
      <c r="BU2407" s="18"/>
      <c r="BV2407" s="18"/>
    </row>
    <row r="2408" spans="1:74">
      <c r="A2408" s="18"/>
      <c r="B2408" s="19"/>
      <c r="BG2408" s="18"/>
      <c r="BH2408" s="18"/>
      <c r="BI2408" s="18"/>
      <c r="BJ2408" s="18"/>
      <c r="BK2408" s="18"/>
      <c r="BL2408" s="18"/>
      <c r="BM2408" s="18"/>
      <c r="BN2408" s="18"/>
      <c r="BO2408" s="18"/>
      <c r="BP2408" s="18"/>
      <c r="BQ2408" s="18"/>
      <c r="BR2408" s="18"/>
      <c r="BS2408" s="18"/>
      <c r="BT2408" s="18"/>
      <c r="BU2408" s="18"/>
      <c r="BV2408" s="18"/>
    </row>
    <row r="2409" spans="1:74">
      <c r="A2409" s="18"/>
      <c r="B2409" s="19"/>
      <c r="BG2409" s="18"/>
      <c r="BH2409" s="18"/>
      <c r="BI2409" s="18"/>
      <c r="BJ2409" s="18"/>
      <c r="BK2409" s="18"/>
      <c r="BL2409" s="18"/>
      <c r="BM2409" s="18"/>
      <c r="BN2409" s="18"/>
      <c r="BO2409" s="18"/>
      <c r="BP2409" s="18"/>
      <c r="BQ2409" s="18"/>
      <c r="BR2409" s="18"/>
      <c r="BS2409" s="18"/>
      <c r="BT2409" s="18"/>
      <c r="BU2409" s="18"/>
      <c r="BV2409" s="18"/>
    </row>
    <row r="2410" spans="1:74">
      <c r="A2410" s="18"/>
      <c r="B2410" s="19"/>
      <c r="BG2410" s="18"/>
      <c r="BH2410" s="18"/>
      <c r="BI2410" s="18"/>
      <c r="BJ2410" s="18"/>
      <c r="BK2410" s="18"/>
      <c r="BL2410" s="18"/>
      <c r="BM2410" s="18"/>
      <c r="BN2410" s="18"/>
      <c r="BO2410" s="18"/>
      <c r="BP2410" s="18"/>
      <c r="BQ2410" s="18"/>
      <c r="BR2410" s="18"/>
      <c r="BS2410" s="18"/>
      <c r="BT2410" s="18"/>
      <c r="BU2410" s="18"/>
      <c r="BV2410" s="18"/>
    </row>
    <row r="2411" spans="1:74">
      <c r="A2411" s="18"/>
      <c r="B2411" s="19"/>
      <c r="BG2411" s="18"/>
      <c r="BH2411" s="18"/>
      <c r="BI2411" s="18"/>
      <c r="BJ2411" s="18"/>
      <c r="BK2411" s="18"/>
      <c r="BL2411" s="18"/>
      <c r="BM2411" s="18"/>
      <c r="BN2411" s="18"/>
      <c r="BO2411" s="18"/>
      <c r="BP2411" s="18"/>
      <c r="BQ2411" s="18"/>
      <c r="BR2411" s="18"/>
      <c r="BS2411" s="18"/>
      <c r="BT2411" s="18"/>
      <c r="BU2411" s="18"/>
      <c r="BV2411" s="18"/>
    </row>
    <row r="2412" spans="1:74">
      <c r="A2412" s="18"/>
      <c r="B2412" s="19"/>
      <c r="BG2412" s="18"/>
      <c r="BH2412" s="18"/>
      <c r="BI2412" s="18"/>
      <c r="BJ2412" s="18"/>
      <c r="BK2412" s="18"/>
      <c r="BL2412" s="18"/>
      <c r="BM2412" s="18"/>
      <c r="BN2412" s="18"/>
      <c r="BO2412" s="18"/>
      <c r="BP2412" s="18"/>
      <c r="BQ2412" s="18"/>
      <c r="BR2412" s="18"/>
      <c r="BS2412" s="18"/>
      <c r="BT2412" s="18"/>
      <c r="BU2412" s="18"/>
      <c r="BV2412" s="18"/>
    </row>
    <row r="2413" spans="1:74">
      <c r="A2413" s="18"/>
      <c r="B2413" s="19"/>
      <c r="BG2413" s="18"/>
      <c r="BH2413" s="18"/>
      <c r="BI2413" s="18"/>
      <c r="BJ2413" s="18"/>
      <c r="BK2413" s="18"/>
      <c r="BL2413" s="18"/>
      <c r="BM2413" s="18"/>
      <c r="BN2413" s="18"/>
      <c r="BO2413" s="18"/>
      <c r="BP2413" s="18"/>
      <c r="BQ2413" s="18"/>
      <c r="BR2413" s="18"/>
      <c r="BS2413" s="18"/>
      <c r="BT2413" s="18"/>
      <c r="BU2413" s="18"/>
      <c r="BV2413" s="18"/>
    </row>
    <row r="2414" spans="1:74">
      <c r="A2414" s="18"/>
      <c r="B2414" s="19"/>
      <c r="BG2414" s="18"/>
      <c r="BH2414" s="18"/>
      <c r="BI2414" s="18"/>
      <c r="BJ2414" s="18"/>
      <c r="BK2414" s="18"/>
      <c r="BL2414" s="18"/>
      <c r="BM2414" s="18"/>
      <c r="BN2414" s="18"/>
      <c r="BO2414" s="18"/>
      <c r="BP2414" s="18"/>
      <c r="BQ2414" s="18"/>
      <c r="BR2414" s="18"/>
      <c r="BS2414" s="18"/>
      <c r="BT2414" s="18"/>
      <c r="BU2414" s="18"/>
      <c r="BV2414" s="18"/>
    </row>
    <row r="2415" spans="1:74">
      <c r="A2415" s="18"/>
      <c r="B2415" s="19"/>
      <c r="BG2415" s="18"/>
      <c r="BH2415" s="18"/>
      <c r="BI2415" s="18"/>
      <c r="BJ2415" s="18"/>
      <c r="BK2415" s="18"/>
      <c r="BL2415" s="18"/>
      <c r="BM2415" s="18"/>
      <c r="BN2415" s="18"/>
      <c r="BO2415" s="18"/>
      <c r="BP2415" s="18"/>
      <c r="BQ2415" s="18"/>
      <c r="BR2415" s="18"/>
      <c r="BS2415" s="18"/>
      <c r="BT2415" s="18"/>
      <c r="BU2415" s="18"/>
      <c r="BV2415" s="18"/>
    </row>
    <row r="2416" spans="1:74">
      <c r="A2416" s="18"/>
      <c r="B2416" s="19"/>
      <c r="BG2416" s="18"/>
      <c r="BH2416" s="18"/>
      <c r="BI2416" s="18"/>
      <c r="BJ2416" s="18"/>
      <c r="BK2416" s="18"/>
      <c r="BL2416" s="18"/>
      <c r="BM2416" s="18"/>
      <c r="BN2416" s="18"/>
      <c r="BO2416" s="18"/>
      <c r="BP2416" s="18"/>
      <c r="BQ2416" s="18"/>
      <c r="BR2416" s="18"/>
      <c r="BS2416" s="18"/>
      <c r="BT2416" s="18"/>
      <c r="BU2416" s="18"/>
      <c r="BV2416" s="18"/>
    </row>
    <row r="2417" spans="1:74">
      <c r="A2417" s="18"/>
      <c r="B2417" s="19"/>
      <c r="BG2417" s="18"/>
      <c r="BH2417" s="18"/>
      <c r="BI2417" s="18"/>
      <c r="BJ2417" s="18"/>
      <c r="BK2417" s="18"/>
      <c r="BL2417" s="18"/>
      <c r="BM2417" s="18"/>
      <c r="BN2417" s="18"/>
      <c r="BO2417" s="18"/>
      <c r="BP2417" s="18"/>
      <c r="BQ2417" s="18"/>
      <c r="BR2417" s="18"/>
      <c r="BS2417" s="18"/>
      <c r="BT2417" s="18"/>
      <c r="BU2417" s="18"/>
      <c r="BV2417" s="18"/>
    </row>
    <row r="2418" spans="1:74">
      <c r="A2418" s="18"/>
      <c r="B2418" s="19"/>
      <c r="BG2418" s="18"/>
      <c r="BH2418" s="18"/>
      <c r="BI2418" s="18"/>
      <c r="BJ2418" s="18"/>
      <c r="BK2418" s="18"/>
      <c r="BL2418" s="18"/>
      <c r="BM2418" s="18"/>
      <c r="BN2418" s="18"/>
      <c r="BO2418" s="18"/>
      <c r="BP2418" s="18"/>
      <c r="BQ2418" s="18"/>
      <c r="BR2418" s="18"/>
      <c r="BS2418" s="18"/>
      <c r="BT2418" s="18"/>
      <c r="BU2418" s="18"/>
      <c r="BV2418" s="18"/>
    </row>
    <row r="2419" spans="1:74">
      <c r="A2419" s="18"/>
      <c r="B2419" s="19"/>
      <c r="BG2419" s="18"/>
      <c r="BH2419" s="18"/>
      <c r="BI2419" s="18"/>
      <c r="BJ2419" s="18"/>
      <c r="BK2419" s="18"/>
      <c r="BL2419" s="18"/>
      <c r="BM2419" s="18"/>
      <c r="BN2419" s="18"/>
      <c r="BO2419" s="18"/>
      <c r="BP2419" s="18"/>
      <c r="BQ2419" s="18"/>
      <c r="BR2419" s="18"/>
      <c r="BS2419" s="18"/>
      <c r="BT2419" s="18"/>
      <c r="BU2419" s="18"/>
      <c r="BV2419" s="18"/>
    </row>
    <row r="2420" spans="1:74">
      <c r="A2420" s="18"/>
      <c r="B2420" s="19"/>
      <c r="BG2420" s="18"/>
      <c r="BH2420" s="18"/>
      <c r="BI2420" s="18"/>
      <c r="BJ2420" s="18"/>
      <c r="BK2420" s="18"/>
      <c r="BL2420" s="18"/>
      <c r="BM2420" s="18"/>
      <c r="BN2420" s="18"/>
      <c r="BO2420" s="18"/>
      <c r="BP2420" s="18"/>
      <c r="BQ2420" s="18"/>
      <c r="BR2420" s="18"/>
      <c r="BS2420" s="18"/>
      <c r="BT2420" s="18"/>
      <c r="BU2420" s="18"/>
      <c r="BV2420" s="18"/>
    </row>
    <row r="2421" spans="1:74">
      <c r="A2421" s="18"/>
      <c r="B2421" s="19"/>
      <c r="BG2421" s="18"/>
      <c r="BH2421" s="18"/>
      <c r="BI2421" s="18"/>
      <c r="BJ2421" s="18"/>
      <c r="BK2421" s="18"/>
      <c r="BL2421" s="18"/>
      <c r="BM2421" s="18"/>
      <c r="BN2421" s="18"/>
      <c r="BO2421" s="18"/>
      <c r="BP2421" s="18"/>
      <c r="BQ2421" s="18"/>
      <c r="BR2421" s="18"/>
      <c r="BS2421" s="18"/>
      <c r="BT2421" s="18"/>
      <c r="BU2421" s="18"/>
      <c r="BV2421" s="18"/>
    </row>
    <row r="2422" spans="1:74">
      <c r="A2422" s="18"/>
      <c r="B2422" s="19"/>
      <c r="BG2422" s="18"/>
      <c r="BH2422" s="18"/>
      <c r="BI2422" s="18"/>
      <c r="BJ2422" s="18"/>
      <c r="BK2422" s="18"/>
      <c r="BL2422" s="18"/>
      <c r="BM2422" s="18"/>
      <c r="BN2422" s="18"/>
      <c r="BO2422" s="18"/>
      <c r="BP2422" s="18"/>
      <c r="BQ2422" s="18"/>
      <c r="BR2422" s="18"/>
      <c r="BS2422" s="18"/>
      <c r="BT2422" s="18"/>
      <c r="BU2422" s="18"/>
      <c r="BV2422" s="18"/>
    </row>
    <row r="2423" spans="1:74">
      <c r="A2423" s="18"/>
      <c r="B2423" s="19"/>
      <c r="BG2423" s="18"/>
      <c r="BH2423" s="18"/>
      <c r="BI2423" s="18"/>
      <c r="BJ2423" s="18"/>
      <c r="BK2423" s="18"/>
      <c r="BL2423" s="18"/>
      <c r="BM2423" s="18"/>
      <c r="BN2423" s="18"/>
      <c r="BO2423" s="18"/>
      <c r="BP2423" s="18"/>
      <c r="BQ2423" s="18"/>
      <c r="BR2423" s="18"/>
      <c r="BS2423" s="18"/>
      <c r="BT2423" s="18"/>
      <c r="BU2423" s="18"/>
      <c r="BV2423" s="18"/>
    </row>
    <row r="2424" spans="1:74">
      <c r="A2424" s="18"/>
      <c r="B2424" s="19"/>
      <c r="BG2424" s="18"/>
      <c r="BH2424" s="18"/>
      <c r="BI2424" s="18"/>
      <c r="BJ2424" s="18"/>
      <c r="BK2424" s="18"/>
      <c r="BL2424" s="18"/>
      <c r="BM2424" s="18"/>
      <c r="BN2424" s="18"/>
      <c r="BO2424" s="18"/>
      <c r="BP2424" s="18"/>
      <c r="BQ2424" s="18"/>
      <c r="BR2424" s="18"/>
      <c r="BS2424" s="18"/>
      <c r="BT2424" s="18"/>
      <c r="BU2424" s="18"/>
      <c r="BV2424" s="18"/>
    </row>
    <row r="2425" spans="1:74">
      <c r="A2425" s="18"/>
      <c r="B2425" s="19"/>
      <c r="BG2425" s="18"/>
      <c r="BH2425" s="18"/>
      <c r="BI2425" s="18"/>
      <c r="BJ2425" s="18"/>
      <c r="BK2425" s="18"/>
      <c r="BL2425" s="18"/>
      <c r="BM2425" s="18"/>
      <c r="BN2425" s="18"/>
      <c r="BO2425" s="18"/>
      <c r="BP2425" s="18"/>
      <c r="BQ2425" s="18"/>
      <c r="BR2425" s="18"/>
      <c r="BS2425" s="18"/>
      <c r="BT2425" s="18"/>
      <c r="BU2425" s="18"/>
      <c r="BV2425" s="18"/>
    </row>
    <row r="2426" spans="1:74">
      <c r="A2426" s="18"/>
      <c r="B2426" s="19"/>
      <c r="BG2426" s="18"/>
      <c r="BH2426" s="18"/>
      <c r="BI2426" s="18"/>
      <c r="BJ2426" s="18"/>
      <c r="BK2426" s="18"/>
      <c r="BL2426" s="18"/>
      <c r="BM2426" s="18"/>
      <c r="BN2426" s="18"/>
      <c r="BO2426" s="18"/>
      <c r="BP2426" s="18"/>
      <c r="BQ2426" s="18"/>
      <c r="BR2426" s="18"/>
      <c r="BS2426" s="18"/>
      <c r="BT2426" s="18"/>
      <c r="BU2426" s="18"/>
      <c r="BV2426" s="18"/>
    </row>
    <row r="2427" spans="1:74">
      <c r="A2427" s="18"/>
      <c r="B2427" s="19"/>
      <c r="BG2427" s="18"/>
      <c r="BH2427" s="18"/>
      <c r="BI2427" s="18"/>
      <c r="BJ2427" s="18"/>
      <c r="BK2427" s="18"/>
      <c r="BL2427" s="18"/>
      <c r="BM2427" s="18"/>
      <c r="BN2427" s="18"/>
      <c r="BO2427" s="18"/>
      <c r="BP2427" s="18"/>
      <c r="BQ2427" s="18"/>
      <c r="BR2427" s="18"/>
      <c r="BS2427" s="18"/>
      <c r="BT2427" s="18"/>
      <c r="BU2427" s="18"/>
      <c r="BV2427" s="18"/>
    </row>
    <row r="2428" spans="1:74">
      <c r="A2428" s="18"/>
      <c r="B2428" s="19"/>
      <c r="BG2428" s="18"/>
      <c r="BH2428" s="18"/>
      <c r="BI2428" s="18"/>
      <c r="BJ2428" s="18"/>
      <c r="BK2428" s="18"/>
      <c r="BL2428" s="18"/>
      <c r="BM2428" s="18"/>
      <c r="BN2428" s="18"/>
      <c r="BO2428" s="18"/>
      <c r="BP2428" s="18"/>
      <c r="BQ2428" s="18"/>
      <c r="BR2428" s="18"/>
      <c r="BS2428" s="18"/>
      <c r="BT2428" s="18"/>
      <c r="BU2428" s="18"/>
      <c r="BV2428" s="18"/>
    </row>
    <row r="2429" spans="1:74">
      <c r="A2429" s="18"/>
      <c r="B2429" s="19"/>
      <c r="BG2429" s="18"/>
      <c r="BH2429" s="18"/>
      <c r="BI2429" s="18"/>
      <c r="BJ2429" s="18"/>
      <c r="BK2429" s="18"/>
      <c r="BL2429" s="18"/>
      <c r="BM2429" s="18"/>
      <c r="BN2429" s="18"/>
      <c r="BO2429" s="18"/>
      <c r="BP2429" s="18"/>
      <c r="BQ2429" s="18"/>
      <c r="BR2429" s="18"/>
      <c r="BS2429" s="18"/>
      <c r="BT2429" s="18"/>
      <c r="BU2429" s="18"/>
      <c r="BV2429" s="18"/>
    </row>
    <row r="2430" spans="1:74">
      <c r="A2430" s="18"/>
      <c r="B2430" s="19"/>
      <c r="BG2430" s="18"/>
      <c r="BH2430" s="18"/>
      <c r="BI2430" s="18"/>
      <c r="BJ2430" s="18"/>
      <c r="BK2430" s="18"/>
      <c r="BL2430" s="18"/>
      <c r="BM2430" s="18"/>
      <c r="BN2430" s="18"/>
      <c r="BO2430" s="18"/>
      <c r="BP2430" s="18"/>
      <c r="BQ2430" s="18"/>
      <c r="BR2430" s="18"/>
      <c r="BS2430" s="18"/>
      <c r="BT2430" s="18"/>
      <c r="BU2430" s="18"/>
      <c r="BV2430" s="18"/>
    </row>
    <row r="2431" spans="1:74">
      <c r="A2431" s="18"/>
      <c r="B2431" s="19"/>
      <c r="BG2431" s="18"/>
      <c r="BH2431" s="18"/>
      <c r="BI2431" s="18"/>
      <c r="BJ2431" s="18"/>
      <c r="BK2431" s="18"/>
      <c r="BL2431" s="18"/>
      <c r="BM2431" s="18"/>
      <c r="BN2431" s="18"/>
      <c r="BO2431" s="18"/>
      <c r="BP2431" s="18"/>
      <c r="BQ2431" s="18"/>
      <c r="BR2431" s="18"/>
      <c r="BS2431" s="18"/>
      <c r="BT2431" s="18"/>
      <c r="BU2431" s="18"/>
      <c r="BV2431" s="18"/>
    </row>
    <row r="2432" spans="1:74">
      <c r="A2432" s="18"/>
      <c r="B2432" s="19"/>
      <c r="BG2432" s="18"/>
      <c r="BH2432" s="18"/>
      <c r="BI2432" s="18"/>
      <c r="BJ2432" s="18"/>
      <c r="BK2432" s="18"/>
      <c r="BL2432" s="18"/>
      <c r="BM2432" s="18"/>
      <c r="BN2432" s="18"/>
      <c r="BO2432" s="18"/>
      <c r="BP2432" s="18"/>
      <c r="BQ2432" s="18"/>
      <c r="BR2432" s="18"/>
      <c r="BS2432" s="18"/>
      <c r="BT2432" s="18"/>
      <c r="BU2432" s="18"/>
      <c r="BV2432" s="18"/>
    </row>
    <row r="2433" spans="1:74">
      <c r="A2433" s="18"/>
      <c r="B2433" s="19"/>
      <c r="BG2433" s="18"/>
      <c r="BH2433" s="18"/>
      <c r="BI2433" s="18"/>
      <c r="BJ2433" s="18"/>
      <c r="BK2433" s="18"/>
      <c r="BL2433" s="18"/>
      <c r="BM2433" s="18"/>
      <c r="BN2433" s="18"/>
      <c r="BO2433" s="18"/>
      <c r="BP2433" s="18"/>
      <c r="BQ2433" s="18"/>
      <c r="BR2433" s="18"/>
      <c r="BS2433" s="18"/>
      <c r="BT2433" s="18"/>
      <c r="BU2433" s="18"/>
      <c r="BV2433" s="18"/>
    </row>
    <row r="2434" spans="1:74">
      <c r="A2434" s="18"/>
      <c r="B2434" s="19"/>
      <c r="BG2434" s="18"/>
      <c r="BH2434" s="18"/>
      <c r="BI2434" s="18"/>
      <c r="BJ2434" s="18"/>
      <c r="BK2434" s="18"/>
      <c r="BL2434" s="18"/>
      <c r="BM2434" s="18"/>
      <c r="BN2434" s="18"/>
      <c r="BO2434" s="18"/>
      <c r="BP2434" s="18"/>
      <c r="BQ2434" s="18"/>
      <c r="BR2434" s="18"/>
      <c r="BS2434" s="18"/>
      <c r="BT2434" s="18"/>
      <c r="BU2434" s="18"/>
      <c r="BV2434" s="18"/>
    </row>
    <row r="2435" spans="1:74">
      <c r="A2435" s="18"/>
      <c r="B2435" s="19"/>
      <c r="BG2435" s="18"/>
      <c r="BH2435" s="18"/>
      <c r="BI2435" s="18"/>
      <c r="BJ2435" s="18"/>
      <c r="BK2435" s="18"/>
      <c r="BL2435" s="18"/>
      <c r="BM2435" s="18"/>
      <c r="BN2435" s="18"/>
      <c r="BO2435" s="18"/>
      <c r="BP2435" s="18"/>
      <c r="BQ2435" s="18"/>
      <c r="BR2435" s="18"/>
      <c r="BS2435" s="18"/>
      <c r="BT2435" s="18"/>
      <c r="BU2435" s="18"/>
      <c r="BV2435" s="18"/>
    </row>
    <row r="2436" spans="1:74">
      <c r="A2436" s="18"/>
      <c r="B2436" s="19"/>
      <c r="BG2436" s="18"/>
      <c r="BH2436" s="18"/>
      <c r="BI2436" s="18"/>
      <c r="BJ2436" s="18"/>
      <c r="BK2436" s="18"/>
      <c r="BL2436" s="18"/>
      <c r="BM2436" s="18"/>
      <c r="BN2436" s="18"/>
      <c r="BO2436" s="18"/>
      <c r="BP2436" s="18"/>
      <c r="BQ2436" s="18"/>
      <c r="BR2436" s="18"/>
      <c r="BS2436" s="18"/>
      <c r="BT2436" s="18"/>
      <c r="BU2436" s="18"/>
      <c r="BV2436" s="18"/>
    </row>
    <row r="2437" spans="1:74">
      <c r="A2437" s="18"/>
      <c r="B2437" s="19"/>
      <c r="BG2437" s="18"/>
      <c r="BH2437" s="18"/>
      <c r="BI2437" s="18"/>
      <c r="BJ2437" s="18"/>
      <c r="BK2437" s="18"/>
      <c r="BL2437" s="18"/>
      <c r="BM2437" s="18"/>
      <c r="BN2437" s="18"/>
      <c r="BO2437" s="18"/>
      <c r="BP2437" s="18"/>
      <c r="BQ2437" s="18"/>
      <c r="BR2437" s="18"/>
      <c r="BS2437" s="18"/>
      <c r="BT2437" s="18"/>
      <c r="BU2437" s="18"/>
      <c r="BV2437" s="18"/>
    </row>
    <row r="2438" spans="1:74">
      <c r="A2438" s="18"/>
      <c r="B2438" s="19"/>
      <c r="BG2438" s="18"/>
      <c r="BH2438" s="18"/>
      <c r="BI2438" s="18"/>
      <c r="BJ2438" s="18"/>
      <c r="BK2438" s="18"/>
      <c r="BL2438" s="18"/>
      <c r="BM2438" s="18"/>
      <c r="BN2438" s="18"/>
      <c r="BO2438" s="18"/>
      <c r="BP2438" s="18"/>
      <c r="BQ2438" s="18"/>
      <c r="BR2438" s="18"/>
      <c r="BS2438" s="18"/>
      <c r="BT2438" s="18"/>
      <c r="BU2438" s="18"/>
      <c r="BV2438" s="18"/>
    </row>
    <row r="2439" spans="1:74">
      <c r="A2439" s="18"/>
      <c r="B2439" s="19"/>
      <c r="BG2439" s="18"/>
      <c r="BH2439" s="18"/>
      <c r="BI2439" s="18"/>
      <c r="BJ2439" s="18"/>
      <c r="BK2439" s="18"/>
      <c r="BL2439" s="18"/>
      <c r="BM2439" s="18"/>
      <c r="BN2439" s="18"/>
      <c r="BO2439" s="18"/>
      <c r="BP2439" s="18"/>
      <c r="BQ2439" s="18"/>
      <c r="BR2439" s="18"/>
      <c r="BS2439" s="18"/>
      <c r="BT2439" s="18"/>
      <c r="BU2439" s="18"/>
      <c r="BV2439" s="18"/>
    </row>
    <row r="2440" spans="1:74">
      <c r="A2440" s="18"/>
      <c r="B2440" s="19"/>
      <c r="BG2440" s="18"/>
      <c r="BH2440" s="18"/>
      <c r="BI2440" s="18"/>
      <c r="BJ2440" s="18"/>
      <c r="BK2440" s="18"/>
      <c r="BL2440" s="18"/>
      <c r="BM2440" s="18"/>
      <c r="BN2440" s="18"/>
      <c r="BO2440" s="18"/>
      <c r="BP2440" s="18"/>
      <c r="BQ2440" s="18"/>
      <c r="BR2440" s="18"/>
      <c r="BS2440" s="18"/>
      <c r="BT2440" s="18"/>
      <c r="BU2440" s="18"/>
      <c r="BV2440" s="18"/>
    </row>
    <row r="2441" spans="1:74">
      <c r="A2441" s="18"/>
      <c r="B2441" s="19"/>
      <c r="BG2441" s="18"/>
      <c r="BH2441" s="18"/>
      <c r="BI2441" s="18"/>
      <c r="BJ2441" s="18"/>
      <c r="BK2441" s="18"/>
      <c r="BL2441" s="18"/>
      <c r="BM2441" s="18"/>
      <c r="BN2441" s="18"/>
      <c r="BO2441" s="18"/>
      <c r="BP2441" s="18"/>
      <c r="BQ2441" s="18"/>
      <c r="BR2441" s="18"/>
      <c r="BS2441" s="18"/>
      <c r="BT2441" s="18"/>
      <c r="BU2441" s="18"/>
      <c r="BV2441" s="18"/>
    </row>
    <row r="2442" spans="1:74">
      <c r="A2442" s="18"/>
      <c r="B2442" s="19"/>
      <c r="BG2442" s="18"/>
      <c r="BH2442" s="18"/>
      <c r="BI2442" s="18"/>
      <c r="BJ2442" s="18"/>
      <c r="BK2442" s="18"/>
      <c r="BL2442" s="18"/>
      <c r="BM2442" s="18"/>
      <c r="BN2442" s="18"/>
      <c r="BO2442" s="18"/>
      <c r="BP2442" s="18"/>
      <c r="BQ2442" s="18"/>
      <c r="BR2442" s="18"/>
      <c r="BS2442" s="18"/>
      <c r="BT2442" s="18"/>
      <c r="BU2442" s="18"/>
      <c r="BV2442" s="18"/>
    </row>
    <row r="2443" spans="1:74">
      <c r="A2443" s="18"/>
      <c r="B2443" s="19"/>
      <c r="BG2443" s="18"/>
      <c r="BH2443" s="18"/>
      <c r="BI2443" s="18"/>
      <c r="BJ2443" s="18"/>
      <c r="BK2443" s="18"/>
      <c r="BL2443" s="18"/>
      <c r="BM2443" s="18"/>
      <c r="BN2443" s="18"/>
      <c r="BO2443" s="18"/>
      <c r="BP2443" s="18"/>
      <c r="BQ2443" s="18"/>
      <c r="BR2443" s="18"/>
      <c r="BS2443" s="18"/>
      <c r="BT2443" s="18"/>
      <c r="BU2443" s="18"/>
      <c r="BV2443" s="18"/>
    </row>
    <row r="2444" spans="1:74">
      <c r="A2444" s="18"/>
      <c r="B2444" s="19"/>
      <c r="BG2444" s="18"/>
      <c r="BH2444" s="18"/>
      <c r="BI2444" s="18"/>
      <c r="BJ2444" s="18"/>
      <c r="BK2444" s="18"/>
      <c r="BL2444" s="18"/>
      <c r="BM2444" s="18"/>
      <c r="BN2444" s="18"/>
      <c r="BO2444" s="18"/>
      <c r="BP2444" s="18"/>
      <c r="BQ2444" s="18"/>
      <c r="BR2444" s="18"/>
      <c r="BS2444" s="18"/>
      <c r="BT2444" s="18"/>
      <c r="BU2444" s="18"/>
      <c r="BV2444" s="18"/>
    </row>
    <row r="2445" spans="1:74">
      <c r="A2445" s="18"/>
      <c r="B2445" s="19"/>
      <c r="BG2445" s="18"/>
      <c r="BH2445" s="18"/>
      <c r="BI2445" s="18"/>
      <c r="BJ2445" s="18"/>
      <c r="BK2445" s="18"/>
      <c r="BL2445" s="18"/>
      <c r="BM2445" s="18"/>
      <c r="BN2445" s="18"/>
      <c r="BO2445" s="18"/>
      <c r="BP2445" s="18"/>
      <c r="BQ2445" s="18"/>
      <c r="BR2445" s="18"/>
      <c r="BS2445" s="18"/>
      <c r="BT2445" s="18"/>
      <c r="BU2445" s="18"/>
      <c r="BV2445" s="18"/>
    </row>
    <row r="2446" spans="1:74">
      <c r="A2446" s="18"/>
      <c r="B2446" s="19"/>
      <c r="BG2446" s="18"/>
      <c r="BH2446" s="18"/>
      <c r="BI2446" s="18"/>
      <c r="BJ2446" s="18"/>
      <c r="BK2446" s="18"/>
      <c r="BL2446" s="18"/>
      <c r="BM2446" s="18"/>
      <c r="BN2446" s="18"/>
      <c r="BO2446" s="18"/>
      <c r="BP2446" s="18"/>
      <c r="BQ2446" s="18"/>
      <c r="BR2446" s="18"/>
      <c r="BS2446" s="18"/>
      <c r="BT2446" s="18"/>
      <c r="BU2446" s="18"/>
      <c r="BV2446" s="18"/>
    </row>
    <row r="2447" spans="1:74">
      <c r="A2447" s="18"/>
      <c r="B2447" s="19"/>
      <c r="BG2447" s="18"/>
      <c r="BH2447" s="18"/>
      <c r="BI2447" s="18"/>
      <c r="BJ2447" s="18"/>
      <c r="BK2447" s="18"/>
      <c r="BL2447" s="18"/>
      <c r="BM2447" s="18"/>
      <c r="BN2447" s="18"/>
      <c r="BO2447" s="18"/>
      <c r="BP2447" s="18"/>
      <c r="BQ2447" s="18"/>
      <c r="BR2447" s="18"/>
      <c r="BS2447" s="18"/>
      <c r="BT2447" s="18"/>
      <c r="BU2447" s="18"/>
      <c r="BV2447" s="18"/>
    </row>
    <row r="2448" spans="1:74">
      <c r="A2448" s="18"/>
      <c r="B2448" s="19"/>
      <c r="BG2448" s="18"/>
      <c r="BH2448" s="18"/>
      <c r="BI2448" s="18"/>
      <c r="BJ2448" s="18"/>
      <c r="BK2448" s="18"/>
      <c r="BL2448" s="18"/>
      <c r="BM2448" s="18"/>
      <c r="BN2448" s="18"/>
      <c r="BO2448" s="18"/>
      <c r="BP2448" s="18"/>
      <c r="BQ2448" s="18"/>
      <c r="BR2448" s="18"/>
      <c r="BS2448" s="18"/>
      <c r="BT2448" s="18"/>
      <c r="BU2448" s="18"/>
      <c r="BV2448" s="18"/>
    </row>
    <row r="2449" spans="1:74">
      <c r="A2449" s="18"/>
      <c r="B2449" s="19"/>
      <c r="BG2449" s="18"/>
      <c r="BH2449" s="18"/>
      <c r="BI2449" s="18"/>
      <c r="BJ2449" s="18"/>
      <c r="BK2449" s="18"/>
      <c r="BL2449" s="18"/>
      <c r="BM2449" s="18"/>
      <c r="BN2449" s="18"/>
      <c r="BO2449" s="18"/>
      <c r="BP2449" s="18"/>
      <c r="BQ2449" s="18"/>
      <c r="BR2449" s="18"/>
      <c r="BS2449" s="18"/>
      <c r="BT2449" s="18"/>
      <c r="BU2449" s="18"/>
      <c r="BV2449" s="18"/>
    </row>
    <row r="2450" spans="1:74">
      <c r="A2450" s="18"/>
      <c r="B2450" s="19"/>
      <c r="BG2450" s="18"/>
      <c r="BH2450" s="18"/>
      <c r="BI2450" s="18"/>
      <c r="BJ2450" s="18"/>
      <c r="BK2450" s="18"/>
      <c r="BL2450" s="18"/>
      <c r="BM2450" s="18"/>
      <c r="BN2450" s="18"/>
      <c r="BO2450" s="18"/>
      <c r="BP2450" s="18"/>
      <c r="BQ2450" s="18"/>
      <c r="BR2450" s="18"/>
      <c r="BS2450" s="18"/>
      <c r="BT2450" s="18"/>
      <c r="BU2450" s="18"/>
      <c r="BV2450" s="18"/>
    </row>
    <row r="2451" spans="1:74">
      <c r="A2451" s="18"/>
      <c r="B2451" s="19"/>
      <c r="BG2451" s="18"/>
      <c r="BH2451" s="18"/>
      <c r="BI2451" s="18"/>
      <c r="BJ2451" s="18"/>
      <c r="BK2451" s="18"/>
      <c r="BL2451" s="18"/>
      <c r="BM2451" s="18"/>
      <c r="BN2451" s="18"/>
      <c r="BO2451" s="18"/>
      <c r="BP2451" s="18"/>
      <c r="BQ2451" s="18"/>
      <c r="BR2451" s="18"/>
      <c r="BS2451" s="18"/>
      <c r="BT2451" s="18"/>
      <c r="BU2451" s="18"/>
      <c r="BV2451" s="18"/>
    </row>
    <row r="2452" spans="1:74">
      <c r="A2452" s="18"/>
      <c r="B2452" s="19"/>
      <c r="BG2452" s="18"/>
      <c r="BH2452" s="18"/>
      <c r="BI2452" s="18"/>
      <c r="BJ2452" s="18"/>
      <c r="BK2452" s="18"/>
      <c r="BL2452" s="18"/>
      <c r="BM2452" s="18"/>
      <c r="BN2452" s="18"/>
      <c r="BO2452" s="18"/>
      <c r="BP2452" s="18"/>
      <c r="BQ2452" s="18"/>
      <c r="BR2452" s="18"/>
      <c r="BS2452" s="18"/>
      <c r="BT2452" s="18"/>
      <c r="BU2452" s="18"/>
      <c r="BV2452" s="18"/>
    </row>
    <row r="2453" spans="1:74">
      <c r="A2453" s="18"/>
      <c r="B2453" s="19"/>
      <c r="BG2453" s="18"/>
      <c r="BH2453" s="18"/>
      <c r="BI2453" s="18"/>
      <c r="BJ2453" s="18"/>
      <c r="BK2453" s="18"/>
      <c r="BL2453" s="18"/>
      <c r="BM2453" s="18"/>
      <c r="BN2453" s="18"/>
      <c r="BO2453" s="18"/>
      <c r="BP2453" s="18"/>
      <c r="BQ2453" s="18"/>
      <c r="BR2453" s="18"/>
      <c r="BS2453" s="18"/>
      <c r="BT2453" s="18"/>
      <c r="BU2453" s="18"/>
      <c r="BV2453" s="18"/>
    </row>
    <row r="2454" spans="1:74">
      <c r="A2454" s="18"/>
      <c r="B2454" s="19"/>
      <c r="BG2454" s="18"/>
      <c r="BH2454" s="18"/>
      <c r="BI2454" s="18"/>
      <c r="BJ2454" s="18"/>
      <c r="BK2454" s="18"/>
      <c r="BL2454" s="18"/>
      <c r="BM2454" s="18"/>
      <c r="BN2454" s="18"/>
      <c r="BO2454" s="18"/>
      <c r="BP2454" s="18"/>
      <c r="BQ2454" s="18"/>
      <c r="BR2454" s="18"/>
      <c r="BS2454" s="18"/>
      <c r="BT2454" s="18"/>
      <c r="BU2454" s="18"/>
      <c r="BV2454" s="18"/>
    </row>
    <row r="2455" spans="1:74">
      <c r="A2455" s="18"/>
      <c r="B2455" s="19"/>
      <c r="BG2455" s="18"/>
      <c r="BH2455" s="18"/>
      <c r="BI2455" s="18"/>
      <c r="BJ2455" s="18"/>
      <c r="BK2455" s="18"/>
      <c r="BL2455" s="18"/>
      <c r="BM2455" s="18"/>
      <c r="BN2455" s="18"/>
      <c r="BO2455" s="18"/>
      <c r="BP2455" s="18"/>
      <c r="BQ2455" s="18"/>
      <c r="BR2455" s="18"/>
      <c r="BS2455" s="18"/>
      <c r="BT2455" s="18"/>
      <c r="BU2455" s="18"/>
      <c r="BV2455" s="18"/>
    </row>
    <row r="2456" spans="1:74">
      <c r="A2456" s="18"/>
      <c r="B2456" s="19"/>
      <c r="BG2456" s="18"/>
      <c r="BH2456" s="18"/>
      <c r="BI2456" s="18"/>
      <c r="BJ2456" s="18"/>
      <c r="BK2456" s="18"/>
      <c r="BL2456" s="18"/>
      <c r="BM2456" s="18"/>
      <c r="BN2456" s="18"/>
      <c r="BO2456" s="18"/>
      <c r="BP2456" s="18"/>
      <c r="BQ2456" s="18"/>
      <c r="BR2456" s="18"/>
      <c r="BS2456" s="18"/>
      <c r="BT2456" s="18"/>
      <c r="BU2456" s="18"/>
      <c r="BV2456" s="18"/>
    </row>
    <row r="2457" spans="1:74">
      <c r="A2457" s="18"/>
      <c r="B2457" s="19"/>
      <c r="BG2457" s="18"/>
      <c r="BH2457" s="18"/>
      <c r="BI2457" s="18"/>
      <c r="BJ2457" s="18"/>
      <c r="BK2457" s="18"/>
      <c r="BL2457" s="18"/>
      <c r="BM2457" s="18"/>
      <c r="BN2457" s="18"/>
      <c r="BO2457" s="18"/>
      <c r="BP2457" s="18"/>
      <c r="BQ2457" s="18"/>
      <c r="BR2457" s="18"/>
      <c r="BS2457" s="18"/>
      <c r="BT2457" s="18"/>
      <c r="BU2457" s="18"/>
      <c r="BV2457" s="18"/>
    </row>
    <row r="2458" spans="1:74">
      <c r="A2458" s="18"/>
      <c r="B2458" s="19"/>
      <c r="BG2458" s="18"/>
      <c r="BH2458" s="18"/>
      <c r="BI2458" s="18"/>
      <c r="BJ2458" s="18"/>
      <c r="BK2458" s="18"/>
      <c r="BL2458" s="18"/>
      <c r="BM2458" s="18"/>
      <c r="BN2458" s="18"/>
      <c r="BO2458" s="18"/>
      <c r="BP2458" s="18"/>
      <c r="BQ2458" s="18"/>
      <c r="BR2458" s="18"/>
      <c r="BS2458" s="18"/>
      <c r="BT2458" s="18"/>
      <c r="BU2458" s="18"/>
      <c r="BV2458" s="18"/>
    </row>
    <row r="2459" spans="1:74">
      <c r="A2459" s="18"/>
      <c r="B2459" s="19"/>
      <c r="BG2459" s="18"/>
      <c r="BH2459" s="18"/>
      <c r="BI2459" s="18"/>
      <c r="BJ2459" s="18"/>
      <c r="BK2459" s="18"/>
      <c r="BL2459" s="18"/>
      <c r="BM2459" s="18"/>
      <c r="BN2459" s="18"/>
      <c r="BO2459" s="18"/>
      <c r="BP2459" s="18"/>
      <c r="BQ2459" s="18"/>
      <c r="BR2459" s="18"/>
      <c r="BS2459" s="18"/>
      <c r="BT2459" s="18"/>
      <c r="BU2459" s="18"/>
      <c r="BV2459" s="18"/>
    </row>
    <row r="2460" spans="1:74">
      <c r="A2460" s="18"/>
      <c r="B2460" s="19"/>
      <c r="BG2460" s="18"/>
      <c r="BH2460" s="18"/>
      <c r="BI2460" s="18"/>
      <c r="BJ2460" s="18"/>
      <c r="BK2460" s="18"/>
      <c r="BL2460" s="18"/>
      <c r="BM2460" s="18"/>
      <c r="BN2460" s="18"/>
      <c r="BO2460" s="18"/>
      <c r="BP2460" s="18"/>
      <c r="BQ2460" s="18"/>
      <c r="BR2460" s="18"/>
      <c r="BS2460" s="18"/>
      <c r="BT2460" s="18"/>
      <c r="BU2460" s="18"/>
      <c r="BV2460" s="18"/>
    </row>
    <row r="2461" spans="1:74">
      <c r="A2461" s="18"/>
      <c r="B2461" s="19"/>
      <c r="BG2461" s="18"/>
      <c r="BH2461" s="18"/>
      <c r="BI2461" s="18"/>
      <c r="BJ2461" s="18"/>
      <c r="BK2461" s="18"/>
      <c r="BL2461" s="18"/>
      <c r="BM2461" s="18"/>
      <c r="BN2461" s="18"/>
      <c r="BO2461" s="18"/>
      <c r="BP2461" s="18"/>
      <c r="BQ2461" s="18"/>
      <c r="BR2461" s="18"/>
      <c r="BS2461" s="18"/>
      <c r="BT2461" s="18"/>
      <c r="BU2461" s="18"/>
      <c r="BV2461" s="18"/>
    </row>
    <row r="2462" spans="1:74">
      <c r="A2462" s="18"/>
      <c r="B2462" s="19"/>
      <c r="BG2462" s="18"/>
      <c r="BH2462" s="18"/>
      <c r="BI2462" s="18"/>
      <c r="BJ2462" s="18"/>
      <c r="BK2462" s="18"/>
      <c r="BL2462" s="18"/>
      <c r="BM2462" s="18"/>
      <c r="BN2462" s="18"/>
      <c r="BO2462" s="18"/>
      <c r="BP2462" s="18"/>
      <c r="BQ2462" s="18"/>
      <c r="BR2462" s="18"/>
      <c r="BS2462" s="18"/>
      <c r="BT2462" s="18"/>
      <c r="BU2462" s="18"/>
      <c r="BV2462" s="18"/>
    </row>
    <row r="2463" spans="1:74">
      <c r="A2463" s="18"/>
      <c r="B2463" s="19"/>
      <c r="BG2463" s="18"/>
      <c r="BH2463" s="18"/>
      <c r="BI2463" s="18"/>
      <c r="BJ2463" s="18"/>
      <c r="BK2463" s="18"/>
      <c r="BL2463" s="18"/>
      <c r="BM2463" s="18"/>
      <c r="BN2463" s="18"/>
      <c r="BO2463" s="18"/>
      <c r="BP2463" s="18"/>
      <c r="BQ2463" s="18"/>
      <c r="BR2463" s="18"/>
      <c r="BS2463" s="18"/>
      <c r="BT2463" s="18"/>
      <c r="BU2463" s="18"/>
      <c r="BV2463" s="18"/>
    </row>
    <row r="2464" spans="1:74">
      <c r="A2464" s="18"/>
      <c r="B2464" s="19"/>
      <c r="BG2464" s="18"/>
      <c r="BH2464" s="18"/>
      <c r="BI2464" s="18"/>
      <c r="BJ2464" s="18"/>
      <c r="BK2464" s="18"/>
      <c r="BL2464" s="18"/>
      <c r="BM2464" s="18"/>
      <c r="BN2464" s="18"/>
      <c r="BO2464" s="18"/>
      <c r="BP2464" s="18"/>
      <c r="BQ2464" s="18"/>
      <c r="BR2464" s="18"/>
      <c r="BS2464" s="18"/>
      <c r="BT2464" s="18"/>
      <c r="BU2464" s="18"/>
      <c r="BV2464" s="18"/>
    </row>
    <row r="2465" spans="1:74">
      <c r="A2465" s="18"/>
      <c r="B2465" s="19"/>
      <c r="BG2465" s="18"/>
      <c r="BH2465" s="18"/>
      <c r="BI2465" s="18"/>
      <c r="BJ2465" s="18"/>
      <c r="BK2465" s="18"/>
      <c r="BL2465" s="18"/>
      <c r="BM2465" s="18"/>
      <c r="BN2465" s="18"/>
      <c r="BO2465" s="18"/>
      <c r="BP2465" s="18"/>
      <c r="BQ2465" s="18"/>
      <c r="BR2465" s="18"/>
      <c r="BS2465" s="18"/>
      <c r="BT2465" s="18"/>
      <c r="BU2465" s="18"/>
      <c r="BV2465" s="18"/>
    </row>
    <row r="2466" spans="1:74">
      <c r="A2466" s="18"/>
      <c r="B2466" s="19"/>
      <c r="BG2466" s="18"/>
      <c r="BH2466" s="18"/>
      <c r="BI2466" s="18"/>
      <c r="BJ2466" s="18"/>
      <c r="BK2466" s="18"/>
      <c r="BL2466" s="18"/>
      <c r="BM2466" s="18"/>
      <c r="BN2466" s="18"/>
      <c r="BO2466" s="18"/>
      <c r="BP2466" s="18"/>
      <c r="BQ2466" s="18"/>
      <c r="BR2466" s="18"/>
      <c r="BS2466" s="18"/>
      <c r="BT2466" s="18"/>
      <c r="BU2466" s="18"/>
      <c r="BV2466" s="18"/>
    </row>
    <row r="2467" spans="1:74">
      <c r="A2467" s="18"/>
      <c r="B2467" s="19"/>
      <c r="BG2467" s="18"/>
      <c r="BH2467" s="18"/>
      <c r="BI2467" s="18"/>
      <c r="BJ2467" s="18"/>
      <c r="BK2467" s="18"/>
      <c r="BL2467" s="18"/>
      <c r="BM2467" s="18"/>
      <c r="BN2467" s="18"/>
      <c r="BO2467" s="18"/>
      <c r="BP2467" s="18"/>
      <c r="BQ2467" s="18"/>
      <c r="BR2467" s="18"/>
      <c r="BS2467" s="18"/>
      <c r="BT2467" s="18"/>
      <c r="BU2467" s="18"/>
      <c r="BV2467" s="18"/>
    </row>
    <row r="2468" spans="1:74">
      <c r="A2468" s="18"/>
      <c r="B2468" s="19"/>
      <c r="BG2468" s="18"/>
      <c r="BH2468" s="18"/>
      <c r="BI2468" s="18"/>
      <c r="BJ2468" s="18"/>
      <c r="BK2468" s="18"/>
      <c r="BL2468" s="18"/>
      <c r="BM2468" s="18"/>
      <c r="BN2468" s="18"/>
      <c r="BO2468" s="18"/>
      <c r="BP2468" s="18"/>
      <c r="BQ2468" s="18"/>
      <c r="BR2468" s="18"/>
      <c r="BS2468" s="18"/>
      <c r="BT2468" s="18"/>
      <c r="BU2468" s="18"/>
      <c r="BV2468" s="18"/>
    </row>
    <row r="2469" spans="1:74">
      <c r="A2469" s="18"/>
      <c r="B2469" s="19"/>
      <c r="BG2469" s="18"/>
      <c r="BH2469" s="18"/>
      <c r="BI2469" s="18"/>
      <c r="BJ2469" s="18"/>
      <c r="BK2469" s="18"/>
      <c r="BL2469" s="18"/>
      <c r="BM2469" s="18"/>
      <c r="BN2469" s="18"/>
      <c r="BO2469" s="18"/>
      <c r="BP2469" s="18"/>
      <c r="BQ2469" s="18"/>
      <c r="BR2469" s="18"/>
      <c r="BS2469" s="18"/>
      <c r="BT2469" s="18"/>
      <c r="BU2469" s="18"/>
      <c r="BV2469" s="18"/>
    </row>
    <row r="2470" spans="1:74">
      <c r="A2470" s="18"/>
      <c r="B2470" s="19"/>
      <c r="BG2470" s="18"/>
      <c r="BH2470" s="18"/>
      <c r="BI2470" s="18"/>
      <c r="BJ2470" s="18"/>
      <c r="BK2470" s="18"/>
      <c r="BL2470" s="18"/>
      <c r="BM2470" s="18"/>
      <c r="BN2470" s="18"/>
      <c r="BO2470" s="18"/>
      <c r="BP2470" s="18"/>
      <c r="BQ2470" s="18"/>
      <c r="BR2470" s="18"/>
      <c r="BS2470" s="18"/>
      <c r="BT2470" s="18"/>
      <c r="BU2470" s="18"/>
      <c r="BV2470" s="18"/>
    </row>
    <row r="2471" spans="1:74">
      <c r="A2471" s="18"/>
      <c r="B2471" s="19"/>
      <c r="BG2471" s="18"/>
      <c r="BH2471" s="18"/>
      <c r="BI2471" s="18"/>
      <c r="BJ2471" s="18"/>
      <c r="BK2471" s="18"/>
      <c r="BL2471" s="18"/>
      <c r="BM2471" s="18"/>
      <c r="BN2471" s="18"/>
      <c r="BO2471" s="18"/>
      <c r="BP2471" s="18"/>
      <c r="BQ2471" s="18"/>
      <c r="BR2471" s="18"/>
      <c r="BS2471" s="18"/>
      <c r="BT2471" s="18"/>
      <c r="BU2471" s="18"/>
      <c r="BV2471" s="18"/>
    </row>
    <row r="2472" spans="1:74">
      <c r="A2472" s="18"/>
      <c r="B2472" s="19"/>
      <c r="BG2472" s="18"/>
      <c r="BH2472" s="18"/>
      <c r="BI2472" s="18"/>
      <c r="BJ2472" s="18"/>
      <c r="BK2472" s="18"/>
      <c r="BL2472" s="18"/>
      <c r="BM2472" s="18"/>
      <c r="BN2472" s="18"/>
      <c r="BO2472" s="18"/>
      <c r="BP2472" s="18"/>
      <c r="BQ2472" s="18"/>
      <c r="BR2472" s="18"/>
      <c r="BS2472" s="18"/>
      <c r="BT2472" s="18"/>
      <c r="BU2472" s="18"/>
      <c r="BV2472" s="18"/>
    </row>
    <row r="2473" spans="1:74">
      <c r="A2473" s="18"/>
      <c r="B2473" s="19"/>
      <c r="BG2473" s="18"/>
      <c r="BH2473" s="18"/>
      <c r="BI2473" s="18"/>
      <c r="BJ2473" s="18"/>
      <c r="BK2473" s="18"/>
      <c r="BL2473" s="18"/>
      <c r="BM2473" s="18"/>
      <c r="BN2473" s="18"/>
      <c r="BO2473" s="18"/>
      <c r="BP2473" s="18"/>
      <c r="BQ2473" s="18"/>
      <c r="BR2473" s="18"/>
      <c r="BS2473" s="18"/>
      <c r="BT2473" s="18"/>
      <c r="BU2473" s="18"/>
      <c r="BV2473" s="18"/>
    </row>
    <row r="2474" spans="1:74">
      <c r="A2474" s="18"/>
      <c r="B2474" s="19"/>
      <c r="BG2474" s="18"/>
      <c r="BH2474" s="18"/>
      <c r="BI2474" s="18"/>
      <c r="BJ2474" s="18"/>
      <c r="BK2474" s="18"/>
      <c r="BL2474" s="18"/>
      <c r="BM2474" s="18"/>
      <c r="BN2474" s="18"/>
      <c r="BO2474" s="18"/>
      <c r="BP2474" s="18"/>
      <c r="BQ2474" s="18"/>
      <c r="BR2474" s="18"/>
      <c r="BS2474" s="18"/>
      <c r="BT2474" s="18"/>
      <c r="BU2474" s="18"/>
      <c r="BV2474" s="18"/>
    </row>
    <row r="2475" spans="1:74">
      <c r="A2475" s="18"/>
      <c r="B2475" s="19"/>
      <c r="BG2475" s="18"/>
      <c r="BH2475" s="18"/>
      <c r="BI2475" s="18"/>
      <c r="BJ2475" s="18"/>
      <c r="BK2475" s="18"/>
      <c r="BL2475" s="18"/>
      <c r="BM2475" s="18"/>
      <c r="BN2475" s="18"/>
      <c r="BO2475" s="18"/>
      <c r="BP2475" s="18"/>
      <c r="BQ2475" s="18"/>
      <c r="BR2475" s="18"/>
      <c r="BS2475" s="18"/>
      <c r="BT2475" s="18"/>
      <c r="BU2475" s="18"/>
      <c r="BV2475" s="18"/>
    </row>
    <row r="2476" spans="1:74">
      <c r="A2476" s="18"/>
      <c r="B2476" s="19"/>
      <c r="BG2476" s="18"/>
      <c r="BH2476" s="18"/>
      <c r="BI2476" s="18"/>
      <c r="BJ2476" s="18"/>
      <c r="BK2476" s="18"/>
      <c r="BL2476" s="18"/>
      <c r="BM2476" s="18"/>
      <c r="BN2476" s="18"/>
      <c r="BO2476" s="18"/>
      <c r="BP2476" s="18"/>
      <c r="BQ2476" s="18"/>
      <c r="BR2476" s="18"/>
      <c r="BS2476" s="18"/>
      <c r="BT2476" s="18"/>
      <c r="BU2476" s="18"/>
      <c r="BV2476" s="18"/>
    </row>
    <row r="2477" spans="1:74">
      <c r="A2477" s="18"/>
      <c r="B2477" s="19"/>
      <c r="BG2477" s="18"/>
      <c r="BH2477" s="18"/>
      <c r="BI2477" s="18"/>
      <c r="BJ2477" s="18"/>
      <c r="BK2477" s="18"/>
      <c r="BL2477" s="18"/>
      <c r="BM2477" s="18"/>
      <c r="BN2477" s="18"/>
      <c r="BO2477" s="18"/>
      <c r="BP2477" s="18"/>
      <c r="BQ2477" s="18"/>
      <c r="BR2477" s="18"/>
      <c r="BS2477" s="18"/>
      <c r="BT2477" s="18"/>
      <c r="BU2477" s="18"/>
      <c r="BV2477" s="18"/>
    </row>
    <row r="2478" spans="1:74">
      <c r="A2478" s="18"/>
      <c r="B2478" s="19"/>
      <c r="BG2478" s="18"/>
      <c r="BH2478" s="18"/>
      <c r="BI2478" s="18"/>
      <c r="BJ2478" s="18"/>
      <c r="BK2478" s="18"/>
      <c r="BL2478" s="18"/>
      <c r="BM2478" s="18"/>
      <c r="BN2478" s="18"/>
      <c r="BO2478" s="18"/>
      <c r="BP2478" s="18"/>
      <c r="BQ2478" s="18"/>
      <c r="BR2478" s="18"/>
      <c r="BS2478" s="18"/>
      <c r="BT2478" s="18"/>
      <c r="BU2478" s="18"/>
      <c r="BV2478" s="18"/>
    </row>
    <row r="2479" spans="1:74">
      <c r="A2479" s="18"/>
      <c r="B2479" s="19"/>
      <c r="BG2479" s="18"/>
      <c r="BH2479" s="18"/>
      <c r="BI2479" s="18"/>
      <c r="BJ2479" s="18"/>
      <c r="BK2479" s="18"/>
      <c r="BL2479" s="18"/>
      <c r="BM2479" s="18"/>
      <c r="BN2479" s="18"/>
      <c r="BO2479" s="18"/>
      <c r="BP2479" s="18"/>
      <c r="BQ2479" s="18"/>
      <c r="BR2479" s="18"/>
      <c r="BS2479" s="18"/>
      <c r="BT2479" s="18"/>
      <c r="BU2479" s="18"/>
      <c r="BV2479" s="18"/>
    </row>
    <row r="2480" spans="1:74">
      <c r="A2480" s="18"/>
      <c r="B2480" s="19"/>
      <c r="BG2480" s="18"/>
      <c r="BH2480" s="18"/>
      <c r="BI2480" s="18"/>
      <c r="BJ2480" s="18"/>
      <c r="BK2480" s="18"/>
      <c r="BL2480" s="18"/>
      <c r="BM2480" s="18"/>
      <c r="BN2480" s="18"/>
      <c r="BO2480" s="18"/>
      <c r="BP2480" s="18"/>
      <c r="BQ2480" s="18"/>
      <c r="BR2480" s="18"/>
      <c r="BS2480" s="18"/>
      <c r="BT2480" s="18"/>
      <c r="BU2480" s="18"/>
      <c r="BV2480" s="18"/>
    </row>
    <row r="2481" spans="1:74">
      <c r="A2481" s="18"/>
      <c r="B2481" s="19"/>
      <c r="BG2481" s="18"/>
      <c r="BH2481" s="18"/>
      <c r="BI2481" s="18"/>
      <c r="BJ2481" s="18"/>
      <c r="BK2481" s="18"/>
      <c r="BL2481" s="18"/>
      <c r="BM2481" s="18"/>
      <c r="BN2481" s="18"/>
      <c r="BO2481" s="18"/>
      <c r="BP2481" s="18"/>
      <c r="BQ2481" s="18"/>
      <c r="BR2481" s="18"/>
      <c r="BS2481" s="18"/>
      <c r="BT2481" s="18"/>
      <c r="BU2481" s="18"/>
      <c r="BV2481" s="18"/>
    </row>
    <row r="2482" spans="1:74">
      <c r="A2482" s="18"/>
      <c r="B2482" s="19"/>
      <c r="BG2482" s="18"/>
      <c r="BH2482" s="18"/>
      <c r="BI2482" s="18"/>
      <c r="BJ2482" s="18"/>
      <c r="BK2482" s="18"/>
      <c r="BL2482" s="18"/>
      <c r="BM2482" s="18"/>
      <c r="BN2482" s="18"/>
      <c r="BO2482" s="18"/>
      <c r="BP2482" s="18"/>
      <c r="BQ2482" s="18"/>
      <c r="BR2482" s="18"/>
      <c r="BS2482" s="18"/>
      <c r="BT2482" s="18"/>
      <c r="BU2482" s="18"/>
      <c r="BV2482" s="18"/>
    </row>
    <row r="2483" spans="1:74">
      <c r="A2483" s="18"/>
      <c r="B2483" s="19"/>
      <c r="BG2483" s="18"/>
      <c r="BH2483" s="18"/>
      <c r="BI2483" s="18"/>
      <c r="BJ2483" s="18"/>
      <c r="BK2483" s="18"/>
      <c r="BL2483" s="18"/>
      <c r="BM2483" s="18"/>
      <c r="BN2483" s="18"/>
      <c r="BO2483" s="18"/>
      <c r="BP2483" s="18"/>
      <c r="BQ2483" s="18"/>
      <c r="BR2483" s="18"/>
      <c r="BS2483" s="18"/>
      <c r="BT2483" s="18"/>
      <c r="BU2483" s="18"/>
      <c r="BV2483" s="18"/>
    </row>
    <row r="2484" spans="1:74">
      <c r="A2484" s="18"/>
      <c r="B2484" s="19"/>
      <c r="BG2484" s="18"/>
      <c r="BH2484" s="18"/>
      <c r="BI2484" s="18"/>
      <c r="BJ2484" s="18"/>
      <c r="BK2484" s="18"/>
      <c r="BL2484" s="18"/>
      <c r="BM2484" s="18"/>
      <c r="BN2484" s="18"/>
      <c r="BO2484" s="18"/>
      <c r="BP2484" s="18"/>
      <c r="BQ2484" s="18"/>
      <c r="BR2484" s="18"/>
      <c r="BS2484" s="18"/>
      <c r="BT2484" s="18"/>
      <c r="BU2484" s="18"/>
      <c r="BV2484" s="18"/>
    </row>
    <row r="2485" spans="1:74">
      <c r="A2485" s="18"/>
      <c r="B2485" s="19"/>
      <c r="BG2485" s="18"/>
      <c r="BH2485" s="18"/>
      <c r="BI2485" s="18"/>
      <c r="BJ2485" s="18"/>
      <c r="BK2485" s="18"/>
      <c r="BL2485" s="18"/>
      <c r="BM2485" s="18"/>
      <c r="BN2485" s="18"/>
      <c r="BO2485" s="18"/>
      <c r="BP2485" s="18"/>
      <c r="BQ2485" s="18"/>
      <c r="BR2485" s="18"/>
      <c r="BS2485" s="18"/>
      <c r="BT2485" s="18"/>
      <c r="BU2485" s="18"/>
      <c r="BV2485" s="18"/>
    </row>
    <row r="2486" spans="1:74">
      <c r="A2486" s="18"/>
      <c r="B2486" s="19"/>
      <c r="BG2486" s="18"/>
      <c r="BH2486" s="18"/>
      <c r="BI2486" s="18"/>
      <c r="BJ2486" s="18"/>
      <c r="BK2486" s="18"/>
      <c r="BL2486" s="18"/>
      <c r="BM2486" s="18"/>
      <c r="BN2486" s="18"/>
      <c r="BO2486" s="18"/>
      <c r="BP2486" s="18"/>
      <c r="BQ2486" s="18"/>
      <c r="BR2486" s="18"/>
      <c r="BS2486" s="18"/>
      <c r="BT2486" s="18"/>
      <c r="BU2486" s="18"/>
      <c r="BV2486" s="18"/>
    </row>
    <row r="2487" spans="1:74">
      <c r="A2487" s="18"/>
      <c r="B2487" s="19"/>
      <c r="BG2487" s="18"/>
      <c r="BH2487" s="18"/>
      <c r="BI2487" s="18"/>
      <c r="BJ2487" s="18"/>
      <c r="BK2487" s="18"/>
      <c r="BL2487" s="18"/>
      <c r="BM2487" s="18"/>
      <c r="BN2487" s="18"/>
      <c r="BO2487" s="18"/>
      <c r="BP2487" s="18"/>
      <c r="BQ2487" s="18"/>
      <c r="BR2487" s="18"/>
      <c r="BS2487" s="18"/>
      <c r="BT2487" s="18"/>
      <c r="BU2487" s="18"/>
      <c r="BV2487" s="18"/>
    </row>
    <row r="2488" spans="1:74">
      <c r="A2488" s="18"/>
      <c r="B2488" s="19"/>
      <c r="BG2488" s="18"/>
      <c r="BH2488" s="18"/>
      <c r="BI2488" s="18"/>
      <c r="BJ2488" s="18"/>
      <c r="BK2488" s="18"/>
      <c r="BL2488" s="18"/>
      <c r="BM2488" s="18"/>
      <c r="BN2488" s="18"/>
      <c r="BO2488" s="18"/>
      <c r="BP2488" s="18"/>
      <c r="BQ2488" s="18"/>
      <c r="BR2488" s="18"/>
      <c r="BS2488" s="18"/>
      <c r="BT2488" s="18"/>
      <c r="BU2488" s="18"/>
      <c r="BV2488" s="18"/>
    </row>
    <row r="2489" spans="1:74">
      <c r="A2489" s="18"/>
      <c r="B2489" s="19"/>
      <c r="BG2489" s="18"/>
      <c r="BH2489" s="18"/>
      <c r="BI2489" s="18"/>
      <c r="BJ2489" s="18"/>
      <c r="BK2489" s="18"/>
      <c r="BL2489" s="18"/>
      <c r="BM2489" s="18"/>
      <c r="BN2489" s="18"/>
      <c r="BO2489" s="18"/>
      <c r="BP2489" s="18"/>
      <c r="BQ2489" s="18"/>
      <c r="BR2489" s="18"/>
      <c r="BS2489" s="18"/>
      <c r="BT2489" s="18"/>
      <c r="BU2489" s="18"/>
      <c r="BV2489" s="18"/>
    </row>
    <row r="2490" spans="1:74">
      <c r="A2490" s="18"/>
      <c r="B2490" s="19"/>
      <c r="BG2490" s="18"/>
      <c r="BH2490" s="18"/>
      <c r="BI2490" s="18"/>
      <c r="BJ2490" s="18"/>
      <c r="BK2490" s="18"/>
      <c r="BL2490" s="18"/>
      <c r="BM2490" s="18"/>
      <c r="BN2490" s="18"/>
      <c r="BO2490" s="18"/>
      <c r="BP2490" s="18"/>
      <c r="BQ2490" s="18"/>
      <c r="BR2490" s="18"/>
      <c r="BS2490" s="18"/>
      <c r="BT2490" s="18"/>
      <c r="BU2490" s="18"/>
      <c r="BV2490" s="18"/>
    </row>
    <row r="2491" spans="1:74">
      <c r="A2491" s="18"/>
      <c r="B2491" s="19"/>
      <c r="BG2491" s="18"/>
      <c r="BH2491" s="18"/>
      <c r="BI2491" s="18"/>
      <c r="BJ2491" s="18"/>
      <c r="BK2491" s="18"/>
      <c r="BL2491" s="18"/>
      <c r="BM2491" s="18"/>
      <c r="BN2491" s="18"/>
      <c r="BO2491" s="18"/>
      <c r="BP2491" s="18"/>
      <c r="BQ2491" s="18"/>
      <c r="BR2491" s="18"/>
      <c r="BS2491" s="18"/>
      <c r="BT2491" s="18"/>
      <c r="BU2491" s="18"/>
      <c r="BV2491" s="18"/>
    </row>
    <row r="2492" spans="1:74">
      <c r="A2492" s="18"/>
      <c r="B2492" s="19"/>
      <c r="BG2492" s="18"/>
      <c r="BH2492" s="18"/>
      <c r="BI2492" s="18"/>
      <c r="BJ2492" s="18"/>
      <c r="BK2492" s="18"/>
      <c r="BL2492" s="18"/>
      <c r="BM2492" s="18"/>
      <c r="BN2492" s="18"/>
      <c r="BO2492" s="18"/>
      <c r="BP2492" s="18"/>
      <c r="BQ2492" s="18"/>
      <c r="BR2492" s="18"/>
      <c r="BS2492" s="18"/>
      <c r="BT2492" s="18"/>
      <c r="BU2492" s="18"/>
      <c r="BV2492" s="18"/>
    </row>
    <row r="2493" spans="1:74">
      <c r="A2493" s="18"/>
      <c r="B2493" s="19"/>
      <c r="BG2493" s="18"/>
      <c r="BH2493" s="18"/>
      <c r="BI2493" s="18"/>
      <c r="BJ2493" s="18"/>
      <c r="BK2493" s="18"/>
      <c r="BL2493" s="18"/>
      <c r="BM2493" s="18"/>
      <c r="BN2493" s="18"/>
      <c r="BO2493" s="18"/>
      <c r="BP2493" s="18"/>
      <c r="BQ2493" s="18"/>
      <c r="BR2493" s="18"/>
      <c r="BS2493" s="18"/>
      <c r="BT2493" s="18"/>
      <c r="BU2493" s="18"/>
      <c r="BV2493" s="18"/>
    </row>
    <row r="2494" spans="1:74">
      <c r="A2494" s="18"/>
      <c r="B2494" s="19"/>
      <c r="BG2494" s="18"/>
      <c r="BH2494" s="18"/>
      <c r="BI2494" s="18"/>
      <c r="BJ2494" s="18"/>
      <c r="BK2494" s="18"/>
      <c r="BL2494" s="18"/>
      <c r="BM2494" s="18"/>
      <c r="BN2494" s="18"/>
      <c r="BO2494" s="18"/>
      <c r="BP2494" s="18"/>
      <c r="BQ2494" s="18"/>
      <c r="BR2494" s="18"/>
      <c r="BS2494" s="18"/>
      <c r="BT2494" s="18"/>
      <c r="BU2494" s="18"/>
      <c r="BV2494" s="18"/>
    </row>
    <row r="2495" spans="1:74">
      <c r="A2495" s="18"/>
      <c r="B2495" s="19"/>
      <c r="BG2495" s="18"/>
      <c r="BH2495" s="18"/>
      <c r="BI2495" s="18"/>
      <c r="BJ2495" s="18"/>
      <c r="BK2495" s="18"/>
      <c r="BL2495" s="18"/>
      <c r="BM2495" s="18"/>
      <c r="BN2495" s="18"/>
      <c r="BO2495" s="18"/>
      <c r="BP2495" s="18"/>
      <c r="BQ2495" s="18"/>
      <c r="BR2495" s="18"/>
      <c r="BS2495" s="18"/>
      <c r="BT2495" s="18"/>
      <c r="BU2495" s="18"/>
      <c r="BV2495" s="18"/>
    </row>
    <row r="2496" spans="1:74">
      <c r="A2496" s="18"/>
      <c r="B2496" s="19"/>
      <c r="BG2496" s="18"/>
      <c r="BH2496" s="18"/>
      <c r="BI2496" s="18"/>
      <c r="BJ2496" s="18"/>
      <c r="BK2496" s="18"/>
      <c r="BL2496" s="18"/>
      <c r="BM2496" s="18"/>
      <c r="BN2496" s="18"/>
      <c r="BO2496" s="18"/>
      <c r="BP2496" s="18"/>
      <c r="BQ2496" s="18"/>
      <c r="BR2496" s="18"/>
      <c r="BS2496" s="18"/>
      <c r="BT2496" s="18"/>
      <c r="BU2496" s="18"/>
      <c r="BV2496" s="18"/>
    </row>
    <row r="2497" spans="1:74">
      <c r="A2497" s="18"/>
      <c r="B2497" s="19"/>
      <c r="BG2497" s="18"/>
      <c r="BH2497" s="18"/>
      <c r="BI2497" s="18"/>
      <c r="BJ2497" s="18"/>
      <c r="BK2497" s="18"/>
      <c r="BL2497" s="18"/>
      <c r="BM2497" s="18"/>
      <c r="BN2497" s="18"/>
      <c r="BO2497" s="18"/>
      <c r="BP2497" s="18"/>
      <c r="BQ2497" s="18"/>
      <c r="BR2497" s="18"/>
      <c r="BS2497" s="18"/>
      <c r="BT2497" s="18"/>
      <c r="BU2497" s="18"/>
      <c r="BV2497" s="18"/>
    </row>
    <row r="2498" spans="1:74">
      <c r="A2498" s="18"/>
      <c r="B2498" s="19"/>
      <c r="BG2498" s="18"/>
      <c r="BH2498" s="18"/>
      <c r="BI2498" s="18"/>
      <c r="BJ2498" s="18"/>
      <c r="BK2498" s="18"/>
      <c r="BL2498" s="18"/>
      <c r="BM2498" s="18"/>
      <c r="BN2498" s="18"/>
      <c r="BO2498" s="18"/>
      <c r="BP2498" s="18"/>
      <c r="BQ2498" s="18"/>
      <c r="BR2498" s="18"/>
      <c r="BS2498" s="18"/>
      <c r="BT2498" s="18"/>
      <c r="BU2498" s="18"/>
      <c r="BV2498" s="18"/>
    </row>
    <row r="2499" spans="1:74">
      <c r="A2499" s="18"/>
      <c r="B2499" s="19"/>
      <c r="BG2499" s="18"/>
      <c r="BH2499" s="18"/>
      <c r="BI2499" s="18"/>
      <c r="BJ2499" s="18"/>
      <c r="BK2499" s="18"/>
      <c r="BL2499" s="18"/>
      <c r="BM2499" s="18"/>
      <c r="BN2499" s="18"/>
      <c r="BO2499" s="18"/>
      <c r="BP2499" s="18"/>
      <c r="BQ2499" s="18"/>
      <c r="BR2499" s="18"/>
      <c r="BS2499" s="18"/>
      <c r="BT2499" s="18"/>
      <c r="BU2499" s="18"/>
      <c r="BV2499" s="18"/>
    </row>
    <row r="2500" spans="1:74">
      <c r="A2500" s="18"/>
      <c r="B2500" s="19"/>
      <c r="BG2500" s="18"/>
      <c r="BH2500" s="18"/>
      <c r="BI2500" s="18"/>
      <c r="BJ2500" s="18"/>
      <c r="BK2500" s="18"/>
      <c r="BL2500" s="18"/>
      <c r="BM2500" s="18"/>
      <c r="BN2500" s="18"/>
      <c r="BO2500" s="18"/>
      <c r="BP2500" s="18"/>
      <c r="BQ2500" s="18"/>
      <c r="BR2500" s="18"/>
      <c r="BS2500" s="18"/>
      <c r="BT2500" s="18"/>
      <c r="BU2500" s="18"/>
      <c r="BV2500" s="18"/>
    </row>
    <row r="2501" spans="1:74">
      <c r="A2501" s="18"/>
      <c r="B2501" s="19"/>
      <c r="BG2501" s="18"/>
      <c r="BH2501" s="18"/>
      <c r="BI2501" s="18"/>
      <c r="BJ2501" s="18"/>
      <c r="BK2501" s="18"/>
      <c r="BL2501" s="18"/>
      <c r="BM2501" s="18"/>
      <c r="BN2501" s="18"/>
      <c r="BO2501" s="18"/>
      <c r="BP2501" s="18"/>
      <c r="BQ2501" s="18"/>
      <c r="BR2501" s="18"/>
      <c r="BS2501" s="18"/>
      <c r="BT2501" s="18"/>
      <c r="BU2501" s="18"/>
      <c r="BV2501" s="18"/>
    </row>
    <row r="2502" spans="1:74">
      <c r="A2502" s="18"/>
      <c r="B2502" s="19"/>
      <c r="BG2502" s="18"/>
      <c r="BH2502" s="18"/>
      <c r="BI2502" s="18"/>
      <c r="BJ2502" s="18"/>
      <c r="BK2502" s="18"/>
      <c r="BL2502" s="18"/>
      <c r="BM2502" s="18"/>
      <c r="BN2502" s="18"/>
      <c r="BO2502" s="18"/>
      <c r="BP2502" s="18"/>
      <c r="BQ2502" s="18"/>
      <c r="BR2502" s="18"/>
      <c r="BS2502" s="18"/>
      <c r="BT2502" s="18"/>
      <c r="BU2502" s="18"/>
      <c r="BV2502" s="18"/>
    </row>
    <row r="2503" spans="1:74">
      <c r="A2503" s="18"/>
      <c r="B2503" s="19"/>
      <c r="BG2503" s="18"/>
      <c r="BH2503" s="18"/>
      <c r="BI2503" s="18"/>
      <c r="BJ2503" s="18"/>
      <c r="BK2503" s="18"/>
      <c r="BL2503" s="18"/>
      <c r="BM2503" s="18"/>
      <c r="BN2503" s="18"/>
      <c r="BO2503" s="18"/>
      <c r="BP2503" s="18"/>
      <c r="BQ2503" s="18"/>
      <c r="BR2503" s="18"/>
      <c r="BS2503" s="18"/>
      <c r="BT2503" s="18"/>
      <c r="BU2503" s="18"/>
      <c r="BV2503" s="18"/>
    </row>
    <row r="2504" spans="1:74">
      <c r="A2504" s="18"/>
      <c r="B2504" s="19"/>
      <c r="BG2504" s="18"/>
      <c r="BH2504" s="18"/>
      <c r="BI2504" s="18"/>
      <c r="BJ2504" s="18"/>
      <c r="BK2504" s="18"/>
      <c r="BL2504" s="18"/>
      <c r="BM2504" s="18"/>
      <c r="BN2504" s="18"/>
      <c r="BO2504" s="18"/>
      <c r="BP2504" s="18"/>
      <c r="BQ2504" s="18"/>
      <c r="BR2504" s="18"/>
      <c r="BS2504" s="18"/>
      <c r="BT2504" s="18"/>
      <c r="BU2504" s="18"/>
      <c r="BV2504" s="18"/>
    </row>
    <row r="2505" spans="1:74">
      <c r="A2505" s="18"/>
      <c r="B2505" s="19"/>
      <c r="BG2505" s="18"/>
      <c r="BH2505" s="18"/>
      <c r="BI2505" s="18"/>
      <c r="BJ2505" s="18"/>
      <c r="BK2505" s="18"/>
      <c r="BL2505" s="18"/>
      <c r="BM2505" s="18"/>
      <c r="BN2505" s="18"/>
      <c r="BO2505" s="18"/>
      <c r="BP2505" s="18"/>
      <c r="BQ2505" s="18"/>
      <c r="BR2505" s="18"/>
      <c r="BS2505" s="18"/>
      <c r="BT2505" s="18"/>
      <c r="BU2505" s="18"/>
      <c r="BV2505" s="18"/>
    </row>
    <row r="2506" spans="1:74">
      <c r="A2506" s="18"/>
      <c r="B2506" s="19"/>
      <c r="BG2506" s="18"/>
      <c r="BH2506" s="18"/>
      <c r="BI2506" s="18"/>
      <c r="BJ2506" s="18"/>
      <c r="BK2506" s="18"/>
      <c r="BL2506" s="18"/>
      <c r="BM2506" s="18"/>
      <c r="BN2506" s="18"/>
      <c r="BO2506" s="18"/>
      <c r="BP2506" s="18"/>
      <c r="BQ2506" s="18"/>
      <c r="BR2506" s="18"/>
      <c r="BS2506" s="18"/>
      <c r="BT2506" s="18"/>
      <c r="BU2506" s="18"/>
      <c r="BV2506" s="18"/>
    </row>
    <row r="2507" spans="1:74">
      <c r="A2507" s="18"/>
      <c r="B2507" s="19"/>
      <c r="BG2507" s="18"/>
      <c r="BH2507" s="18"/>
      <c r="BI2507" s="18"/>
      <c r="BJ2507" s="18"/>
      <c r="BK2507" s="18"/>
      <c r="BL2507" s="18"/>
      <c r="BM2507" s="18"/>
      <c r="BN2507" s="18"/>
      <c r="BO2507" s="18"/>
      <c r="BP2507" s="18"/>
      <c r="BQ2507" s="18"/>
      <c r="BR2507" s="18"/>
      <c r="BS2507" s="18"/>
      <c r="BT2507" s="18"/>
      <c r="BU2507" s="18"/>
      <c r="BV2507" s="18"/>
    </row>
    <row r="2508" spans="1:74">
      <c r="A2508" s="18"/>
      <c r="B2508" s="19"/>
      <c r="BG2508" s="18"/>
      <c r="BH2508" s="18"/>
      <c r="BI2508" s="18"/>
      <c r="BJ2508" s="18"/>
      <c r="BK2508" s="18"/>
      <c r="BL2508" s="18"/>
      <c r="BM2508" s="18"/>
      <c r="BN2508" s="18"/>
      <c r="BO2508" s="18"/>
      <c r="BP2508" s="18"/>
      <c r="BQ2508" s="18"/>
      <c r="BR2508" s="18"/>
      <c r="BS2508" s="18"/>
      <c r="BT2508" s="18"/>
      <c r="BU2508" s="18"/>
      <c r="BV2508" s="18"/>
    </row>
    <row r="2509" spans="1:74">
      <c r="A2509" s="18"/>
      <c r="B2509" s="19"/>
      <c r="BG2509" s="18"/>
      <c r="BH2509" s="18"/>
      <c r="BI2509" s="18"/>
      <c r="BJ2509" s="18"/>
      <c r="BK2509" s="18"/>
      <c r="BL2509" s="18"/>
      <c r="BM2509" s="18"/>
      <c r="BN2509" s="18"/>
      <c r="BO2509" s="18"/>
      <c r="BP2509" s="18"/>
      <c r="BQ2509" s="18"/>
      <c r="BR2509" s="18"/>
      <c r="BS2509" s="18"/>
      <c r="BT2509" s="18"/>
      <c r="BU2509" s="18"/>
      <c r="BV2509" s="18"/>
    </row>
    <row r="2510" spans="1:74">
      <c r="A2510" s="18"/>
      <c r="B2510" s="19"/>
      <c r="BG2510" s="18"/>
      <c r="BH2510" s="18"/>
      <c r="BI2510" s="18"/>
      <c r="BJ2510" s="18"/>
      <c r="BK2510" s="18"/>
      <c r="BL2510" s="18"/>
      <c r="BM2510" s="18"/>
      <c r="BN2510" s="18"/>
      <c r="BO2510" s="18"/>
      <c r="BP2510" s="18"/>
      <c r="BQ2510" s="18"/>
      <c r="BR2510" s="18"/>
      <c r="BS2510" s="18"/>
      <c r="BT2510" s="18"/>
      <c r="BU2510" s="18"/>
      <c r="BV2510" s="18"/>
    </row>
    <row r="2511" spans="1:74">
      <c r="A2511" s="18"/>
      <c r="B2511" s="19"/>
      <c r="BG2511" s="18"/>
      <c r="BH2511" s="18"/>
      <c r="BI2511" s="18"/>
      <c r="BJ2511" s="18"/>
      <c r="BK2511" s="18"/>
      <c r="BL2511" s="18"/>
      <c r="BM2511" s="18"/>
      <c r="BN2511" s="18"/>
      <c r="BO2511" s="18"/>
      <c r="BP2511" s="18"/>
      <c r="BQ2511" s="18"/>
      <c r="BR2511" s="18"/>
      <c r="BS2511" s="18"/>
      <c r="BT2511" s="18"/>
      <c r="BU2511" s="18"/>
      <c r="BV2511" s="18"/>
    </row>
    <row r="2512" spans="1:74">
      <c r="A2512" s="18"/>
      <c r="B2512" s="19"/>
      <c r="BG2512" s="18"/>
      <c r="BH2512" s="18"/>
      <c r="BI2512" s="18"/>
      <c r="BJ2512" s="18"/>
      <c r="BK2512" s="18"/>
      <c r="BL2512" s="18"/>
      <c r="BM2512" s="18"/>
      <c r="BN2512" s="18"/>
      <c r="BO2512" s="18"/>
      <c r="BP2512" s="18"/>
      <c r="BQ2512" s="18"/>
      <c r="BR2512" s="18"/>
      <c r="BS2512" s="18"/>
      <c r="BT2512" s="18"/>
      <c r="BU2512" s="18"/>
      <c r="BV2512" s="18"/>
    </row>
    <row r="2513" spans="1:74">
      <c r="A2513" s="18"/>
      <c r="B2513" s="19"/>
      <c r="BG2513" s="18"/>
      <c r="BH2513" s="18"/>
      <c r="BI2513" s="18"/>
      <c r="BJ2513" s="18"/>
      <c r="BK2513" s="18"/>
      <c r="BL2513" s="18"/>
      <c r="BM2513" s="18"/>
      <c r="BN2513" s="18"/>
      <c r="BO2513" s="18"/>
      <c r="BP2513" s="18"/>
      <c r="BQ2513" s="18"/>
      <c r="BR2513" s="18"/>
      <c r="BS2513" s="18"/>
      <c r="BT2513" s="18"/>
      <c r="BU2513" s="18"/>
      <c r="BV2513" s="18"/>
    </row>
    <row r="2514" spans="1:74">
      <c r="A2514" s="18"/>
      <c r="B2514" s="19"/>
      <c r="BG2514" s="18"/>
      <c r="BH2514" s="18"/>
      <c r="BI2514" s="18"/>
      <c r="BJ2514" s="18"/>
      <c r="BK2514" s="18"/>
      <c r="BL2514" s="18"/>
      <c r="BM2514" s="18"/>
      <c r="BN2514" s="18"/>
      <c r="BO2514" s="18"/>
      <c r="BP2514" s="18"/>
      <c r="BQ2514" s="18"/>
      <c r="BR2514" s="18"/>
      <c r="BS2514" s="18"/>
      <c r="BT2514" s="18"/>
      <c r="BU2514" s="18"/>
      <c r="BV2514" s="18"/>
    </row>
    <row r="2515" spans="1:74">
      <c r="A2515" s="18"/>
      <c r="B2515" s="19"/>
      <c r="BG2515" s="18"/>
      <c r="BH2515" s="18"/>
      <c r="BI2515" s="18"/>
      <c r="BJ2515" s="18"/>
      <c r="BK2515" s="18"/>
      <c r="BL2515" s="18"/>
      <c r="BM2515" s="18"/>
      <c r="BN2515" s="18"/>
      <c r="BO2515" s="18"/>
      <c r="BP2515" s="18"/>
      <c r="BQ2515" s="18"/>
      <c r="BR2515" s="18"/>
      <c r="BS2515" s="18"/>
      <c r="BT2515" s="18"/>
      <c r="BU2515" s="18"/>
      <c r="BV2515" s="18"/>
    </row>
    <row r="2516" spans="1:74">
      <c r="A2516" s="18"/>
      <c r="B2516" s="19"/>
      <c r="BG2516" s="18"/>
      <c r="BH2516" s="18"/>
      <c r="BI2516" s="18"/>
      <c r="BJ2516" s="18"/>
      <c r="BK2516" s="18"/>
      <c r="BL2516" s="18"/>
      <c r="BM2516" s="18"/>
      <c r="BN2516" s="18"/>
      <c r="BO2516" s="18"/>
      <c r="BP2516" s="18"/>
      <c r="BQ2516" s="18"/>
      <c r="BR2516" s="18"/>
      <c r="BS2516" s="18"/>
      <c r="BT2516" s="18"/>
      <c r="BU2516" s="18"/>
      <c r="BV2516" s="18"/>
    </row>
    <row r="2517" spans="1:74">
      <c r="A2517" s="18"/>
      <c r="B2517" s="19"/>
      <c r="BG2517" s="18"/>
      <c r="BH2517" s="18"/>
      <c r="BI2517" s="18"/>
      <c r="BJ2517" s="18"/>
      <c r="BK2517" s="18"/>
      <c r="BL2517" s="18"/>
      <c r="BM2517" s="18"/>
      <c r="BN2517" s="18"/>
      <c r="BO2517" s="18"/>
      <c r="BP2517" s="18"/>
      <c r="BQ2517" s="18"/>
      <c r="BR2517" s="18"/>
      <c r="BS2517" s="18"/>
      <c r="BT2517" s="18"/>
      <c r="BU2517" s="18"/>
      <c r="BV2517" s="18"/>
    </row>
    <row r="2518" spans="1:74">
      <c r="A2518" s="18"/>
      <c r="B2518" s="19"/>
      <c r="BG2518" s="18"/>
      <c r="BH2518" s="18"/>
      <c r="BI2518" s="18"/>
      <c r="BJ2518" s="18"/>
      <c r="BK2518" s="18"/>
      <c r="BL2518" s="18"/>
      <c r="BM2518" s="18"/>
      <c r="BN2518" s="18"/>
      <c r="BO2518" s="18"/>
      <c r="BP2518" s="18"/>
      <c r="BQ2518" s="18"/>
      <c r="BR2518" s="18"/>
      <c r="BS2518" s="18"/>
      <c r="BT2518" s="18"/>
      <c r="BU2518" s="18"/>
      <c r="BV2518" s="18"/>
    </row>
    <row r="2519" spans="1:74">
      <c r="A2519" s="18"/>
      <c r="B2519" s="19"/>
      <c r="BG2519" s="18"/>
      <c r="BH2519" s="18"/>
      <c r="BI2519" s="18"/>
      <c r="BJ2519" s="18"/>
      <c r="BK2519" s="18"/>
      <c r="BL2519" s="18"/>
      <c r="BM2519" s="18"/>
      <c r="BN2519" s="18"/>
      <c r="BO2519" s="18"/>
      <c r="BP2519" s="18"/>
      <c r="BQ2519" s="18"/>
      <c r="BR2519" s="18"/>
      <c r="BS2519" s="18"/>
      <c r="BT2519" s="18"/>
      <c r="BU2519" s="18"/>
      <c r="BV2519" s="18"/>
    </row>
    <row r="2520" spans="1:74">
      <c r="A2520" s="18"/>
      <c r="B2520" s="19"/>
      <c r="BG2520" s="18"/>
      <c r="BH2520" s="18"/>
      <c r="BI2520" s="18"/>
      <c r="BJ2520" s="18"/>
      <c r="BK2520" s="18"/>
      <c r="BL2520" s="18"/>
      <c r="BM2520" s="18"/>
      <c r="BN2520" s="18"/>
      <c r="BO2520" s="18"/>
      <c r="BP2520" s="18"/>
      <c r="BQ2520" s="18"/>
      <c r="BR2520" s="18"/>
      <c r="BS2520" s="18"/>
      <c r="BT2520" s="18"/>
      <c r="BU2520" s="18"/>
      <c r="BV2520" s="18"/>
    </row>
    <row r="2521" spans="1:74">
      <c r="A2521" s="18"/>
      <c r="B2521" s="19"/>
      <c r="BG2521" s="18"/>
      <c r="BH2521" s="18"/>
      <c r="BI2521" s="18"/>
      <c r="BJ2521" s="18"/>
      <c r="BK2521" s="18"/>
      <c r="BL2521" s="18"/>
      <c r="BM2521" s="18"/>
      <c r="BN2521" s="18"/>
      <c r="BO2521" s="18"/>
      <c r="BP2521" s="18"/>
      <c r="BQ2521" s="18"/>
      <c r="BR2521" s="18"/>
      <c r="BS2521" s="18"/>
      <c r="BT2521" s="18"/>
      <c r="BU2521" s="18"/>
      <c r="BV2521" s="18"/>
    </row>
    <row r="2522" spans="1:74">
      <c r="A2522" s="18"/>
      <c r="B2522" s="19"/>
      <c r="BG2522" s="18"/>
      <c r="BH2522" s="18"/>
      <c r="BI2522" s="18"/>
      <c r="BJ2522" s="18"/>
      <c r="BK2522" s="18"/>
      <c r="BL2522" s="18"/>
      <c r="BM2522" s="18"/>
      <c r="BN2522" s="18"/>
      <c r="BO2522" s="18"/>
      <c r="BP2522" s="18"/>
      <c r="BQ2522" s="18"/>
      <c r="BR2522" s="18"/>
      <c r="BS2522" s="18"/>
      <c r="BT2522" s="18"/>
      <c r="BU2522" s="18"/>
      <c r="BV2522" s="18"/>
    </row>
    <row r="2523" spans="1:74">
      <c r="A2523" s="18"/>
      <c r="B2523" s="19"/>
      <c r="BG2523" s="18"/>
      <c r="BH2523" s="18"/>
      <c r="BI2523" s="18"/>
      <c r="BJ2523" s="18"/>
      <c r="BK2523" s="18"/>
      <c r="BL2523" s="18"/>
      <c r="BM2523" s="18"/>
      <c r="BN2523" s="18"/>
      <c r="BO2523" s="18"/>
      <c r="BP2523" s="18"/>
      <c r="BQ2523" s="18"/>
      <c r="BR2523" s="18"/>
      <c r="BS2523" s="18"/>
      <c r="BT2523" s="18"/>
      <c r="BU2523" s="18"/>
      <c r="BV2523" s="18"/>
    </row>
    <row r="2524" spans="1:74">
      <c r="A2524" s="18"/>
      <c r="B2524" s="19"/>
      <c r="BG2524" s="18"/>
      <c r="BH2524" s="18"/>
      <c r="BI2524" s="18"/>
      <c r="BJ2524" s="18"/>
      <c r="BK2524" s="18"/>
      <c r="BL2524" s="18"/>
      <c r="BM2524" s="18"/>
      <c r="BN2524" s="18"/>
      <c r="BO2524" s="18"/>
      <c r="BP2524" s="18"/>
      <c r="BQ2524" s="18"/>
      <c r="BR2524" s="18"/>
      <c r="BS2524" s="18"/>
      <c r="BT2524" s="18"/>
      <c r="BU2524" s="18"/>
      <c r="BV2524" s="18"/>
    </row>
    <row r="2525" spans="1:74">
      <c r="A2525" s="18"/>
      <c r="B2525" s="19"/>
      <c r="BG2525" s="18"/>
      <c r="BH2525" s="18"/>
      <c r="BI2525" s="18"/>
      <c r="BJ2525" s="18"/>
      <c r="BK2525" s="18"/>
      <c r="BL2525" s="18"/>
      <c r="BM2525" s="18"/>
      <c r="BN2525" s="18"/>
      <c r="BO2525" s="18"/>
      <c r="BP2525" s="18"/>
      <c r="BQ2525" s="18"/>
      <c r="BR2525" s="18"/>
      <c r="BS2525" s="18"/>
      <c r="BT2525" s="18"/>
      <c r="BU2525" s="18"/>
      <c r="BV2525" s="18"/>
    </row>
    <row r="2526" spans="1:74">
      <c r="A2526" s="18"/>
      <c r="B2526" s="19"/>
      <c r="BG2526" s="18"/>
      <c r="BH2526" s="18"/>
      <c r="BI2526" s="18"/>
      <c r="BJ2526" s="18"/>
      <c r="BK2526" s="18"/>
      <c r="BL2526" s="18"/>
      <c r="BM2526" s="18"/>
      <c r="BN2526" s="18"/>
      <c r="BO2526" s="18"/>
      <c r="BP2526" s="18"/>
      <c r="BQ2526" s="18"/>
      <c r="BR2526" s="18"/>
      <c r="BS2526" s="18"/>
      <c r="BT2526" s="18"/>
      <c r="BU2526" s="18"/>
      <c r="BV2526" s="18"/>
    </row>
    <row r="2527" spans="1:74">
      <c r="A2527" s="18"/>
      <c r="B2527" s="19"/>
      <c r="BG2527" s="18"/>
      <c r="BH2527" s="18"/>
      <c r="BI2527" s="18"/>
      <c r="BJ2527" s="18"/>
      <c r="BK2527" s="18"/>
      <c r="BL2527" s="18"/>
      <c r="BM2527" s="18"/>
      <c r="BN2527" s="18"/>
      <c r="BO2527" s="18"/>
      <c r="BP2527" s="18"/>
      <c r="BQ2527" s="18"/>
      <c r="BR2527" s="18"/>
      <c r="BS2527" s="18"/>
      <c r="BT2527" s="18"/>
      <c r="BU2527" s="18"/>
      <c r="BV2527" s="18"/>
    </row>
    <row r="2528" spans="1:74">
      <c r="A2528" s="18"/>
      <c r="B2528" s="19"/>
      <c r="BG2528" s="18"/>
      <c r="BH2528" s="18"/>
      <c r="BI2528" s="18"/>
      <c r="BJ2528" s="18"/>
      <c r="BK2528" s="18"/>
      <c r="BL2528" s="18"/>
      <c r="BM2528" s="18"/>
      <c r="BN2528" s="18"/>
      <c r="BO2528" s="18"/>
      <c r="BP2528" s="18"/>
      <c r="BQ2528" s="18"/>
      <c r="BR2528" s="18"/>
      <c r="BS2528" s="18"/>
      <c r="BT2528" s="18"/>
      <c r="BU2528" s="18"/>
      <c r="BV2528" s="18"/>
    </row>
    <row r="2529" spans="1:74">
      <c r="A2529" s="18"/>
      <c r="B2529" s="19"/>
      <c r="BG2529" s="18"/>
      <c r="BH2529" s="18"/>
      <c r="BI2529" s="18"/>
      <c r="BJ2529" s="18"/>
      <c r="BK2529" s="18"/>
      <c r="BL2529" s="18"/>
      <c r="BM2529" s="18"/>
      <c r="BN2529" s="18"/>
      <c r="BO2529" s="18"/>
      <c r="BP2529" s="18"/>
      <c r="BQ2529" s="18"/>
      <c r="BR2529" s="18"/>
      <c r="BS2529" s="18"/>
      <c r="BT2529" s="18"/>
      <c r="BU2529" s="18"/>
      <c r="BV2529" s="18"/>
    </row>
    <row r="2530" spans="1:74">
      <c r="A2530" s="18"/>
      <c r="B2530" s="19"/>
      <c r="BG2530" s="18"/>
      <c r="BH2530" s="18"/>
      <c r="BI2530" s="18"/>
      <c r="BJ2530" s="18"/>
      <c r="BK2530" s="18"/>
      <c r="BL2530" s="18"/>
      <c r="BM2530" s="18"/>
      <c r="BN2530" s="18"/>
      <c r="BO2530" s="18"/>
      <c r="BP2530" s="18"/>
      <c r="BQ2530" s="18"/>
      <c r="BR2530" s="18"/>
      <c r="BS2530" s="18"/>
      <c r="BT2530" s="18"/>
      <c r="BU2530" s="18"/>
      <c r="BV2530" s="18"/>
    </row>
    <row r="2531" spans="1:74">
      <c r="A2531" s="18"/>
      <c r="B2531" s="19"/>
      <c r="BG2531" s="18"/>
      <c r="BH2531" s="18"/>
      <c r="BI2531" s="18"/>
      <c r="BJ2531" s="18"/>
      <c r="BK2531" s="18"/>
      <c r="BL2531" s="18"/>
      <c r="BM2531" s="18"/>
      <c r="BN2531" s="18"/>
      <c r="BO2531" s="18"/>
      <c r="BP2531" s="18"/>
      <c r="BQ2531" s="18"/>
      <c r="BR2531" s="18"/>
      <c r="BS2531" s="18"/>
      <c r="BT2531" s="18"/>
      <c r="BU2531" s="18"/>
      <c r="BV2531" s="18"/>
    </row>
    <row r="2532" spans="1:74">
      <c r="A2532" s="18"/>
      <c r="B2532" s="19"/>
      <c r="BG2532" s="18"/>
      <c r="BH2532" s="18"/>
      <c r="BI2532" s="18"/>
      <c r="BJ2532" s="18"/>
      <c r="BK2532" s="18"/>
      <c r="BL2532" s="18"/>
      <c r="BM2532" s="18"/>
      <c r="BN2532" s="18"/>
      <c r="BO2532" s="18"/>
      <c r="BP2532" s="18"/>
      <c r="BQ2532" s="18"/>
      <c r="BR2532" s="18"/>
      <c r="BS2532" s="18"/>
      <c r="BT2532" s="18"/>
      <c r="BU2532" s="18"/>
      <c r="BV2532" s="18"/>
    </row>
    <row r="2533" spans="1:74">
      <c r="A2533" s="18"/>
      <c r="B2533" s="19"/>
      <c r="BG2533" s="18"/>
      <c r="BH2533" s="18"/>
      <c r="BI2533" s="18"/>
      <c r="BJ2533" s="18"/>
      <c r="BK2533" s="18"/>
      <c r="BL2533" s="18"/>
      <c r="BM2533" s="18"/>
      <c r="BN2533" s="18"/>
      <c r="BO2533" s="18"/>
      <c r="BP2533" s="18"/>
      <c r="BQ2533" s="18"/>
      <c r="BR2533" s="18"/>
      <c r="BS2533" s="18"/>
      <c r="BT2533" s="18"/>
      <c r="BU2533" s="18"/>
      <c r="BV2533" s="18"/>
    </row>
    <row r="2534" spans="1:74">
      <c r="A2534" s="18"/>
      <c r="B2534" s="19"/>
      <c r="BG2534" s="18"/>
      <c r="BH2534" s="18"/>
      <c r="BI2534" s="18"/>
      <c r="BJ2534" s="18"/>
      <c r="BK2534" s="18"/>
      <c r="BL2534" s="18"/>
      <c r="BM2534" s="18"/>
      <c r="BN2534" s="18"/>
      <c r="BO2534" s="18"/>
      <c r="BP2534" s="18"/>
      <c r="BQ2534" s="18"/>
      <c r="BR2534" s="18"/>
      <c r="BS2534" s="18"/>
      <c r="BT2534" s="18"/>
      <c r="BU2534" s="18"/>
      <c r="BV2534" s="18"/>
    </row>
    <row r="2535" spans="1:74">
      <c r="A2535" s="18"/>
      <c r="B2535" s="19"/>
      <c r="BG2535" s="18"/>
      <c r="BH2535" s="18"/>
      <c r="BI2535" s="18"/>
      <c r="BJ2535" s="18"/>
      <c r="BK2535" s="18"/>
      <c r="BL2535" s="18"/>
      <c r="BM2535" s="18"/>
      <c r="BN2535" s="18"/>
      <c r="BO2535" s="18"/>
      <c r="BP2535" s="18"/>
      <c r="BQ2535" s="18"/>
      <c r="BR2535" s="18"/>
      <c r="BS2535" s="18"/>
      <c r="BT2535" s="18"/>
      <c r="BU2535" s="18"/>
      <c r="BV2535" s="18"/>
    </row>
    <row r="2536" spans="1:74">
      <c r="A2536" s="18"/>
      <c r="B2536" s="19"/>
      <c r="BG2536" s="18"/>
      <c r="BH2536" s="18"/>
      <c r="BI2536" s="18"/>
      <c r="BJ2536" s="18"/>
      <c r="BK2536" s="18"/>
      <c r="BL2536" s="18"/>
      <c r="BM2536" s="18"/>
      <c r="BN2536" s="18"/>
      <c r="BO2536" s="18"/>
      <c r="BP2536" s="18"/>
      <c r="BQ2536" s="18"/>
      <c r="BR2536" s="18"/>
      <c r="BS2536" s="18"/>
      <c r="BT2536" s="18"/>
      <c r="BU2536" s="18"/>
      <c r="BV2536" s="18"/>
    </row>
    <row r="2537" spans="1:74">
      <c r="A2537" s="18"/>
      <c r="B2537" s="19"/>
      <c r="BG2537" s="18"/>
      <c r="BH2537" s="18"/>
      <c r="BI2537" s="18"/>
      <c r="BJ2537" s="18"/>
      <c r="BK2537" s="18"/>
      <c r="BL2537" s="18"/>
      <c r="BM2537" s="18"/>
      <c r="BN2537" s="18"/>
      <c r="BO2537" s="18"/>
      <c r="BP2537" s="18"/>
      <c r="BQ2537" s="18"/>
      <c r="BR2537" s="18"/>
      <c r="BS2537" s="18"/>
      <c r="BT2537" s="18"/>
      <c r="BU2537" s="18"/>
      <c r="BV2537" s="18"/>
    </row>
    <row r="2538" spans="1:74">
      <c r="A2538" s="18"/>
      <c r="B2538" s="19"/>
      <c r="BG2538" s="18"/>
      <c r="BH2538" s="18"/>
      <c r="BI2538" s="18"/>
      <c r="BJ2538" s="18"/>
      <c r="BK2538" s="18"/>
      <c r="BL2538" s="18"/>
      <c r="BM2538" s="18"/>
      <c r="BN2538" s="18"/>
      <c r="BO2538" s="18"/>
      <c r="BP2538" s="18"/>
      <c r="BQ2538" s="18"/>
      <c r="BR2538" s="18"/>
      <c r="BS2538" s="18"/>
      <c r="BT2538" s="18"/>
      <c r="BU2538" s="18"/>
      <c r="BV2538" s="18"/>
    </row>
    <row r="2539" spans="1:74">
      <c r="A2539" s="18"/>
      <c r="B2539" s="19"/>
      <c r="BG2539" s="18"/>
      <c r="BH2539" s="18"/>
      <c r="BI2539" s="18"/>
      <c r="BJ2539" s="18"/>
      <c r="BK2539" s="18"/>
      <c r="BL2539" s="18"/>
      <c r="BM2539" s="18"/>
      <c r="BN2539" s="18"/>
      <c r="BO2539" s="18"/>
      <c r="BP2539" s="18"/>
      <c r="BQ2539" s="18"/>
      <c r="BR2539" s="18"/>
      <c r="BS2539" s="18"/>
      <c r="BT2539" s="18"/>
      <c r="BU2539" s="18"/>
      <c r="BV2539" s="18"/>
    </row>
    <row r="2540" spans="1:74">
      <c r="A2540" s="18"/>
      <c r="B2540" s="19"/>
      <c r="BG2540" s="18"/>
      <c r="BH2540" s="18"/>
      <c r="BI2540" s="18"/>
      <c r="BJ2540" s="18"/>
      <c r="BK2540" s="18"/>
      <c r="BL2540" s="18"/>
      <c r="BM2540" s="18"/>
      <c r="BN2540" s="18"/>
      <c r="BO2540" s="18"/>
      <c r="BP2540" s="18"/>
      <c r="BQ2540" s="18"/>
      <c r="BR2540" s="18"/>
      <c r="BS2540" s="18"/>
      <c r="BT2540" s="18"/>
      <c r="BU2540" s="18"/>
      <c r="BV2540" s="18"/>
    </row>
    <row r="2541" spans="1:74">
      <c r="A2541" s="18"/>
      <c r="B2541" s="19"/>
      <c r="BG2541" s="18"/>
      <c r="BH2541" s="18"/>
      <c r="BI2541" s="18"/>
      <c r="BJ2541" s="18"/>
      <c r="BK2541" s="18"/>
      <c r="BL2541" s="18"/>
      <c r="BM2541" s="18"/>
      <c r="BN2541" s="18"/>
      <c r="BO2541" s="18"/>
      <c r="BP2541" s="18"/>
      <c r="BQ2541" s="18"/>
      <c r="BR2541" s="18"/>
      <c r="BS2541" s="18"/>
      <c r="BT2541" s="18"/>
      <c r="BU2541" s="18"/>
      <c r="BV2541" s="18"/>
    </row>
    <row r="2542" spans="1:74">
      <c r="A2542" s="18"/>
      <c r="B2542" s="19"/>
      <c r="BG2542" s="18"/>
      <c r="BH2542" s="18"/>
      <c r="BI2542" s="18"/>
      <c r="BJ2542" s="18"/>
      <c r="BK2542" s="18"/>
      <c r="BL2542" s="18"/>
      <c r="BM2542" s="18"/>
      <c r="BN2542" s="18"/>
      <c r="BO2542" s="18"/>
      <c r="BP2542" s="18"/>
      <c r="BQ2542" s="18"/>
      <c r="BR2542" s="18"/>
      <c r="BS2542" s="18"/>
      <c r="BT2542" s="18"/>
      <c r="BU2542" s="18"/>
      <c r="BV2542" s="18"/>
    </row>
    <row r="2543" spans="1:74">
      <c r="A2543" s="18"/>
      <c r="B2543" s="19"/>
      <c r="BG2543" s="18"/>
      <c r="BH2543" s="18"/>
      <c r="BI2543" s="18"/>
      <c r="BJ2543" s="18"/>
      <c r="BK2543" s="18"/>
      <c r="BL2543" s="18"/>
      <c r="BM2543" s="18"/>
      <c r="BN2543" s="18"/>
      <c r="BO2543" s="18"/>
      <c r="BP2543" s="18"/>
      <c r="BQ2543" s="18"/>
      <c r="BR2543" s="18"/>
      <c r="BS2543" s="18"/>
      <c r="BT2543" s="18"/>
      <c r="BU2543" s="18"/>
      <c r="BV2543" s="18"/>
    </row>
    <row r="2544" spans="1:74">
      <c r="A2544" s="18"/>
      <c r="B2544" s="19"/>
      <c r="BG2544" s="18"/>
      <c r="BH2544" s="18"/>
      <c r="BI2544" s="18"/>
      <c r="BJ2544" s="18"/>
      <c r="BK2544" s="18"/>
      <c r="BL2544" s="18"/>
      <c r="BM2544" s="18"/>
      <c r="BN2544" s="18"/>
      <c r="BO2544" s="18"/>
      <c r="BP2544" s="18"/>
      <c r="BQ2544" s="18"/>
      <c r="BR2544" s="18"/>
      <c r="BS2544" s="18"/>
      <c r="BT2544" s="18"/>
      <c r="BU2544" s="18"/>
      <c r="BV2544" s="18"/>
    </row>
    <row r="2545" spans="1:74">
      <c r="A2545" s="18"/>
      <c r="B2545" s="19"/>
      <c r="BG2545" s="18"/>
      <c r="BH2545" s="18"/>
      <c r="BI2545" s="18"/>
      <c r="BJ2545" s="18"/>
      <c r="BK2545" s="18"/>
      <c r="BL2545" s="18"/>
      <c r="BM2545" s="18"/>
      <c r="BN2545" s="18"/>
      <c r="BO2545" s="18"/>
      <c r="BP2545" s="18"/>
      <c r="BQ2545" s="18"/>
      <c r="BR2545" s="18"/>
      <c r="BS2545" s="18"/>
      <c r="BT2545" s="18"/>
      <c r="BU2545" s="18"/>
      <c r="BV2545" s="18"/>
    </row>
    <row r="2546" spans="1:74">
      <c r="A2546" s="18"/>
      <c r="B2546" s="19"/>
      <c r="BG2546" s="18"/>
      <c r="BH2546" s="18"/>
      <c r="BI2546" s="18"/>
      <c r="BJ2546" s="18"/>
      <c r="BK2546" s="18"/>
      <c r="BL2546" s="18"/>
      <c r="BM2546" s="18"/>
      <c r="BN2546" s="18"/>
      <c r="BO2546" s="18"/>
      <c r="BP2546" s="18"/>
      <c r="BQ2546" s="18"/>
      <c r="BR2546" s="18"/>
      <c r="BS2546" s="18"/>
      <c r="BT2546" s="18"/>
      <c r="BU2546" s="18"/>
      <c r="BV2546" s="18"/>
    </row>
    <row r="2547" spans="1:74">
      <c r="A2547" s="18"/>
      <c r="B2547" s="19"/>
      <c r="BG2547" s="18"/>
      <c r="BH2547" s="18"/>
      <c r="BI2547" s="18"/>
      <c r="BJ2547" s="18"/>
      <c r="BK2547" s="18"/>
      <c r="BL2547" s="18"/>
      <c r="BM2547" s="18"/>
      <c r="BN2547" s="18"/>
      <c r="BO2547" s="18"/>
      <c r="BP2547" s="18"/>
      <c r="BQ2547" s="18"/>
      <c r="BR2547" s="18"/>
      <c r="BS2547" s="18"/>
      <c r="BT2547" s="18"/>
      <c r="BU2547" s="18"/>
      <c r="BV2547" s="18"/>
    </row>
    <row r="2548" spans="1:74">
      <c r="A2548" s="18"/>
      <c r="B2548" s="19"/>
      <c r="BG2548" s="18"/>
      <c r="BH2548" s="18"/>
      <c r="BI2548" s="18"/>
      <c r="BJ2548" s="18"/>
      <c r="BK2548" s="18"/>
      <c r="BL2548" s="18"/>
      <c r="BM2548" s="18"/>
      <c r="BN2548" s="18"/>
      <c r="BO2548" s="18"/>
      <c r="BP2548" s="18"/>
      <c r="BQ2548" s="18"/>
      <c r="BR2548" s="18"/>
      <c r="BS2548" s="18"/>
      <c r="BT2548" s="18"/>
      <c r="BU2548" s="18"/>
      <c r="BV2548" s="18"/>
    </row>
    <row r="2549" spans="1:74">
      <c r="A2549" s="18"/>
      <c r="B2549" s="19"/>
      <c r="BG2549" s="18"/>
      <c r="BH2549" s="18"/>
      <c r="BI2549" s="18"/>
      <c r="BJ2549" s="18"/>
      <c r="BK2549" s="18"/>
      <c r="BL2549" s="18"/>
      <c r="BM2549" s="18"/>
      <c r="BN2549" s="18"/>
      <c r="BO2549" s="18"/>
      <c r="BP2549" s="18"/>
      <c r="BQ2549" s="18"/>
      <c r="BR2549" s="18"/>
      <c r="BS2549" s="18"/>
      <c r="BT2549" s="18"/>
      <c r="BU2549" s="18"/>
      <c r="BV2549" s="18"/>
    </row>
    <row r="2550" spans="1:74">
      <c r="A2550" s="18"/>
      <c r="B2550" s="19"/>
      <c r="BG2550" s="18"/>
      <c r="BH2550" s="18"/>
      <c r="BI2550" s="18"/>
      <c r="BJ2550" s="18"/>
      <c r="BK2550" s="18"/>
      <c r="BL2550" s="18"/>
      <c r="BM2550" s="18"/>
      <c r="BN2550" s="18"/>
      <c r="BO2550" s="18"/>
      <c r="BP2550" s="18"/>
      <c r="BQ2550" s="18"/>
      <c r="BR2550" s="18"/>
      <c r="BS2550" s="18"/>
      <c r="BT2550" s="18"/>
      <c r="BU2550" s="18"/>
      <c r="BV2550" s="18"/>
    </row>
    <row r="2551" spans="1:74">
      <c r="A2551" s="18"/>
      <c r="B2551" s="19"/>
      <c r="BG2551" s="18"/>
      <c r="BH2551" s="18"/>
      <c r="BI2551" s="18"/>
      <c r="BJ2551" s="18"/>
      <c r="BK2551" s="18"/>
      <c r="BL2551" s="18"/>
      <c r="BM2551" s="18"/>
      <c r="BN2551" s="18"/>
      <c r="BO2551" s="18"/>
      <c r="BP2551" s="18"/>
      <c r="BQ2551" s="18"/>
      <c r="BR2551" s="18"/>
      <c r="BS2551" s="18"/>
      <c r="BT2551" s="18"/>
      <c r="BU2551" s="18"/>
      <c r="BV2551" s="18"/>
    </row>
    <row r="2552" spans="1:74">
      <c r="A2552" s="18"/>
      <c r="B2552" s="19"/>
      <c r="BG2552" s="18"/>
      <c r="BH2552" s="18"/>
      <c r="BI2552" s="18"/>
      <c r="BJ2552" s="18"/>
      <c r="BK2552" s="18"/>
      <c r="BL2552" s="18"/>
      <c r="BM2552" s="18"/>
      <c r="BN2552" s="18"/>
      <c r="BO2552" s="18"/>
      <c r="BP2552" s="18"/>
      <c r="BQ2552" s="18"/>
      <c r="BR2552" s="18"/>
      <c r="BS2552" s="18"/>
      <c r="BT2552" s="18"/>
      <c r="BU2552" s="18"/>
      <c r="BV2552" s="18"/>
    </row>
    <row r="2553" spans="1:74">
      <c r="A2553" s="18"/>
      <c r="B2553" s="19"/>
      <c r="BG2553" s="18"/>
      <c r="BH2553" s="18"/>
      <c r="BI2553" s="18"/>
      <c r="BJ2553" s="18"/>
      <c r="BK2553" s="18"/>
      <c r="BL2553" s="18"/>
      <c r="BM2553" s="18"/>
      <c r="BN2553" s="18"/>
      <c r="BO2553" s="18"/>
      <c r="BP2553" s="18"/>
      <c r="BQ2553" s="18"/>
      <c r="BR2553" s="18"/>
      <c r="BS2553" s="18"/>
      <c r="BT2553" s="18"/>
      <c r="BU2553" s="18"/>
      <c r="BV2553" s="18"/>
    </row>
    <row r="2554" spans="1:74">
      <c r="A2554" s="18"/>
      <c r="B2554" s="19"/>
      <c r="BG2554" s="18"/>
      <c r="BH2554" s="18"/>
      <c r="BI2554" s="18"/>
      <c r="BJ2554" s="18"/>
      <c r="BK2554" s="18"/>
      <c r="BL2554" s="18"/>
      <c r="BM2554" s="18"/>
      <c r="BN2554" s="18"/>
      <c r="BO2554" s="18"/>
      <c r="BP2554" s="18"/>
      <c r="BQ2554" s="18"/>
      <c r="BR2554" s="18"/>
      <c r="BS2554" s="18"/>
      <c r="BT2554" s="18"/>
      <c r="BU2554" s="18"/>
      <c r="BV2554" s="18"/>
    </row>
    <row r="2555" spans="1:74">
      <c r="A2555" s="18"/>
      <c r="B2555" s="19"/>
      <c r="BG2555" s="18"/>
      <c r="BH2555" s="18"/>
      <c r="BI2555" s="18"/>
      <c r="BJ2555" s="18"/>
      <c r="BK2555" s="18"/>
      <c r="BL2555" s="18"/>
      <c r="BM2555" s="18"/>
      <c r="BN2555" s="18"/>
      <c r="BO2555" s="18"/>
      <c r="BP2555" s="18"/>
      <c r="BQ2555" s="18"/>
      <c r="BR2555" s="18"/>
      <c r="BS2555" s="18"/>
      <c r="BT2555" s="18"/>
      <c r="BU2555" s="18"/>
      <c r="BV2555" s="18"/>
    </row>
    <row r="2556" spans="1:74">
      <c r="A2556" s="18"/>
      <c r="B2556" s="19"/>
      <c r="BG2556" s="18"/>
      <c r="BH2556" s="18"/>
      <c r="BI2556" s="18"/>
      <c r="BJ2556" s="18"/>
      <c r="BK2556" s="18"/>
      <c r="BL2556" s="18"/>
      <c r="BM2556" s="18"/>
      <c r="BN2556" s="18"/>
      <c r="BO2556" s="18"/>
      <c r="BP2556" s="18"/>
      <c r="BQ2556" s="18"/>
      <c r="BR2556" s="18"/>
      <c r="BS2556" s="18"/>
      <c r="BT2556" s="18"/>
      <c r="BU2556" s="18"/>
      <c r="BV2556" s="18"/>
    </row>
    <row r="2557" spans="1:74">
      <c r="A2557" s="18"/>
      <c r="B2557" s="19"/>
      <c r="BG2557" s="18"/>
      <c r="BH2557" s="18"/>
      <c r="BI2557" s="18"/>
      <c r="BJ2557" s="18"/>
      <c r="BK2557" s="18"/>
      <c r="BL2557" s="18"/>
      <c r="BM2557" s="18"/>
      <c r="BN2557" s="18"/>
      <c r="BO2557" s="18"/>
      <c r="BP2557" s="18"/>
      <c r="BQ2557" s="18"/>
      <c r="BR2557" s="18"/>
      <c r="BS2557" s="18"/>
      <c r="BT2557" s="18"/>
      <c r="BU2557" s="18"/>
      <c r="BV2557" s="18"/>
    </row>
    <row r="2558" spans="1:74">
      <c r="A2558" s="18"/>
      <c r="B2558" s="19"/>
      <c r="BG2558" s="18"/>
      <c r="BH2558" s="18"/>
      <c r="BI2558" s="18"/>
      <c r="BJ2558" s="18"/>
      <c r="BK2558" s="18"/>
      <c r="BL2558" s="18"/>
      <c r="BM2558" s="18"/>
      <c r="BN2558" s="18"/>
      <c r="BO2558" s="18"/>
      <c r="BP2558" s="18"/>
      <c r="BQ2558" s="18"/>
      <c r="BR2558" s="18"/>
      <c r="BS2558" s="18"/>
      <c r="BT2558" s="18"/>
      <c r="BU2558" s="18"/>
      <c r="BV2558" s="18"/>
    </row>
    <row r="2559" spans="1:74">
      <c r="A2559" s="18"/>
      <c r="B2559" s="19"/>
      <c r="BG2559" s="18"/>
      <c r="BH2559" s="18"/>
      <c r="BI2559" s="18"/>
      <c r="BJ2559" s="18"/>
      <c r="BK2559" s="18"/>
      <c r="BL2559" s="18"/>
      <c r="BM2559" s="18"/>
      <c r="BN2559" s="18"/>
      <c r="BO2559" s="18"/>
      <c r="BP2559" s="18"/>
      <c r="BQ2559" s="18"/>
      <c r="BR2559" s="18"/>
      <c r="BS2559" s="18"/>
      <c r="BT2559" s="18"/>
      <c r="BU2559" s="18"/>
      <c r="BV2559" s="18"/>
    </row>
    <row r="2560" spans="1:74">
      <c r="A2560" s="18"/>
      <c r="B2560" s="19"/>
      <c r="BG2560" s="18"/>
      <c r="BH2560" s="18"/>
      <c r="BI2560" s="18"/>
      <c r="BJ2560" s="18"/>
      <c r="BK2560" s="18"/>
      <c r="BL2560" s="18"/>
      <c r="BM2560" s="18"/>
      <c r="BN2560" s="18"/>
      <c r="BO2560" s="18"/>
      <c r="BP2560" s="18"/>
      <c r="BQ2560" s="18"/>
      <c r="BR2560" s="18"/>
      <c r="BS2560" s="18"/>
      <c r="BT2560" s="18"/>
      <c r="BU2560" s="18"/>
      <c r="BV2560" s="18"/>
    </row>
    <row r="2561" spans="1:74">
      <c r="A2561" s="18"/>
      <c r="B2561" s="19"/>
      <c r="BG2561" s="18"/>
      <c r="BH2561" s="18"/>
      <c r="BI2561" s="18"/>
      <c r="BJ2561" s="18"/>
      <c r="BK2561" s="18"/>
      <c r="BL2561" s="18"/>
      <c r="BM2561" s="18"/>
      <c r="BN2561" s="18"/>
      <c r="BO2561" s="18"/>
      <c r="BP2561" s="18"/>
      <c r="BQ2561" s="18"/>
      <c r="BR2561" s="18"/>
      <c r="BS2561" s="18"/>
      <c r="BT2561" s="18"/>
      <c r="BU2561" s="18"/>
      <c r="BV2561" s="18"/>
    </row>
    <row r="2562" spans="1:74">
      <c r="A2562" s="18"/>
      <c r="B2562" s="19"/>
      <c r="BG2562" s="18"/>
      <c r="BH2562" s="18"/>
      <c r="BI2562" s="18"/>
      <c r="BJ2562" s="18"/>
      <c r="BK2562" s="18"/>
      <c r="BL2562" s="18"/>
      <c r="BM2562" s="18"/>
      <c r="BN2562" s="18"/>
      <c r="BO2562" s="18"/>
      <c r="BP2562" s="18"/>
      <c r="BQ2562" s="18"/>
      <c r="BR2562" s="18"/>
      <c r="BS2562" s="18"/>
      <c r="BT2562" s="18"/>
      <c r="BU2562" s="18"/>
      <c r="BV2562" s="18"/>
    </row>
    <row r="2563" spans="1:74">
      <c r="A2563" s="18"/>
      <c r="B2563" s="19"/>
      <c r="BG2563" s="18"/>
      <c r="BH2563" s="18"/>
      <c r="BI2563" s="18"/>
      <c r="BJ2563" s="18"/>
      <c r="BK2563" s="18"/>
      <c r="BL2563" s="18"/>
      <c r="BM2563" s="18"/>
      <c r="BN2563" s="18"/>
      <c r="BO2563" s="18"/>
      <c r="BP2563" s="18"/>
      <c r="BQ2563" s="18"/>
      <c r="BR2563" s="18"/>
      <c r="BS2563" s="18"/>
      <c r="BT2563" s="18"/>
      <c r="BU2563" s="18"/>
      <c r="BV2563" s="18"/>
    </row>
    <row r="2564" spans="1:74">
      <c r="A2564" s="18"/>
      <c r="B2564" s="19"/>
      <c r="BG2564" s="18"/>
      <c r="BH2564" s="18"/>
      <c r="BI2564" s="18"/>
      <c r="BJ2564" s="18"/>
      <c r="BK2564" s="18"/>
      <c r="BL2564" s="18"/>
      <c r="BM2564" s="18"/>
      <c r="BN2564" s="18"/>
      <c r="BO2564" s="18"/>
      <c r="BP2564" s="18"/>
      <c r="BQ2564" s="18"/>
      <c r="BR2564" s="18"/>
      <c r="BS2564" s="18"/>
      <c r="BT2564" s="18"/>
      <c r="BU2564" s="18"/>
      <c r="BV2564" s="18"/>
    </row>
    <row r="2565" spans="1:74">
      <c r="A2565" s="18"/>
      <c r="B2565" s="19"/>
      <c r="BG2565" s="18"/>
      <c r="BH2565" s="18"/>
      <c r="BI2565" s="18"/>
      <c r="BJ2565" s="18"/>
      <c r="BK2565" s="18"/>
      <c r="BL2565" s="18"/>
      <c r="BM2565" s="18"/>
      <c r="BN2565" s="18"/>
      <c r="BO2565" s="18"/>
      <c r="BP2565" s="18"/>
      <c r="BQ2565" s="18"/>
      <c r="BR2565" s="18"/>
      <c r="BS2565" s="18"/>
      <c r="BT2565" s="18"/>
      <c r="BU2565" s="18"/>
      <c r="BV2565" s="18"/>
    </row>
    <row r="2566" spans="1:74">
      <c r="A2566" s="18"/>
      <c r="B2566" s="19"/>
      <c r="BG2566" s="18"/>
      <c r="BH2566" s="18"/>
      <c r="BI2566" s="18"/>
      <c r="BJ2566" s="18"/>
      <c r="BK2566" s="18"/>
      <c r="BL2566" s="18"/>
      <c r="BM2566" s="18"/>
      <c r="BN2566" s="18"/>
      <c r="BO2566" s="18"/>
      <c r="BP2566" s="18"/>
      <c r="BQ2566" s="18"/>
      <c r="BR2566" s="18"/>
      <c r="BS2566" s="18"/>
      <c r="BT2566" s="18"/>
      <c r="BU2566" s="18"/>
      <c r="BV2566" s="18"/>
    </row>
    <row r="2567" spans="1:74">
      <c r="A2567" s="18"/>
      <c r="B2567" s="19"/>
      <c r="BG2567" s="18"/>
      <c r="BH2567" s="18"/>
      <c r="BI2567" s="18"/>
      <c r="BJ2567" s="18"/>
      <c r="BK2567" s="18"/>
      <c r="BL2567" s="18"/>
      <c r="BM2567" s="18"/>
      <c r="BN2567" s="18"/>
      <c r="BO2567" s="18"/>
      <c r="BP2567" s="18"/>
      <c r="BQ2567" s="18"/>
      <c r="BR2567" s="18"/>
      <c r="BS2567" s="18"/>
      <c r="BT2567" s="18"/>
      <c r="BU2567" s="18"/>
      <c r="BV2567" s="18"/>
    </row>
    <row r="2568" spans="1:74">
      <c r="A2568" s="18"/>
      <c r="B2568" s="19"/>
      <c r="BG2568" s="18"/>
      <c r="BH2568" s="18"/>
      <c r="BI2568" s="18"/>
      <c r="BJ2568" s="18"/>
      <c r="BK2568" s="18"/>
      <c r="BL2568" s="18"/>
      <c r="BM2568" s="18"/>
      <c r="BN2568" s="18"/>
      <c r="BO2568" s="18"/>
      <c r="BP2568" s="18"/>
      <c r="BQ2568" s="18"/>
      <c r="BR2568" s="18"/>
      <c r="BS2568" s="18"/>
      <c r="BT2568" s="18"/>
      <c r="BU2568" s="18"/>
      <c r="BV2568" s="18"/>
    </row>
    <row r="2569" spans="1:74">
      <c r="A2569" s="18"/>
      <c r="B2569" s="19"/>
      <c r="BG2569" s="18"/>
      <c r="BH2569" s="18"/>
      <c r="BI2569" s="18"/>
      <c r="BJ2569" s="18"/>
      <c r="BK2569" s="18"/>
      <c r="BL2569" s="18"/>
      <c r="BM2569" s="18"/>
      <c r="BN2569" s="18"/>
      <c r="BO2569" s="18"/>
      <c r="BP2569" s="18"/>
      <c r="BQ2569" s="18"/>
      <c r="BR2569" s="18"/>
      <c r="BS2569" s="18"/>
      <c r="BT2569" s="18"/>
      <c r="BU2569" s="18"/>
      <c r="BV2569" s="18"/>
    </row>
    <row r="2570" spans="1:74">
      <c r="A2570" s="18"/>
      <c r="B2570" s="19"/>
      <c r="BG2570" s="18"/>
      <c r="BH2570" s="18"/>
      <c r="BI2570" s="18"/>
      <c r="BJ2570" s="18"/>
      <c r="BK2570" s="18"/>
      <c r="BL2570" s="18"/>
      <c r="BM2570" s="18"/>
      <c r="BN2570" s="18"/>
      <c r="BO2570" s="18"/>
      <c r="BP2570" s="18"/>
      <c r="BQ2570" s="18"/>
      <c r="BR2570" s="18"/>
      <c r="BS2570" s="18"/>
      <c r="BT2570" s="18"/>
      <c r="BU2570" s="18"/>
      <c r="BV2570" s="18"/>
    </row>
    <row r="2571" spans="1:74">
      <c r="A2571" s="18"/>
      <c r="B2571" s="19"/>
      <c r="BG2571" s="18"/>
      <c r="BH2571" s="18"/>
      <c r="BI2571" s="18"/>
      <c r="BJ2571" s="18"/>
      <c r="BK2571" s="18"/>
      <c r="BL2571" s="18"/>
      <c r="BM2571" s="18"/>
      <c r="BN2571" s="18"/>
      <c r="BO2571" s="18"/>
      <c r="BP2571" s="18"/>
      <c r="BQ2571" s="18"/>
      <c r="BR2571" s="18"/>
      <c r="BS2571" s="18"/>
      <c r="BT2571" s="18"/>
      <c r="BU2571" s="18"/>
      <c r="BV2571" s="18"/>
    </row>
    <row r="2572" spans="1:74">
      <c r="A2572" s="18"/>
      <c r="B2572" s="19"/>
      <c r="BG2572" s="18"/>
      <c r="BH2572" s="18"/>
      <c r="BI2572" s="18"/>
      <c r="BJ2572" s="18"/>
      <c r="BK2572" s="18"/>
      <c r="BL2572" s="18"/>
      <c r="BM2572" s="18"/>
      <c r="BN2572" s="18"/>
      <c r="BO2572" s="18"/>
      <c r="BP2572" s="18"/>
      <c r="BQ2572" s="18"/>
      <c r="BR2572" s="18"/>
      <c r="BS2572" s="18"/>
      <c r="BT2572" s="18"/>
      <c r="BU2572" s="18"/>
      <c r="BV2572" s="18"/>
    </row>
    <row r="2573" spans="1:74">
      <c r="A2573" s="18"/>
      <c r="B2573" s="19"/>
      <c r="BG2573" s="18"/>
      <c r="BH2573" s="18"/>
      <c r="BI2573" s="18"/>
      <c r="BJ2573" s="18"/>
      <c r="BK2573" s="18"/>
      <c r="BL2573" s="18"/>
      <c r="BM2573" s="18"/>
      <c r="BN2573" s="18"/>
      <c r="BO2573" s="18"/>
      <c r="BP2573" s="18"/>
      <c r="BQ2573" s="18"/>
      <c r="BR2573" s="18"/>
      <c r="BS2573" s="18"/>
      <c r="BT2573" s="18"/>
      <c r="BU2573" s="18"/>
      <c r="BV2573" s="18"/>
    </row>
    <row r="2574" spans="1:74">
      <c r="A2574" s="18"/>
      <c r="B2574" s="19"/>
      <c r="BG2574" s="18"/>
      <c r="BH2574" s="18"/>
      <c r="BI2574" s="18"/>
      <c r="BJ2574" s="18"/>
      <c r="BK2574" s="18"/>
      <c r="BL2574" s="18"/>
      <c r="BM2574" s="18"/>
      <c r="BN2574" s="18"/>
      <c r="BO2574" s="18"/>
      <c r="BP2574" s="18"/>
      <c r="BQ2574" s="18"/>
      <c r="BR2574" s="18"/>
      <c r="BS2574" s="18"/>
      <c r="BT2574" s="18"/>
      <c r="BU2574" s="18"/>
      <c r="BV2574" s="18"/>
    </row>
    <row r="2575" spans="1:74">
      <c r="A2575" s="18"/>
      <c r="B2575" s="19"/>
      <c r="BG2575" s="18"/>
      <c r="BH2575" s="18"/>
      <c r="BI2575" s="18"/>
      <c r="BJ2575" s="18"/>
      <c r="BK2575" s="18"/>
      <c r="BL2575" s="18"/>
      <c r="BM2575" s="18"/>
      <c r="BN2575" s="18"/>
      <c r="BO2575" s="18"/>
      <c r="BP2575" s="18"/>
      <c r="BQ2575" s="18"/>
      <c r="BR2575" s="18"/>
      <c r="BS2575" s="18"/>
      <c r="BT2575" s="18"/>
      <c r="BU2575" s="18"/>
      <c r="BV2575" s="18"/>
    </row>
    <row r="2576" spans="1:74">
      <c r="A2576" s="18"/>
      <c r="B2576" s="19"/>
      <c r="BG2576" s="18"/>
      <c r="BH2576" s="18"/>
      <c r="BI2576" s="18"/>
      <c r="BJ2576" s="18"/>
      <c r="BK2576" s="18"/>
      <c r="BL2576" s="18"/>
      <c r="BM2576" s="18"/>
      <c r="BN2576" s="18"/>
      <c r="BO2576" s="18"/>
      <c r="BP2576" s="18"/>
      <c r="BQ2576" s="18"/>
      <c r="BR2576" s="18"/>
      <c r="BS2576" s="18"/>
      <c r="BT2576" s="18"/>
      <c r="BU2576" s="18"/>
      <c r="BV2576" s="18"/>
    </row>
    <row r="2577" spans="1:74">
      <c r="A2577" s="18"/>
      <c r="B2577" s="19"/>
      <c r="BG2577" s="18"/>
      <c r="BH2577" s="18"/>
      <c r="BI2577" s="18"/>
      <c r="BJ2577" s="18"/>
      <c r="BK2577" s="18"/>
      <c r="BL2577" s="18"/>
      <c r="BM2577" s="18"/>
      <c r="BN2577" s="18"/>
      <c r="BO2577" s="18"/>
      <c r="BP2577" s="18"/>
      <c r="BQ2577" s="18"/>
      <c r="BR2577" s="18"/>
      <c r="BS2577" s="18"/>
      <c r="BT2577" s="18"/>
      <c r="BU2577" s="18"/>
      <c r="BV2577" s="18"/>
    </row>
    <row r="2578" spans="1:74">
      <c r="A2578" s="18"/>
      <c r="B2578" s="19"/>
      <c r="BG2578" s="18"/>
      <c r="BH2578" s="18"/>
      <c r="BI2578" s="18"/>
      <c r="BJ2578" s="18"/>
      <c r="BK2578" s="18"/>
      <c r="BL2578" s="18"/>
      <c r="BM2578" s="18"/>
      <c r="BN2578" s="18"/>
      <c r="BO2578" s="18"/>
      <c r="BP2578" s="18"/>
      <c r="BQ2578" s="18"/>
      <c r="BR2578" s="18"/>
      <c r="BS2578" s="18"/>
      <c r="BT2578" s="18"/>
      <c r="BU2578" s="18"/>
      <c r="BV2578" s="18"/>
    </row>
    <row r="2579" spans="1:74">
      <c r="A2579" s="18"/>
      <c r="B2579" s="19"/>
      <c r="BG2579" s="18"/>
      <c r="BH2579" s="18"/>
      <c r="BI2579" s="18"/>
      <c r="BJ2579" s="18"/>
      <c r="BK2579" s="18"/>
      <c r="BL2579" s="18"/>
      <c r="BM2579" s="18"/>
      <c r="BN2579" s="18"/>
      <c r="BO2579" s="18"/>
      <c r="BP2579" s="18"/>
      <c r="BQ2579" s="18"/>
      <c r="BR2579" s="18"/>
      <c r="BS2579" s="18"/>
      <c r="BT2579" s="18"/>
      <c r="BU2579" s="18"/>
      <c r="BV2579" s="18"/>
    </row>
    <row r="2580" spans="1:74">
      <c r="A2580" s="18"/>
      <c r="B2580" s="19"/>
      <c r="BG2580" s="18"/>
      <c r="BH2580" s="18"/>
      <c r="BI2580" s="18"/>
      <c r="BJ2580" s="18"/>
      <c r="BK2580" s="18"/>
      <c r="BL2580" s="18"/>
      <c r="BM2580" s="18"/>
      <c r="BN2580" s="18"/>
      <c r="BO2580" s="18"/>
      <c r="BP2580" s="18"/>
      <c r="BQ2580" s="18"/>
      <c r="BR2580" s="18"/>
      <c r="BS2580" s="18"/>
      <c r="BT2580" s="18"/>
      <c r="BU2580" s="18"/>
      <c r="BV2580" s="18"/>
    </row>
    <row r="2581" spans="1:74">
      <c r="A2581" s="18"/>
      <c r="B2581" s="19"/>
      <c r="BG2581" s="18"/>
      <c r="BH2581" s="18"/>
      <c r="BI2581" s="18"/>
      <c r="BJ2581" s="18"/>
      <c r="BK2581" s="18"/>
      <c r="BL2581" s="18"/>
      <c r="BM2581" s="18"/>
      <c r="BN2581" s="18"/>
      <c r="BO2581" s="18"/>
      <c r="BP2581" s="18"/>
      <c r="BQ2581" s="18"/>
      <c r="BR2581" s="18"/>
      <c r="BS2581" s="18"/>
      <c r="BT2581" s="18"/>
      <c r="BU2581" s="18"/>
      <c r="BV2581" s="18"/>
    </row>
    <row r="2582" spans="1:74">
      <c r="A2582" s="18"/>
      <c r="B2582" s="19"/>
      <c r="BG2582" s="18"/>
      <c r="BH2582" s="18"/>
      <c r="BI2582" s="18"/>
      <c r="BJ2582" s="18"/>
      <c r="BK2582" s="18"/>
      <c r="BL2582" s="18"/>
      <c r="BM2582" s="18"/>
      <c r="BN2582" s="18"/>
      <c r="BO2582" s="18"/>
      <c r="BP2582" s="18"/>
      <c r="BQ2582" s="18"/>
      <c r="BR2582" s="18"/>
      <c r="BS2582" s="18"/>
      <c r="BT2582" s="18"/>
      <c r="BU2582" s="18"/>
      <c r="BV2582" s="18"/>
    </row>
    <row r="2583" spans="1:74">
      <c r="A2583" s="18"/>
      <c r="B2583" s="19"/>
      <c r="BG2583" s="18"/>
      <c r="BH2583" s="18"/>
      <c r="BI2583" s="18"/>
      <c r="BJ2583" s="18"/>
      <c r="BK2583" s="18"/>
      <c r="BL2583" s="18"/>
      <c r="BM2583" s="18"/>
      <c r="BN2583" s="18"/>
      <c r="BO2583" s="18"/>
      <c r="BP2583" s="18"/>
      <c r="BQ2583" s="18"/>
      <c r="BR2583" s="18"/>
      <c r="BS2583" s="18"/>
      <c r="BT2583" s="18"/>
      <c r="BU2583" s="18"/>
      <c r="BV2583" s="18"/>
    </row>
    <row r="2584" spans="1:74">
      <c r="A2584" s="18"/>
      <c r="B2584" s="19"/>
      <c r="BG2584" s="18"/>
      <c r="BH2584" s="18"/>
      <c r="BI2584" s="18"/>
      <c r="BJ2584" s="18"/>
      <c r="BK2584" s="18"/>
      <c r="BL2584" s="18"/>
      <c r="BM2584" s="18"/>
      <c r="BN2584" s="18"/>
      <c r="BO2584" s="18"/>
      <c r="BP2584" s="18"/>
      <c r="BQ2584" s="18"/>
      <c r="BR2584" s="18"/>
      <c r="BS2584" s="18"/>
      <c r="BT2584" s="18"/>
      <c r="BU2584" s="18"/>
      <c r="BV2584" s="18"/>
    </row>
    <row r="2585" spans="1:74">
      <c r="A2585" s="18"/>
      <c r="B2585" s="19"/>
      <c r="BG2585" s="18"/>
      <c r="BH2585" s="18"/>
      <c r="BI2585" s="18"/>
      <c r="BJ2585" s="18"/>
      <c r="BK2585" s="18"/>
      <c r="BL2585" s="18"/>
      <c r="BM2585" s="18"/>
      <c r="BN2585" s="18"/>
      <c r="BO2585" s="18"/>
      <c r="BP2585" s="18"/>
      <c r="BQ2585" s="18"/>
      <c r="BR2585" s="18"/>
      <c r="BS2585" s="18"/>
      <c r="BT2585" s="18"/>
      <c r="BU2585" s="18"/>
      <c r="BV2585" s="18"/>
    </row>
    <row r="2586" spans="1:74">
      <c r="A2586" s="18"/>
      <c r="B2586" s="19"/>
      <c r="BG2586" s="18"/>
      <c r="BH2586" s="18"/>
      <c r="BI2586" s="18"/>
      <c r="BJ2586" s="18"/>
      <c r="BK2586" s="18"/>
      <c r="BL2586" s="18"/>
      <c r="BM2586" s="18"/>
      <c r="BN2586" s="18"/>
      <c r="BO2586" s="18"/>
      <c r="BP2586" s="18"/>
      <c r="BQ2586" s="18"/>
      <c r="BR2586" s="18"/>
      <c r="BS2586" s="18"/>
      <c r="BT2586" s="18"/>
      <c r="BU2586" s="18"/>
      <c r="BV2586" s="18"/>
    </row>
    <row r="2587" spans="1:74">
      <c r="A2587" s="18"/>
      <c r="B2587" s="19"/>
      <c r="BG2587" s="18"/>
      <c r="BH2587" s="18"/>
      <c r="BI2587" s="18"/>
      <c r="BJ2587" s="18"/>
      <c r="BK2587" s="18"/>
      <c r="BL2587" s="18"/>
      <c r="BM2587" s="18"/>
      <c r="BN2587" s="18"/>
      <c r="BO2587" s="18"/>
      <c r="BP2587" s="18"/>
      <c r="BQ2587" s="18"/>
      <c r="BR2587" s="18"/>
      <c r="BS2587" s="18"/>
      <c r="BT2587" s="18"/>
      <c r="BU2587" s="18"/>
      <c r="BV2587" s="18"/>
    </row>
    <row r="2588" spans="1:74">
      <c r="A2588" s="18"/>
      <c r="B2588" s="19"/>
      <c r="BG2588" s="18"/>
      <c r="BH2588" s="18"/>
      <c r="BI2588" s="18"/>
      <c r="BJ2588" s="18"/>
      <c r="BK2588" s="18"/>
      <c r="BL2588" s="18"/>
      <c r="BM2588" s="18"/>
      <c r="BN2588" s="18"/>
      <c r="BO2588" s="18"/>
      <c r="BP2588" s="18"/>
      <c r="BQ2588" s="18"/>
      <c r="BR2588" s="18"/>
      <c r="BS2588" s="18"/>
      <c r="BT2588" s="18"/>
      <c r="BU2588" s="18"/>
      <c r="BV2588" s="18"/>
    </row>
    <row r="2589" spans="1:74">
      <c r="A2589" s="18"/>
      <c r="B2589" s="19"/>
      <c r="BG2589" s="18"/>
      <c r="BH2589" s="18"/>
      <c r="BI2589" s="18"/>
      <c r="BJ2589" s="18"/>
      <c r="BK2589" s="18"/>
      <c r="BL2589" s="18"/>
      <c r="BM2589" s="18"/>
      <c r="BN2589" s="18"/>
      <c r="BO2589" s="18"/>
      <c r="BP2589" s="18"/>
      <c r="BQ2589" s="18"/>
      <c r="BR2589" s="18"/>
      <c r="BS2589" s="18"/>
      <c r="BT2589" s="18"/>
      <c r="BU2589" s="18"/>
      <c r="BV2589" s="18"/>
    </row>
    <row r="2590" spans="1:74">
      <c r="A2590" s="18"/>
      <c r="B2590" s="19"/>
      <c r="BG2590" s="18"/>
      <c r="BH2590" s="18"/>
      <c r="BI2590" s="18"/>
      <c r="BJ2590" s="18"/>
      <c r="BK2590" s="18"/>
      <c r="BL2590" s="18"/>
      <c r="BM2590" s="18"/>
      <c r="BN2590" s="18"/>
      <c r="BO2590" s="18"/>
      <c r="BP2590" s="18"/>
      <c r="BQ2590" s="18"/>
      <c r="BR2590" s="18"/>
      <c r="BS2590" s="18"/>
      <c r="BT2590" s="18"/>
      <c r="BU2590" s="18"/>
      <c r="BV2590" s="18"/>
    </row>
    <row r="2591" spans="1:74">
      <c r="A2591" s="18"/>
      <c r="B2591" s="19"/>
      <c r="BG2591" s="18"/>
      <c r="BH2591" s="18"/>
      <c r="BI2591" s="18"/>
      <c r="BJ2591" s="18"/>
      <c r="BK2591" s="18"/>
      <c r="BL2591" s="18"/>
      <c r="BM2591" s="18"/>
      <c r="BN2591" s="18"/>
      <c r="BO2591" s="18"/>
      <c r="BP2591" s="18"/>
      <c r="BQ2591" s="18"/>
      <c r="BR2591" s="18"/>
      <c r="BS2591" s="18"/>
      <c r="BT2591" s="18"/>
      <c r="BU2591" s="18"/>
      <c r="BV2591" s="18"/>
    </row>
    <row r="2592" spans="1:74">
      <c r="A2592" s="18"/>
      <c r="B2592" s="19"/>
      <c r="BG2592" s="18"/>
      <c r="BH2592" s="18"/>
      <c r="BI2592" s="18"/>
      <c r="BJ2592" s="18"/>
      <c r="BK2592" s="18"/>
      <c r="BL2592" s="18"/>
      <c r="BM2592" s="18"/>
      <c r="BN2592" s="18"/>
      <c r="BO2592" s="18"/>
      <c r="BP2592" s="18"/>
      <c r="BQ2592" s="18"/>
      <c r="BR2592" s="18"/>
      <c r="BS2592" s="18"/>
      <c r="BT2592" s="18"/>
      <c r="BU2592" s="18"/>
      <c r="BV2592" s="18"/>
    </row>
    <row r="2593" spans="1:74">
      <c r="A2593" s="18"/>
      <c r="B2593" s="19"/>
      <c r="BG2593" s="18"/>
      <c r="BH2593" s="18"/>
      <c r="BI2593" s="18"/>
      <c r="BJ2593" s="18"/>
      <c r="BK2593" s="18"/>
      <c r="BL2593" s="18"/>
      <c r="BM2593" s="18"/>
      <c r="BN2593" s="18"/>
      <c r="BO2593" s="18"/>
      <c r="BP2593" s="18"/>
      <c r="BQ2593" s="18"/>
      <c r="BR2593" s="18"/>
      <c r="BS2593" s="18"/>
      <c r="BT2593" s="18"/>
      <c r="BU2593" s="18"/>
      <c r="BV2593" s="18"/>
    </row>
    <row r="2594" spans="1:74">
      <c r="A2594" s="18"/>
      <c r="B2594" s="19"/>
      <c r="BG2594" s="18"/>
      <c r="BH2594" s="18"/>
      <c r="BI2594" s="18"/>
      <c r="BJ2594" s="18"/>
      <c r="BK2594" s="18"/>
      <c r="BL2594" s="18"/>
      <c r="BM2594" s="18"/>
      <c r="BN2594" s="18"/>
      <c r="BO2594" s="18"/>
      <c r="BP2594" s="18"/>
      <c r="BQ2594" s="18"/>
      <c r="BR2594" s="18"/>
      <c r="BS2594" s="18"/>
      <c r="BT2594" s="18"/>
      <c r="BU2594" s="18"/>
      <c r="BV2594" s="18"/>
    </row>
    <row r="2595" spans="1:74">
      <c r="A2595" s="18"/>
      <c r="B2595" s="19"/>
      <c r="BG2595" s="18"/>
      <c r="BH2595" s="18"/>
      <c r="BI2595" s="18"/>
      <c r="BJ2595" s="18"/>
      <c r="BK2595" s="18"/>
      <c r="BL2595" s="18"/>
      <c r="BM2595" s="18"/>
      <c r="BN2595" s="18"/>
      <c r="BO2595" s="18"/>
      <c r="BP2595" s="18"/>
      <c r="BQ2595" s="18"/>
      <c r="BR2595" s="18"/>
      <c r="BS2595" s="18"/>
      <c r="BT2595" s="18"/>
      <c r="BU2595" s="18"/>
      <c r="BV2595" s="18"/>
    </row>
    <row r="2596" spans="1:74">
      <c r="A2596" s="18"/>
      <c r="B2596" s="19"/>
      <c r="BG2596" s="18"/>
      <c r="BH2596" s="18"/>
      <c r="BI2596" s="18"/>
      <c r="BJ2596" s="18"/>
      <c r="BK2596" s="18"/>
      <c r="BL2596" s="18"/>
      <c r="BM2596" s="18"/>
      <c r="BN2596" s="18"/>
      <c r="BO2596" s="18"/>
      <c r="BP2596" s="18"/>
      <c r="BQ2596" s="18"/>
      <c r="BR2596" s="18"/>
      <c r="BS2596" s="18"/>
      <c r="BT2596" s="18"/>
      <c r="BU2596" s="18"/>
      <c r="BV2596" s="18"/>
    </row>
    <row r="2597" spans="1:74">
      <c r="A2597" s="18"/>
      <c r="B2597" s="19"/>
      <c r="BG2597" s="18"/>
      <c r="BH2597" s="18"/>
      <c r="BI2597" s="18"/>
      <c r="BJ2597" s="18"/>
      <c r="BK2597" s="18"/>
      <c r="BL2597" s="18"/>
      <c r="BM2597" s="18"/>
      <c r="BN2597" s="18"/>
      <c r="BO2597" s="18"/>
      <c r="BP2597" s="18"/>
      <c r="BQ2597" s="18"/>
      <c r="BR2597" s="18"/>
      <c r="BS2597" s="18"/>
      <c r="BT2597" s="18"/>
      <c r="BU2597" s="18"/>
      <c r="BV2597" s="18"/>
    </row>
    <row r="2598" spans="1:74">
      <c r="A2598" s="18"/>
      <c r="B2598" s="19"/>
      <c r="BG2598" s="18"/>
      <c r="BH2598" s="18"/>
      <c r="BI2598" s="18"/>
      <c r="BJ2598" s="18"/>
      <c r="BK2598" s="18"/>
      <c r="BL2598" s="18"/>
      <c r="BM2598" s="18"/>
      <c r="BN2598" s="18"/>
      <c r="BO2598" s="18"/>
      <c r="BP2598" s="18"/>
      <c r="BQ2598" s="18"/>
      <c r="BR2598" s="18"/>
      <c r="BS2598" s="18"/>
      <c r="BT2598" s="18"/>
      <c r="BU2598" s="18"/>
      <c r="BV2598" s="18"/>
    </row>
    <row r="2599" spans="1:74">
      <c r="A2599" s="18"/>
      <c r="B2599" s="19"/>
      <c r="BG2599" s="18"/>
      <c r="BH2599" s="18"/>
      <c r="BI2599" s="18"/>
      <c r="BJ2599" s="18"/>
      <c r="BK2599" s="18"/>
      <c r="BL2599" s="18"/>
      <c r="BM2599" s="18"/>
      <c r="BN2599" s="18"/>
      <c r="BO2599" s="18"/>
      <c r="BP2599" s="18"/>
      <c r="BQ2599" s="18"/>
      <c r="BR2599" s="18"/>
      <c r="BS2599" s="18"/>
      <c r="BT2599" s="18"/>
      <c r="BU2599" s="18"/>
      <c r="BV2599" s="18"/>
    </row>
    <row r="2600" spans="1:74">
      <c r="A2600" s="18"/>
      <c r="B2600" s="19"/>
      <c r="BG2600" s="18"/>
      <c r="BH2600" s="18"/>
      <c r="BI2600" s="18"/>
      <c r="BJ2600" s="18"/>
      <c r="BK2600" s="18"/>
      <c r="BL2600" s="18"/>
      <c r="BM2600" s="18"/>
      <c r="BN2600" s="18"/>
      <c r="BO2600" s="18"/>
      <c r="BP2600" s="18"/>
      <c r="BQ2600" s="18"/>
      <c r="BR2600" s="18"/>
      <c r="BS2600" s="18"/>
      <c r="BT2600" s="18"/>
      <c r="BU2600" s="18"/>
      <c r="BV2600" s="18"/>
    </row>
    <row r="2601" spans="1:74">
      <c r="A2601" s="18"/>
      <c r="B2601" s="19"/>
      <c r="BG2601" s="18"/>
      <c r="BH2601" s="18"/>
      <c r="BI2601" s="18"/>
      <c r="BJ2601" s="18"/>
      <c r="BK2601" s="18"/>
      <c r="BL2601" s="18"/>
      <c r="BM2601" s="18"/>
      <c r="BN2601" s="18"/>
      <c r="BO2601" s="18"/>
      <c r="BP2601" s="18"/>
      <c r="BQ2601" s="18"/>
      <c r="BR2601" s="18"/>
      <c r="BS2601" s="18"/>
      <c r="BT2601" s="18"/>
      <c r="BU2601" s="18"/>
      <c r="BV2601" s="18"/>
    </row>
    <row r="2602" spans="1:74">
      <c r="A2602" s="18"/>
      <c r="B2602" s="19"/>
      <c r="BG2602" s="18"/>
      <c r="BH2602" s="18"/>
      <c r="BI2602" s="18"/>
      <c r="BJ2602" s="18"/>
      <c r="BK2602" s="18"/>
      <c r="BL2602" s="18"/>
      <c r="BM2602" s="18"/>
      <c r="BN2602" s="18"/>
      <c r="BO2602" s="18"/>
      <c r="BP2602" s="18"/>
      <c r="BQ2602" s="18"/>
      <c r="BR2602" s="18"/>
      <c r="BS2602" s="18"/>
      <c r="BT2602" s="18"/>
      <c r="BU2602" s="18"/>
      <c r="BV2602" s="18"/>
    </row>
    <row r="2603" spans="1:74">
      <c r="A2603" s="18"/>
      <c r="B2603" s="19"/>
      <c r="BG2603" s="18"/>
      <c r="BH2603" s="18"/>
      <c r="BI2603" s="18"/>
      <c r="BJ2603" s="18"/>
      <c r="BK2603" s="18"/>
      <c r="BL2603" s="18"/>
      <c r="BM2603" s="18"/>
      <c r="BN2603" s="18"/>
      <c r="BO2603" s="18"/>
      <c r="BP2603" s="18"/>
      <c r="BQ2603" s="18"/>
      <c r="BR2603" s="18"/>
      <c r="BS2603" s="18"/>
      <c r="BT2603" s="18"/>
      <c r="BU2603" s="18"/>
      <c r="BV2603" s="18"/>
    </row>
    <row r="2604" spans="1:74">
      <c r="A2604" s="18"/>
      <c r="B2604" s="19"/>
      <c r="BG2604" s="18"/>
      <c r="BH2604" s="18"/>
      <c r="BI2604" s="18"/>
      <c r="BJ2604" s="18"/>
      <c r="BK2604" s="18"/>
      <c r="BL2604" s="18"/>
      <c r="BM2604" s="18"/>
      <c r="BN2604" s="18"/>
      <c r="BO2604" s="18"/>
      <c r="BP2604" s="18"/>
      <c r="BQ2604" s="18"/>
      <c r="BR2604" s="18"/>
      <c r="BS2604" s="18"/>
      <c r="BT2604" s="18"/>
      <c r="BU2604" s="18"/>
      <c r="BV2604" s="18"/>
    </row>
    <row r="2605" spans="1:74">
      <c r="A2605" s="18"/>
      <c r="B2605" s="19"/>
      <c r="BG2605" s="18"/>
      <c r="BH2605" s="18"/>
      <c r="BI2605" s="18"/>
      <c r="BJ2605" s="18"/>
      <c r="BK2605" s="18"/>
      <c r="BL2605" s="18"/>
      <c r="BM2605" s="18"/>
      <c r="BN2605" s="18"/>
      <c r="BO2605" s="18"/>
      <c r="BP2605" s="18"/>
      <c r="BQ2605" s="18"/>
      <c r="BR2605" s="18"/>
      <c r="BS2605" s="18"/>
      <c r="BT2605" s="18"/>
      <c r="BU2605" s="18"/>
      <c r="BV2605" s="18"/>
    </row>
    <row r="2606" spans="1:74">
      <c r="A2606" s="18"/>
      <c r="B2606" s="19"/>
      <c r="BG2606" s="18"/>
      <c r="BH2606" s="18"/>
      <c r="BI2606" s="18"/>
      <c r="BJ2606" s="18"/>
      <c r="BK2606" s="18"/>
      <c r="BL2606" s="18"/>
      <c r="BM2606" s="18"/>
      <c r="BN2606" s="18"/>
      <c r="BO2606" s="18"/>
      <c r="BP2606" s="18"/>
      <c r="BQ2606" s="18"/>
      <c r="BR2606" s="18"/>
      <c r="BS2606" s="18"/>
      <c r="BT2606" s="18"/>
      <c r="BU2606" s="18"/>
      <c r="BV2606" s="18"/>
    </row>
    <row r="2607" spans="1:74">
      <c r="A2607" s="18"/>
      <c r="B2607" s="19"/>
      <c r="BG2607" s="18"/>
      <c r="BH2607" s="18"/>
      <c r="BI2607" s="18"/>
      <c r="BJ2607" s="18"/>
      <c r="BK2607" s="18"/>
      <c r="BL2607" s="18"/>
      <c r="BM2607" s="18"/>
      <c r="BN2607" s="18"/>
      <c r="BO2607" s="18"/>
      <c r="BP2607" s="18"/>
      <c r="BQ2607" s="18"/>
      <c r="BR2607" s="18"/>
      <c r="BS2607" s="18"/>
      <c r="BT2607" s="18"/>
      <c r="BU2607" s="18"/>
      <c r="BV2607" s="18"/>
    </row>
    <row r="2608" spans="1:74">
      <c r="A2608" s="18"/>
      <c r="B2608" s="19"/>
      <c r="BG2608" s="18"/>
      <c r="BH2608" s="18"/>
      <c r="BI2608" s="18"/>
      <c r="BJ2608" s="18"/>
      <c r="BK2608" s="18"/>
      <c r="BL2608" s="18"/>
      <c r="BM2608" s="18"/>
      <c r="BN2608" s="18"/>
      <c r="BO2608" s="18"/>
      <c r="BP2608" s="18"/>
      <c r="BQ2608" s="18"/>
      <c r="BR2608" s="18"/>
      <c r="BS2608" s="18"/>
      <c r="BT2608" s="18"/>
      <c r="BU2608" s="18"/>
      <c r="BV2608" s="18"/>
    </row>
    <row r="2609" spans="1:74">
      <c r="A2609" s="18"/>
      <c r="B2609" s="19"/>
      <c r="BG2609" s="18"/>
      <c r="BH2609" s="18"/>
      <c r="BI2609" s="18"/>
      <c r="BJ2609" s="18"/>
      <c r="BK2609" s="18"/>
      <c r="BL2609" s="18"/>
      <c r="BM2609" s="18"/>
      <c r="BN2609" s="18"/>
      <c r="BO2609" s="18"/>
      <c r="BP2609" s="18"/>
      <c r="BQ2609" s="18"/>
      <c r="BR2609" s="18"/>
      <c r="BS2609" s="18"/>
      <c r="BT2609" s="18"/>
      <c r="BU2609" s="18"/>
      <c r="BV2609" s="18"/>
    </row>
    <row r="2610" spans="1:74">
      <c r="A2610" s="18"/>
      <c r="B2610" s="19"/>
      <c r="BG2610" s="18"/>
      <c r="BH2610" s="18"/>
      <c r="BI2610" s="18"/>
      <c r="BJ2610" s="18"/>
      <c r="BK2610" s="18"/>
      <c r="BL2610" s="18"/>
      <c r="BM2610" s="18"/>
      <c r="BN2610" s="18"/>
      <c r="BO2610" s="18"/>
      <c r="BP2610" s="18"/>
      <c r="BQ2610" s="18"/>
      <c r="BR2610" s="18"/>
      <c r="BS2610" s="18"/>
      <c r="BT2610" s="18"/>
      <c r="BU2610" s="18"/>
      <c r="BV2610" s="18"/>
    </row>
    <row r="2611" spans="1:74">
      <c r="A2611" s="18"/>
      <c r="B2611" s="19"/>
      <c r="BG2611" s="18"/>
      <c r="BH2611" s="18"/>
      <c r="BI2611" s="18"/>
      <c r="BJ2611" s="18"/>
      <c r="BK2611" s="18"/>
      <c r="BL2611" s="18"/>
      <c r="BM2611" s="18"/>
      <c r="BN2611" s="18"/>
      <c r="BO2611" s="18"/>
      <c r="BP2611" s="18"/>
      <c r="BQ2611" s="18"/>
      <c r="BR2611" s="18"/>
      <c r="BS2611" s="18"/>
      <c r="BT2611" s="18"/>
      <c r="BU2611" s="18"/>
      <c r="BV2611" s="18"/>
    </row>
    <row r="2612" spans="1:74">
      <c r="A2612" s="18"/>
      <c r="B2612" s="19"/>
      <c r="BG2612" s="18"/>
      <c r="BH2612" s="18"/>
      <c r="BI2612" s="18"/>
      <c r="BJ2612" s="18"/>
      <c r="BK2612" s="18"/>
      <c r="BL2612" s="18"/>
      <c r="BM2612" s="18"/>
      <c r="BN2612" s="18"/>
      <c r="BO2612" s="18"/>
      <c r="BP2612" s="18"/>
      <c r="BQ2612" s="18"/>
      <c r="BR2612" s="18"/>
      <c r="BS2612" s="18"/>
      <c r="BT2612" s="18"/>
      <c r="BU2612" s="18"/>
      <c r="BV2612" s="18"/>
    </row>
    <row r="2613" spans="1:74">
      <c r="A2613" s="18"/>
      <c r="B2613" s="19"/>
      <c r="BG2613" s="18"/>
      <c r="BH2613" s="18"/>
      <c r="BI2613" s="18"/>
      <c r="BJ2613" s="18"/>
      <c r="BK2613" s="18"/>
      <c r="BL2613" s="18"/>
      <c r="BM2613" s="18"/>
      <c r="BN2613" s="18"/>
      <c r="BO2613" s="18"/>
      <c r="BP2613" s="18"/>
      <c r="BQ2613" s="18"/>
      <c r="BR2613" s="18"/>
      <c r="BS2613" s="18"/>
      <c r="BT2613" s="18"/>
      <c r="BU2613" s="18"/>
      <c r="BV2613" s="18"/>
    </row>
    <row r="2614" spans="1:74">
      <c r="A2614" s="18"/>
      <c r="B2614" s="19"/>
      <c r="BG2614" s="18"/>
      <c r="BH2614" s="18"/>
      <c r="BI2614" s="18"/>
      <c r="BJ2614" s="18"/>
      <c r="BK2614" s="18"/>
      <c r="BL2614" s="18"/>
      <c r="BM2614" s="18"/>
      <c r="BN2614" s="18"/>
      <c r="BO2614" s="18"/>
      <c r="BP2614" s="18"/>
      <c r="BQ2614" s="18"/>
      <c r="BR2614" s="18"/>
      <c r="BS2614" s="18"/>
      <c r="BT2614" s="18"/>
      <c r="BU2614" s="18"/>
      <c r="BV2614" s="18"/>
    </row>
    <row r="2615" spans="1:74">
      <c r="A2615" s="18"/>
      <c r="B2615" s="19"/>
      <c r="BG2615" s="18"/>
      <c r="BH2615" s="18"/>
      <c r="BI2615" s="18"/>
      <c r="BJ2615" s="18"/>
      <c r="BK2615" s="18"/>
      <c r="BL2615" s="18"/>
      <c r="BM2615" s="18"/>
      <c r="BN2615" s="18"/>
      <c r="BO2615" s="18"/>
      <c r="BP2615" s="18"/>
      <c r="BQ2615" s="18"/>
      <c r="BR2615" s="18"/>
      <c r="BS2615" s="18"/>
      <c r="BT2615" s="18"/>
      <c r="BU2615" s="18"/>
      <c r="BV2615" s="18"/>
    </row>
    <row r="2616" spans="1:74">
      <c r="A2616" s="18"/>
      <c r="B2616" s="19"/>
      <c r="BG2616" s="18"/>
      <c r="BH2616" s="18"/>
      <c r="BI2616" s="18"/>
      <c r="BJ2616" s="18"/>
      <c r="BK2616" s="18"/>
      <c r="BL2616" s="18"/>
      <c r="BM2616" s="18"/>
      <c r="BN2616" s="18"/>
      <c r="BO2616" s="18"/>
      <c r="BP2616" s="18"/>
      <c r="BQ2616" s="18"/>
      <c r="BR2616" s="18"/>
      <c r="BS2616" s="18"/>
      <c r="BT2616" s="18"/>
      <c r="BU2616" s="18"/>
      <c r="BV2616" s="18"/>
    </row>
    <row r="2617" spans="1:74">
      <c r="A2617" s="18"/>
      <c r="B2617" s="19"/>
      <c r="BG2617" s="18"/>
      <c r="BH2617" s="18"/>
      <c r="BI2617" s="18"/>
      <c r="BJ2617" s="18"/>
      <c r="BK2617" s="18"/>
      <c r="BL2617" s="18"/>
      <c r="BM2617" s="18"/>
      <c r="BN2617" s="18"/>
      <c r="BO2617" s="18"/>
      <c r="BP2617" s="18"/>
      <c r="BQ2617" s="18"/>
      <c r="BR2617" s="18"/>
      <c r="BS2617" s="18"/>
      <c r="BT2617" s="18"/>
      <c r="BU2617" s="18"/>
      <c r="BV2617" s="18"/>
    </row>
    <row r="2618" spans="1:74">
      <c r="A2618" s="18"/>
      <c r="B2618" s="19"/>
      <c r="BG2618" s="18"/>
      <c r="BH2618" s="18"/>
      <c r="BI2618" s="18"/>
      <c r="BJ2618" s="18"/>
      <c r="BK2618" s="18"/>
      <c r="BL2618" s="18"/>
      <c r="BM2618" s="18"/>
      <c r="BN2618" s="18"/>
      <c r="BO2618" s="18"/>
      <c r="BP2618" s="18"/>
      <c r="BQ2618" s="18"/>
      <c r="BR2618" s="18"/>
      <c r="BS2618" s="18"/>
      <c r="BT2618" s="18"/>
      <c r="BU2618" s="18"/>
      <c r="BV2618" s="18"/>
    </row>
    <row r="2619" spans="1:74">
      <c r="A2619" s="18"/>
      <c r="B2619" s="19"/>
      <c r="BG2619" s="18"/>
      <c r="BH2619" s="18"/>
      <c r="BI2619" s="18"/>
      <c r="BJ2619" s="18"/>
      <c r="BK2619" s="18"/>
      <c r="BL2619" s="18"/>
      <c r="BM2619" s="18"/>
      <c r="BN2619" s="18"/>
      <c r="BO2619" s="18"/>
      <c r="BP2619" s="18"/>
      <c r="BQ2619" s="18"/>
      <c r="BR2619" s="18"/>
      <c r="BS2619" s="18"/>
      <c r="BT2619" s="18"/>
      <c r="BU2619" s="18"/>
      <c r="BV2619" s="18"/>
    </row>
    <row r="2620" spans="1:74">
      <c r="A2620" s="18"/>
      <c r="B2620" s="19"/>
      <c r="BG2620" s="18"/>
      <c r="BH2620" s="18"/>
      <c r="BI2620" s="18"/>
      <c r="BJ2620" s="18"/>
      <c r="BK2620" s="18"/>
      <c r="BL2620" s="18"/>
      <c r="BM2620" s="18"/>
      <c r="BN2620" s="18"/>
      <c r="BO2620" s="18"/>
      <c r="BP2620" s="18"/>
      <c r="BQ2620" s="18"/>
      <c r="BR2620" s="18"/>
      <c r="BS2620" s="18"/>
      <c r="BT2620" s="18"/>
      <c r="BU2620" s="18"/>
      <c r="BV2620" s="18"/>
    </row>
    <row r="2621" spans="1:74">
      <c r="A2621" s="18"/>
      <c r="B2621" s="19"/>
      <c r="BG2621" s="18"/>
      <c r="BH2621" s="18"/>
      <c r="BI2621" s="18"/>
      <c r="BJ2621" s="18"/>
      <c r="BK2621" s="18"/>
      <c r="BL2621" s="18"/>
      <c r="BM2621" s="18"/>
      <c r="BN2621" s="18"/>
      <c r="BO2621" s="18"/>
      <c r="BP2621" s="18"/>
      <c r="BQ2621" s="18"/>
      <c r="BR2621" s="18"/>
      <c r="BS2621" s="18"/>
      <c r="BT2621" s="18"/>
      <c r="BU2621" s="18"/>
      <c r="BV2621" s="18"/>
    </row>
    <row r="2622" spans="1:74">
      <c r="A2622" s="18"/>
      <c r="B2622" s="19"/>
      <c r="BG2622" s="18"/>
      <c r="BH2622" s="18"/>
      <c r="BI2622" s="18"/>
      <c r="BJ2622" s="18"/>
      <c r="BK2622" s="18"/>
      <c r="BL2622" s="18"/>
      <c r="BM2622" s="18"/>
      <c r="BN2622" s="18"/>
      <c r="BO2622" s="18"/>
      <c r="BP2622" s="18"/>
      <c r="BQ2622" s="18"/>
      <c r="BR2622" s="18"/>
      <c r="BS2622" s="18"/>
      <c r="BT2622" s="18"/>
      <c r="BU2622" s="18"/>
      <c r="BV2622" s="18"/>
    </row>
    <row r="2623" spans="1:74">
      <c r="A2623" s="18"/>
      <c r="B2623" s="19"/>
      <c r="BG2623" s="18"/>
      <c r="BH2623" s="18"/>
      <c r="BI2623" s="18"/>
      <c r="BJ2623" s="18"/>
      <c r="BK2623" s="18"/>
      <c r="BL2623" s="18"/>
      <c r="BM2623" s="18"/>
      <c r="BN2623" s="18"/>
      <c r="BO2623" s="18"/>
      <c r="BP2623" s="18"/>
      <c r="BQ2623" s="18"/>
      <c r="BR2623" s="18"/>
      <c r="BS2623" s="18"/>
      <c r="BT2623" s="18"/>
      <c r="BU2623" s="18"/>
      <c r="BV2623" s="18"/>
    </row>
    <row r="2624" spans="1:74">
      <c r="A2624" s="18"/>
      <c r="B2624" s="19"/>
      <c r="BG2624" s="18"/>
      <c r="BH2624" s="18"/>
      <c r="BI2624" s="18"/>
      <c r="BJ2624" s="18"/>
      <c r="BK2624" s="18"/>
      <c r="BL2624" s="18"/>
      <c r="BM2624" s="18"/>
      <c r="BN2624" s="18"/>
      <c r="BO2624" s="18"/>
      <c r="BP2624" s="18"/>
      <c r="BQ2624" s="18"/>
      <c r="BR2624" s="18"/>
      <c r="BS2624" s="18"/>
      <c r="BT2624" s="18"/>
      <c r="BU2624" s="18"/>
      <c r="BV2624" s="18"/>
    </row>
    <row r="2625" spans="1:74">
      <c r="A2625" s="18"/>
      <c r="B2625" s="19"/>
      <c r="BG2625" s="18"/>
      <c r="BH2625" s="18"/>
      <c r="BI2625" s="18"/>
      <c r="BJ2625" s="18"/>
      <c r="BK2625" s="18"/>
      <c r="BL2625" s="18"/>
      <c r="BM2625" s="18"/>
      <c r="BN2625" s="18"/>
      <c r="BO2625" s="18"/>
      <c r="BP2625" s="18"/>
      <c r="BQ2625" s="18"/>
      <c r="BR2625" s="18"/>
      <c r="BS2625" s="18"/>
      <c r="BT2625" s="18"/>
      <c r="BU2625" s="18"/>
      <c r="BV2625" s="18"/>
    </row>
    <row r="2626" spans="1:74">
      <c r="A2626" s="18"/>
      <c r="B2626" s="19"/>
      <c r="BG2626" s="18"/>
      <c r="BH2626" s="18"/>
      <c r="BI2626" s="18"/>
      <c r="BJ2626" s="18"/>
      <c r="BK2626" s="18"/>
      <c r="BL2626" s="18"/>
      <c r="BM2626" s="18"/>
      <c r="BN2626" s="18"/>
      <c r="BO2626" s="18"/>
      <c r="BP2626" s="18"/>
      <c r="BQ2626" s="18"/>
      <c r="BR2626" s="18"/>
      <c r="BS2626" s="18"/>
      <c r="BT2626" s="18"/>
      <c r="BU2626" s="18"/>
      <c r="BV2626" s="18"/>
    </row>
    <row r="2627" spans="1:74">
      <c r="A2627" s="18"/>
      <c r="B2627" s="19"/>
      <c r="BG2627" s="18"/>
      <c r="BH2627" s="18"/>
      <c r="BI2627" s="18"/>
      <c r="BJ2627" s="18"/>
      <c r="BK2627" s="18"/>
      <c r="BL2627" s="18"/>
      <c r="BM2627" s="18"/>
      <c r="BN2627" s="18"/>
      <c r="BO2627" s="18"/>
      <c r="BP2627" s="18"/>
      <c r="BQ2627" s="18"/>
      <c r="BR2627" s="18"/>
      <c r="BS2627" s="18"/>
      <c r="BT2627" s="18"/>
      <c r="BU2627" s="18"/>
      <c r="BV2627" s="18"/>
    </row>
    <row r="2628" spans="1:74">
      <c r="A2628" s="18"/>
      <c r="B2628" s="19"/>
      <c r="BG2628" s="18"/>
      <c r="BH2628" s="18"/>
      <c r="BI2628" s="18"/>
      <c r="BJ2628" s="18"/>
      <c r="BK2628" s="18"/>
      <c r="BL2628" s="18"/>
      <c r="BM2628" s="18"/>
      <c r="BN2628" s="18"/>
      <c r="BO2628" s="18"/>
      <c r="BP2628" s="18"/>
      <c r="BQ2628" s="18"/>
      <c r="BR2628" s="18"/>
      <c r="BS2628" s="18"/>
      <c r="BT2628" s="18"/>
      <c r="BU2628" s="18"/>
      <c r="BV2628" s="18"/>
    </row>
    <row r="2629" spans="1:74">
      <c r="A2629" s="18"/>
      <c r="B2629" s="19"/>
      <c r="BG2629" s="18"/>
      <c r="BH2629" s="18"/>
      <c r="BI2629" s="18"/>
      <c r="BJ2629" s="18"/>
      <c r="BK2629" s="18"/>
      <c r="BL2629" s="18"/>
      <c r="BM2629" s="18"/>
      <c r="BN2629" s="18"/>
      <c r="BO2629" s="18"/>
      <c r="BP2629" s="18"/>
      <c r="BQ2629" s="18"/>
      <c r="BR2629" s="18"/>
      <c r="BS2629" s="18"/>
      <c r="BT2629" s="18"/>
      <c r="BU2629" s="18"/>
      <c r="BV2629" s="18"/>
    </row>
    <row r="2630" spans="1:74">
      <c r="A2630" s="18"/>
      <c r="B2630" s="19"/>
      <c r="BG2630" s="18"/>
      <c r="BH2630" s="18"/>
      <c r="BI2630" s="18"/>
      <c r="BJ2630" s="18"/>
      <c r="BK2630" s="18"/>
      <c r="BL2630" s="18"/>
      <c r="BM2630" s="18"/>
      <c r="BN2630" s="18"/>
      <c r="BO2630" s="18"/>
      <c r="BP2630" s="18"/>
      <c r="BQ2630" s="18"/>
      <c r="BR2630" s="18"/>
      <c r="BS2630" s="18"/>
      <c r="BT2630" s="18"/>
      <c r="BU2630" s="18"/>
      <c r="BV2630" s="18"/>
    </row>
    <row r="2631" spans="1:74">
      <c r="A2631" s="18"/>
      <c r="B2631" s="19"/>
      <c r="BG2631" s="18"/>
      <c r="BH2631" s="18"/>
      <c r="BI2631" s="18"/>
      <c r="BJ2631" s="18"/>
      <c r="BK2631" s="18"/>
      <c r="BL2631" s="18"/>
      <c r="BM2631" s="18"/>
      <c r="BN2631" s="18"/>
      <c r="BO2631" s="18"/>
      <c r="BP2631" s="18"/>
      <c r="BQ2631" s="18"/>
      <c r="BR2631" s="18"/>
      <c r="BS2631" s="18"/>
      <c r="BT2631" s="18"/>
      <c r="BU2631" s="18"/>
      <c r="BV2631" s="18"/>
    </row>
    <row r="2632" spans="1:74">
      <c r="A2632" s="18"/>
      <c r="B2632" s="19"/>
      <c r="BG2632" s="18"/>
      <c r="BH2632" s="18"/>
      <c r="BI2632" s="18"/>
      <c r="BJ2632" s="18"/>
      <c r="BK2632" s="18"/>
      <c r="BL2632" s="18"/>
      <c r="BM2632" s="18"/>
      <c r="BN2632" s="18"/>
      <c r="BO2632" s="18"/>
      <c r="BP2632" s="18"/>
      <c r="BQ2632" s="18"/>
      <c r="BR2632" s="18"/>
      <c r="BS2632" s="18"/>
      <c r="BT2632" s="18"/>
      <c r="BU2632" s="18"/>
      <c r="BV2632" s="18"/>
    </row>
    <row r="2633" spans="1:74">
      <c r="A2633" s="18"/>
      <c r="B2633" s="19"/>
      <c r="BG2633" s="18"/>
      <c r="BH2633" s="18"/>
      <c r="BI2633" s="18"/>
      <c r="BJ2633" s="18"/>
      <c r="BK2633" s="18"/>
      <c r="BL2633" s="18"/>
      <c r="BM2633" s="18"/>
      <c r="BN2633" s="18"/>
      <c r="BO2633" s="18"/>
      <c r="BP2633" s="18"/>
      <c r="BQ2633" s="18"/>
      <c r="BR2633" s="18"/>
      <c r="BS2633" s="18"/>
      <c r="BT2633" s="18"/>
      <c r="BU2633" s="18"/>
      <c r="BV2633" s="18"/>
    </row>
    <row r="2634" spans="1:74">
      <c r="A2634" s="18"/>
      <c r="B2634" s="19"/>
      <c r="BG2634" s="18"/>
      <c r="BH2634" s="18"/>
      <c r="BI2634" s="18"/>
      <c r="BJ2634" s="18"/>
      <c r="BK2634" s="18"/>
      <c r="BL2634" s="18"/>
      <c r="BM2634" s="18"/>
      <c r="BN2634" s="18"/>
      <c r="BO2634" s="18"/>
      <c r="BP2634" s="18"/>
      <c r="BQ2634" s="18"/>
      <c r="BR2634" s="18"/>
      <c r="BS2634" s="18"/>
      <c r="BT2634" s="18"/>
      <c r="BU2634" s="18"/>
      <c r="BV2634" s="18"/>
    </row>
    <row r="2635" spans="1:74">
      <c r="A2635" s="18"/>
      <c r="B2635" s="19"/>
      <c r="BG2635" s="18"/>
      <c r="BH2635" s="18"/>
      <c r="BI2635" s="18"/>
      <c r="BJ2635" s="18"/>
      <c r="BK2635" s="18"/>
      <c r="BL2635" s="18"/>
      <c r="BM2635" s="18"/>
      <c r="BN2635" s="18"/>
      <c r="BO2635" s="18"/>
      <c r="BP2635" s="18"/>
      <c r="BQ2635" s="18"/>
      <c r="BR2635" s="18"/>
      <c r="BS2635" s="18"/>
      <c r="BT2635" s="18"/>
      <c r="BU2635" s="18"/>
      <c r="BV2635" s="18"/>
    </row>
    <row r="2636" spans="1:74">
      <c r="A2636" s="18"/>
      <c r="B2636" s="19"/>
      <c r="BG2636" s="18"/>
      <c r="BH2636" s="18"/>
      <c r="BI2636" s="18"/>
      <c r="BJ2636" s="18"/>
      <c r="BK2636" s="18"/>
      <c r="BL2636" s="18"/>
      <c r="BM2636" s="18"/>
      <c r="BN2636" s="18"/>
      <c r="BO2636" s="18"/>
      <c r="BP2636" s="18"/>
      <c r="BQ2636" s="18"/>
      <c r="BR2636" s="18"/>
      <c r="BS2636" s="18"/>
      <c r="BT2636" s="18"/>
      <c r="BU2636" s="18"/>
      <c r="BV2636" s="18"/>
    </row>
    <row r="2637" spans="1:74">
      <c r="A2637" s="18"/>
      <c r="B2637" s="19"/>
      <c r="BG2637" s="18"/>
      <c r="BH2637" s="18"/>
      <c r="BI2637" s="18"/>
      <c r="BJ2637" s="18"/>
      <c r="BK2637" s="18"/>
      <c r="BL2637" s="18"/>
      <c r="BM2637" s="18"/>
      <c r="BN2637" s="18"/>
      <c r="BO2637" s="18"/>
      <c r="BP2637" s="18"/>
      <c r="BQ2637" s="18"/>
      <c r="BR2637" s="18"/>
      <c r="BS2637" s="18"/>
      <c r="BT2637" s="18"/>
      <c r="BU2637" s="18"/>
      <c r="BV2637" s="18"/>
    </row>
    <row r="2638" spans="1:74">
      <c r="A2638" s="18"/>
      <c r="B2638" s="19"/>
      <c r="BG2638" s="18"/>
      <c r="BH2638" s="18"/>
      <c r="BI2638" s="18"/>
      <c r="BJ2638" s="18"/>
      <c r="BK2638" s="18"/>
      <c r="BL2638" s="18"/>
      <c r="BM2638" s="18"/>
      <c r="BN2638" s="18"/>
      <c r="BO2638" s="18"/>
      <c r="BP2638" s="18"/>
      <c r="BQ2638" s="18"/>
      <c r="BR2638" s="18"/>
      <c r="BS2638" s="18"/>
      <c r="BT2638" s="18"/>
      <c r="BU2638" s="18"/>
      <c r="BV2638" s="18"/>
    </row>
    <row r="2639" spans="1:74">
      <c r="A2639" s="18"/>
      <c r="B2639" s="19"/>
      <c r="BG2639" s="18"/>
      <c r="BH2639" s="18"/>
      <c r="BI2639" s="18"/>
      <c r="BJ2639" s="18"/>
      <c r="BK2639" s="18"/>
      <c r="BL2639" s="18"/>
      <c r="BM2639" s="18"/>
      <c r="BN2639" s="18"/>
      <c r="BO2639" s="18"/>
      <c r="BP2639" s="18"/>
      <c r="BQ2639" s="18"/>
      <c r="BR2639" s="18"/>
      <c r="BS2639" s="18"/>
      <c r="BT2639" s="18"/>
      <c r="BU2639" s="18"/>
      <c r="BV2639" s="18"/>
    </row>
    <row r="2640" spans="1:74">
      <c r="A2640" s="18"/>
      <c r="B2640" s="19"/>
      <c r="BG2640" s="18"/>
      <c r="BH2640" s="18"/>
      <c r="BI2640" s="18"/>
      <c r="BJ2640" s="18"/>
      <c r="BK2640" s="18"/>
      <c r="BL2640" s="18"/>
      <c r="BM2640" s="18"/>
      <c r="BN2640" s="18"/>
      <c r="BO2640" s="18"/>
      <c r="BP2640" s="18"/>
      <c r="BQ2640" s="18"/>
      <c r="BR2640" s="18"/>
      <c r="BS2640" s="18"/>
      <c r="BT2640" s="18"/>
      <c r="BU2640" s="18"/>
      <c r="BV2640" s="18"/>
    </row>
    <row r="2641" spans="1:74">
      <c r="A2641" s="18"/>
      <c r="B2641" s="19"/>
      <c r="BG2641" s="18"/>
      <c r="BH2641" s="18"/>
      <c r="BI2641" s="18"/>
      <c r="BJ2641" s="18"/>
      <c r="BK2641" s="18"/>
      <c r="BL2641" s="18"/>
      <c r="BM2641" s="18"/>
      <c r="BN2641" s="18"/>
      <c r="BO2641" s="18"/>
      <c r="BP2641" s="18"/>
      <c r="BQ2641" s="18"/>
      <c r="BR2641" s="18"/>
      <c r="BS2641" s="18"/>
      <c r="BT2641" s="18"/>
      <c r="BU2641" s="18"/>
      <c r="BV2641" s="18"/>
    </row>
    <row r="2642" spans="1:74">
      <c r="A2642" s="18"/>
      <c r="B2642" s="19"/>
      <c r="BG2642" s="18"/>
      <c r="BH2642" s="18"/>
      <c r="BI2642" s="18"/>
      <c r="BJ2642" s="18"/>
      <c r="BK2642" s="18"/>
      <c r="BL2642" s="18"/>
      <c r="BM2642" s="18"/>
      <c r="BN2642" s="18"/>
      <c r="BO2642" s="18"/>
      <c r="BP2642" s="18"/>
      <c r="BQ2642" s="18"/>
      <c r="BR2642" s="18"/>
      <c r="BS2642" s="18"/>
      <c r="BT2642" s="18"/>
      <c r="BU2642" s="18"/>
      <c r="BV2642" s="18"/>
    </row>
    <row r="2643" spans="1:74">
      <c r="A2643" s="18"/>
      <c r="B2643" s="19"/>
      <c r="BG2643" s="18"/>
      <c r="BH2643" s="18"/>
      <c r="BI2643" s="18"/>
      <c r="BJ2643" s="18"/>
      <c r="BK2643" s="18"/>
      <c r="BL2643" s="18"/>
      <c r="BM2643" s="18"/>
      <c r="BN2643" s="18"/>
      <c r="BO2643" s="18"/>
      <c r="BP2643" s="18"/>
      <c r="BQ2643" s="18"/>
      <c r="BR2643" s="18"/>
      <c r="BS2643" s="18"/>
      <c r="BT2643" s="18"/>
      <c r="BU2643" s="18"/>
      <c r="BV2643" s="18"/>
    </row>
    <row r="2644" spans="1:74">
      <c r="A2644" s="18"/>
      <c r="B2644" s="19"/>
      <c r="BG2644" s="18"/>
      <c r="BH2644" s="18"/>
      <c r="BI2644" s="18"/>
      <c r="BJ2644" s="18"/>
      <c r="BK2644" s="18"/>
      <c r="BL2644" s="18"/>
      <c r="BM2644" s="18"/>
      <c r="BN2644" s="18"/>
      <c r="BO2644" s="18"/>
      <c r="BP2644" s="18"/>
      <c r="BQ2644" s="18"/>
      <c r="BR2644" s="18"/>
      <c r="BS2644" s="18"/>
      <c r="BT2644" s="18"/>
      <c r="BU2644" s="18"/>
      <c r="BV2644" s="18"/>
    </row>
    <row r="2645" spans="1:74">
      <c r="A2645" s="18"/>
      <c r="B2645" s="19"/>
      <c r="BG2645" s="18"/>
      <c r="BH2645" s="18"/>
      <c r="BI2645" s="18"/>
      <c r="BJ2645" s="18"/>
      <c r="BK2645" s="18"/>
      <c r="BL2645" s="18"/>
      <c r="BM2645" s="18"/>
      <c r="BN2645" s="18"/>
      <c r="BO2645" s="18"/>
      <c r="BP2645" s="18"/>
      <c r="BQ2645" s="18"/>
      <c r="BR2645" s="18"/>
      <c r="BS2645" s="18"/>
      <c r="BT2645" s="18"/>
      <c r="BU2645" s="18"/>
      <c r="BV2645" s="18"/>
    </row>
    <row r="2646" spans="1:74">
      <c r="A2646" s="18"/>
      <c r="B2646" s="19"/>
      <c r="BG2646" s="18"/>
      <c r="BH2646" s="18"/>
      <c r="BI2646" s="18"/>
      <c r="BJ2646" s="18"/>
      <c r="BK2646" s="18"/>
      <c r="BL2646" s="18"/>
      <c r="BM2646" s="18"/>
      <c r="BN2646" s="18"/>
      <c r="BO2646" s="18"/>
      <c r="BP2646" s="18"/>
      <c r="BQ2646" s="18"/>
      <c r="BR2646" s="18"/>
      <c r="BS2646" s="18"/>
      <c r="BT2646" s="18"/>
      <c r="BU2646" s="18"/>
      <c r="BV2646" s="18"/>
    </row>
    <row r="2647" spans="1:74">
      <c r="A2647" s="18"/>
      <c r="B2647" s="19"/>
      <c r="BG2647" s="18"/>
      <c r="BH2647" s="18"/>
      <c r="BI2647" s="18"/>
      <c r="BJ2647" s="18"/>
      <c r="BK2647" s="18"/>
      <c r="BL2647" s="18"/>
      <c r="BM2647" s="18"/>
      <c r="BN2647" s="18"/>
      <c r="BO2647" s="18"/>
      <c r="BP2647" s="18"/>
      <c r="BQ2647" s="18"/>
      <c r="BR2647" s="18"/>
      <c r="BS2647" s="18"/>
      <c r="BT2647" s="18"/>
      <c r="BU2647" s="18"/>
      <c r="BV2647" s="18"/>
    </row>
    <row r="2648" spans="1:74">
      <c r="A2648" s="18"/>
      <c r="B2648" s="19"/>
      <c r="BG2648" s="18"/>
      <c r="BH2648" s="18"/>
      <c r="BI2648" s="18"/>
      <c r="BJ2648" s="18"/>
      <c r="BK2648" s="18"/>
      <c r="BL2648" s="18"/>
      <c r="BM2648" s="18"/>
      <c r="BN2648" s="18"/>
      <c r="BO2648" s="18"/>
      <c r="BP2648" s="18"/>
      <c r="BQ2648" s="18"/>
      <c r="BR2648" s="18"/>
      <c r="BS2648" s="18"/>
      <c r="BT2648" s="18"/>
      <c r="BU2648" s="18"/>
      <c r="BV2648" s="18"/>
    </row>
    <row r="2649" spans="1:74">
      <c r="A2649" s="18"/>
      <c r="B2649" s="19"/>
      <c r="BG2649" s="18"/>
      <c r="BH2649" s="18"/>
      <c r="BI2649" s="18"/>
      <c r="BJ2649" s="18"/>
      <c r="BK2649" s="18"/>
      <c r="BL2649" s="18"/>
      <c r="BM2649" s="18"/>
      <c r="BN2649" s="18"/>
      <c r="BO2649" s="18"/>
      <c r="BP2649" s="18"/>
      <c r="BQ2649" s="18"/>
      <c r="BR2649" s="18"/>
      <c r="BS2649" s="18"/>
      <c r="BT2649" s="18"/>
      <c r="BU2649" s="18"/>
      <c r="BV2649" s="18"/>
    </row>
    <row r="2650" spans="1:74">
      <c r="A2650" s="18"/>
      <c r="B2650" s="19"/>
      <c r="BG2650" s="18"/>
      <c r="BH2650" s="18"/>
      <c r="BI2650" s="18"/>
      <c r="BJ2650" s="18"/>
      <c r="BK2650" s="18"/>
      <c r="BL2650" s="18"/>
      <c r="BM2650" s="18"/>
      <c r="BN2650" s="18"/>
      <c r="BO2650" s="18"/>
      <c r="BP2650" s="18"/>
      <c r="BQ2650" s="18"/>
      <c r="BR2650" s="18"/>
      <c r="BS2650" s="18"/>
      <c r="BT2650" s="18"/>
      <c r="BU2650" s="18"/>
      <c r="BV2650" s="18"/>
    </row>
    <row r="2651" spans="1:74">
      <c r="A2651" s="18"/>
      <c r="B2651" s="19"/>
      <c r="BG2651" s="18"/>
      <c r="BH2651" s="18"/>
      <c r="BI2651" s="18"/>
      <c r="BJ2651" s="18"/>
      <c r="BK2651" s="18"/>
      <c r="BL2651" s="18"/>
      <c r="BM2651" s="18"/>
      <c r="BN2651" s="18"/>
      <c r="BO2651" s="18"/>
      <c r="BP2651" s="18"/>
      <c r="BQ2651" s="18"/>
      <c r="BR2651" s="18"/>
      <c r="BS2651" s="18"/>
      <c r="BT2651" s="18"/>
      <c r="BU2651" s="18"/>
      <c r="BV2651" s="18"/>
    </row>
    <row r="2652" spans="1:74">
      <c r="A2652" s="18"/>
      <c r="B2652" s="19"/>
      <c r="BG2652" s="18"/>
      <c r="BH2652" s="18"/>
      <c r="BI2652" s="18"/>
      <c r="BJ2652" s="18"/>
      <c r="BK2652" s="18"/>
      <c r="BL2652" s="18"/>
      <c r="BM2652" s="18"/>
      <c r="BN2652" s="18"/>
      <c r="BO2652" s="18"/>
      <c r="BP2652" s="18"/>
      <c r="BQ2652" s="18"/>
      <c r="BR2652" s="18"/>
      <c r="BS2652" s="18"/>
      <c r="BT2652" s="18"/>
      <c r="BU2652" s="18"/>
      <c r="BV2652" s="18"/>
    </row>
    <row r="2653" spans="1:74">
      <c r="A2653" s="18"/>
      <c r="B2653" s="19"/>
      <c r="BG2653" s="18"/>
      <c r="BH2653" s="18"/>
      <c r="BI2653" s="18"/>
      <c r="BJ2653" s="18"/>
      <c r="BK2653" s="18"/>
      <c r="BL2653" s="18"/>
      <c r="BM2653" s="18"/>
      <c r="BN2653" s="18"/>
      <c r="BO2653" s="18"/>
      <c r="BP2653" s="18"/>
      <c r="BQ2653" s="18"/>
      <c r="BR2653" s="18"/>
      <c r="BS2653" s="18"/>
      <c r="BT2653" s="18"/>
      <c r="BU2653" s="18"/>
      <c r="BV2653" s="18"/>
    </row>
    <row r="2654" spans="1:74">
      <c r="A2654" s="18"/>
      <c r="B2654" s="19"/>
      <c r="BG2654" s="18"/>
      <c r="BH2654" s="18"/>
      <c r="BI2654" s="18"/>
      <c r="BJ2654" s="18"/>
      <c r="BK2654" s="18"/>
      <c r="BL2654" s="18"/>
      <c r="BM2654" s="18"/>
      <c r="BN2654" s="18"/>
      <c r="BO2654" s="18"/>
      <c r="BP2654" s="18"/>
      <c r="BQ2654" s="18"/>
      <c r="BR2654" s="18"/>
      <c r="BS2654" s="18"/>
      <c r="BT2654" s="18"/>
      <c r="BU2654" s="18"/>
      <c r="BV2654" s="18"/>
    </row>
    <row r="2655" spans="1:74">
      <c r="A2655" s="18"/>
      <c r="B2655" s="19"/>
      <c r="BG2655" s="18"/>
      <c r="BH2655" s="18"/>
      <c r="BI2655" s="18"/>
      <c r="BJ2655" s="18"/>
      <c r="BK2655" s="18"/>
      <c r="BL2655" s="18"/>
      <c r="BM2655" s="18"/>
      <c r="BN2655" s="18"/>
      <c r="BO2655" s="18"/>
      <c r="BP2655" s="18"/>
      <c r="BQ2655" s="18"/>
      <c r="BR2655" s="18"/>
      <c r="BS2655" s="18"/>
      <c r="BT2655" s="18"/>
      <c r="BU2655" s="18"/>
      <c r="BV2655" s="18"/>
    </row>
    <row r="2656" spans="1:74">
      <c r="A2656" s="18"/>
      <c r="B2656" s="19"/>
      <c r="BG2656" s="18"/>
      <c r="BH2656" s="18"/>
      <c r="BI2656" s="18"/>
      <c r="BJ2656" s="18"/>
      <c r="BK2656" s="18"/>
      <c r="BL2656" s="18"/>
      <c r="BM2656" s="18"/>
      <c r="BN2656" s="18"/>
      <c r="BO2656" s="18"/>
      <c r="BP2656" s="18"/>
      <c r="BQ2656" s="18"/>
      <c r="BR2656" s="18"/>
      <c r="BS2656" s="18"/>
      <c r="BT2656" s="18"/>
      <c r="BU2656" s="18"/>
      <c r="BV2656" s="18"/>
    </row>
    <row r="2657" spans="1:74">
      <c r="A2657" s="18"/>
      <c r="B2657" s="19"/>
      <c r="BG2657" s="18"/>
      <c r="BH2657" s="18"/>
      <c r="BI2657" s="18"/>
      <c r="BJ2657" s="18"/>
      <c r="BK2657" s="18"/>
      <c r="BL2657" s="18"/>
      <c r="BM2657" s="18"/>
      <c r="BN2657" s="18"/>
      <c r="BO2657" s="18"/>
      <c r="BP2657" s="18"/>
      <c r="BQ2657" s="18"/>
      <c r="BR2657" s="18"/>
      <c r="BS2657" s="18"/>
      <c r="BT2657" s="18"/>
      <c r="BU2657" s="18"/>
      <c r="BV2657" s="18"/>
    </row>
    <row r="2658" spans="1:74">
      <c r="A2658" s="18"/>
      <c r="B2658" s="19"/>
      <c r="BG2658" s="18"/>
      <c r="BH2658" s="18"/>
      <c r="BI2658" s="18"/>
      <c r="BJ2658" s="18"/>
      <c r="BK2658" s="18"/>
      <c r="BL2658" s="18"/>
      <c r="BM2658" s="18"/>
      <c r="BN2658" s="18"/>
      <c r="BO2658" s="18"/>
      <c r="BP2658" s="18"/>
      <c r="BQ2658" s="18"/>
      <c r="BR2658" s="18"/>
      <c r="BS2658" s="18"/>
      <c r="BT2658" s="18"/>
      <c r="BU2658" s="18"/>
      <c r="BV2658" s="18"/>
    </row>
    <row r="2659" spans="1:74">
      <c r="A2659" s="18"/>
      <c r="B2659" s="19"/>
      <c r="BG2659" s="18"/>
      <c r="BH2659" s="18"/>
      <c r="BI2659" s="18"/>
      <c r="BJ2659" s="18"/>
      <c r="BK2659" s="18"/>
      <c r="BL2659" s="18"/>
      <c r="BM2659" s="18"/>
      <c r="BN2659" s="18"/>
      <c r="BO2659" s="18"/>
      <c r="BP2659" s="18"/>
      <c r="BQ2659" s="18"/>
      <c r="BR2659" s="18"/>
      <c r="BS2659" s="18"/>
      <c r="BT2659" s="18"/>
      <c r="BU2659" s="18"/>
      <c r="BV2659" s="18"/>
    </row>
    <row r="2660" spans="1:74">
      <c r="A2660" s="18"/>
      <c r="B2660" s="19"/>
      <c r="BG2660" s="18"/>
      <c r="BH2660" s="18"/>
      <c r="BI2660" s="18"/>
      <c r="BJ2660" s="18"/>
      <c r="BK2660" s="18"/>
      <c r="BL2660" s="18"/>
      <c r="BM2660" s="18"/>
      <c r="BN2660" s="18"/>
      <c r="BO2660" s="18"/>
      <c r="BP2660" s="18"/>
      <c r="BQ2660" s="18"/>
      <c r="BR2660" s="18"/>
      <c r="BS2660" s="18"/>
      <c r="BT2660" s="18"/>
      <c r="BU2660" s="18"/>
      <c r="BV2660" s="18"/>
    </row>
    <row r="2661" spans="1:74">
      <c r="A2661" s="18"/>
      <c r="B2661" s="19"/>
      <c r="BG2661" s="18"/>
      <c r="BH2661" s="18"/>
      <c r="BI2661" s="18"/>
      <c r="BJ2661" s="18"/>
      <c r="BK2661" s="18"/>
      <c r="BL2661" s="18"/>
      <c r="BM2661" s="18"/>
      <c r="BN2661" s="18"/>
      <c r="BO2661" s="18"/>
      <c r="BP2661" s="18"/>
      <c r="BQ2661" s="18"/>
      <c r="BR2661" s="18"/>
      <c r="BS2661" s="18"/>
      <c r="BT2661" s="18"/>
      <c r="BU2661" s="18"/>
      <c r="BV2661" s="18"/>
    </row>
    <row r="2662" spans="1:74">
      <c r="A2662" s="18"/>
      <c r="B2662" s="19"/>
      <c r="BG2662" s="18"/>
      <c r="BH2662" s="18"/>
      <c r="BI2662" s="18"/>
      <c r="BJ2662" s="18"/>
      <c r="BK2662" s="18"/>
      <c r="BL2662" s="18"/>
      <c r="BM2662" s="18"/>
      <c r="BN2662" s="18"/>
      <c r="BO2662" s="18"/>
      <c r="BP2662" s="18"/>
      <c r="BQ2662" s="18"/>
      <c r="BR2662" s="18"/>
      <c r="BS2662" s="18"/>
      <c r="BT2662" s="18"/>
      <c r="BU2662" s="18"/>
      <c r="BV2662" s="18"/>
    </row>
    <row r="2663" spans="1:74">
      <c r="A2663" s="18"/>
      <c r="B2663" s="19"/>
      <c r="BG2663" s="18"/>
      <c r="BH2663" s="18"/>
      <c r="BI2663" s="18"/>
      <c r="BJ2663" s="18"/>
      <c r="BK2663" s="18"/>
      <c r="BL2663" s="18"/>
      <c r="BM2663" s="18"/>
      <c r="BN2663" s="18"/>
      <c r="BO2663" s="18"/>
      <c r="BP2663" s="18"/>
      <c r="BQ2663" s="18"/>
      <c r="BR2663" s="18"/>
      <c r="BS2663" s="18"/>
      <c r="BT2663" s="18"/>
      <c r="BU2663" s="18"/>
      <c r="BV2663" s="18"/>
    </row>
    <row r="2664" spans="1:74">
      <c r="A2664" s="18"/>
      <c r="B2664" s="19"/>
      <c r="BG2664" s="18"/>
      <c r="BH2664" s="18"/>
      <c r="BI2664" s="18"/>
      <c r="BJ2664" s="18"/>
      <c r="BK2664" s="18"/>
      <c r="BL2664" s="18"/>
      <c r="BM2664" s="18"/>
      <c r="BN2664" s="18"/>
      <c r="BO2664" s="18"/>
      <c r="BP2664" s="18"/>
      <c r="BQ2664" s="18"/>
      <c r="BR2664" s="18"/>
      <c r="BS2664" s="18"/>
      <c r="BT2664" s="18"/>
      <c r="BU2664" s="18"/>
      <c r="BV2664" s="18"/>
    </row>
    <row r="2665" spans="1:74">
      <c r="A2665" s="18"/>
      <c r="B2665" s="19"/>
      <c r="BG2665" s="18"/>
      <c r="BH2665" s="18"/>
      <c r="BI2665" s="18"/>
      <c r="BJ2665" s="18"/>
      <c r="BK2665" s="18"/>
      <c r="BL2665" s="18"/>
      <c r="BM2665" s="18"/>
      <c r="BN2665" s="18"/>
      <c r="BO2665" s="18"/>
      <c r="BP2665" s="18"/>
      <c r="BQ2665" s="18"/>
      <c r="BR2665" s="18"/>
      <c r="BS2665" s="18"/>
      <c r="BT2665" s="18"/>
      <c r="BU2665" s="18"/>
      <c r="BV2665" s="18"/>
    </row>
    <row r="2666" spans="1:74">
      <c r="A2666" s="18"/>
      <c r="B2666" s="19"/>
      <c r="BG2666" s="18"/>
      <c r="BH2666" s="18"/>
      <c r="BI2666" s="18"/>
      <c r="BJ2666" s="18"/>
      <c r="BK2666" s="18"/>
      <c r="BL2666" s="18"/>
      <c r="BM2666" s="18"/>
      <c r="BN2666" s="18"/>
      <c r="BO2666" s="18"/>
      <c r="BP2666" s="18"/>
      <c r="BQ2666" s="18"/>
      <c r="BR2666" s="18"/>
      <c r="BS2666" s="18"/>
      <c r="BT2666" s="18"/>
      <c r="BU2666" s="18"/>
      <c r="BV2666" s="18"/>
    </row>
    <row r="2667" spans="1:74">
      <c r="A2667" s="18"/>
      <c r="B2667" s="19"/>
      <c r="BG2667" s="18"/>
      <c r="BH2667" s="18"/>
      <c r="BI2667" s="18"/>
      <c r="BJ2667" s="18"/>
      <c r="BK2667" s="18"/>
      <c r="BL2667" s="18"/>
      <c r="BM2667" s="18"/>
      <c r="BN2667" s="18"/>
      <c r="BO2667" s="18"/>
      <c r="BP2667" s="18"/>
      <c r="BQ2667" s="18"/>
      <c r="BR2667" s="18"/>
      <c r="BS2667" s="18"/>
      <c r="BT2667" s="18"/>
      <c r="BU2667" s="18"/>
      <c r="BV2667" s="18"/>
    </row>
    <row r="2668" spans="1:74">
      <c r="A2668" s="69"/>
      <c r="B2668" s="19"/>
      <c r="BG2668" s="18"/>
      <c r="BH2668" s="18"/>
      <c r="BI2668" s="18"/>
      <c r="BJ2668" s="18"/>
      <c r="BK2668" s="18"/>
      <c r="BL2668" s="18"/>
      <c r="BM2668" s="18"/>
      <c r="BN2668" s="18"/>
      <c r="BO2668" s="18"/>
      <c r="BP2668" s="18"/>
      <c r="BQ2668" s="18"/>
      <c r="BR2668" s="18"/>
      <c r="BS2668" s="18"/>
      <c r="BT2668" s="18"/>
      <c r="BU2668" s="18"/>
      <c r="BV2668" s="18"/>
    </row>
    <row r="2669" spans="1:74">
      <c r="A2669" s="18"/>
      <c r="B2669" s="19"/>
      <c r="BG2669" s="18"/>
      <c r="BH2669" s="18"/>
      <c r="BI2669" s="18"/>
      <c r="BJ2669" s="18"/>
      <c r="BK2669" s="18"/>
      <c r="BL2669" s="18"/>
      <c r="BM2669" s="18"/>
      <c r="BN2669" s="18"/>
      <c r="BO2669" s="18"/>
      <c r="BP2669" s="18"/>
      <c r="BQ2669" s="18"/>
      <c r="BR2669" s="18"/>
      <c r="BS2669" s="18"/>
      <c r="BT2669" s="18"/>
      <c r="BU2669" s="18"/>
      <c r="BV2669" s="18"/>
    </row>
    <row r="2670" spans="1:74">
      <c r="A2670" s="18"/>
      <c r="B2670" s="19"/>
      <c r="BG2670" s="18"/>
      <c r="BH2670" s="18"/>
      <c r="BI2670" s="18"/>
      <c r="BJ2670" s="18"/>
      <c r="BK2670" s="18"/>
      <c r="BL2670" s="18"/>
      <c r="BM2670" s="18"/>
      <c r="BN2670" s="18"/>
      <c r="BO2670" s="18"/>
      <c r="BP2670" s="18"/>
      <c r="BQ2670" s="18"/>
      <c r="BR2670" s="18"/>
      <c r="BS2670" s="18"/>
      <c r="BT2670" s="18"/>
      <c r="BU2670" s="18"/>
      <c r="BV2670" s="18"/>
    </row>
    <row r="2671" spans="1:74">
      <c r="A2671" s="18"/>
      <c r="B2671" s="19"/>
      <c r="BG2671" s="18"/>
      <c r="BH2671" s="18"/>
      <c r="BI2671" s="18"/>
      <c r="BJ2671" s="18"/>
      <c r="BK2671" s="18"/>
      <c r="BL2671" s="18"/>
      <c r="BM2671" s="18"/>
      <c r="BN2671" s="18"/>
      <c r="BO2671" s="18"/>
      <c r="BP2671" s="18"/>
      <c r="BQ2671" s="18"/>
      <c r="BR2671" s="18"/>
      <c r="BS2671" s="18"/>
      <c r="BT2671" s="18"/>
      <c r="BU2671" s="18"/>
      <c r="BV2671" s="18"/>
    </row>
    <row r="2672" spans="1:74">
      <c r="A2672" s="18"/>
      <c r="B2672" s="19"/>
      <c r="BG2672" s="18"/>
      <c r="BH2672" s="18"/>
      <c r="BI2672" s="18"/>
      <c r="BJ2672" s="18"/>
      <c r="BK2672" s="18"/>
      <c r="BL2672" s="18"/>
      <c r="BM2672" s="18"/>
      <c r="BN2672" s="18"/>
      <c r="BO2672" s="18"/>
      <c r="BP2672" s="18"/>
      <c r="BQ2672" s="18"/>
      <c r="BR2672" s="18"/>
      <c r="BS2672" s="18"/>
      <c r="BT2672" s="18"/>
      <c r="BU2672" s="18"/>
      <c r="BV2672" s="18"/>
    </row>
    <row r="2673" spans="1:74">
      <c r="A2673" s="18"/>
      <c r="B2673" s="19"/>
      <c r="BG2673" s="18"/>
      <c r="BH2673" s="18"/>
      <c r="BI2673" s="18"/>
      <c r="BJ2673" s="18"/>
      <c r="BK2673" s="18"/>
      <c r="BL2673" s="18"/>
      <c r="BM2673" s="18"/>
      <c r="BN2673" s="18"/>
      <c r="BO2673" s="18"/>
      <c r="BP2673" s="18"/>
      <c r="BQ2673" s="18"/>
      <c r="BR2673" s="18"/>
      <c r="BS2673" s="18"/>
      <c r="BT2673" s="18"/>
      <c r="BU2673" s="18"/>
      <c r="BV2673" s="18"/>
    </row>
    <row r="2674" spans="1:74">
      <c r="A2674" s="18"/>
      <c r="B2674" s="19"/>
      <c r="BG2674" s="18"/>
      <c r="BH2674" s="18"/>
      <c r="BI2674" s="18"/>
      <c r="BJ2674" s="18"/>
      <c r="BK2674" s="18"/>
      <c r="BL2674" s="18"/>
      <c r="BM2674" s="18"/>
      <c r="BN2674" s="18"/>
      <c r="BO2674" s="18"/>
      <c r="BP2674" s="18"/>
      <c r="BQ2674" s="18"/>
      <c r="BR2674" s="18"/>
      <c r="BS2674" s="18"/>
      <c r="BT2674" s="18"/>
      <c r="BU2674" s="18"/>
      <c r="BV2674" s="18"/>
    </row>
    <row r="2675" spans="1:74">
      <c r="A2675" s="18"/>
      <c r="B2675" s="19"/>
      <c r="BG2675" s="18"/>
      <c r="BH2675" s="18"/>
      <c r="BI2675" s="18"/>
      <c r="BJ2675" s="18"/>
      <c r="BK2675" s="18"/>
      <c r="BL2675" s="18"/>
      <c r="BM2675" s="18"/>
      <c r="BN2675" s="18"/>
      <c r="BO2675" s="18"/>
      <c r="BP2675" s="18"/>
      <c r="BQ2675" s="18"/>
      <c r="BR2675" s="18"/>
      <c r="BS2675" s="18"/>
      <c r="BT2675" s="18"/>
      <c r="BU2675" s="18"/>
      <c r="BV2675" s="18"/>
    </row>
    <row r="2676" spans="1:74">
      <c r="A2676" s="18"/>
      <c r="B2676" s="19"/>
      <c r="BG2676" s="18"/>
      <c r="BH2676" s="18"/>
      <c r="BI2676" s="18"/>
      <c r="BJ2676" s="18"/>
      <c r="BK2676" s="18"/>
      <c r="BL2676" s="18"/>
      <c r="BM2676" s="18"/>
      <c r="BN2676" s="18"/>
      <c r="BO2676" s="18"/>
      <c r="BP2676" s="18"/>
      <c r="BQ2676" s="18"/>
      <c r="BR2676" s="18"/>
      <c r="BS2676" s="18"/>
      <c r="BT2676" s="18"/>
      <c r="BU2676" s="18"/>
      <c r="BV2676" s="18"/>
    </row>
    <row r="2677" spans="1:74">
      <c r="A2677" s="18"/>
      <c r="B2677" s="19"/>
      <c r="BG2677" s="18"/>
      <c r="BH2677" s="18"/>
      <c r="BI2677" s="18"/>
      <c r="BJ2677" s="18"/>
      <c r="BK2677" s="18"/>
      <c r="BL2677" s="18"/>
      <c r="BM2677" s="18"/>
      <c r="BN2677" s="18"/>
      <c r="BO2677" s="18"/>
      <c r="BP2677" s="18"/>
      <c r="BQ2677" s="18"/>
      <c r="BR2677" s="18"/>
      <c r="BS2677" s="18"/>
      <c r="BT2677" s="18"/>
      <c r="BU2677" s="18"/>
      <c r="BV2677" s="18"/>
    </row>
    <row r="2678" spans="1:74">
      <c r="A2678" s="18"/>
      <c r="B2678" s="19"/>
      <c r="BG2678" s="18"/>
      <c r="BH2678" s="18"/>
      <c r="BI2678" s="18"/>
      <c r="BJ2678" s="18"/>
      <c r="BK2678" s="18"/>
      <c r="BL2678" s="18"/>
      <c r="BM2678" s="18"/>
      <c r="BN2678" s="18"/>
      <c r="BO2678" s="18"/>
      <c r="BP2678" s="18"/>
      <c r="BQ2678" s="18"/>
      <c r="BR2678" s="18"/>
      <c r="BS2678" s="18"/>
      <c r="BT2678" s="18"/>
      <c r="BU2678" s="18"/>
      <c r="BV2678" s="18"/>
    </row>
    <row r="2679" spans="1:74">
      <c r="A2679" s="18"/>
      <c r="B2679" s="19"/>
      <c r="BG2679" s="18"/>
      <c r="BH2679" s="18"/>
      <c r="BI2679" s="18"/>
      <c r="BJ2679" s="18"/>
      <c r="BK2679" s="18"/>
      <c r="BL2679" s="18"/>
      <c r="BM2679" s="18"/>
      <c r="BN2679" s="18"/>
      <c r="BO2679" s="18"/>
      <c r="BP2679" s="18"/>
      <c r="BQ2679" s="18"/>
      <c r="BR2679" s="18"/>
      <c r="BS2679" s="18"/>
      <c r="BT2679" s="18"/>
      <c r="BU2679" s="18"/>
      <c r="BV2679" s="18"/>
    </row>
    <row r="2680" spans="1:74">
      <c r="A2680" s="18"/>
      <c r="B2680" s="19"/>
      <c r="BG2680" s="18"/>
      <c r="BH2680" s="18"/>
      <c r="BI2680" s="18"/>
      <c r="BJ2680" s="18"/>
      <c r="BK2680" s="18"/>
      <c r="BL2680" s="18"/>
      <c r="BM2680" s="18"/>
      <c r="BN2680" s="18"/>
      <c r="BO2680" s="18"/>
      <c r="BP2680" s="18"/>
      <c r="BQ2680" s="18"/>
      <c r="BR2680" s="18"/>
      <c r="BS2680" s="18"/>
      <c r="BT2680" s="18"/>
      <c r="BU2680" s="18"/>
      <c r="BV2680" s="18"/>
    </row>
    <row r="2681" spans="1:74">
      <c r="A2681" s="18"/>
      <c r="B2681" s="19"/>
      <c r="BG2681" s="18"/>
      <c r="BH2681" s="18"/>
      <c r="BI2681" s="18"/>
      <c r="BJ2681" s="18"/>
      <c r="BK2681" s="18"/>
      <c r="BL2681" s="18"/>
      <c r="BM2681" s="18"/>
      <c r="BN2681" s="18"/>
      <c r="BO2681" s="18"/>
      <c r="BP2681" s="18"/>
      <c r="BQ2681" s="18"/>
      <c r="BR2681" s="18"/>
      <c r="BS2681" s="18"/>
      <c r="BT2681" s="18"/>
      <c r="BU2681" s="18"/>
      <c r="BV2681" s="18"/>
    </row>
    <row r="2682" spans="1:74">
      <c r="A2682" s="18"/>
      <c r="B2682" s="19"/>
      <c r="BG2682" s="18"/>
      <c r="BH2682" s="18"/>
      <c r="BI2682" s="18"/>
      <c r="BJ2682" s="18"/>
      <c r="BK2682" s="18"/>
      <c r="BL2682" s="18"/>
      <c r="BM2682" s="18"/>
      <c r="BN2682" s="18"/>
      <c r="BO2682" s="18"/>
      <c r="BP2682" s="18"/>
      <c r="BQ2682" s="18"/>
      <c r="BR2682" s="18"/>
      <c r="BS2682" s="18"/>
      <c r="BT2682" s="18"/>
      <c r="BU2682" s="18"/>
      <c r="BV2682" s="18"/>
    </row>
    <row r="2683" spans="1:74">
      <c r="A2683" s="18"/>
      <c r="B2683" s="19"/>
      <c r="BG2683" s="18"/>
      <c r="BH2683" s="18"/>
      <c r="BI2683" s="18"/>
      <c r="BJ2683" s="18"/>
      <c r="BK2683" s="18"/>
      <c r="BL2683" s="18"/>
      <c r="BM2683" s="18"/>
      <c r="BN2683" s="18"/>
      <c r="BO2683" s="18"/>
      <c r="BP2683" s="18"/>
      <c r="BQ2683" s="18"/>
      <c r="BR2683" s="18"/>
      <c r="BS2683" s="18"/>
      <c r="BT2683" s="18"/>
      <c r="BU2683" s="18"/>
      <c r="BV2683" s="18"/>
    </row>
    <row r="2684" spans="1:74">
      <c r="A2684" s="18"/>
      <c r="B2684" s="19"/>
      <c r="BG2684" s="18"/>
      <c r="BH2684" s="18"/>
      <c r="BI2684" s="18"/>
      <c r="BJ2684" s="18"/>
      <c r="BK2684" s="18"/>
      <c r="BL2684" s="18"/>
      <c r="BM2684" s="18"/>
      <c r="BN2684" s="18"/>
      <c r="BO2684" s="18"/>
      <c r="BP2684" s="18"/>
      <c r="BQ2684" s="18"/>
      <c r="BR2684" s="18"/>
      <c r="BS2684" s="18"/>
      <c r="BT2684" s="18"/>
      <c r="BU2684" s="18"/>
      <c r="BV2684" s="18"/>
    </row>
    <row r="2685" spans="1:74">
      <c r="A2685" s="18"/>
      <c r="B2685" s="19"/>
      <c r="BG2685" s="18"/>
      <c r="BH2685" s="18"/>
      <c r="BI2685" s="18"/>
      <c r="BJ2685" s="18"/>
      <c r="BK2685" s="18"/>
      <c r="BL2685" s="18"/>
      <c r="BM2685" s="18"/>
      <c r="BN2685" s="18"/>
      <c r="BO2685" s="18"/>
      <c r="BP2685" s="18"/>
      <c r="BQ2685" s="18"/>
      <c r="BR2685" s="18"/>
      <c r="BS2685" s="18"/>
      <c r="BT2685" s="18"/>
      <c r="BU2685" s="18"/>
      <c r="BV2685" s="18"/>
    </row>
    <row r="2686" spans="1:74">
      <c r="A2686" s="18"/>
      <c r="B2686" s="19"/>
      <c r="BG2686" s="18"/>
      <c r="BH2686" s="18"/>
      <c r="BI2686" s="18"/>
      <c r="BJ2686" s="18"/>
      <c r="BK2686" s="18"/>
      <c r="BL2686" s="18"/>
      <c r="BM2686" s="18"/>
      <c r="BN2686" s="18"/>
      <c r="BO2686" s="18"/>
      <c r="BP2686" s="18"/>
      <c r="BQ2686" s="18"/>
      <c r="BR2686" s="18"/>
      <c r="BS2686" s="18"/>
      <c r="BT2686" s="18"/>
      <c r="BU2686" s="18"/>
      <c r="BV2686" s="18"/>
    </row>
    <row r="2687" spans="1:74">
      <c r="A2687" s="18"/>
      <c r="B2687" s="19"/>
      <c r="BG2687" s="18"/>
      <c r="BH2687" s="18"/>
      <c r="BI2687" s="18"/>
      <c r="BJ2687" s="18"/>
      <c r="BK2687" s="18"/>
      <c r="BL2687" s="18"/>
      <c r="BM2687" s="18"/>
      <c r="BN2687" s="18"/>
      <c r="BO2687" s="18"/>
      <c r="BP2687" s="18"/>
      <c r="BQ2687" s="18"/>
      <c r="BR2687" s="18"/>
      <c r="BS2687" s="18"/>
      <c r="BT2687" s="18"/>
      <c r="BU2687" s="18"/>
      <c r="BV2687" s="18"/>
    </row>
    <row r="2688" spans="1:74">
      <c r="A2688" s="18"/>
      <c r="B2688" s="19"/>
      <c r="BG2688" s="18"/>
      <c r="BH2688" s="18"/>
      <c r="BI2688" s="18"/>
      <c r="BJ2688" s="18"/>
      <c r="BK2688" s="18"/>
      <c r="BL2688" s="18"/>
      <c r="BM2688" s="18"/>
      <c r="BN2688" s="18"/>
      <c r="BO2688" s="18"/>
      <c r="BP2688" s="18"/>
      <c r="BQ2688" s="18"/>
      <c r="BR2688" s="18"/>
      <c r="BS2688" s="18"/>
      <c r="BT2688" s="18"/>
      <c r="BU2688" s="18"/>
      <c r="BV2688" s="18"/>
    </row>
    <row r="2689" spans="1:74">
      <c r="A2689" s="18"/>
      <c r="B2689" s="19"/>
      <c r="BG2689" s="18"/>
      <c r="BH2689" s="18"/>
      <c r="BI2689" s="18"/>
      <c r="BJ2689" s="18"/>
      <c r="BK2689" s="18"/>
      <c r="BL2689" s="18"/>
      <c r="BM2689" s="18"/>
      <c r="BN2689" s="18"/>
      <c r="BO2689" s="18"/>
      <c r="BP2689" s="18"/>
      <c r="BQ2689" s="18"/>
      <c r="BR2689" s="18"/>
      <c r="BS2689" s="18"/>
      <c r="BT2689" s="18"/>
      <c r="BU2689" s="18"/>
      <c r="BV2689" s="18"/>
    </row>
    <row r="2690" spans="1:74">
      <c r="A2690" s="18"/>
      <c r="B2690" s="19"/>
      <c r="BG2690" s="18"/>
      <c r="BH2690" s="18"/>
      <c r="BI2690" s="18"/>
      <c r="BJ2690" s="18"/>
      <c r="BK2690" s="18"/>
      <c r="BL2690" s="18"/>
      <c r="BM2690" s="18"/>
      <c r="BN2690" s="18"/>
      <c r="BO2690" s="18"/>
      <c r="BP2690" s="18"/>
      <c r="BQ2690" s="18"/>
      <c r="BR2690" s="18"/>
      <c r="BS2690" s="18"/>
      <c r="BT2690" s="18"/>
      <c r="BU2690" s="18"/>
      <c r="BV2690" s="18"/>
    </row>
    <row r="2691" spans="1:74">
      <c r="A2691" s="18"/>
      <c r="B2691" s="19"/>
      <c r="BG2691" s="18"/>
      <c r="BH2691" s="18"/>
      <c r="BI2691" s="18"/>
      <c r="BJ2691" s="18"/>
      <c r="BK2691" s="18"/>
      <c r="BL2691" s="18"/>
      <c r="BM2691" s="18"/>
      <c r="BN2691" s="18"/>
      <c r="BO2691" s="18"/>
      <c r="BP2691" s="18"/>
      <c r="BQ2691" s="18"/>
      <c r="BR2691" s="18"/>
      <c r="BS2691" s="18"/>
      <c r="BT2691" s="18"/>
      <c r="BU2691" s="18"/>
      <c r="BV2691" s="18"/>
    </row>
    <row r="2692" spans="1:74">
      <c r="A2692" s="18"/>
      <c r="B2692" s="19"/>
      <c r="BG2692" s="18"/>
      <c r="BH2692" s="18"/>
      <c r="BI2692" s="18"/>
      <c r="BJ2692" s="18"/>
      <c r="BK2692" s="18"/>
      <c r="BL2692" s="18"/>
      <c r="BM2692" s="18"/>
      <c r="BN2692" s="18"/>
      <c r="BO2692" s="18"/>
      <c r="BP2692" s="18"/>
      <c r="BQ2692" s="18"/>
      <c r="BR2692" s="18"/>
      <c r="BS2692" s="18"/>
      <c r="BT2692" s="18"/>
      <c r="BU2692" s="18"/>
      <c r="BV2692" s="18"/>
    </row>
    <row r="2693" spans="1:74">
      <c r="A2693" s="18"/>
      <c r="B2693" s="19"/>
      <c r="BG2693" s="18"/>
      <c r="BH2693" s="18"/>
      <c r="BI2693" s="18"/>
      <c r="BJ2693" s="18"/>
      <c r="BK2693" s="18"/>
      <c r="BL2693" s="18"/>
      <c r="BM2693" s="18"/>
      <c r="BN2693" s="18"/>
      <c r="BO2693" s="18"/>
      <c r="BP2693" s="18"/>
      <c r="BQ2693" s="18"/>
      <c r="BR2693" s="18"/>
      <c r="BS2693" s="18"/>
      <c r="BT2693" s="18"/>
      <c r="BU2693" s="18"/>
      <c r="BV2693" s="18"/>
    </row>
    <row r="2694" spans="1:74">
      <c r="A2694" s="18"/>
      <c r="B2694" s="19"/>
      <c r="BG2694" s="18"/>
      <c r="BH2694" s="18"/>
      <c r="BI2694" s="18"/>
      <c r="BJ2694" s="18"/>
      <c r="BK2694" s="18"/>
      <c r="BL2694" s="18"/>
      <c r="BM2694" s="18"/>
      <c r="BN2694" s="18"/>
      <c r="BO2694" s="18"/>
      <c r="BP2694" s="18"/>
      <c r="BQ2694" s="18"/>
      <c r="BR2694" s="18"/>
      <c r="BS2694" s="18"/>
      <c r="BT2694" s="18"/>
      <c r="BU2694" s="18"/>
      <c r="BV2694" s="18"/>
    </row>
    <row r="2695" spans="1:74">
      <c r="A2695" s="18"/>
      <c r="B2695" s="19"/>
      <c r="BG2695" s="18"/>
      <c r="BH2695" s="18"/>
      <c r="BI2695" s="18"/>
      <c r="BJ2695" s="18"/>
      <c r="BK2695" s="18"/>
      <c r="BL2695" s="18"/>
      <c r="BM2695" s="18"/>
      <c r="BN2695" s="18"/>
      <c r="BO2695" s="18"/>
      <c r="BP2695" s="18"/>
      <c r="BQ2695" s="18"/>
      <c r="BR2695" s="18"/>
      <c r="BS2695" s="18"/>
      <c r="BT2695" s="18"/>
      <c r="BU2695" s="18"/>
      <c r="BV2695" s="18"/>
    </row>
    <row r="2696" spans="1:74">
      <c r="A2696" s="18"/>
      <c r="B2696" s="19"/>
      <c r="BG2696" s="18"/>
      <c r="BH2696" s="18"/>
      <c r="BI2696" s="18"/>
      <c r="BJ2696" s="18"/>
      <c r="BK2696" s="18"/>
      <c r="BL2696" s="18"/>
      <c r="BM2696" s="18"/>
      <c r="BN2696" s="18"/>
      <c r="BO2696" s="18"/>
      <c r="BP2696" s="18"/>
      <c r="BQ2696" s="18"/>
      <c r="BR2696" s="18"/>
      <c r="BS2696" s="18"/>
      <c r="BT2696" s="18"/>
      <c r="BU2696" s="18"/>
      <c r="BV2696" s="18"/>
    </row>
    <row r="2697" spans="1:74">
      <c r="A2697" s="18"/>
      <c r="B2697" s="19"/>
      <c r="BG2697" s="18"/>
      <c r="BH2697" s="18"/>
      <c r="BI2697" s="18"/>
      <c r="BJ2697" s="18"/>
      <c r="BK2697" s="18"/>
      <c r="BL2697" s="18"/>
      <c r="BM2697" s="18"/>
      <c r="BN2697" s="18"/>
      <c r="BO2697" s="18"/>
      <c r="BP2697" s="18"/>
      <c r="BQ2697" s="18"/>
      <c r="BR2697" s="18"/>
      <c r="BS2697" s="18"/>
      <c r="BT2697" s="18"/>
      <c r="BU2697" s="18"/>
      <c r="BV2697" s="18"/>
    </row>
    <row r="2698" spans="1:74">
      <c r="A2698" s="18"/>
      <c r="B2698" s="19"/>
      <c r="BG2698" s="18"/>
      <c r="BH2698" s="18"/>
      <c r="BI2698" s="18"/>
      <c r="BJ2698" s="18"/>
      <c r="BK2698" s="18"/>
      <c r="BL2698" s="18"/>
      <c r="BM2698" s="18"/>
      <c r="BN2698" s="18"/>
      <c r="BO2698" s="18"/>
      <c r="BP2698" s="18"/>
      <c r="BQ2698" s="18"/>
      <c r="BR2698" s="18"/>
      <c r="BS2698" s="18"/>
      <c r="BT2698" s="18"/>
      <c r="BU2698" s="18"/>
      <c r="BV2698" s="18"/>
    </row>
    <row r="2699" spans="1:74">
      <c r="A2699" s="18"/>
      <c r="B2699" s="19"/>
      <c r="BG2699" s="18"/>
      <c r="BH2699" s="18"/>
      <c r="BI2699" s="18"/>
      <c r="BJ2699" s="18"/>
      <c r="BK2699" s="18"/>
      <c r="BL2699" s="18"/>
      <c r="BM2699" s="18"/>
      <c r="BN2699" s="18"/>
      <c r="BO2699" s="18"/>
      <c r="BP2699" s="18"/>
      <c r="BQ2699" s="18"/>
      <c r="BR2699" s="18"/>
      <c r="BS2699" s="18"/>
      <c r="BT2699" s="18"/>
      <c r="BU2699" s="18"/>
      <c r="BV2699" s="18"/>
    </row>
    <row r="2700" spans="1:74">
      <c r="A2700" s="18"/>
      <c r="B2700" s="19"/>
      <c r="BG2700" s="18"/>
      <c r="BH2700" s="18"/>
      <c r="BI2700" s="18"/>
      <c r="BJ2700" s="18"/>
      <c r="BK2700" s="18"/>
      <c r="BL2700" s="18"/>
      <c r="BM2700" s="18"/>
      <c r="BN2700" s="18"/>
      <c r="BO2700" s="18"/>
      <c r="BP2700" s="18"/>
      <c r="BQ2700" s="18"/>
      <c r="BR2700" s="18"/>
      <c r="BS2700" s="18"/>
      <c r="BT2700" s="18"/>
      <c r="BU2700" s="18"/>
      <c r="BV2700" s="18"/>
    </row>
    <row r="2701" spans="1:74">
      <c r="A2701" s="18"/>
      <c r="B2701" s="19"/>
      <c r="BG2701" s="18"/>
      <c r="BH2701" s="18"/>
      <c r="BI2701" s="18"/>
      <c r="BJ2701" s="18"/>
      <c r="BK2701" s="18"/>
      <c r="BL2701" s="18"/>
      <c r="BM2701" s="18"/>
      <c r="BN2701" s="18"/>
      <c r="BO2701" s="18"/>
      <c r="BP2701" s="18"/>
      <c r="BQ2701" s="18"/>
      <c r="BR2701" s="18"/>
      <c r="BS2701" s="18"/>
      <c r="BT2701" s="18"/>
      <c r="BU2701" s="18"/>
      <c r="BV2701" s="18"/>
    </row>
    <row r="2702" spans="1:74">
      <c r="A2702" s="18"/>
      <c r="B2702" s="19"/>
      <c r="BG2702" s="18"/>
      <c r="BH2702" s="18"/>
      <c r="BI2702" s="18"/>
      <c r="BJ2702" s="18"/>
      <c r="BK2702" s="18"/>
      <c r="BL2702" s="18"/>
      <c r="BM2702" s="18"/>
      <c r="BN2702" s="18"/>
      <c r="BO2702" s="18"/>
      <c r="BP2702" s="18"/>
      <c r="BQ2702" s="18"/>
      <c r="BR2702" s="18"/>
      <c r="BS2702" s="18"/>
      <c r="BT2702" s="18"/>
      <c r="BU2702" s="18"/>
      <c r="BV2702" s="18"/>
    </row>
    <row r="2703" spans="1:74">
      <c r="A2703" s="18"/>
      <c r="B2703" s="19"/>
      <c r="BG2703" s="18"/>
      <c r="BH2703" s="18"/>
      <c r="BI2703" s="18"/>
      <c r="BJ2703" s="18"/>
      <c r="BK2703" s="18"/>
      <c r="BL2703" s="18"/>
      <c r="BM2703" s="18"/>
      <c r="BN2703" s="18"/>
      <c r="BO2703" s="18"/>
      <c r="BP2703" s="18"/>
      <c r="BQ2703" s="18"/>
      <c r="BR2703" s="18"/>
      <c r="BS2703" s="18"/>
      <c r="BT2703" s="18"/>
      <c r="BU2703" s="18"/>
      <c r="BV2703" s="18"/>
    </row>
    <row r="2704" spans="1:74">
      <c r="A2704" s="18"/>
      <c r="B2704" s="19"/>
      <c r="BG2704" s="18"/>
      <c r="BH2704" s="18"/>
      <c r="BI2704" s="18"/>
      <c r="BJ2704" s="18"/>
      <c r="BK2704" s="18"/>
      <c r="BL2704" s="18"/>
      <c r="BM2704" s="18"/>
      <c r="BN2704" s="18"/>
      <c r="BO2704" s="18"/>
      <c r="BP2704" s="18"/>
      <c r="BQ2704" s="18"/>
      <c r="BR2704" s="18"/>
      <c r="BS2704" s="18"/>
      <c r="BT2704" s="18"/>
      <c r="BU2704" s="18"/>
      <c r="BV2704" s="18"/>
    </row>
    <row r="2705" spans="1:74">
      <c r="A2705" s="18"/>
      <c r="B2705" s="19"/>
      <c r="BG2705" s="18"/>
      <c r="BH2705" s="18"/>
      <c r="BI2705" s="18"/>
      <c r="BJ2705" s="18"/>
      <c r="BK2705" s="18"/>
      <c r="BL2705" s="18"/>
      <c r="BM2705" s="18"/>
      <c r="BN2705" s="18"/>
      <c r="BO2705" s="18"/>
      <c r="BP2705" s="18"/>
      <c r="BQ2705" s="18"/>
      <c r="BR2705" s="18"/>
      <c r="BS2705" s="18"/>
      <c r="BT2705" s="18"/>
      <c r="BU2705" s="18"/>
      <c r="BV2705" s="18"/>
    </row>
    <row r="2706" spans="1:74">
      <c r="A2706" s="18"/>
      <c r="B2706" s="19"/>
      <c r="BG2706" s="18"/>
      <c r="BH2706" s="18"/>
      <c r="BI2706" s="18"/>
      <c r="BJ2706" s="18"/>
      <c r="BK2706" s="18"/>
      <c r="BL2706" s="18"/>
      <c r="BM2706" s="18"/>
      <c r="BN2706" s="18"/>
      <c r="BO2706" s="18"/>
      <c r="BP2706" s="18"/>
      <c r="BQ2706" s="18"/>
      <c r="BR2706" s="18"/>
      <c r="BS2706" s="18"/>
      <c r="BT2706" s="18"/>
      <c r="BU2706" s="18"/>
      <c r="BV2706" s="18"/>
    </row>
    <row r="2707" spans="1:74">
      <c r="A2707" s="18"/>
      <c r="B2707" s="19"/>
      <c r="BG2707" s="18"/>
      <c r="BH2707" s="18"/>
      <c r="BI2707" s="18"/>
      <c r="BJ2707" s="18"/>
      <c r="BK2707" s="18"/>
      <c r="BL2707" s="18"/>
      <c r="BM2707" s="18"/>
      <c r="BN2707" s="18"/>
      <c r="BO2707" s="18"/>
      <c r="BP2707" s="18"/>
      <c r="BQ2707" s="18"/>
      <c r="BR2707" s="18"/>
      <c r="BS2707" s="18"/>
      <c r="BT2707" s="18"/>
      <c r="BU2707" s="18"/>
      <c r="BV2707" s="18"/>
    </row>
    <row r="2708" spans="1:74">
      <c r="A2708" s="18"/>
      <c r="B2708" s="19"/>
      <c r="BG2708" s="18"/>
      <c r="BH2708" s="18"/>
      <c r="BI2708" s="18"/>
      <c r="BJ2708" s="18"/>
      <c r="BK2708" s="18"/>
      <c r="BL2708" s="18"/>
      <c r="BM2708" s="18"/>
      <c r="BN2708" s="18"/>
      <c r="BO2708" s="18"/>
      <c r="BP2708" s="18"/>
      <c r="BQ2708" s="18"/>
      <c r="BR2708" s="18"/>
      <c r="BS2708" s="18"/>
      <c r="BT2708" s="18"/>
      <c r="BU2708" s="18"/>
      <c r="BV2708" s="18"/>
    </row>
    <row r="2709" spans="1:74">
      <c r="A2709" s="18"/>
      <c r="B2709" s="19"/>
      <c r="BG2709" s="18"/>
      <c r="BH2709" s="18"/>
      <c r="BI2709" s="18"/>
      <c r="BJ2709" s="18"/>
      <c r="BK2709" s="18"/>
      <c r="BL2709" s="18"/>
      <c r="BM2709" s="18"/>
      <c r="BN2709" s="18"/>
      <c r="BO2709" s="18"/>
      <c r="BP2709" s="18"/>
      <c r="BQ2709" s="18"/>
      <c r="BR2709" s="18"/>
      <c r="BS2709" s="18"/>
      <c r="BT2709" s="18"/>
      <c r="BU2709" s="18"/>
      <c r="BV2709" s="18"/>
    </row>
    <row r="2710" spans="1:74">
      <c r="A2710" s="18"/>
      <c r="B2710" s="19"/>
      <c r="BG2710" s="18"/>
      <c r="BH2710" s="18"/>
      <c r="BI2710" s="18"/>
      <c r="BJ2710" s="18"/>
      <c r="BK2710" s="18"/>
      <c r="BL2710" s="18"/>
      <c r="BM2710" s="18"/>
      <c r="BN2710" s="18"/>
      <c r="BO2710" s="18"/>
      <c r="BP2710" s="18"/>
      <c r="BQ2710" s="18"/>
      <c r="BR2710" s="18"/>
      <c r="BS2710" s="18"/>
      <c r="BT2710" s="18"/>
      <c r="BU2710" s="18"/>
      <c r="BV2710" s="18"/>
    </row>
    <row r="2711" spans="1:74">
      <c r="A2711" s="18"/>
      <c r="B2711" s="19"/>
      <c r="BG2711" s="18"/>
      <c r="BH2711" s="18"/>
      <c r="BI2711" s="18"/>
      <c r="BJ2711" s="18"/>
      <c r="BK2711" s="18"/>
      <c r="BL2711" s="18"/>
      <c r="BM2711" s="18"/>
      <c r="BN2711" s="18"/>
      <c r="BO2711" s="18"/>
      <c r="BP2711" s="18"/>
      <c r="BQ2711" s="18"/>
      <c r="BR2711" s="18"/>
      <c r="BS2711" s="18"/>
      <c r="BT2711" s="18"/>
      <c r="BU2711" s="18"/>
      <c r="BV2711" s="18"/>
    </row>
    <row r="2712" spans="1:74">
      <c r="A2712" s="18"/>
      <c r="B2712" s="19"/>
      <c r="BG2712" s="18"/>
      <c r="BH2712" s="18"/>
      <c r="BI2712" s="18"/>
      <c r="BJ2712" s="18"/>
      <c r="BK2712" s="18"/>
      <c r="BL2712" s="18"/>
      <c r="BM2712" s="18"/>
      <c r="BN2712" s="18"/>
      <c r="BO2712" s="18"/>
      <c r="BP2712" s="18"/>
      <c r="BQ2712" s="18"/>
      <c r="BR2712" s="18"/>
      <c r="BS2712" s="18"/>
      <c r="BT2712" s="18"/>
      <c r="BU2712" s="18"/>
      <c r="BV2712" s="18"/>
    </row>
    <row r="2713" spans="1:74">
      <c r="A2713" s="18"/>
      <c r="B2713" s="19"/>
      <c r="BG2713" s="18"/>
      <c r="BH2713" s="18"/>
      <c r="BI2713" s="18"/>
      <c r="BJ2713" s="18"/>
      <c r="BK2713" s="18"/>
      <c r="BL2713" s="18"/>
      <c r="BM2713" s="18"/>
      <c r="BN2713" s="18"/>
      <c r="BO2713" s="18"/>
      <c r="BP2713" s="18"/>
      <c r="BQ2713" s="18"/>
      <c r="BR2713" s="18"/>
      <c r="BS2713" s="18"/>
      <c r="BT2713" s="18"/>
      <c r="BU2713" s="18"/>
      <c r="BV2713" s="18"/>
    </row>
    <row r="2714" spans="1:74">
      <c r="A2714" s="18"/>
      <c r="B2714" s="19"/>
      <c r="BG2714" s="18"/>
      <c r="BH2714" s="18"/>
      <c r="BI2714" s="18"/>
      <c r="BJ2714" s="18"/>
      <c r="BK2714" s="18"/>
      <c r="BL2714" s="18"/>
      <c r="BM2714" s="18"/>
      <c r="BN2714" s="18"/>
      <c r="BO2714" s="18"/>
      <c r="BP2714" s="18"/>
      <c r="BQ2714" s="18"/>
      <c r="BR2714" s="18"/>
      <c r="BS2714" s="18"/>
      <c r="BT2714" s="18"/>
      <c r="BU2714" s="18"/>
      <c r="BV2714" s="18"/>
    </row>
    <row r="2715" spans="1:74">
      <c r="A2715" s="18"/>
      <c r="B2715" s="19"/>
      <c r="BG2715" s="18"/>
      <c r="BH2715" s="18"/>
      <c r="BI2715" s="18"/>
      <c r="BJ2715" s="18"/>
      <c r="BK2715" s="18"/>
      <c r="BL2715" s="18"/>
      <c r="BM2715" s="18"/>
      <c r="BN2715" s="18"/>
      <c r="BO2715" s="18"/>
      <c r="BP2715" s="18"/>
      <c r="BQ2715" s="18"/>
      <c r="BR2715" s="18"/>
      <c r="BS2715" s="18"/>
      <c r="BT2715" s="18"/>
      <c r="BU2715" s="18"/>
      <c r="BV2715" s="18"/>
    </row>
    <row r="2716" spans="1:74">
      <c r="A2716" s="18"/>
      <c r="B2716" s="19"/>
      <c r="BG2716" s="18"/>
      <c r="BH2716" s="18"/>
      <c r="BI2716" s="18"/>
      <c r="BJ2716" s="18"/>
      <c r="BK2716" s="18"/>
      <c r="BL2716" s="18"/>
      <c r="BM2716" s="18"/>
      <c r="BN2716" s="18"/>
      <c r="BO2716" s="18"/>
      <c r="BP2716" s="18"/>
      <c r="BQ2716" s="18"/>
      <c r="BR2716" s="18"/>
      <c r="BS2716" s="18"/>
      <c r="BT2716" s="18"/>
      <c r="BU2716" s="18"/>
      <c r="BV2716" s="18"/>
    </row>
    <row r="2717" spans="1:74">
      <c r="A2717" s="18"/>
      <c r="B2717" s="19"/>
      <c r="BG2717" s="18"/>
      <c r="BH2717" s="18"/>
      <c r="BI2717" s="18"/>
      <c r="BJ2717" s="18"/>
      <c r="BK2717" s="18"/>
      <c r="BL2717" s="18"/>
      <c r="BM2717" s="18"/>
      <c r="BN2717" s="18"/>
      <c r="BO2717" s="18"/>
      <c r="BP2717" s="18"/>
      <c r="BQ2717" s="18"/>
      <c r="BR2717" s="18"/>
      <c r="BS2717" s="18"/>
      <c r="BT2717" s="18"/>
      <c r="BU2717" s="18"/>
      <c r="BV2717" s="18"/>
    </row>
    <row r="2718" spans="1:74">
      <c r="A2718" s="18"/>
      <c r="B2718" s="19"/>
      <c r="BG2718" s="18"/>
      <c r="BH2718" s="18"/>
      <c r="BI2718" s="18"/>
      <c r="BJ2718" s="18"/>
      <c r="BK2718" s="18"/>
      <c r="BL2718" s="18"/>
      <c r="BM2718" s="18"/>
      <c r="BN2718" s="18"/>
      <c r="BO2718" s="18"/>
      <c r="BP2718" s="18"/>
      <c r="BQ2718" s="18"/>
      <c r="BR2718" s="18"/>
      <c r="BS2718" s="18"/>
      <c r="BT2718" s="18"/>
      <c r="BU2718" s="18"/>
      <c r="BV2718" s="18"/>
    </row>
    <row r="2719" spans="1:74">
      <c r="A2719" s="18"/>
      <c r="B2719" s="19"/>
      <c r="BG2719" s="18"/>
      <c r="BH2719" s="18"/>
      <c r="BI2719" s="18"/>
      <c r="BJ2719" s="18"/>
      <c r="BK2719" s="18"/>
      <c r="BL2719" s="18"/>
      <c r="BM2719" s="18"/>
      <c r="BN2719" s="18"/>
      <c r="BO2719" s="18"/>
      <c r="BP2719" s="18"/>
      <c r="BQ2719" s="18"/>
      <c r="BR2719" s="18"/>
      <c r="BS2719" s="18"/>
      <c r="BT2719" s="18"/>
      <c r="BU2719" s="18"/>
      <c r="BV2719" s="18"/>
    </row>
    <row r="2720" spans="1:74">
      <c r="A2720" s="18"/>
      <c r="B2720" s="19"/>
      <c r="BG2720" s="18"/>
      <c r="BH2720" s="18"/>
      <c r="BI2720" s="18"/>
      <c r="BJ2720" s="18"/>
      <c r="BK2720" s="18"/>
      <c r="BL2720" s="18"/>
      <c r="BM2720" s="18"/>
      <c r="BN2720" s="18"/>
      <c r="BO2720" s="18"/>
      <c r="BP2720" s="18"/>
      <c r="BQ2720" s="18"/>
      <c r="BR2720" s="18"/>
      <c r="BS2720" s="18"/>
      <c r="BT2720" s="18"/>
      <c r="BU2720" s="18"/>
      <c r="BV2720" s="18"/>
    </row>
    <row r="2721" spans="1:74">
      <c r="A2721" s="18"/>
      <c r="B2721" s="19"/>
      <c r="BG2721" s="18"/>
      <c r="BH2721" s="18"/>
      <c r="BI2721" s="18"/>
      <c r="BJ2721" s="18"/>
      <c r="BK2721" s="18"/>
      <c r="BL2721" s="18"/>
      <c r="BM2721" s="18"/>
      <c r="BN2721" s="18"/>
      <c r="BO2721" s="18"/>
      <c r="BP2721" s="18"/>
      <c r="BQ2721" s="18"/>
      <c r="BR2721" s="18"/>
      <c r="BS2721" s="18"/>
      <c r="BT2721" s="18"/>
      <c r="BU2721" s="18"/>
      <c r="BV2721" s="18"/>
    </row>
    <row r="2722" spans="1:74">
      <c r="A2722" s="18"/>
      <c r="B2722" s="19"/>
      <c r="BG2722" s="18"/>
      <c r="BH2722" s="18"/>
      <c r="BI2722" s="18"/>
      <c r="BJ2722" s="18"/>
      <c r="BK2722" s="18"/>
      <c r="BL2722" s="18"/>
      <c r="BM2722" s="18"/>
      <c r="BN2722" s="18"/>
      <c r="BO2722" s="18"/>
      <c r="BP2722" s="18"/>
      <c r="BQ2722" s="18"/>
      <c r="BR2722" s="18"/>
      <c r="BS2722" s="18"/>
      <c r="BT2722" s="18"/>
      <c r="BU2722" s="18"/>
      <c r="BV2722" s="18"/>
    </row>
    <row r="2723" spans="1:74">
      <c r="A2723" s="18"/>
      <c r="B2723" s="19"/>
      <c r="BG2723" s="18"/>
      <c r="BH2723" s="18"/>
      <c r="BI2723" s="18"/>
      <c r="BJ2723" s="18"/>
      <c r="BK2723" s="18"/>
      <c r="BL2723" s="18"/>
      <c r="BM2723" s="18"/>
      <c r="BN2723" s="18"/>
      <c r="BO2723" s="18"/>
      <c r="BP2723" s="18"/>
      <c r="BQ2723" s="18"/>
      <c r="BR2723" s="18"/>
      <c r="BS2723" s="18"/>
      <c r="BT2723" s="18"/>
      <c r="BU2723" s="18"/>
      <c r="BV2723" s="18"/>
    </row>
    <row r="2724" spans="1:74">
      <c r="A2724" s="18"/>
      <c r="B2724" s="19"/>
      <c r="BG2724" s="18"/>
      <c r="BH2724" s="18"/>
      <c r="BI2724" s="18"/>
      <c r="BJ2724" s="18"/>
      <c r="BK2724" s="18"/>
      <c r="BL2724" s="18"/>
      <c r="BM2724" s="18"/>
      <c r="BN2724" s="18"/>
      <c r="BO2724" s="18"/>
      <c r="BP2724" s="18"/>
      <c r="BQ2724" s="18"/>
      <c r="BR2724" s="18"/>
      <c r="BS2724" s="18"/>
      <c r="BT2724" s="18"/>
      <c r="BU2724" s="18"/>
      <c r="BV2724" s="18"/>
    </row>
    <row r="2725" spans="1:74">
      <c r="A2725" s="18"/>
      <c r="B2725" s="19"/>
      <c r="BG2725" s="18"/>
      <c r="BH2725" s="18"/>
      <c r="BI2725" s="18"/>
      <c r="BJ2725" s="18"/>
      <c r="BK2725" s="18"/>
      <c r="BL2725" s="18"/>
      <c r="BM2725" s="18"/>
      <c r="BN2725" s="18"/>
      <c r="BO2725" s="18"/>
      <c r="BP2725" s="18"/>
      <c r="BQ2725" s="18"/>
      <c r="BR2725" s="18"/>
      <c r="BS2725" s="18"/>
      <c r="BT2725" s="18"/>
      <c r="BU2725" s="18"/>
      <c r="BV2725" s="18"/>
    </row>
    <row r="2726" spans="1:74">
      <c r="A2726" s="18"/>
      <c r="B2726" s="19"/>
      <c r="BG2726" s="18"/>
      <c r="BH2726" s="18"/>
      <c r="BI2726" s="18"/>
      <c r="BJ2726" s="18"/>
      <c r="BK2726" s="18"/>
      <c r="BL2726" s="18"/>
      <c r="BM2726" s="18"/>
      <c r="BN2726" s="18"/>
      <c r="BO2726" s="18"/>
      <c r="BP2726" s="18"/>
      <c r="BQ2726" s="18"/>
      <c r="BR2726" s="18"/>
      <c r="BS2726" s="18"/>
      <c r="BT2726" s="18"/>
      <c r="BU2726" s="18"/>
      <c r="BV2726" s="18"/>
    </row>
    <row r="2727" spans="1:74">
      <c r="A2727" s="18"/>
      <c r="B2727" s="19"/>
      <c r="BG2727" s="18"/>
      <c r="BH2727" s="18"/>
      <c r="BI2727" s="18"/>
      <c r="BJ2727" s="18"/>
      <c r="BK2727" s="18"/>
      <c r="BL2727" s="18"/>
      <c r="BM2727" s="18"/>
      <c r="BN2727" s="18"/>
      <c r="BO2727" s="18"/>
      <c r="BP2727" s="18"/>
      <c r="BQ2727" s="18"/>
      <c r="BR2727" s="18"/>
      <c r="BS2727" s="18"/>
      <c r="BT2727" s="18"/>
      <c r="BU2727" s="18"/>
      <c r="BV2727" s="18"/>
    </row>
    <row r="2728" spans="1:74">
      <c r="A2728" s="18"/>
      <c r="B2728" s="19"/>
      <c r="BG2728" s="18"/>
      <c r="BH2728" s="18"/>
      <c r="BI2728" s="18"/>
      <c r="BJ2728" s="18"/>
      <c r="BK2728" s="18"/>
      <c r="BL2728" s="18"/>
      <c r="BM2728" s="18"/>
      <c r="BN2728" s="18"/>
      <c r="BO2728" s="18"/>
      <c r="BP2728" s="18"/>
      <c r="BQ2728" s="18"/>
      <c r="BR2728" s="18"/>
      <c r="BS2728" s="18"/>
      <c r="BT2728" s="18"/>
      <c r="BU2728" s="18"/>
      <c r="BV2728" s="18"/>
    </row>
    <row r="2729" spans="1:74">
      <c r="A2729" s="18"/>
      <c r="B2729" s="19"/>
      <c r="BG2729" s="18"/>
      <c r="BH2729" s="18"/>
      <c r="BI2729" s="18"/>
      <c r="BJ2729" s="18"/>
      <c r="BK2729" s="18"/>
      <c r="BL2729" s="18"/>
      <c r="BM2729" s="18"/>
      <c r="BN2729" s="18"/>
      <c r="BO2729" s="18"/>
      <c r="BP2729" s="18"/>
      <c r="BQ2729" s="18"/>
      <c r="BR2729" s="18"/>
      <c r="BS2729" s="18"/>
      <c r="BT2729" s="18"/>
      <c r="BU2729" s="18"/>
      <c r="BV2729" s="18"/>
    </row>
    <row r="2730" spans="1:74">
      <c r="A2730" s="18"/>
      <c r="B2730" s="19"/>
      <c r="BG2730" s="18"/>
      <c r="BH2730" s="18"/>
      <c r="BI2730" s="18"/>
      <c r="BJ2730" s="18"/>
      <c r="BK2730" s="18"/>
      <c r="BL2730" s="18"/>
      <c r="BM2730" s="18"/>
      <c r="BN2730" s="18"/>
      <c r="BO2730" s="18"/>
      <c r="BP2730" s="18"/>
      <c r="BQ2730" s="18"/>
      <c r="BR2730" s="18"/>
      <c r="BS2730" s="18"/>
      <c r="BT2730" s="18"/>
      <c r="BU2730" s="18"/>
      <c r="BV2730" s="18"/>
    </row>
    <row r="2731" spans="1:74">
      <c r="A2731" s="18"/>
      <c r="B2731" s="19"/>
      <c r="BG2731" s="18"/>
      <c r="BH2731" s="18"/>
      <c r="BI2731" s="18"/>
      <c r="BJ2731" s="18"/>
      <c r="BK2731" s="18"/>
      <c r="BL2731" s="18"/>
      <c r="BM2731" s="18"/>
      <c r="BN2731" s="18"/>
      <c r="BO2731" s="18"/>
      <c r="BP2731" s="18"/>
      <c r="BQ2731" s="18"/>
      <c r="BR2731" s="18"/>
      <c r="BS2731" s="18"/>
      <c r="BT2731" s="18"/>
      <c r="BU2731" s="18"/>
      <c r="BV2731" s="18"/>
    </row>
    <row r="2732" spans="1:74">
      <c r="A2732" s="18"/>
      <c r="B2732" s="19"/>
      <c r="BG2732" s="18"/>
      <c r="BH2732" s="18"/>
      <c r="BI2732" s="18"/>
      <c r="BJ2732" s="18"/>
      <c r="BK2732" s="18"/>
      <c r="BL2732" s="18"/>
      <c r="BM2732" s="18"/>
      <c r="BN2732" s="18"/>
      <c r="BO2732" s="18"/>
      <c r="BP2732" s="18"/>
      <c r="BQ2732" s="18"/>
      <c r="BR2732" s="18"/>
      <c r="BS2732" s="18"/>
      <c r="BT2732" s="18"/>
      <c r="BU2732" s="18"/>
      <c r="BV2732" s="18"/>
    </row>
    <row r="2733" spans="1:74">
      <c r="A2733" s="18"/>
      <c r="B2733" s="19"/>
      <c r="BG2733" s="18"/>
      <c r="BH2733" s="18"/>
      <c r="BI2733" s="18"/>
      <c r="BJ2733" s="18"/>
      <c r="BK2733" s="18"/>
      <c r="BL2733" s="18"/>
      <c r="BM2733" s="18"/>
      <c r="BN2733" s="18"/>
      <c r="BO2733" s="18"/>
      <c r="BP2733" s="18"/>
      <c r="BQ2733" s="18"/>
      <c r="BR2733" s="18"/>
      <c r="BS2733" s="18"/>
      <c r="BT2733" s="18"/>
      <c r="BU2733" s="18"/>
      <c r="BV2733" s="18"/>
    </row>
    <row r="2734" spans="1:74">
      <c r="A2734" s="18"/>
      <c r="B2734" s="19"/>
      <c r="BG2734" s="18"/>
      <c r="BH2734" s="18"/>
      <c r="BI2734" s="18"/>
      <c r="BJ2734" s="18"/>
      <c r="BK2734" s="18"/>
      <c r="BL2734" s="18"/>
      <c r="BM2734" s="18"/>
      <c r="BN2734" s="18"/>
      <c r="BO2734" s="18"/>
      <c r="BP2734" s="18"/>
      <c r="BQ2734" s="18"/>
      <c r="BR2734" s="18"/>
      <c r="BS2734" s="18"/>
      <c r="BT2734" s="18"/>
      <c r="BU2734" s="18"/>
      <c r="BV2734" s="18"/>
    </row>
    <row r="2735" spans="1:74">
      <c r="A2735" s="18"/>
      <c r="B2735" s="19"/>
      <c r="BG2735" s="18"/>
      <c r="BH2735" s="18"/>
      <c r="BI2735" s="18"/>
      <c r="BJ2735" s="18"/>
      <c r="BK2735" s="18"/>
      <c r="BL2735" s="18"/>
      <c r="BM2735" s="18"/>
      <c r="BN2735" s="18"/>
      <c r="BO2735" s="18"/>
      <c r="BP2735" s="18"/>
      <c r="BQ2735" s="18"/>
      <c r="BR2735" s="18"/>
      <c r="BS2735" s="18"/>
      <c r="BT2735" s="18"/>
      <c r="BU2735" s="18"/>
      <c r="BV2735" s="18"/>
    </row>
    <row r="2736" spans="1:74">
      <c r="A2736" s="18"/>
      <c r="B2736" s="19"/>
      <c r="BG2736" s="18"/>
      <c r="BH2736" s="18"/>
      <c r="BI2736" s="18"/>
      <c r="BJ2736" s="18"/>
      <c r="BK2736" s="18"/>
      <c r="BL2736" s="18"/>
      <c r="BM2736" s="18"/>
      <c r="BN2736" s="18"/>
      <c r="BO2736" s="18"/>
      <c r="BP2736" s="18"/>
      <c r="BQ2736" s="18"/>
      <c r="BR2736" s="18"/>
      <c r="BS2736" s="18"/>
      <c r="BT2736" s="18"/>
      <c r="BU2736" s="18"/>
      <c r="BV2736" s="18"/>
    </row>
    <row r="2737" spans="1:74">
      <c r="A2737" s="18"/>
      <c r="B2737" s="19"/>
      <c r="BG2737" s="18"/>
      <c r="BH2737" s="18"/>
      <c r="BI2737" s="18"/>
      <c r="BJ2737" s="18"/>
      <c r="BK2737" s="18"/>
      <c r="BL2737" s="18"/>
      <c r="BM2737" s="18"/>
      <c r="BN2737" s="18"/>
      <c r="BO2737" s="18"/>
      <c r="BP2737" s="18"/>
      <c r="BQ2737" s="18"/>
      <c r="BR2737" s="18"/>
      <c r="BS2737" s="18"/>
      <c r="BT2737" s="18"/>
      <c r="BU2737" s="18"/>
      <c r="BV2737" s="18"/>
    </row>
    <row r="2738" spans="1:74">
      <c r="A2738" s="18"/>
      <c r="B2738" s="19"/>
      <c r="BG2738" s="18"/>
      <c r="BH2738" s="18"/>
      <c r="BI2738" s="18"/>
      <c r="BJ2738" s="18"/>
      <c r="BK2738" s="18"/>
      <c r="BL2738" s="18"/>
      <c r="BM2738" s="18"/>
      <c r="BN2738" s="18"/>
      <c r="BO2738" s="18"/>
      <c r="BP2738" s="18"/>
      <c r="BQ2738" s="18"/>
      <c r="BR2738" s="18"/>
      <c r="BS2738" s="18"/>
      <c r="BT2738" s="18"/>
      <c r="BU2738" s="18"/>
      <c r="BV2738" s="18"/>
    </row>
    <row r="2739" spans="1:74">
      <c r="A2739" s="18"/>
      <c r="B2739" s="19"/>
      <c r="BG2739" s="18"/>
      <c r="BH2739" s="18"/>
      <c r="BI2739" s="18"/>
      <c r="BJ2739" s="18"/>
      <c r="BK2739" s="18"/>
      <c r="BL2739" s="18"/>
      <c r="BM2739" s="18"/>
      <c r="BN2739" s="18"/>
      <c r="BO2739" s="18"/>
      <c r="BP2739" s="18"/>
      <c r="BQ2739" s="18"/>
      <c r="BR2739" s="18"/>
      <c r="BS2739" s="18"/>
      <c r="BT2739" s="18"/>
      <c r="BU2739" s="18"/>
      <c r="BV2739" s="18"/>
    </row>
    <row r="2740" spans="1:74">
      <c r="A2740" s="18"/>
      <c r="B2740" s="19"/>
      <c r="BG2740" s="18"/>
      <c r="BH2740" s="18"/>
      <c r="BI2740" s="18"/>
      <c r="BJ2740" s="18"/>
      <c r="BK2740" s="18"/>
      <c r="BL2740" s="18"/>
      <c r="BM2740" s="18"/>
      <c r="BN2740" s="18"/>
      <c r="BO2740" s="18"/>
      <c r="BP2740" s="18"/>
      <c r="BQ2740" s="18"/>
      <c r="BR2740" s="18"/>
      <c r="BS2740" s="18"/>
      <c r="BT2740" s="18"/>
      <c r="BU2740" s="18"/>
      <c r="BV2740" s="18"/>
    </row>
    <row r="2741" spans="1:74">
      <c r="A2741" s="18"/>
      <c r="B2741" s="19"/>
      <c r="BG2741" s="18"/>
      <c r="BH2741" s="18"/>
      <c r="BI2741" s="18"/>
      <c r="BJ2741" s="18"/>
      <c r="BK2741" s="18"/>
      <c r="BL2741" s="18"/>
      <c r="BM2741" s="18"/>
      <c r="BN2741" s="18"/>
      <c r="BO2741" s="18"/>
      <c r="BP2741" s="18"/>
      <c r="BQ2741" s="18"/>
      <c r="BR2741" s="18"/>
      <c r="BS2741" s="18"/>
      <c r="BT2741" s="18"/>
      <c r="BU2741" s="18"/>
      <c r="BV2741" s="18"/>
    </row>
    <row r="2742" spans="1:74">
      <c r="A2742" s="18"/>
      <c r="B2742" s="19"/>
      <c r="BG2742" s="18"/>
      <c r="BH2742" s="18"/>
      <c r="BI2742" s="18"/>
      <c r="BJ2742" s="18"/>
      <c r="BK2742" s="18"/>
      <c r="BL2742" s="18"/>
      <c r="BM2742" s="18"/>
      <c r="BN2742" s="18"/>
      <c r="BO2742" s="18"/>
      <c r="BP2742" s="18"/>
      <c r="BQ2742" s="18"/>
      <c r="BR2742" s="18"/>
      <c r="BS2742" s="18"/>
      <c r="BT2742" s="18"/>
      <c r="BU2742" s="18"/>
      <c r="BV2742" s="18"/>
    </row>
    <row r="2743" spans="1:74">
      <c r="A2743" s="18"/>
      <c r="B2743" s="19"/>
      <c r="BG2743" s="18"/>
      <c r="BH2743" s="18"/>
      <c r="BI2743" s="18"/>
      <c r="BJ2743" s="18"/>
      <c r="BK2743" s="18"/>
      <c r="BL2743" s="18"/>
      <c r="BM2743" s="18"/>
      <c r="BN2743" s="18"/>
      <c r="BO2743" s="18"/>
      <c r="BP2743" s="18"/>
      <c r="BQ2743" s="18"/>
      <c r="BR2743" s="18"/>
      <c r="BS2743" s="18"/>
      <c r="BT2743" s="18"/>
      <c r="BU2743" s="18"/>
      <c r="BV2743" s="18"/>
    </row>
    <row r="2744" spans="1:74">
      <c r="A2744" s="18"/>
      <c r="B2744" s="19"/>
      <c r="BG2744" s="18"/>
      <c r="BH2744" s="18"/>
      <c r="BI2744" s="18"/>
      <c r="BJ2744" s="18"/>
      <c r="BK2744" s="18"/>
      <c r="BL2744" s="18"/>
      <c r="BM2744" s="18"/>
      <c r="BN2744" s="18"/>
      <c r="BO2744" s="18"/>
      <c r="BP2744" s="18"/>
      <c r="BQ2744" s="18"/>
      <c r="BR2744" s="18"/>
      <c r="BS2744" s="18"/>
      <c r="BT2744" s="18"/>
      <c r="BU2744" s="18"/>
      <c r="BV2744" s="18"/>
    </row>
    <row r="2745" spans="1:74">
      <c r="A2745" s="18"/>
      <c r="B2745" s="19"/>
      <c r="BG2745" s="18"/>
      <c r="BH2745" s="18"/>
      <c r="BI2745" s="18"/>
      <c r="BJ2745" s="18"/>
      <c r="BK2745" s="18"/>
      <c r="BL2745" s="18"/>
      <c r="BM2745" s="18"/>
      <c r="BN2745" s="18"/>
      <c r="BO2745" s="18"/>
      <c r="BP2745" s="18"/>
      <c r="BQ2745" s="18"/>
      <c r="BR2745" s="18"/>
      <c r="BS2745" s="18"/>
      <c r="BT2745" s="18"/>
      <c r="BU2745" s="18"/>
      <c r="BV2745" s="18"/>
    </row>
    <row r="2746" spans="1:74">
      <c r="A2746" s="18"/>
      <c r="B2746" s="19"/>
      <c r="BG2746" s="18"/>
      <c r="BH2746" s="18"/>
      <c r="BI2746" s="18"/>
      <c r="BJ2746" s="18"/>
      <c r="BK2746" s="18"/>
      <c r="BL2746" s="18"/>
      <c r="BM2746" s="18"/>
      <c r="BN2746" s="18"/>
      <c r="BO2746" s="18"/>
      <c r="BP2746" s="18"/>
      <c r="BQ2746" s="18"/>
      <c r="BR2746" s="18"/>
      <c r="BS2746" s="18"/>
      <c r="BT2746" s="18"/>
      <c r="BU2746" s="18"/>
      <c r="BV2746" s="18"/>
    </row>
    <row r="2747" spans="1:74">
      <c r="A2747" s="18"/>
      <c r="B2747" s="19"/>
      <c r="BG2747" s="18"/>
      <c r="BH2747" s="18"/>
      <c r="BI2747" s="18"/>
      <c r="BJ2747" s="18"/>
      <c r="BK2747" s="18"/>
      <c r="BL2747" s="18"/>
      <c r="BM2747" s="18"/>
      <c r="BN2747" s="18"/>
      <c r="BO2747" s="18"/>
      <c r="BP2747" s="18"/>
      <c r="BQ2747" s="18"/>
      <c r="BR2747" s="18"/>
      <c r="BS2747" s="18"/>
      <c r="BT2747" s="18"/>
      <c r="BU2747" s="18"/>
      <c r="BV2747" s="18"/>
    </row>
    <row r="2748" spans="1:74">
      <c r="A2748" s="18"/>
      <c r="B2748" s="19"/>
      <c r="BG2748" s="18"/>
      <c r="BH2748" s="18"/>
      <c r="BI2748" s="18"/>
      <c r="BJ2748" s="18"/>
      <c r="BK2748" s="18"/>
      <c r="BL2748" s="18"/>
      <c r="BM2748" s="18"/>
      <c r="BN2748" s="18"/>
      <c r="BO2748" s="18"/>
      <c r="BP2748" s="18"/>
      <c r="BQ2748" s="18"/>
      <c r="BR2748" s="18"/>
      <c r="BS2748" s="18"/>
      <c r="BT2748" s="18"/>
      <c r="BU2748" s="18"/>
      <c r="BV2748" s="18"/>
    </row>
    <row r="2749" spans="1:74">
      <c r="A2749" s="18"/>
      <c r="B2749" s="19"/>
      <c r="BG2749" s="18"/>
      <c r="BH2749" s="18"/>
      <c r="BI2749" s="18"/>
      <c r="BJ2749" s="18"/>
      <c r="BK2749" s="18"/>
      <c r="BL2749" s="18"/>
      <c r="BM2749" s="18"/>
      <c r="BN2749" s="18"/>
      <c r="BO2749" s="18"/>
      <c r="BP2749" s="18"/>
      <c r="BQ2749" s="18"/>
      <c r="BR2749" s="18"/>
      <c r="BS2749" s="18"/>
      <c r="BT2749" s="18"/>
      <c r="BU2749" s="18"/>
      <c r="BV2749" s="18"/>
    </row>
    <row r="2750" spans="1:74">
      <c r="A2750" s="18"/>
      <c r="B2750" s="19"/>
      <c r="BG2750" s="18"/>
      <c r="BH2750" s="18"/>
      <c r="BI2750" s="18"/>
      <c r="BJ2750" s="18"/>
      <c r="BK2750" s="18"/>
      <c r="BL2750" s="18"/>
      <c r="BM2750" s="18"/>
      <c r="BN2750" s="18"/>
      <c r="BO2750" s="18"/>
      <c r="BP2750" s="18"/>
      <c r="BQ2750" s="18"/>
      <c r="BR2750" s="18"/>
      <c r="BS2750" s="18"/>
      <c r="BT2750" s="18"/>
      <c r="BU2750" s="18"/>
      <c r="BV2750" s="18"/>
    </row>
    <row r="2751" spans="1:74">
      <c r="A2751" s="18"/>
      <c r="B2751" s="19"/>
      <c r="BG2751" s="18"/>
      <c r="BH2751" s="18"/>
      <c r="BI2751" s="18"/>
      <c r="BJ2751" s="18"/>
      <c r="BK2751" s="18"/>
      <c r="BL2751" s="18"/>
      <c r="BM2751" s="18"/>
      <c r="BN2751" s="18"/>
      <c r="BO2751" s="18"/>
      <c r="BP2751" s="18"/>
      <c r="BQ2751" s="18"/>
      <c r="BR2751" s="18"/>
      <c r="BS2751" s="18"/>
      <c r="BT2751" s="18"/>
      <c r="BU2751" s="18"/>
      <c r="BV2751" s="18"/>
    </row>
    <row r="2752" spans="1:74">
      <c r="A2752" s="18"/>
      <c r="B2752" s="19"/>
      <c r="BG2752" s="18"/>
      <c r="BH2752" s="18"/>
      <c r="BI2752" s="18"/>
      <c r="BJ2752" s="18"/>
      <c r="BK2752" s="18"/>
      <c r="BL2752" s="18"/>
      <c r="BM2752" s="18"/>
      <c r="BN2752" s="18"/>
      <c r="BO2752" s="18"/>
      <c r="BP2752" s="18"/>
      <c r="BQ2752" s="18"/>
      <c r="BR2752" s="18"/>
      <c r="BS2752" s="18"/>
      <c r="BT2752" s="18"/>
      <c r="BU2752" s="18"/>
      <c r="BV2752" s="18"/>
    </row>
    <row r="2753" spans="1:74">
      <c r="A2753" s="18"/>
      <c r="B2753" s="19"/>
      <c r="BG2753" s="18"/>
      <c r="BH2753" s="18"/>
      <c r="BI2753" s="18"/>
      <c r="BJ2753" s="18"/>
      <c r="BK2753" s="18"/>
      <c r="BL2753" s="18"/>
      <c r="BM2753" s="18"/>
      <c r="BN2753" s="18"/>
      <c r="BO2753" s="18"/>
      <c r="BP2753" s="18"/>
      <c r="BQ2753" s="18"/>
      <c r="BR2753" s="18"/>
      <c r="BS2753" s="18"/>
      <c r="BT2753" s="18"/>
      <c r="BU2753" s="18"/>
      <c r="BV2753" s="18"/>
    </row>
    <row r="2754" spans="1:74">
      <c r="A2754" s="18"/>
      <c r="B2754" s="19"/>
      <c r="BG2754" s="18"/>
      <c r="BH2754" s="18"/>
      <c r="BI2754" s="18"/>
      <c r="BJ2754" s="18"/>
      <c r="BK2754" s="18"/>
      <c r="BL2754" s="18"/>
      <c r="BM2754" s="18"/>
      <c r="BN2754" s="18"/>
      <c r="BO2754" s="18"/>
      <c r="BP2754" s="18"/>
      <c r="BQ2754" s="18"/>
      <c r="BR2754" s="18"/>
      <c r="BS2754" s="18"/>
      <c r="BT2754" s="18"/>
      <c r="BU2754" s="18"/>
      <c r="BV2754" s="18"/>
    </row>
    <row r="2755" spans="1:74">
      <c r="A2755" s="18"/>
      <c r="B2755" s="19"/>
      <c r="BG2755" s="18"/>
      <c r="BH2755" s="18"/>
      <c r="BI2755" s="18"/>
      <c r="BJ2755" s="18"/>
      <c r="BK2755" s="18"/>
      <c r="BL2755" s="18"/>
      <c r="BM2755" s="18"/>
      <c r="BN2755" s="18"/>
      <c r="BO2755" s="18"/>
      <c r="BP2755" s="18"/>
      <c r="BQ2755" s="18"/>
      <c r="BR2755" s="18"/>
      <c r="BS2755" s="18"/>
      <c r="BT2755" s="18"/>
      <c r="BU2755" s="18"/>
      <c r="BV2755" s="18"/>
    </row>
    <row r="2756" spans="1:74">
      <c r="A2756" s="18"/>
      <c r="B2756" s="19"/>
      <c r="BG2756" s="18"/>
      <c r="BH2756" s="18"/>
      <c r="BI2756" s="18"/>
      <c r="BJ2756" s="18"/>
      <c r="BK2756" s="18"/>
      <c r="BL2756" s="18"/>
      <c r="BM2756" s="18"/>
      <c r="BN2756" s="18"/>
      <c r="BO2756" s="18"/>
      <c r="BP2756" s="18"/>
      <c r="BQ2756" s="18"/>
      <c r="BR2756" s="18"/>
      <c r="BS2756" s="18"/>
      <c r="BT2756" s="18"/>
      <c r="BU2756" s="18"/>
      <c r="BV2756" s="18"/>
    </row>
    <row r="2757" spans="1:74">
      <c r="A2757" s="18"/>
      <c r="B2757" s="19"/>
      <c r="BG2757" s="18"/>
      <c r="BH2757" s="18"/>
      <c r="BI2757" s="18"/>
      <c r="BJ2757" s="18"/>
      <c r="BK2757" s="18"/>
      <c r="BL2757" s="18"/>
      <c r="BM2757" s="18"/>
      <c r="BN2757" s="18"/>
      <c r="BO2757" s="18"/>
      <c r="BP2757" s="18"/>
      <c r="BQ2757" s="18"/>
      <c r="BR2757" s="18"/>
      <c r="BS2757" s="18"/>
      <c r="BT2757" s="18"/>
      <c r="BU2757" s="18"/>
      <c r="BV2757" s="18"/>
    </row>
    <row r="2758" spans="1:74">
      <c r="A2758" s="18"/>
      <c r="B2758" s="19"/>
      <c r="BG2758" s="18"/>
      <c r="BH2758" s="18"/>
      <c r="BI2758" s="18"/>
      <c r="BJ2758" s="18"/>
      <c r="BK2758" s="18"/>
      <c r="BL2758" s="18"/>
      <c r="BM2758" s="18"/>
      <c r="BN2758" s="18"/>
      <c r="BO2758" s="18"/>
      <c r="BP2758" s="18"/>
      <c r="BQ2758" s="18"/>
      <c r="BR2758" s="18"/>
      <c r="BS2758" s="18"/>
      <c r="BT2758" s="18"/>
      <c r="BU2758" s="18"/>
      <c r="BV2758" s="18"/>
    </row>
    <row r="2759" spans="1:74">
      <c r="A2759" s="18"/>
      <c r="B2759" s="19"/>
      <c r="BG2759" s="18"/>
      <c r="BH2759" s="18"/>
      <c r="BI2759" s="18"/>
      <c r="BJ2759" s="18"/>
      <c r="BK2759" s="18"/>
      <c r="BL2759" s="18"/>
      <c r="BM2759" s="18"/>
      <c r="BN2759" s="18"/>
      <c r="BO2759" s="18"/>
      <c r="BP2759" s="18"/>
      <c r="BQ2759" s="18"/>
      <c r="BR2759" s="18"/>
      <c r="BS2759" s="18"/>
      <c r="BT2759" s="18"/>
      <c r="BU2759" s="18"/>
      <c r="BV2759" s="18"/>
    </row>
    <row r="2760" spans="1:74">
      <c r="A2760" s="18"/>
      <c r="B2760" s="19"/>
      <c r="BG2760" s="18"/>
      <c r="BH2760" s="18"/>
      <c r="BI2760" s="18"/>
      <c r="BJ2760" s="18"/>
      <c r="BK2760" s="18"/>
      <c r="BL2760" s="18"/>
      <c r="BM2760" s="18"/>
      <c r="BN2760" s="18"/>
      <c r="BO2760" s="18"/>
      <c r="BP2760" s="18"/>
      <c r="BQ2760" s="18"/>
      <c r="BR2760" s="18"/>
      <c r="BS2760" s="18"/>
      <c r="BT2760" s="18"/>
      <c r="BU2760" s="18"/>
      <c r="BV2760" s="18"/>
    </row>
    <row r="2761" spans="1:74">
      <c r="A2761" s="18"/>
      <c r="B2761" s="19"/>
      <c r="BG2761" s="18"/>
      <c r="BH2761" s="18"/>
      <c r="BI2761" s="18"/>
      <c r="BJ2761" s="18"/>
      <c r="BK2761" s="18"/>
      <c r="BL2761" s="18"/>
      <c r="BM2761" s="18"/>
      <c r="BN2761" s="18"/>
      <c r="BO2761" s="18"/>
      <c r="BP2761" s="18"/>
      <c r="BQ2761" s="18"/>
      <c r="BR2761" s="18"/>
      <c r="BS2761" s="18"/>
      <c r="BT2761" s="18"/>
      <c r="BU2761" s="18"/>
      <c r="BV2761" s="18"/>
    </row>
    <row r="2762" spans="1:74">
      <c r="A2762" s="18"/>
      <c r="B2762" s="19"/>
      <c r="BG2762" s="18"/>
      <c r="BH2762" s="18"/>
      <c r="BI2762" s="18"/>
      <c r="BJ2762" s="18"/>
      <c r="BK2762" s="18"/>
      <c r="BL2762" s="18"/>
      <c r="BM2762" s="18"/>
      <c r="BN2762" s="18"/>
      <c r="BO2762" s="18"/>
      <c r="BP2762" s="18"/>
      <c r="BQ2762" s="18"/>
      <c r="BR2762" s="18"/>
      <c r="BS2762" s="18"/>
      <c r="BT2762" s="18"/>
      <c r="BU2762" s="18"/>
      <c r="BV2762" s="18"/>
    </row>
    <row r="2763" spans="1:74">
      <c r="A2763" s="18"/>
      <c r="B2763" s="19"/>
      <c r="BG2763" s="18"/>
      <c r="BH2763" s="18"/>
      <c r="BI2763" s="18"/>
      <c r="BJ2763" s="18"/>
      <c r="BK2763" s="18"/>
      <c r="BL2763" s="18"/>
      <c r="BM2763" s="18"/>
      <c r="BN2763" s="18"/>
      <c r="BO2763" s="18"/>
      <c r="BP2763" s="18"/>
      <c r="BQ2763" s="18"/>
      <c r="BR2763" s="18"/>
      <c r="BS2763" s="18"/>
      <c r="BT2763" s="18"/>
      <c r="BU2763" s="18"/>
      <c r="BV2763" s="18"/>
    </row>
    <row r="2764" spans="1:74">
      <c r="A2764" s="18"/>
      <c r="B2764" s="19"/>
      <c r="BG2764" s="18"/>
      <c r="BH2764" s="18"/>
      <c r="BI2764" s="18"/>
      <c r="BJ2764" s="18"/>
      <c r="BK2764" s="18"/>
      <c r="BL2764" s="18"/>
      <c r="BM2764" s="18"/>
      <c r="BN2764" s="18"/>
      <c r="BO2764" s="18"/>
      <c r="BP2764" s="18"/>
      <c r="BQ2764" s="18"/>
      <c r="BR2764" s="18"/>
      <c r="BS2764" s="18"/>
      <c r="BT2764" s="18"/>
      <c r="BU2764" s="18"/>
      <c r="BV2764" s="18"/>
    </row>
    <row r="2765" spans="1:74">
      <c r="A2765" s="18"/>
      <c r="B2765" s="19"/>
      <c r="BG2765" s="18"/>
      <c r="BH2765" s="18"/>
      <c r="BI2765" s="18"/>
      <c r="BJ2765" s="18"/>
      <c r="BK2765" s="18"/>
      <c r="BL2765" s="18"/>
      <c r="BM2765" s="18"/>
      <c r="BN2765" s="18"/>
      <c r="BO2765" s="18"/>
      <c r="BP2765" s="18"/>
      <c r="BQ2765" s="18"/>
      <c r="BR2765" s="18"/>
      <c r="BS2765" s="18"/>
      <c r="BT2765" s="18"/>
      <c r="BU2765" s="18"/>
      <c r="BV2765" s="18"/>
    </row>
    <row r="2766" spans="1:74">
      <c r="A2766" s="18"/>
      <c r="B2766" s="19"/>
      <c r="BG2766" s="18"/>
      <c r="BH2766" s="18"/>
      <c r="BI2766" s="18"/>
      <c r="BJ2766" s="18"/>
      <c r="BK2766" s="18"/>
      <c r="BL2766" s="18"/>
      <c r="BM2766" s="18"/>
      <c r="BN2766" s="18"/>
      <c r="BO2766" s="18"/>
      <c r="BP2766" s="18"/>
      <c r="BQ2766" s="18"/>
      <c r="BR2766" s="18"/>
      <c r="BS2766" s="18"/>
      <c r="BT2766" s="18"/>
      <c r="BU2766" s="18"/>
      <c r="BV2766" s="18"/>
    </row>
    <row r="2767" spans="1:74">
      <c r="A2767" s="18"/>
      <c r="B2767" s="19"/>
      <c r="BG2767" s="18"/>
      <c r="BH2767" s="18"/>
      <c r="BI2767" s="18"/>
      <c r="BJ2767" s="18"/>
      <c r="BK2767" s="18"/>
      <c r="BL2767" s="18"/>
      <c r="BM2767" s="18"/>
      <c r="BN2767" s="18"/>
      <c r="BO2767" s="18"/>
      <c r="BP2767" s="18"/>
      <c r="BQ2767" s="18"/>
      <c r="BR2767" s="18"/>
      <c r="BS2767" s="18"/>
      <c r="BT2767" s="18"/>
      <c r="BU2767" s="18"/>
      <c r="BV2767" s="18"/>
    </row>
    <row r="2768" spans="1:74">
      <c r="A2768" s="18"/>
      <c r="B2768" s="19"/>
      <c r="BG2768" s="18"/>
      <c r="BH2768" s="18"/>
      <c r="BI2768" s="18"/>
      <c r="BJ2768" s="18"/>
      <c r="BK2768" s="18"/>
      <c r="BL2768" s="18"/>
      <c r="BM2768" s="18"/>
      <c r="BN2768" s="18"/>
      <c r="BO2768" s="18"/>
      <c r="BP2768" s="18"/>
      <c r="BQ2768" s="18"/>
      <c r="BR2768" s="18"/>
      <c r="BS2768" s="18"/>
      <c r="BT2768" s="18"/>
      <c r="BU2768" s="18"/>
      <c r="BV2768" s="18"/>
    </row>
    <row r="2769" spans="1:74">
      <c r="A2769" s="18"/>
      <c r="B2769" s="19"/>
      <c r="BG2769" s="18"/>
      <c r="BH2769" s="18"/>
      <c r="BI2769" s="18"/>
      <c r="BJ2769" s="18"/>
      <c r="BK2769" s="18"/>
      <c r="BL2769" s="18"/>
      <c r="BM2769" s="18"/>
      <c r="BN2769" s="18"/>
      <c r="BO2769" s="18"/>
      <c r="BP2769" s="18"/>
      <c r="BQ2769" s="18"/>
      <c r="BR2769" s="18"/>
      <c r="BS2769" s="18"/>
      <c r="BT2769" s="18"/>
      <c r="BU2769" s="18"/>
      <c r="BV2769" s="18"/>
    </row>
    <row r="2770" spans="1:74">
      <c r="A2770" s="18"/>
      <c r="B2770" s="19"/>
      <c r="BG2770" s="18"/>
      <c r="BH2770" s="18"/>
      <c r="BI2770" s="18"/>
      <c r="BJ2770" s="18"/>
      <c r="BK2770" s="18"/>
      <c r="BL2770" s="18"/>
      <c r="BM2770" s="18"/>
      <c r="BN2770" s="18"/>
      <c r="BO2770" s="18"/>
      <c r="BP2770" s="18"/>
      <c r="BQ2770" s="18"/>
      <c r="BR2770" s="18"/>
      <c r="BS2770" s="18"/>
      <c r="BT2770" s="18"/>
      <c r="BU2770" s="18"/>
      <c r="BV2770" s="18"/>
    </row>
    <row r="2771" spans="1:74">
      <c r="A2771" s="18"/>
      <c r="B2771" s="19"/>
      <c r="BG2771" s="18"/>
      <c r="BH2771" s="18"/>
      <c r="BI2771" s="18"/>
      <c r="BJ2771" s="18"/>
      <c r="BK2771" s="18"/>
      <c r="BL2771" s="18"/>
      <c r="BM2771" s="18"/>
      <c r="BN2771" s="18"/>
      <c r="BO2771" s="18"/>
      <c r="BP2771" s="18"/>
      <c r="BQ2771" s="18"/>
      <c r="BR2771" s="18"/>
      <c r="BS2771" s="18"/>
      <c r="BT2771" s="18"/>
      <c r="BU2771" s="18"/>
      <c r="BV2771" s="18"/>
    </row>
    <row r="2772" spans="1:74">
      <c r="A2772" s="18"/>
      <c r="B2772" s="19"/>
      <c r="BG2772" s="18"/>
      <c r="BH2772" s="18"/>
      <c r="BI2772" s="18"/>
      <c r="BJ2772" s="18"/>
      <c r="BK2772" s="18"/>
      <c r="BL2772" s="18"/>
      <c r="BM2772" s="18"/>
      <c r="BN2772" s="18"/>
      <c r="BO2772" s="18"/>
      <c r="BP2772" s="18"/>
      <c r="BQ2772" s="18"/>
      <c r="BR2772" s="18"/>
      <c r="BS2772" s="18"/>
      <c r="BT2772" s="18"/>
      <c r="BU2772" s="18"/>
      <c r="BV2772" s="18"/>
    </row>
    <row r="2773" spans="1:74">
      <c r="A2773" s="18"/>
      <c r="B2773" s="19"/>
      <c r="BG2773" s="18"/>
      <c r="BH2773" s="18"/>
      <c r="BI2773" s="18"/>
      <c r="BJ2773" s="18"/>
      <c r="BK2773" s="18"/>
      <c r="BL2773" s="18"/>
      <c r="BM2773" s="18"/>
      <c r="BN2773" s="18"/>
      <c r="BO2773" s="18"/>
      <c r="BP2773" s="18"/>
      <c r="BQ2773" s="18"/>
      <c r="BR2773" s="18"/>
      <c r="BS2773" s="18"/>
      <c r="BT2773" s="18"/>
      <c r="BU2773" s="18"/>
      <c r="BV2773" s="18"/>
    </row>
    <row r="2774" spans="1:74">
      <c r="A2774" s="18"/>
      <c r="B2774" s="19"/>
      <c r="BG2774" s="18"/>
      <c r="BH2774" s="18"/>
      <c r="BI2774" s="18"/>
      <c r="BJ2774" s="18"/>
      <c r="BK2774" s="18"/>
      <c r="BL2774" s="18"/>
      <c r="BM2774" s="18"/>
      <c r="BN2774" s="18"/>
      <c r="BO2774" s="18"/>
      <c r="BP2774" s="18"/>
      <c r="BQ2774" s="18"/>
      <c r="BR2774" s="18"/>
      <c r="BS2774" s="18"/>
      <c r="BT2774" s="18"/>
      <c r="BU2774" s="18"/>
      <c r="BV2774" s="18"/>
    </row>
    <row r="2775" spans="1:74">
      <c r="A2775" s="18"/>
      <c r="B2775" s="19"/>
      <c r="BG2775" s="18"/>
      <c r="BH2775" s="18"/>
      <c r="BI2775" s="18"/>
      <c r="BJ2775" s="18"/>
      <c r="BK2775" s="18"/>
      <c r="BL2775" s="18"/>
      <c r="BM2775" s="18"/>
      <c r="BN2775" s="18"/>
      <c r="BO2775" s="18"/>
      <c r="BP2775" s="18"/>
      <c r="BQ2775" s="18"/>
      <c r="BR2775" s="18"/>
      <c r="BS2775" s="18"/>
      <c r="BT2775" s="18"/>
      <c r="BU2775" s="18"/>
      <c r="BV2775" s="18"/>
    </row>
    <row r="2776" spans="1:74">
      <c r="A2776" s="18"/>
      <c r="B2776" s="19"/>
      <c r="BG2776" s="18"/>
      <c r="BH2776" s="18"/>
      <c r="BI2776" s="18"/>
      <c r="BJ2776" s="18"/>
      <c r="BK2776" s="18"/>
      <c r="BL2776" s="18"/>
      <c r="BM2776" s="18"/>
      <c r="BN2776" s="18"/>
      <c r="BO2776" s="18"/>
      <c r="BP2776" s="18"/>
      <c r="BQ2776" s="18"/>
      <c r="BR2776" s="18"/>
      <c r="BS2776" s="18"/>
      <c r="BT2776" s="18"/>
      <c r="BU2776" s="18"/>
      <c r="BV2776" s="18"/>
    </row>
    <row r="2777" spans="1:74">
      <c r="A2777" s="18"/>
      <c r="B2777" s="19"/>
      <c r="BG2777" s="18"/>
      <c r="BH2777" s="18"/>
      <c r="BI2777" s="18"/>
      <c r="BJ2777" s="18"/>
      <c r="BK2777" s="18"/>
      <c r="BL2777" s="18"/>
      <c r="BM2777" s="18"/>
      <c r="BN2777" s="18"/>
      <c r="BO2777" s="18"/>
      <c r="BP2777" s="18"/>
      <c r="BQ2777" s="18"/>
      <c r="BR2777" s="18"/>
      <c r="BS2777" s="18"/>
      <c r="BT2777" s="18"/>
      <c r="BU2777" s="18"/>
      <c r="BV2777" s="18"/>
    </row>
    <row r="2778" spans="1:74">
      <c r="A2778" s="18"/>
      <c r="B2778" s="19"/>
      <c r="BG2778" s="18"/>
      <c r="BH2778" s="18"/>
      <c r="BI2778" s="18"/>
      <c r="BJ2778" s="18"/>
      <c r="BK2778" s="18"/>
      <c r="BL2778" s="18"/>
      <c r="BM2778" s="18"/>
      <c r="BN2778" s="18"/>
      <c r="BO2778" s="18"/>
      <c r="BP2778" s="18"/>
      <c r="BQ2778" s="18"/>
      <c r="BR2778" s="18"/>
      <c r="BS2778" s="18"/>
      <c r="BT2778" s="18"/>
      <c r="BU2778" s="18"/>
      <c r="BV2778" s="18"/>
    </row>
    <row r="2779" spans="1:74">
      <c r="A2779" s="18"/>
      <c r="B2779" s="19"/>
      <c r="BG2779" s="18"/>
      <c r="BH2779" s="18"/>
      <c r="BI2779" s="18"/>
      <c r="BJ2779" s="18"/>
      <c r="BK2779" s="18"/>
      <c r="BL2779" s="18"/>
      <c r="BM2779" s="18"/>
      <c r="BN2779" s="18"/>
      <c r="BO2779" s="18"/>
      <c r="BP2779" s="18"/>
      <c r="BQ2779" s="18"/>
      <c r="BR2779" s="18"/>
      <c r="BS2779" s="18"/>
      <c r="BT2779" s="18"/>
      <c r="BU2779" s="18"/>
      <c r="BV2779" s="18"/>
    </row>
    <row r="2780" spans="1:74">
      <c r="A2780" s="18"/>
      <c r="B2780" s="19"/>
      <c r="BG2780" s="18"/>
      <c r="BH2780" s="18"/>
      <c r="BI2780" s="18"/>
      <c r="BJ2780" s="18"/>
      <c r="BK2780" s="18"/>
      <c r="BL2780" s="18"/>
      <c r="BM2780" s="18"/>
      <c r="BN2780" s="18"/>
      <c r="BO2780" s="18"/>
      <c r="BP2780" s="18"/>
      <c r="BQ2780" s="18"/>
      <c r="BR2780" s="18"/>
      <c r="BS2780" s="18"/>
      <c r="BT2780" s="18"/>
      <c r="BU2780" s="18"/>
      <c r="BV2780" s="18"/>
    </row>
    <row r="2781" spans="1:74">
      <c r="A2781" s="18"/>
      <c r="B2781" s="19"/>
      <c r="BG2781" s="18"/>
      <c r="BH2781" s="18"/>
      <c r="BI2781" s="18"/>
      <c r="BJ2781" s="18"/>
      <c r="BK2781" s="18"/>
      <c r="BL2781" s="18"/>
      <c r="BM2781" s="18"/>
      <c r="BN2781" s="18"/>
      <c r="BO2781" s="18"/>
      <c r="BP2781" s="18"/>
      <c r="BQ2781" s="18"/>
      <c r="BR2781" s="18"/>
      <c r="BS2781" s="18"/>
      <c r="BT2781" s="18"/>
      <c r="BU2781" s="18"/>
      <c r="BV2781" s="18"/>
    </row>
    <row r="2782" spans="1:74">
      <c r="A2782" s="18"/>
      <c r="B2782" s="19"/>
      <c r="BG2782" s="18"/>
      <c r="BH2782" s="18"/>
      <c r="BI2782" s="18"/>
      <c r="BJ2782" s="18"/>
      <c r="BK2782" s="18"/>
      <c r="BL2782" s="18"/>
      <c r="BM2782" s="18"/>
      <c r="BN2782" s="18"/>
      <c r="BO2782" s="18"/>
      <c r="BP2782" s="18"/>
      <c r="BQ2782" s="18"/>
      <c r="BR2782" s="18"/>
      <c r="BS2782" s="18"/>
      <c r="BT2782" s="18"/>
      <c r="BU2782" s="18"/>
      <c r="BV2782" s="18"/>
    </row>
    <row r="2783" spans="1:74">
      <c r="A2783" s="18"/>
      <c r="B2783" s="19"/>
      <c r="BG2783" s="18"/>
      <c r="BH2783" s="18"/>
      <c r="BI2783" s="18"/>
      <c r="BJ2783" s="18"/>
      <c r="BK2783" s="18"/>
      <c r="BL2783" s="18"/>
      <c r="BM2783" s="18"/>
      <c r="BN2783" s="18"/>
      <c r="BO2783" s="18"/>
      <c r="BP2783" s="18"/>
      <c r="BQ2783" s="18"/>
      <c r="BR2783" s="18"/>
      <c r="BS2783" s="18"/>
      <c r="BT2783" s="18"/>
      <c r="BU2783" s="18"/>
      <c r="BV2783" s="18"/>
    </row>
    <row r="2784" spans="1:74">
      <c r="A2784" s="18"/>
      <c r="B2784" s="19"/>
      <c r="BG2784" s="18"/>
      <c r="BH2784" s="18"/>
      <c r="BI2784" s="18"/>
      <c r="BJ2784" s="18"/>
      <c r="BK2784" s="18"/>
      <c r="BL2784" s="18"/>
      <c r="BM2784" s="18"/>
      <c r="BN2784" s="18"/>
      <c r="BO2784" s="18"/>
      <c r="BP2784" s="18"/>
      <c r="BQ2784" s="18"/>
      <c r="BR2784" s="18"/>
      <c r="BS2784" s="18"/>
      <c r="BT2784" s="18"/>
      <c r="BU2784" s="18"/>
      <c r="BV2784" s="18"/>
    </row>
    <row r="2785" spans="1:74">
      <c r="A2785" s="18"/>
      <c r="B2785" s="19"/>
      <c r="BG2785" s="18"/>
      <c r="BH2785" s="18"/>
      <c r="BI2785" s="18"/>
      <c r="BJ2785" s="18"/>
      <c r="BK2785" s="18"/>
      <c r="BL2785" s="18"/>
      <c r="BM2785" s="18"/>
      <c r="BN2785" s="18"/>
      <c r="BO2785" s="18"/>
      <c r="BP2785" s="18"/>
      <c r="BQ2785" s="18"/>
      <c r="BR2785" s="18"/>
      <c r="BS2785" s="18"/>
      <c r="BT2785" s="18"/>
      <c r="BU2785" s="18"/>
      <c r="BV2785" s="18"/>
    </row>
    <row r="2786" spans="1:74">
      <c r="A2786" s="18"/>
      <c r="B2786" s="19"/>
      <c r="BG2786" s="18"/>
      <c r="BH2786" s="18"/>
      <c r="BI2786" s="18"/>
      <c r="BJ2786" s="18"/>
      <c r="BK2786" s="18"/>
      <c r="BL2786" s="18"/>
      <c r="BM2786" s="18"/>
      <c r="BN2786" s="18"/>
      <c r="BO2786" s="18"/>
      <c r="BP2786" s="18"/>
      <c r="BQ2786" s="18"/>
      <c r="BR2786" s="18"/>
      <c r="BS2786" s="18"/>
      <c r="BT2786" s="18"/>
      <c r="BU2786" s="18"/>
      <c r="BV2786" s="18"/>
    </row>
    <row r="2787" spans="1:74">
      <c r="A2787" s="18"/>
      <c r="B2787" s="19"/>
      <c r="BG2787" s="18"/>
      <c r="BH2787" s="18"/>
      <c r="BI2787" s="18"/>
      <c r="BJ2787" s="18"/>
      <c r="BK2787" s="18"/>
      <c r="BL2787" s="18"/>
      <c r="BM2787" s="18"/>
      <c r="BN2787" s="18"/>
      <c r="BO2787" s="18"/>
      <c r="BP2787" s="18"/>
      <c r="BQ2787" s="18"/>
      <c r="BR2787" s="18"/>
      <c r="BS2787" s="18"/>
      <c r="BT2787" s="18"/>
      <c r="BU2787" s="18"/>
      <c r="BV2787" s="18"/>
    </row>
    <row r="2788" spans="1:74">
      <c r="A2788" s="18"/>
      <c r="B2788" s="19"/>
      <c r="BG2788" s="18"/>
      <c r="BH2788" s="18"/>
      <c r="BI2788" s="18"/>
      <c r="BJ2788" s="18"/>
      <c r="BK2788" s="18"/>
      <c r="BL2788" s="18"/>
      <c r="BM2788" s="18"/>
      <c r="BN2788" s="18"/>
      <c r="BO2788" s="18"/>
      <c r="BP2788" s="18"/>
      <c r="BQ2788" s="18"/>
      <c r="BR2788" s="18"/>
      <c r="BS2788" s="18"/>
      <c r="BT2788" s="18"/>
      <c r="BU2788" s="18"/>
      <c r="BV2788" s="18"/>
    </row>
    <row r="2789" spans="1:74">
      <c r="A2789" s="18"/>
      <c r="B2789" s="19"/>
      <c r="BG2789" s="18"/>
      <c r="BH2789" s="18"/>
      <c r="BI2789" s="18"/>
      <c r="BJ2789" s="18"/>
      <c r="BK2789" s="18"/>
      <c r="BL2789" s="18"/>
      <c r="BM2789" s="18"/>
      <c r="BN2789" s="18"/>
      <c r="BO2789" s="18"/>
      <c r="BP2789" s="18"/>
      <c r="BQ2789" s="18"/>
      <c r="BR2789" s="18"/>
      <c r="BS2789" s="18"/>
      <c r="BT2789" s="18"/>
      <c r="BU2789" s="18"/>
      <c r="BV2789" s="18"/>
    </row>
    <row r="2790" spans="1:74">
      <c r="A2790" s="18"/>
      <c r="B2790" s="19"/>
      <c r="BG2790" s="18"/>
      <c r="BH2790" s="18"/>
      <c r="BI2790" s="18"/>
      <c r="BJ2790" s="18"/>
      <c r="BK2790" s="18"/>
      <c r="BL2790" s="18"/>
      <c r="BM2790" s="18"/>
      <c r="BN2790" s="18"/>
      <c r="BO2790" s="18"/>
      <c r="BP2790" s="18"/>
      <c r="BQ2790" s="18"/>
      <c r="BR2790" s="18"/>
      <c r="BS2790" s="18"/>
      <c r="BT2790" s="18"/>
      <c r="BU2790" s="18"/>
      <c r="BV2790" s="18"/>
    </row>
    <row r="2791" spans="1:74">
      <c r="A2791" s="18"/>
      <c r="B2791" s="19"/>
      <c r="BG2791" s="18"/>
      <c r="BH2791" s="18"/>
      <c r="BI2791" s="18"/>
      <c r="BJ2791" s="18"/>
      <c r="BK2791" s="18"/>
      <c r="BL2791" s="18"/>
      <c r="BM2791" s="18"/>
      <c r="BN2791" s="18"/>
      <c r="BO2791" s="18"/>
      <c r="BP2791" s="18"/>
      <c r="BQ2791" s="18"/>
      <c r="BR2791" s="18"/>
      <c r="BS2791" s="18"/>
      <c r="BT2791" s="18"/>
      <c r="BU2791" s="18"/>
      <c r="BV2791" s="18"/>
    </row>
    <row r="2792" spans="1:74">
      <c r="A2792" s="18"/>
      <c r="B2792" s="19"/>
      <c r="BG2792" s="18"/>
      <c r="BH2792" s="18"/>
      <c r="BI2792" s="18"/>
      <c r="BJ2792" s="18"/>
      <c r="BK2792" s="18"/>
      <c r="BL2792" s="18"/>
      <c r="BM2792" s="18"/>
      <c r="BN2792" s="18"/>
      <c r="BO2792" s="18"/>
      <c r="BP2792" s="18"/>
      <c r="BQ2792" s="18"/>
      <c r="BR2792" s="18"/>
      <c r="BS2792" s="18"/>
      <c r="BT2792" s="18"/>
      <c r="BU2792" s="18"/>
      <c r="BV2792" s="18"/>
    </row>
    <row r="2793" spans="1:74">
      <c r="A2793" s="18"/>
      <c r="B2793" s="19"/>
      <c r="BG2793" s="18"/>
      <c r="BH2793" s="18"/>
      <c r="BI2793" s="18"/>
      <c r="BJ2793" s="18"/>
      <c r="BK2793" s="18"/>
      <c r="BL2793" s="18"/>
      <c r="BM2793" s="18"/>
      <c r="BN2793" s="18"/>
      <c r="BO2793" s="18"/>
      <c r="BP2793" s="18"/>
      <c r="BQ2793" s="18"/>
      <c r="BR2793" s="18"/>
      <c r="BS2793" s="18"/>
      <c r="BT2793" s="18"/>
      <c r="BU2793" s="18"/>
      <c r="BV2793" s="18"/>
    </row>
    <row r="2794" spans="1:74">
      <c r="A2794" s="18"/>
      <c r="B2794" s="19"/>
      <c r="BG2794" s="18"/>
      <c r="BH2794" s="18"/>
      <c r="BI2794" s="18"/>
      <c r="BJ2794" s="18"/>
      <c r="BK2794" s="18"/>
      <c r="BL2794" s="18"/>
      <c r="BM2794" s="18"/>
      <c r="BN2794" s="18"/>
      <c r="BO2794" s="18"/>
      <c r="BP2794" s="18"/>
      <c r="BQ2794" s="18"/>
      <c r="BR2794" s="18"/>
      <c r="BS2794" s="18"/>
      <c r="BT2794" s="18"/>
      <c r="BU2794" s="18"/>
      <c r="BV2794" s="18"/>
    </row>
    <row r="2795" spans="1:74">
      <c r="A2795" s="18"/>
      <c r="B2795" s="19"/>
      <c r="BG2795" s="18"/>
      <c r="BH2795" s="18"/>
      <c r="BI2795" s="18"/>
      <c r="BJ2795" s="18"/>
      <c r="BK2795" s="18"/>
      <c r="BL2795" s="18"/>
      <c r="BM2795" s="18"/>
      <c r="BN2795" s="18"/>
      <c r="BO2795" s="18"/>
      <c r="BP2795" s="18"/>
      <c r="BQ2795" s="18"/>
      <c r="BR2795" s="18"/>
      <c r="BS2795" s="18"/>
      <c r="BT2795" s="18"/>
      <c r="BU2795" s="18"/>
      <c r="BV2795" s="18"/>
    </row>
    <row r="2796" spans="1:74">
      <c r="A2796" s="18"/>
      <c r="B2796" s="19"/>
      <c r="BG2796" s="18"/>
      <c r="BH2796" s="18"/>
      <c r="BI2796" s="18"/>
      <c r="BJ2796" s="18"/>
      <c r="BK2796" s="18"/>
      <c r="BL2796" s="18"/>
      <c r="BM2796" s="18"/>
      <c r="BN2796" s="18"/>
      <c r="BO2796" s="18"/>
      <c r="BP2796" s="18"/>
      <c r="BQ2796" s="18"/>
      <c r="BR2796" s="18"/>
      <c r="BS2796" s="18"/>
      <c r="BT2796" s="18"/>
      <c r="BU2796" s="18"/>
      <c r="BV2796" s="18"/>
    </row>
    <row r="2797" spans="1:74">
      <c r="A2797" s="18"/>
      <c r="B2797" s="19"/>
      <c r="BG2797" s="18"/>
      <c r="BH2797" s="18"/>
      <c r="BI2797" s="18"/>
      <c r="BJ2797" s="18"/>
      <c r="BK2797" s="18"/>
      <c r="BL2797" s="18"/>
      <c r="BM2797" s="18"/>
      <c r="BN2797" s="18"/>
      <c r="BO2797" s="18"/>
      <c r="BP2797" s="18"/>
      <c r="BQ2797" s="18"/>
      <c r="BR2797" s="18"/>
      <c r="BS2797" s="18"/>
      <c r="BT2797" s="18"/>
      <c r="BU2797" s="18"/>
      <c r="BV2797" s="18"/>
    </row>
    <row r="2798" spans="1:74">
      <c r="A2798" s="18"/>
      <c r="B2798" s="19"/>
      <c r="BG2798" s="18"/>
      <c r="BH2798" s="18"/>
      <c r="BI2798" s="18"/>
      <c r="BJ2798" s="18"/>
      <c r="BK2798" s="18"/>
      <c r="BL2798" s="18"/>
      <c r="BM2798" s="18"/>
      <c r="BN2798" s="18"/>
      <c r="BO2798" s="18"/>
      <c r="BP2798" s="18"/>
      <c r="BQ2798" s="18"/>
      <c r="BR2798" s="18"/>
      <c r="BS2798" s="18"/>
      <c r="BT2798" s="18"/>
      <c r="BU2798" s="18"/>
      <c r="BV2798" s="18"/>
    </row>
    <row r="2799" spans="1:74">
      <c r="A2799" s="18"/>
      <c r="B2799" s="19"/>
      <c r="BG2799" s="18"/>
      <c r="BH2799" s="18"/>
      <c r="BI2799" s="18"/>
      <c r="BJ2799" s="18"/>
      <c r="BK2799" s="18"/>
      <c r="BL2799" s="18"/>
      <c r="BM2799" s="18"/>
      <c r="BN2799" s="18"/>
      <c r="BO2799" s="18"/>
      <c r="BP2799" s="18"/>
      <c r="BQ2799" s="18"/>
      <c r="BR2799" s="18"/>
      <c r="BS2799" s="18"/>
      <c r="BT2799" s="18"/>
      <c r="BU2799" s="18"/>
      <c r="BV2799" s="18"/>
    </row>
    <row r="2800" spans="1:74">
      <c r="A2800" s="18"/>
      <c r="B2800" s="19"/>
      <c r="BG2800" s="18"/>
      <c r="BH2800" s="18"/>
      <c r="BI2800" s="18"/>
      <c r="BJ2800" s="18"/>
      <c r="BK2800" s="18"/>
      <c r="BL2800" s="18"/>
      <c r="BM2800" s="18"/>
      <c r="BN2800" s="18"/>
      <c r="BO2800" s="18"/>
      <c r="BP2800" s="18"/>
      <c r="BQ2800" s="18"/>
      <c r="BR2800" s="18"/>
      <c r="BS2800" s="18"/>
      <c r="BT2800" s="18"/>
      <c r="BU2800" s="18"/>
      <c r="BV2800" s="18"/>
    </row>
    <row r="2801" spans="1:74">
      <c r="A2801" s="18"/>
      <c r="B2801" s="19"/>
      <c r="BG2801" s="18"/>
      <c r="BH2801" s="18"/>
      <c r="BI2801" s="18"/>
      <c r="BJ2801" s="18"/>
      <c r="BK2801" s="18"/>
      <c r="BL2801" s="18"/>
      <c r="BM2801" s="18"/>
      <c r="BN2801" s="18"/>
      <c r="BO2801" s="18"/>
      <c r="BP2801" s="18"/>
      <c r="BQ2801" s="18"/>
      <c r="BR2801" s="18"/>
      <c r="BS2801" s="18"/>
      <c r="BT2801" s="18"/>
      <c r="BU2801" s="18"/>
      <c r="BV2801" s="18"/>
    </row>
    <row r="2802" spans="1:74">
      <c r="A2802" s="18"/>
      <c r="B2802" s="19"/>
      <c r="BG2802" s="18"/>
      <c r="BH2802" s="18"/>
      <c r="BI2802" s="18"/>
      <c r="BJ2802" s="18"/>
      <c r="BK2802" s="18"/>
      <c r="BL2802" s="18"/>
      <c r="BM2802" s="18"/>
      <c r="BN2802" s="18"/>
      <c r="BO2802" s="18"/>
      <c r="BP2802" s="18"/>
      <c r="BQ2802" s="18"/>
      <c r="BR2802" s="18"/>
      <c r="BS2802" s="18"/>
      <c r="BT2802" s="18"/>
      <c r="BU2802" s="18"/>
      <c r="BV2802" s="18"/>
    </row>
    <row r="2803" spans="1:74">
      <c r="A2803" s="18"/>
      <c r="B2803" s="19"/>
      <c r="BG2803" s="18"/>
      <c r="BH2803" s="18"/>
      <c r="BI2803" s="18"/>
      <c r="BJ2803" s="18"/>
      <c r="BK2803" s="18"/>
      <c r="BL2803" s="18"/>
      <c r="BM2803" s="18"/>
      <c r="BN2803" s="18"/>
      <c r="BO2803" s="18"/>
      <c r="BP2803" s="18"/>
      <c r="BQ2803" s="18"/>
      <c r="BR2803" s="18"/>
      <c r="BS2803" s="18"/>
      <c r="BT2803" s="18"/>
      <c r="BU2803" s="18"/>
      <c r="BV2803" s="18"/>
    </row>
    <row r="2804" spans="1:74">
      <c r="A2804" s="18"/>
      <c r="B2804" s="19"/>
      <c r="BG2804" s="18"/>
      <c r="BH2804" s="18"/>
      <c r="BI2804" s="18"/>
      <c r="BJ2804" s="18"/>
      <c r="BK2804" s="18"/>
      <c r="BL2804" s="18"/>
      <c r="BM2804" s="18"/>
      <c r="BN2804" s="18"/>
      <c r="BO2804" s="18"/>
      <c r="BP2804" s="18"/>
      <c r="BQ2804" s="18"/>
      <c r="BR2804" s="18"/>
      <c r="BS2804" s="18"/>
      <c r="BT2804" s="18"/>
      <c r="BU2804" s="18"/>
      <c r="BV2804" s="18"/>
    </row>
    <row r="2805" spans="1:74">
      <c r="A2805" s="18"/>
      <c r="B2805" s="19"/>
      <c r="BG2805" s="18"/>
      <c r="BH2805" s="18"/>
      <c r="BI2805" s="18"/>
      <c r="BJ2805" s="18"/>
      <c r="BK2805" s="18"/>
      <c r="BL2805" s="18"/>
      <c r="BM2805" s="18"/>
      <c r="BN2805" s="18"/>
      <c r="BO2805" s="18"/>
      <c r="BP2805" s="18"/>
      <c r="BQ2805" s="18"/>
      <c r="BR2805" s="18"/>
      <c r="BS2805" s="18"/>
      <c r="BT2805" s="18"/>
      <c r="BU2805" s="18"/>
      <c r="BV2805" s="18"/>
    </row>
    <row r="2806" spans="1:74">
      <c r="A2806" s="18"/>
      <c r="B2806" s="19"/>
      <c r="BG2806" s="18"/>
      <c r="BH2806" s="18"/>
      <c r="BI2806" s="18"/>
      <c r="BJ2806" s="18"/>
      <c r="BK2806" s="18"/>
      <c r="BL2806" s="18"/>
      <c r="BM2806" s="18"/>
      <c r="BN2806" s="18"/>
      <c r="BO2806" s="18"/>
      <c r="BP2806" s="18"/>
      <c r="BQ2806" s="18"/>
      <c r="BR2806" s="18"/>
      <c r="BS2806" s="18"/>
      <c r="BT2806" s="18"/>
      <c r="BU2806" s="18"/>
      <c r="BV2806" s="18"/>
    </row>
    <row r="2807" spans="1:74">
      <c r="A2807" s="18"/>
      <c r="B2807" s="19"/>
      <c r="BG2807" s="18"/>
      <c r="BH2807" s="18"/>
      <c r="BI2807" s="18"/>
      <c r="BJ2807" s="18"/>
      <c r="BK2807" s="18"/>
      <c r="BL2807" s="18"/>
      <c r="BM2807" s="18"/>
      <c r="BN2807" s="18"/>
      <c r="BO2807" s="18"/>
      <c r="BP2807" s="18"/>
      <c r="BQ2807" s="18"/>
      <c r="BR2807" s="18"/>
      <c r="BS2807" s="18"/>
      <c r="BT2807" s="18"/>
      <c r="BU2807" s="18"/>
      <c r="BV2807" s="18"/>
    </row>
    <row r="2808" spans="1:74">
      <c r="A2808" s="18"/>
      <c r="B2808" s="19"/>
      <c r="BG2808" s="18"/>
      <c r="BH2808" s="18"/>
      <c r="BI2808" s="18"/>
      <c r="BJ2808" s="18"/>
      <c r="BK2808" s="18"/>
      <c r="BL2808" s="18"/>
      <c r="BM2808" s="18"/>
      <c r="BN2808" s="18"/>
      <c r="BO2808" s="18"/>
      <c r="BP2808" s="18"/>
      <c r="BQ2808" s="18"/>
      <c r="BR2808" s="18"/>
      <c r="BS2808" s="18"/>
      <c r="BT2808" s="18"/>
      <c r="BU2808" s="18"/>
      <c r="BV2808" s="18"/>
    </row>
    <row r="2809" spans="1:74">
      <c r="A2809" s="18"/>
      <c r="B2809" s="19"/>
      <c r="BG2809" s="18"/>
      <c r="BH2809" s="18"/>
      <c r="BI2809" s="18"/>
      <c r="BJ2809" s="18"/>
      <c r="BK2809" s="18"/>
      <c r="BL2809" s="18"/>
      <c r="BM2809" s="18"/>
      <c r="BN2809" s="18"/>
      <c r="BO2809" s="18"/>
      <c r="BP2809" s="18"/>
      <c r="BQ2809" s="18"/>
      <c r="BR2809" s="18"/>
      <c r="BS2809" s="18"/>
      <c r="BT2809" s="18"/>
      <c r="BU2809" s="18"/>
      <c r="BV2809" s="18"/>
    </row>
    <row r="2810" spans="1:74">
      <c r="A2810" s="18"/>
      <c r="B2810" s="19"/>
      <c r="BG2810" s="18"/>
      <c r="BH2810" s="18"/>
      <c r="BI2810" s="18"/>
      <c r="BJ2810" s="18"/>
      <c r="BK2810" s="18"/>
      <c r="BL2810" s="18"/>
      <c r="BM2810" s="18"/>
      <c r="BN2810" s="18"/>
      <c r="BO2810" s="18"/>
      <c r="BP2810" s="18"/>
      <c r="BQ2810" s="18"/>
      <c r="BR2810" s="18"/>
      <c r="BS2810" s="18"/>
      <c r="BT2810" s="18"/>
      <c r="BU2810" s="18"/>
      <c r="BV2810" s="18"/>
    </row>
    <row r="2811" spans="1:74">
      <c r="A2811" s="18"/>
      <c r="B2811" s="19"/>
      <c r="BG2811" s="18"/>
      <c r="BH2811" s="18"/>
      <c r="BI2811" s="18"/>
      <c r="BJ2811" s="18"/>
      <c r="BK2811" s="18"/>
      <c r="BL2811" s="18"/>
      <c r="BM2811" s="18"/>
      <c r="BN2811" s="18"/>
      <c r="BO2811" s="18"/>
      <c r="BP2811" s="18"/>
      <c r="BQ2811" s="18"/>
      <c r="BR2811" s="18"/>
      <c r="BS2811" s="18"/>
      <c r="BT2811" s="18"/>
      <c r="BU2811" s="18"/>
      <c r="BV2811" s="18"/>
    </row>
    <row r="2812" spans="1:74">
      <c r="A2812" s="18"/>
      <c r="B2812" s="19"/>
      <c r="BG2812" s="18"/>
      <c r="BH2812" s="18"/>
      <c r="BI2812" s="18"/>
      <c r="BJ2812" s="18"/>
      <c r="BK2812" s="18"/>
      <c r="BL2812" s="18"/>
      <c r="BM2812" s="18"/>
      <c r="BN2812" s="18"/>
      <c r="BO2812" s="18"/>
      <c r="BP2812" s="18"/>
      <c r="BQ2812" s="18"/>
      <c r="BR2812" s="18"/>
      <c r="BS2812" s="18"/>
      <c r="BT2812" s="18"/>
      <c r="BU2812" s="18"/>
      <c r="BV2812" s="18"/>
    </row>
    <row r="2813" spans="1:74">
      <c r="A2813" s="18"/>
      <c r="B2813" s="19"/>
      <c r="BG2813" s="18"/>
      <c r="BH2813" s="18"/>
      <c r="BI2813" s="18"/>
      <c r="BJ2813" s="18"/>
      <c r="BK2813" s="18"/>
      <c r="BL2813" s="18"/>
      <c r="BM2813" s="18"/>
      <c r="BN2813" s="18"/>
      <c r="BO2813" s="18"/>
      <c r="BP2813" s="18"/>
      <c r="BQ2813" s="18"/>
      <c r="BR2813" s="18"/>
      <c r="BS2813" s="18"/>
      <c r="BT2813" s="18"/>
      <c r="BU2813" s="18"/>
      <c r="BV2813" s="18"/>
    </row>
    <row r="2814" spans="1:74">
      <c r="A2814" s="18"/>
      <c r="B2814" s="19"/>
      <c r="BG2814" s="18"/>
      <c r="BH2814" s="18"/>
      <c r="BI2814" s="18"/>
      <c r="BJ2814" s="18"/>
      <c r="BK2814" s="18"/>
      <c r="BL2814" s="18"/>
      <c r="BM2814" s="18"/>
      <c r="BN2814" s="18"/>
      <c r="BO2814" s="18"/>
      <c r="BP2814" s="18"/>
      <c r="BQ2814" s="18"/>
      <c r="BR2814" s="18"/>
      <c r="BS2814" s="18"/>
      <c r="BT2814" s="18"/>
      <c r="BU2814" s="18"/>
      <c r="BV2814" s="18"/>
    </row>
    <row r="2815" spans="1:74">
      <c r="A2815" s="18"/>
      <c r="B2815" s="19"/>
      <c r="BG2815" s="18"/>
      <c r="BH2815" s="18"/>
      <c r="BI2815" s="18"/>
      <c r="BJ2815" s="18"/>
      <c r="BK2815" s="18"/>
      <c r="BL2815" s="18"/>
      <c r="BM2815" s="18"/>
      <c r="BN2815" s="18"/>
      <c r="BO2815" s="18"/>
      <c r="BP2815" s="18"/>
      <c r="BQ2815" s="18"/>
      <c r="BR2815" s="18"/>
      <c r="BS2815" s="18"/>
      <c r="BT2815" s="18"/>
      <c r="BU2815" s="18"/>
      <c r="BV2815" s="18"/>
    </row>
    <row r="2816" spans="1:74">
      <c r="A2816" s="18"/>
      <c r="B2816" s="19"/>
      <c r="BG2816" s="18"/>
      <c r="BH2816" s="18"/>
      <c r="BI2816" s="18"/>
      <c r="BJ2816" s="18"/>
      <c r="BK2816" s="18"/>
      <c r="BL2816" s="18"/>
      <c r="BM2816" s="18"/>
      <c r="BN2816" s="18"/>
      <c r="BO2816" s="18"/>
      <c r="BP2816" s="18"/>
      <c r="BQ2816" s="18"/>
      <c r="BR2816" s="18"/>
      <c r="BS2816" s="18"/>
      <c r="BT2816" s="18"/>
      <c r="BU2816" s="18"/>
      <c r="BV2816" s="18"/>
    </row>
    <row r="2817" spans="1:74">
      <c r="A2817" s="18"/>
      <c r="B2817" s="19"/>
      <c r="BG2817" s="18"/>
      <c r="BH2817" s="18"/>
      <c r="BI2817" s="18"/>
      <c r="BJ2817" s="18"/>
      <c r="BK2817" s="18"/>
      <c r="BL2817" s="18"/>
      <c r="BM2817" s="18"/>
      <c r="BN2817" s="18"/>
      <c r="BO2817" s="18"/>
      <c r="BP2817" s="18"/>
      <c r="BQ2817" s="18"/>
      <c r="BR2817" s="18"/>
      <c r="BS2817" s="18"/>
      <c r="BT2817" s="18"/>
      <c r="BU2817" s="18"/>
      <c r="BV2817" s="18"/>
    </row>
    <row r="2818" spans="1:74">
      <c r="A2818" s="18"/>
      <c r="B2818" s="19"/>
      <c r="BG2818" s="18"/>
      <c r="BH2818" s="18"/>
      <c r="BI2818" s="18"/>
      <c r="BJ2818" s="18"/>
      <c r="BK2818" s="18"/>
      <c r="BL2818" s="18"/>
      <c r="BM2818" s="18"/>
      <c r="BN2818" s="18"/>
      <c r="BO2818" s="18"/>
      <c r="BP2818" s="18"/>
      <c r="BQ2818" s="18"/>
      <c r="BR2818" s="18"/>
      <c r="BS2818" s="18"/>
      <c r="BT2818" s="18"/>
      <c r="BU2818" s="18"/>
      <c r="BV2818" s="18"/>
    </row>
    <row r="2819" spans="1:74">
      <c r="A2819" s="18"/>
      <c r="B2819" s="19"/>
      <c r="BG2819" s="18"/>
      <c r="BH2819" s="18"/>
      <c r="BI2819" s="18"/>
      <c r="BJ2819" s="18"/>
      <c r="BK2819" s="18"/>
      <c r="BL2819" s="18"/>
      <c r="BM2819" s="18"/>
      <c r="BN2819" s="18"/>
      <c r="BO2819" s="18"/>
      <c r="BP2819" s="18"/>
      <c r="BQ2819" s="18"/>
      <c r="BR2819" s="18"/>
      <c r="BS2819" s="18"/>
      <c r="BT2819" s="18"/>
      <c r="BU2819" s="18"/>
      <c r="BV2819" s="18"/>
    </row>
    <row r="2820" spans="1:74">
      <c r="A2820" s="18"/>
      <c r="B2820" s="19"/>
      <c r="BG2820" s="18"/>
      <c r="BH2820" s="18"/>
      <c r="BI2820" s="18"/>
      <c r="BJ2820" s="18"/>
      <c r="BK2820" s="18"/>
      <c r="BL2820" s="18"/>
      <c r="BM2820" s="18"/>
      <c r="BN2820" s="18"/>
      <c r="BO2820" s="18"/>
      <c r="BP2820" s="18"/>
      <c r="BQ2820" s="18"/>
      <c r="BR2820" s="18"/>
      <c r="BS2820" s="18"/>
      <c r="BT2820" s="18"/>
      <c r="BU2820" s="18"/>
      <c r="BV2820" s="18"/>
    </row>
    <row r="2821" spans="1:74">
      <c r="A2821" s="18"/>
      <c r="B2821" s="19"/>
      <c r="BG2821" s="18"/>
      <c r="BH2821" s="18"/>
      <c r="BI2821" s="18"/>
      <c r="BJ2821" s="18"/>
      <c r="BK2821" s="18"/>
      <c r="BL2821" s="18"/>
      <c r="BM2821" s="18"/>
      <c r="BN2821" s="18"/>
      <c r="BO2821" s="18"/>
      <c r="BP2821" s="18"/>
      <c r="BQ2821" s="18"/>
      <c r="BR2821" s="18"/>
      <c r="BS2821" s="18"/>
      <c r="BT2821" s="18"/>
      <c r="BU2821" s="18"/>
      <c r="BV2821" s="18"/>
    </row>
    <row r="2822" spans="1:74">
      <c r="A2822" s="18"/>
      <c r="B2822" s="19"/>
      <c r="BG2822" s="18"/>
      <c r="BH2822" s="18"/>
      <c r="BI2822" s="18"/>
      <c r="BJ2822" s="18"/>
      <c r="BK2822" s="18"/>
      <c r="BL2822" s="18"/>
      <c r="BM2822" s="18"/>
      <c r="BN2822" s="18"/>
      <c r="BO2822" s="18"/>
      <c r="BP2822" s="18"/>
      <c r="BQ2822" s="18"/>
      <c r="BR2822" s="18"/>
      <c r="BS2822" s="18"/>
      <c r="BT2822" s="18"/>
      <c r="BU2822" s="18"/>
      <c r="BV2822" s="18"/>
    </row>
    <row r="2823" spans="1:74">
      <c r="A2823" s="18"/>
      <c r="B2823" s="19"/>
      <c r="BG2823" s="18"/>
      <c r="BH2823" s="18"/>
      <c r="BI2823" s="18"/>
      <c r="BJ2823" s="18"/>
      <c r="BK2823" s="18"/>
      <c r="BL2823" s="18"/>
      <c r="BM2823" s="18"/>
      <c r="BN2823" s="18"/>
      <c r="BO2823" s="18"/>
      <c r="BP2823" s="18"/>
      <c r="BQ2823" s="18"/>
      <c r="BR2823" s="18"/>
      <c r="BS2823" s="18"/>
      <c r="BT2823" s="18"/>
      <c r="BU2823" s="18"/>
      <c r="BV2823" s="18"/>
    </row>
    <row r="2824" spans="1:74">
      <c r="A2824" s="18"/>
      <c r="B2824" s="19"/>
      <c r="BG2824" s="18"/>
      <c r="BH2824" s="18"/>
      <c r="BI2824" s="18"/>
      <c r="BJ2824" s="18"/>
      <c r="BK2824" s="18"/>
      <c r="BL2824" s="18"/>
      <c r="BM2824" s="18"/>
      <c r="BN2824" s="18"/>
      <c r="BO2824" s="18"/>
      <c r="BP2824" s="18"/>
      <c r="BQ2824" s="18"/>
      <c r="BR2824" s="18"/>
      <c r="BS2824" s="18"/>
      <c r="BT2824" s="18"/>
      <c r="BU2824" s="18"/>
      <c r="BV2824" s="18"/>
    </row>
    <row r="2825" spans="1:74">
      <c r="A2825" s="18"/>
      <c r="B2825" s="19"/>
      <c r="BG2825" s="18"/>
      <c r="BH2825" s="18"/>
      <c r="BI2825" s="18"/>
      <c r="BJ2825" s="18"/>
      <c r="BK2825" s="18"/>
      <c r="BL2825" s="18"/>
      <c r="BM2825" s="18"/>
      <c r="BN2825" s="18"/>
      <c r="BO2825" s="18"/>
      <c r="BP2825" s="18"/>
      <c r="BQ2825" s="18"/>
      <c r="BR2825" s="18"/>
      <c r="BS2825" s="18"/>
      <c r="BT2825" s="18"/>
      <c r="BU2825" s="18"/>
      <c r="BV2825" s="18"/>
    </row>
    <row r="2826" spans="1:74">
      <c r="A2826" s="18"/>
      <c r="B2826" s="19"/>
      <c r="BG2826" s="18"/>
      <c r="BH2826" s="18"/>
      <c r="BI2826" s="18"/>
      <c r="BJ2826" s="18"/>
      <c r="BK2826" s="18"/>
      <c r="BL2826" s="18"/>
      <c r="BM2826" s="18"/>
      <c r="BN2826" s="18"/>
      <c r="BO2826" s="18"/>
      <c r="BP2826" s="18"/>
      <c r="BQ2826" s="18"/>
      <c r="BR2826" s="18"/>
      <c r="BS2826" s="18"/>
      <c r="BT2826" s="18"/>
      <c r="BU2826" s="18"/>
      <c r="BV2826" s="18"/>
    </row>
    <row r="2827" spans="1:74">
      <c r="A2827" s="18"/>
      <c r="B2827" s="19"/>
      <c r="BG2827" s="18"/>
      <c r="BH2827" s="18"/>
      <c r="BI2827" s="18"/>
      <c r="BJ2827" s="18"/>
      <c r="BK2827" s="18"/>
      <c r="BL2827" s="18"/>
      <c r="BM2827" s="18"/>
      <c r="BN2827" s="18"/>
      <c r="BO2827" s="18"/>
      <c r="BP2827" s="18"/>
      <c r="BQ2827" s="18"/>
      <c r="BR2827" s="18"/>
      <c r="BS2827" s="18"/>
      <c r="BT2827" s="18"/>
      <c r="BU2827" s="18"/>
      <c r="BV2827" s="18"/>
    </row>
    <row r="2828" spans="1:74">
      <c r="A2828" s="18"/>
      <c r="B2828" s="19"/>
      <c r="BG2828" s="18"/>
      <c r="BH2828" s="18"/>
      <c r="BI2828" s="18"/>
      <c r="BJ2828" s="18"/>
      <c r="BK2828" s="18"/>
      <c r="BL2828" s="18"/>
      <c r="BM2828" s="18"/>
      <c r="BN2828" s="18"/>
      <c r="BO2828" s="18"/>
      <c r="BP2828" s="18"/>
      <c r="BQ2828" s="18"/>
      <c r="BR2828" s="18"/>
      <c r="BS2828" s="18"/>
      <c r="BT2828" s="18"/>
      <c r="BU2828" s="18"/>
      <c r="BV2828" s="18"/>
    </row>
    <row r="2829" spans="1:74">
      <c r="A2829" s="18"/>
      <c r="B2829" s="19"/>
      <c r="BG2829" s="18"/>
      <c r="BH2829" s="18"/>
      <c r="BI2829" s="18"/>
      <c r="BJ2829" s="18"/>
      <c r="BK2829" s="18"/>
      <c r="BL2829" s="18"/>
      <c r="BM2829" s="18"/>
      <c r="BN2829" s="18"/>
      <c r="BO2829" s="18"/>
      <c r="BP2829" s="18"/>
      <c r="BQ2829" s="18"/>
      <c r="BR2829" s="18"/>
      <c r="BS2829" s="18"/>
      <c r="BT2829" s="18"/>
      <c r="BU2829" s="18"/>
      <c r="BV2829" s="18"/>
    </row>
    <row r="2830" spans="1:74">
      <c r="A2830" s="18"/>
      <c r="B2830" s="19"/>
      <c r="BG2830" s="18"/>
      <c r="BH2830" s="18"/>
      <c r="BI2830" s="18"/>
      <c r="BJ2830" s="18"/>
      <c r="BK2830" s="18"/>
      <c r="BL2830" s="18"/>
      <c r="BM2830" s="18"/>
      <c r="BN2830" s="18"/>
      <c r="BO2830" s="18"/>
      <c r="BP2830" s="18"/>
      <c r="BQ2830" s="18"/>
      <c r="BR2830" s="18"/>
      <c r="BS2830" s="18"/>
      <c r="BT2830" s="18"/>
      <c r="BU2830" s="18"/>
      <c r="BV2830" s="18"/>
    </row>
    <row r="2831" spans="1:74">
      <c r="A2831" s="18"/>
      <c r="B2831" s="19"/>
      <c r="BG2831" s="18"/>
      <c r="BH2831" s="18"/>
      <c r="BI2831" s="18"/>
      <c r="BJ2831" s="18"/>
      <c r="BK2831" s="18"/>
      <c r="BL2831" s="18"/>
      <c r="BM2831" s="18"/>
      <c r="BN2831" s="18"/>
      <c r="BO2831" s="18"/>
      <c r="BP2831" s="18"/>
      <c r="BQ2831" s="18"/>
      <c r="BR2831" s="18"/>
      <c r="BS2831" s="18"/>
      <c r="BT2831" s="18"/>
      <c r="BU2831" s="18"/>
      <c r="BV2831" s="18"/>
    </row>
    <row r="2832" spans="1:74">
      <c r="A2832" s="18"/>
      <c r="B2832" s="19"/>
      <c r="BG2832" s="18"/>
      <c r="BH2832" s="18"/>
      <c r="BI2832" s="18"/>
      <c r="BJ2832" s="18"/>
      <c r="BK2832" s="18"/>
      <c r="BL2832" s="18"/>
      <c r="BM2832" s="18"/>
      <c r="BN2832" s="18"/>
      <c r="BO2832" s="18"/>
      <c r="BP2832" s="18"/>
      <c r="BQ2832" s="18"/>
      <c r="BR2832" s="18"/>
      <c r="BS2832" s="18"/>
      <c r="BT2832" s="18"/>
      <c r="BU2832" s="18"/>
      <c r="BV2832" s="18"/>
    </row>
    <row r="2833" spans="1:74">
      <c r="A2833" s="18"/>
      <c r="B2833" s="19"/>
      <c r="BG2833" s="18"/>
      <c r="BH2833" s="18"/>
      <c r="BI2833" s="18"/>
      <c r="BJ2833" s="18"/>
      <c r="BK2833" s="18"/>
      <c r="BL2833" s="18"/>
      <c r="BM2833" s="18"/>
      <c r="BN2833" s="18"/>
      <c r="BO2833" s="18"/>
      <c r="BP2833" s="18"/>
      <c r="BQ2833" s="18"/>
      <c r="BR2833" s="18"/>
      <c r="BS2833" s="18"/>
      <c r="BT2833" s="18"/>
      <c r="BU2833" s="18"/>
      <c r="BV2833" s="18"/>
    </row>
    <row r="2834" spans="1:74">
      <c r="A2834" s="18"/>
      <c r="B2834" s="19"/>
      <c r="BG2834" s="18"/>
      <c r="BH2834" s="18"/>
      <c r="BI2834" s="18"/>
      <c r="BJ2834" s="18"/>
      <c r="BK2834" s="18"/>
      <c r="BL2834" s="18"/>
      <c r="BM2834" s="18"/>
      <c r="BN2834" s="18"/>
      <c r="BO2834" s="18"/>
      <c r="BP2834" s="18"/>
      <c r="BQ2834" s="18"/>
      <c r="BR2834" s="18"/>
      <c r="BS2834" s="18"/>
      <c r="BT2834" s="18"/>
      <c r="BU2834" s="18"/>
      <c r="BV2834" s="18"/>
    </row>
    <row r="2835" spans="1:74">
      <c r="A2835" s="18"/>
      <c r="B2835" s="19"/>
      <c r="BG2835" s="18"/>
      <c r="BH2835" s="18"/>
      <c r="BI2835" s="18"/>
      <c r="BJ2835" s="18"/>
      <c r="BK2835" s="18"/>
      <c r="BL2835" s="18"/>
      <c r="BM2835" s="18"/>
      <c r="BN2835" s="18"/>
      <c r="BO2835" s="18"/>
      <c r="BP2835" s="18"/>
      <c r="BQ2835" s="18"/>
      <c r="BR2835" s="18"/>
      <c r="BS2835" s="18"/>
      <c r="BT2835" s="18"/>
      <c r="BU2835" s="18"/>
      <c r="BV2835" s="18"/>
    </row>
    <row r="2836" spans="1:74">
      <c r="A2836" s="18"/>
      <c r="B2836" s="19"/>
      <c r="BG2836" s="18"/>
      <c r="BH2836" s="18"/>
      <c r="BI2836" s="18"/>
      <c r="BJ2836" s="18"/>
      <c r="BK2836" s="18"/>
      <c r="BL2836" s="18"/>
      <c r="BM2836" s="18"/>
      <c r="BN2836" s="18"/>
      <c r="BO2836" s="18"/>
      <c r="BP2836" s="18"/>
      <c r="BQ2836" s="18"/>
      <c r="BR2836" s="18"/>
      <c r="BS2836" s="18"/>
      <c r="BT2836" s="18"/>
      <c r="BU2836" s="18"/>
      <c r="BV2836" s="18"/>
    </row>
    <row r="2837" spans="1:74">
      <c r="A2837" s="18"/>
      <c r="B2837" s="19"/>
      <c r="BG2837" s="18"/>
      <c r="BH2837" s="18"/>
      <c r="BI2837" s="18"/>
      <c r="BJ2837" s="18"/>
      <c r="BK2837" s="18"/>
      <c r="BL2837" s="18"/>
      <c r="BM2837" s="18"/>
      <c r="BN2837" s="18"/>
      <c r="BO2837" s="18"/>
      <c r="BP2837" s="18"/>
      <c r="BQ2837" s="18"/>
      <c r="BR2837" s="18"/>
      <c r="BS2837" s="18"/>
      <c r="BT2837" s="18"/>
      <c r="BU2837" s="18"/>
      <c r="BV2837" s="18"/>
    </row>
    <row r="2838" spans="1:74">
      <c r="A2838" s="18"/>
      <c r="B2838" s="19"/>
      <c r="BG2838" s="18"/>
      <c r="BH2838" s="18"/>
      <c r="BI2838" s="18"/>
      <c r="BJ2838" s="18"/>
      <c r="BK2838" s="18"/>
      <c r="BL2838" s="18"/>
      <c r="BM2838" s="18"/>
      <c r="BN2838" s="18"/>
      <c r="BO2838" s="18"/>
      <c r="BP2838" s="18"/>
      <c r="BQ2838" s="18"/>
      <c r="BR2838" s="18"/>
      <c r="BS2838" s="18"/>
      <c r="BT2838" s="18"/>
      <c r="BU2838" s="18"/>
      <c r="BV2838" s="18"/>
    </row>
    <row r="2839" spans="1:74">
      <c r="A2839" s="18"/>
      <c r="B2839" s="19"/>
      <c r="BG2839" s="18"/>
      <c r="BH2839" s="18"/>
      <c r="BI2839" s="18"/>
      <c r="BJ2839" s="18"/>
      <c r="BK2839" s="18"/>
      <c r="BL2839" s="18"/>
      <c r="BM2839" s="18"/>
      <c r="BN2839" s="18"/>
      <c r="BO2839" s="18"/>
      <c r="BP2839" s="18"/>
      <c r="BQ2839" s="18"/>
      <c r="BR2839" s="18"/>
      <c r="BS2839" s="18"/>
      <c r="BT2839" s="18"/>
      <c r="BU2839" s="18"/>
      <c r="BV2839" s="18"/>
    </row>
    <row r="2840" spans="1:74">
      <c r="A2840" s="18"/>
      <c r="B2840" s="19"/>
      <c r="BG2840" s="18"/>
      <c r="BH2840" s="18"/>
      <c r="BI2840" s="18"/>
      <c r="BJ2840" s="18"/>
      <c r="BK2840" s="18"/>
      <c r="BL2840" s="18"/>
      <c r="BM2840" s="18"/>
      <c r="BN2840" s="18"/>
      <c r="BO2840" s="18"/>
      <c r="BP2840" s="18"/>
      <c r="BQ2840" s="18"/>
      <c r="BR2840" s="18"/>
      <c r="BS2840" s="18"/>
      <c r="BT2840" s="18"/>
      <c r="BU2840" s="18"/>
      <c r="BV2840" s="18"/>
    </row>
    <row r="2841" spans="1:74">
      <c r="A2841" s="18"/>
      <c r="B2841" s="19"/>
      <c r="BG2841" s="18"/>
      <c r="BH2841" s="18"/>
      <c r="BI2841" s="18"/>
      <c r="BJ2841" s="18"/>
      <c r="BK2841" s="18"/>
      <c r="BL2841" s="18"/>
      <c r="BM2841" s="18"/>
      <c r="BN2841" s="18"/>
      <c r="BO2841" s="18"/>
      <c r="BP2841" s="18"/>
      <c r="BQ2841" s="18"/>
      <c r="BR2841" s="18"/>
      <c r="BS2841" s="18"/>
      <c r="BT2841" s="18"/>
      <c r="BU2841" s="18"/>
      <c r="BV2841" s="18"/>
    </row>
    <row r="2842" spans="1:74">
      <c r="A2842" s="18"/>
      <c r="B2842" s="19"/>
      <c r="BG2842" s="18"/>
      <c r="BH2842" s="18"/>
      <c r="BI2842" s="18"/>
      <c r="BJ2842" s="18"/>
      <c r="BK2842" s="18"/>
      <c r="BL2842" s="18"/>
      <c r="BM2842" s="18"/>
      <c r="BN2842" s="18"/>
      <c r="BO2842" s="18"/>
      <c r="BP2842" s="18"/>
      <c r="BQ2842" s="18"/>
      <c r="BR2842" s="18"/>
      <c r="BS2842" s="18"/>
      <c r="BT2842" s="18"/>
      <c r="BU2842" s="18"/>
      <c r="BV2842" s="18"/>
    </row>
    <row r="2843" spans="1:74">
      <c r="A2843" s="18"/>
      <c r="B2843" s="19"/>
      <c r="BG2843" s="18"/>
      <c r="BH2843" s="18"/>
      <c r="BI2843" s="18"/>
      <c r="BJ2843" s="18"/>
      <c r="BK2843" s="18"/>
      <c r="BL2843" s="18"/>
      <c r="BM2843" s="18"/>
      <c r="BN2843" s="18"/>
      <c r="BO2843" s="18"/>
      <c r="BP2843" s="18"/>
      <c r="BQ2843" s="18"/>
      <c r="BR2843" s="18"/>
      <c r="BS2843" s="18"/>
      <c r="BT2843" s="18"/>
      <c r="BU2843" s="18"/>
      <c r="BV2843" s="18"/>
    </row>
    <row r="2844" spans="1:74">
      <c r="A2844" s="18"/>
      <c r="B2844" s="19"/>
      <c r="BG2844" s="18"/>
      <c r="BH2844" s="18"/>
      <c r="BI2844" s="18"/>
      <c r="BJ2844" s="18"/>
      <c r="BK2844" s="18"/>
      <c r="BL2844" s="18"/>
      <c r="BM2844" s="18"/>
      <c r="BN2844" s="18"/>
      <c r="BO2844" s="18"/>
      <c r="BP2844" s="18"/>
      <c r="BQ2844" s="18"/>
      <c r="BR2844" s="18"/>
      <c r="BS2844" s="18"/>
      <c r="BT2844" s="18"/>
      <c r="BU2844" s="18"/>
      <c r="BV2844" s="18"/>
    </row>
    <row r="2845" spans="1:74">
      <c r="A2845" s="18"/>
      <c r="B2845" s="19"/>
      <c r="BG2845" s="18"/>
      <c r="BH2845" s="18"/>
      <c r="BI2845" s="18"/>
      <c r="BJ2845" s="18"/>
      <c r="BK2845" s="18"/>
      <c r="BL2845" s="18"/>
      <c r="BM2845" s="18"/>
      <c r="BN2845" s="18"/>
      <c r="BO2845" s="18"/>
      <c r="BP2845" s="18"/>
      <c r="BQ2845" s="18"/>
      <c r="BR2845" s="18"/>
      <c r="BS2845" s="18"/>
      <c r="BT2845" s="18"/>
      <c r="BU2845" s="18"/>
      <c r="BV2845" s="18"/>
    </row>
    <row r="2846" spans="1:74">
      <c r="A2846" s="18"/>
      <c r="B2846" s="19"/>
      <c r="BG2846" s="18"/>
      <c r="BH2846" s="18"/>
      <c r="BI2846" s="18"/>
      <c r="BJ2846" s="18"/>
      <c r="BK2846" s="18"/>
      <c r="BL2846" s="18"/>
      <c r="BM2846" s="18"/>
      <c r="BN2846" s="18"/>
      <c r="BO2846" s="18"/>
      <c r="BP2846" s="18"/>
      <c r="BQ2846" s="18"/>
      <c r="BR2846" s="18"/>
      <c r="BS2846" s="18"/>
      <c r="BT2846" s="18"/>
      <c r="BU2846" s="18"/>
      <c r="BV2846" s="18"/>
    </row>
    <row r="2847" spans="1:74">
      <c r="A2847" s="18"/>
      <c r="B2847" s="19"/>
      <c r="BG2847" s="18"/>
      <c r="BH2847" s="18"/>
      <c r="BI2847" s="18"/>
      <c r="BJ2847" s="18"/>
      <c r="BK2847" s="18"/>
      <c r="BL2847" s="18"/>
      <c r="BM2847" s="18"/>
      <c r="BN2847" s="18"/>
      <c r="BO2847" s="18"/>
      <c r="BP2847" s="18"/>
      <c r="BQ2847" s="18"/>
      <c r="BR2847" s="18"/>
      <c r="BS2847" s="18"/>
      <c r="BT2847" s="18"/>
      <c r="BU2847" s="18"/>
      <c r="BV2847" s="18"/>
    </row>
    <row r="2848" spans="1:74">
      <c r="A2848" s="18"/>
      <c r="B2848" s="19"/>
      <c r="BG2848" s="18"/>
      <c r="BH2848" s="18"/>
      <c r="BI2848" s="18"/>
      <c r="BJ2848" s="18"/>
      <c r="BK2848" s="18"/>
      <c r="BL2848" s="18"/>
      <c r="BM2848" s="18"/>
      <c r="BN2848" s="18"/>
      <c r="BO2848" s="18"/>
      <c r="BP2848" s="18"/>
      <c r="BQ2848" s="18"/>
      <c r="BR2848" s="18"/>
      <c r="BS2848" s="18"/>
      <c r="BT2848" s="18"/>
      <c r="BU2848" s="18"/>
      <c r="BV2848" s="18"/>
    </row>
    <row r="2849" spans="1:74">
      <c r="A2849" s="18"/>
      <c r="B2849" s="19"/>
      <c r="BG2849" s="18"/>
      <c r="BH2849" s="18"/>
      <c r="BI2849" s="18"/>
      <c r="BJ2849" s="18"/>
      <c r="BK2849" s="18"/>
      <c r="BL2849" s="18"/>
      <c r="BM2849" s="18"/>
      <c r="BN2849" s="18"/>
      <c r="BO2849" s="18"/>
      <c r="BP2849" s="18"/>
      <c r="BQ2849" s="18"/>
      <c r="BR2849" s="18"/>
      <c r="BS2849" s="18"/>
      <c r="BT2849" s="18"/>
      <c r="BU2849" s="18"/>
      <c r="BV2849" s="18"/>
    </row>
    <row r="2850" spans="1:74">
      <c r="A2850" s="18"/>
      <c r="B2850" s="19"/>
      <c r="BG2850" s="18"/>
      <c r="BH2850" s="18"/>
      <c r="BI2850" s="18"/>
      <c r="BJ2850" s="18"/>
      <c r="BK2850" s="18"/>
      <c r="BL2850" s="18"/>
      <c r="BM2850" s="18"/>
      <c r="BN2850" s="18"/>
      <c r="BO2850" s="18"/>
      <c r="BP2850" s="18"/>
      <c r="BQ2850" s="18"/>
      <c r="BR2850" s="18"/>
      <c r="BS2850" s="18"/>
      <c r="BT2850" s="18"/>
      <c r="BU2850" s="18"/>
      <c r="BV2850" s="18"/>
    </row>
    <row r="2851" spans="1:74">
      <c r="A2851" s="18"/>
      <c r="B2851" s="19"/>
      <c r="BG2851" s="18"/>
      <c r="BH2851" s="18"/>
      <c r="BI2851" s="18"/>
      <c r="BJ2851" s="18"/>
      <c r="BK2851" s="18"/>
      <c r="BL2851" s="18"/>
      <c r="BM2851" s="18"/>
      <c r="BN2851" s="18"/>
      <c r="BO2851" s="18"/>
      <c r="BP2851" s="18"/>
      <c r="BQ2851" s="18"/>
      <c r="BR2851" s="18"/>
      <c r="BS2851" s="18"/>
      <c r="BT2851" s="18"/>
      <c r="BU2851" s="18"/>
      <c r="BV2851" s="18"/>
    </row>
    <row r="2852" spans="1:74">
      <c r="A2852" s="18"/>
      <c r="B2852" s="19"/>
      <c r="BG2852" s="18"/>
      <c r="BH2852" s="18"/>
      <c r="BI2852" s="18"/>
      <c r="BJ2852" s="18"/>
      <c r="BK2852" s="18"/>
      <c r="BL2852" s="18"/>
      <c r="BM2852" s="18"/>
      <c r="BN2852" s="18"/>
      <c r="BO2852" s="18"/>
      <c r="BP2852" s="18"/>
      <c r="BQ2852" s="18"/>
      <c r="BR2852" s="18"/>
      <c r="BS2852" s="18"/>
      <c r="BT2852" s="18"/>
      <c r="BU2852" s="18"/>
      <c r="BV2852" s="18"/>
    </row>
    <row r="2853" spans="1:74">
      <c r="A2853" s="18"/>
      <c r="B2853" s="19"/>
      <c r="BG2853" s="18"/>
      <c r="BH2853" s="18"/>
      <c r="BI2853" s="18"/>
      <c r="BJ2853" s="18"/>
      <c r="BK2853" s="18"/>
      <c r="BL2853" s="18"/>
      <c r="BM2853" s="18"/>
      <c r="BN2853" s="18"/>
      <c r="BO2853" s="18"/>
      <c r="BP2853" s="18"/>
      <c r="BQ2853" s="18"/>
      <c r="BR2853" s="18"/>
      <c r="BS2853" s="18"/>
      <c r="BT2853" s="18"/>
      <c r="BU2853" s="18"/>
      <c r="BV2853" s="18"/>
    </row>
    <row r="2854" spans="1:74">
      <c r="A2854" s="18"/>
      <c r="B2854" s="19"/>
      <c r="BG2854" s="18"/>
      <c r="BH2854" s="18"/>
      <c r="BI2854" s="18"/>
      <c r="BJ2854" s="18"/>
      <c r="BK2854" s="18"/>
      <c r="BL2854" s="18"/>
      <c r="BM2854" s="18"/>
      <c r="BN2854" s="18"/>
      <c r="BO2854" s="18"/>
      <c r="BP2854" s="18"/>
      <c r="BQ2854" s="18"/>
      <c r="BR2854" s="18"/>
      <c r="BS2854" s="18"/>
      <c r="BT2854" s="18"/>
      <c r="BU2854" s="18"/>
      <c r="BV2854" s="18"/>
    </row>
    <row r="2855" spans="1:74">
      <c r="A2855" s="18"/>
      <c r="B2855" s="19"/>
      <c r="BG2855" s="18"/>
      <c r="BH2855" s="18"/>
      <c r="BI2855" s="18"/>
      <c r="BJ2855" s="18"/>
      <c r="BK2855" s="18"/>
      <c r="BL2855" s="18"/>
      <c r="BM2855" s="18"/>
      <c r="BN2855" s="18"/>
      <c r="BO2855" s="18"/>
      <c r="BP2855" s="18"/>
      <c r="BQ2855" s="18"/>
      <c r="BR2855" s="18"/>
      <c r="BS2855" s="18"/>
      <c r="BT2855" s="18"/>
      <c r="BU2855" s="18"/>
      <c r="BV2855" s="18"/>
    </row>
    <row r="2856" spans="1:74">
      <c r="A2856" s="18"/>
      <c r="B2856" s="19"/>
      <c r="BG2856" s="18"/>
      <c r="BH2856" s="18"/>
      <c r="BI2856" s="18"/>
      <c r="BJ2856" s="18"/>
      <c r="BK2856" s="18"/>
      <c r="BL2856" s="18"/>
      <c r="BM2856" s="18"/>
      <c r="BN2856" s="18"/>
      <c r="BO2856" s="18"/>
      <c r="BP2856" s="18"/>
      <c r="BQ2856" s="18"/>
      <c r="BR2856" s="18"/>
      <c r="BS2856" s="18"/>
      <c r="BT2856" s="18"/>
      <c r="BU2856" s="18"/>
      <c r="BV2856" s="18"/>
    </row>
    <row r="2857" spans="1:74">
      <c r="A2857" s="18"/>
      <c r="B2857" s="19"/>
      <c r="BG2857" s="18"/>
      <c r="BH2857" s="18"/>
      <c r="BI2857" s="18"/>
      <c r="BJ2857" s="18"/>
      <c r="BK2857" s="18"/>
      <c r="BL2857" s="18"/>
      <c r="BM2857" s="18"/>
      <c r="BN2857" s="18"/>
      <c r="BO2857" s="18"/>
      <c r="BP2857" s="18"/>
      <c r="BQ2857" s="18"/>
      <c r="BR2857" s="18"/>
      <c r="BS2857" s="18"/>
      <c r="BT2857" s="18"/>
      <c r="BU2857" s="18"/>
      <c r="BV2857" s="18"/>
    </row>
    <row r="2858" spans="1:74">
      <c r="A2858" s="18"/>
      <c r="B2858" s="19"/>
      <c r="BG2858" s="18"/>
      <c r="BH2858" s="18"/>
      <c r="BI2858" s="18"/>
      <c r="BJ2858" s="18"/>
      <c r="BK2858" s="18"/>
      <c r="BL2858" s="18"/>
      <c r="BM2858" s="18"/>
      <c r="BN2858" s="18"/>
      <c r="BO2858" s="18"/>
      <c r="BP2858" s="18"/>
      <c r="BQ2858" s="18"/>
      <c r="BR2858" s="18"/>
      <c r="BS2858" s="18"/>
      <c r="BT2858" s="18"/>
      <c r="BU2858" s="18"/>
      <c r="BV2858" s="18"/>
    </row>
    <row r="2859" spans="1:74">
      <c r="A2859" s="18"/>
      <c r="B2859" s="19"/>
      <c r="BG2859" s="18"/>
      <c r="BH2859" s="18"/>
      <c r="BI2859" s="18"/>
      <c r="BJ2859" s="18"/>
      <c r="BK2859" s="18"/>
      <c r="BL2859" s="18"/>
      <c r="BM2859" s="18"/>
      <c r="BN2859" s="18"/>
      <c r="BO2859" s="18"/>
      <c r="BP2859" s="18"/>
      <c r="BQ2859" s="18"/>
      <c r="BR2859" s="18"/>
      <c r="BS2859" s="18"/>
      <c r="BT2859" s="18"/>
      <c r="BU2859" s="18"/>
      <c r="BV2859" s="18"/>
    </row>
    <row r="2860" spans="1:74">
      <c r="A2860" s="18"/>
      <c r="B2860" s="19"/>
      <c r="BG2860" s="18"/>
      <c r="BH2860" s="18"/>
      <c r="BI2860" s="18"/>
      <c r="BJ2860" s="18"/>
      <c r="BK2860" s="18"/>
      <c r="BL2860" s="18"/>
      <c r="BM2860" s="18"/>
      <c r="BN2860" s="18"/>
      <c r="BO2860" s="18"/>
      <c r="BP2860" s="18"/>
      <c r="BQ2860" s="18"/>
      <c r="BR2860" s="18"/>
      <c r="BS2860" s="18"/>
      <c r="BT2860" s="18"/>
      <c r="BU2860" s="18"/>
      <c r="BV2860" s="18"/>
    </row>
    <row r="2861" spans="1:74">
      <c r="A2861" s="18"/>
      <c r="B2861" s="19"/>
      <c r="BG2861" s="18"/>
      <c r="BH2861" s="18"/>
      <c r="BI2861" s="18"/>
      <c r="BJ2861" s="18"/>
      <c r="BK2861" s="18"/>
      <c r="BL2861" s="18"/>
      <c r="BM2861" s="18"/>
      <c r="BN2861" s="18"/>
      <c r="BO2861" s="18"/>
      <c r="BP2861" s="18"/>
      <c r="BQ2861" s="18"/>
      <c r="BR2861" s="18"/>
      <c r="BS2861" s="18"/>
      <c r="BT2861" s="18"/>
      <c r="BU2861" s="18"/>
      <c r="BV2861" s="18"/>
    </row>
    <row r="2862" spans="1:74">
      <c r="A2862" s="18"/>
      <c r="B2862" s="19"/>
      <c r="BG2862" s="18"/>
      <c r="BH2862" s="18"/>
      <c r="BI2862" s="18"/>
      <c r="BJ2862" s="18"/>
      <c r="BK2862" s="18"/>
      <c r="BL2862" s="18"/>
      <c r="BM2862" s="18"/>
      <c r="BN2862" s="18"/>
      <c r="BO2862" s="18"/>
      <c r="BP2862" s="18"/>
      <c r="BQ2862" s="18"/>
      <c r="BR2862" s="18"/>
      <c r="BS2862" s="18"/>
      <c r="BT2862" s="18"/>
      <c r="BU2862" s="18"/>
      <c r="BV2862" s="18"/>
    </row>
    <row r="2863" spans="1:74">
      <c r="A2863" s="18"/>
      <c r="B2863" s="19"/>
      <c r="BG2863" s="18"/>
      <c r="BH2863" s="18"/>
      <c r="BI2863" s="18"/>
      <c r="BJ2863" s="18"/>
      <c r="BK2863" s="18"/>
      <c r="BL2863" s="18"/>
      <c r="BM2863" s="18"/>
      <c r="BN2863" s="18"/>
      <c r="BO2863" s="18"/>
      <c r="BP2863" s="18"/>
      <c r="BQ2863" s="18"/>
      <c r="BR2863" s="18"/>
      <c r="BS2863" s="18"/>
      <c r="BT2863" s="18"/>
      <c r="BU2863" s="18"/>
      <c r="BV2863" s="18"/>
    </row>
    <row r="2864" spans="1:74">
      <c r="A2864" s="18"/>
      <c r="B2864" s="19"/>
      <c r="BG2864" s="18"/>
      <c r="BH2864" s="18"/>
      <c r="BI2864" s="18"/>
      <c r="BJ2864" s="18"/>
      <c r="BK2864" s="18"/>
      <c r="BL2864" s="18"/>
      <c r="BM2864" s="18"/>
      <c r="BN2864" s="18"/>
      <c r="BO2864" s="18"/>
      <c r="BP2864" s="18"/>
      <c r="BQ2864" s="18"/>
      <c r="BR2864" s="18"/>
      <c r="BS2864" s="18"/>
      <c r="BT2864" s="18"/>
      <c r="BU2864" s="18"/>
      <c r="BV2864" s="18"/>
    </row>
    <row r="2865" spans="1:74">
      <c r="A2865" s="18"/>
      <c r="B2865" s="19"/>
      <c r="BG2865" s="18"/>
      <c r="BH2865" s="18"/>
      <c r="BI2865" s="18"/>
      <c r="BJ2865" s="18"/>
      <c r="BK2865" s="18"/>
      <c r="BL2865" s="18"/>
      <c r="BM2865" s="18"/>
      <c r="BN2865" s="18"/>
      <c r="BO2865" s="18"/>
      <c r="BP2865" s="18"/>
      <c r="BQ2865" s="18"/>
      <c r="BR2865" s="18"/>
      <c r="BS2865" s="18"/>
      <c r="BT2865" s="18"/>
      <c r="BU2865" s="18"/>
      <c r="BV2865" s="18"/>
    </row>
    <row r="2866" spans="1:74">
      <c r="A2866" s="18"/>
      <c r="B2866" s="19"/>
      <c r="BG2866" s="18"/>
      <c r="BH2866" s="18"/>
      <c r="BI2866" s="18"/>
      <c r="BJ2866" s="18"/>
      <c r="BK2866" s="18"/>
      <c r="BL2866" s="18"/>
      <c r="BM2866" s="18"/>
      <c r="BN2866" s="18"/>
      <c r="BO2866" s="18"/>
      <c r="BP2866" s="18"/>
      <c r="BQ2866" s="18"/>
      <c r="BR2866" s="18"/>
      <c r="BS2866" s="18"/>
      <c r="BT2866" s="18"/>
      <c r="BU2866" s="18"/>
      <c r="BV2866" s="18"/>
    </row>
    <row r="2867" spans="1:74">
      <c r="A2867" s="18"/>
      <c r="B2867" s="19"/>
      <c r="BG2867" s="18"/>
      <c r="BH2867" s="18"/>
      <c r="BI2867" s="18"/>
      <c r="BJ2867" s="18"/>
      <c r="BK2867" s="18"/>
      <c r="BL2867" s="18"/>
      <c r="BM2867" s="18"/>
      <c r="BN2867" s="18"/>
      <c r="BO2867" s="18"/>
      <c r="BP2867" s="18"/>
      <c r="BQ2867" s="18"/>
      <c r="BR2867" s="18"/>
      <c r="BS2867" s="18"/>
      <c r="BT2867" s="18"/>
      <c r="BU2867" s="18"/>
      <c r="BV2867" s="18"/>
    </row>
    <row r="2868" spans="1:74">
      <c r="A2868" s="18"/>
      <c r="B2868" s="19"/>
      <c r="BG2868" s="18"/>
      <c r="BH2868" s="18"/>
      <c r="BI2868" s="18"/>
      <c r="BJ2868" s="18"/>
      <c r="BK2868" s="18"/>
      <c r="BL2868" s="18"/>
      <c r="BM2868" s="18"/>
      <c r="BN2868" s="18"/>
      <c r="BO2868" s="18"/>
      <c r="BP2868" s="18"/>
      <c r="BQ2868" s="18"/>
      <c r="BR2868" s="18"/>
      <c r="BS2868" s="18"/>
      <c r="BT2868" s="18"/>
      <c r="BU2868" s="18"/>
      <c r="BV2868" s="18"/>
    </row>
    <row r="2869" spans="1:74">
      <c r="A2869" s="18"/>
      <c r="B2869" s="19"/>
      <c r="BG2869" s="18"/>
      <c r="BH2869" s="18"/>
      <c r="BI2869" s="18"/>
      <c r="BJ2869" s="18"/>
      <c r="BK2869" s="18"/>
      <c r="BL2869" s="18"/>
      <c r="BM2869" s="18"/>
      <c r="BN2869" s="18"/>
      <c r="BO2869" s="18"/>
      <c r="BP2869" s="18"/>
      <c r="BQ2869" s="18"/>
      <c r="BR2869" s="18"/>
      <c r="BS2869" s="18"/>
      <c r="BT2869" s="18"/>
      <c r="BU2869" s="18"/>
      <c r="BV2869" s="18"/>
    </row>
    <row r="2870" spans="1:74">
      <c r="A2870" s="18"/>
      <c r="B2870" s="19"/>
      <c r="BG2870" s="18"/>
      <c r="BH2870" s="18"/>
      <c r="BI2870" s="18"/>
      <c r="BJ2870" s="18"/>
      <c r="BK2870" s="18"/>
      <c r="BL2870" s="18"/>
      <c r="BM2870" s="18"/>
      <c r="BN2870" s="18"/>
      <c r="BO2870" s="18"/>
      <c r="BP2870" s="18"/>
      <c r="BQ2870" s="18"/>
      <c r="BR2870" s="18"/>
      <c r="BS2870" s="18"/>
      <c r="BT2870" s="18"/>
      <c r="BU2870" s="18"/>
      <c r="BV2870" s="18"/>
    </row>
    <row r="2871" spans="1:74">
      <c r="A2871" s="18"/>
      <c r="B2871" s="19"/>
      <c r="BG2871" s="18"/>
      <c r="BH2871" s="18"/>
      <c r="BI2871" s="18"/>
      <c r="BJ2871" s="18"/>
      <c r="BK2871" s="18"/>
      <c r="BL2871" s="18"/>
      <c r="BM2871" s="18"/>
      <c r="BN2871" s="18"/>
      <c r="BO2871" s="18"/>
      <c r="BP2871" s="18"/>
      <c r="BQ2871" s="18"/>
      <c r="BR2871" s="18"/>
      <c r="BS2871" s="18"/>
      <c r="BT2871" s="18"/>
      <c r="BU2871" s="18"/>
      <c r="BV2871" s="18"/>
    </row>
    <row r="2872" spans="1:74">
      <c r="A2872" s="18"/>
      <c r="B2872" s="19"/>
      <c r="BG2872" s="18"/>
      <c r="BH2872" s="18"/>
      <c r="BI2872" s="18"/>
      <c r="BJ2872" s="18"/>
      <c r="BK2872" s="18"/>
      <c r="BL2872" s="18"/>
      <c r="BM2872" s="18"/>
      <c r="BN2872" s="18"/>
      <c r="BO2872" s="18"/>
      <c r="BP2872" s="18"/>
      <c r="BQ2872" s="18"/>
      <c r="BR2872" s="18"/>
      <c r="BS2872" s="18"/>
      <c r="BT2872" s="18"/>
      <c r="BU2872" s="18"/>
      <c r="BV2872" s="18"/>
    </row>
    <row r="2873" spans="1:74">
      <c r="A2873" s="18"/>
      <c r="B2873" s="19"/>
      <c r="BG2873" s="18"/>
      <c r="BH2873" s="18"/>
      <c r="BI2873" s="18"/>
      <c r="BJ2873" s="18"/>
      <c r="BK2873" s="18"/>
      <c r="BL2873" s="18"/>
      <c r="BM2873" s="18"/>
      <c r="BN2873" s="18"/>
      <c r="BO2873" s="18"/>
      <c r="BP2873" s="18"/>
      <c r="BQ2873" s="18"/>
      <c r="BR2873" s="18"/>
      <c r="BS2873" s="18"/>
      <c r="BT2873" s="18"/>
      <c r="BU2873" s="18"/>
      <c r="BV2873" s="18"/>
    </row>
    <row r="2874" spans="1:74">
      <c r="A2874" s="18"/>
      <c r="B2874" s="19"/>
      <c r="BG2874" s="18"/>
      <c r="BH2874" s="18"/>
      <c r="BI2874" s="18"/>
      <c r="BJ2874" s="18"/>
      <c r="BK2874" s="18"/>
      <c r="BL2874" s="18"/>
      <c r="BM2874" s="18"/>
      <c r="BN2874" s="18"/>
      <c r="BO2874" s="18"/>
      <c r="BP2874" s="18"/>
      <c r="BQ2874" s="18"/>
      <c r="BR2874" s="18"/>
      <c r="BS2874" s="18"/>
      <c r="BT2874" s="18"/>
      <c r="BU2874" s="18"/>
      <c r="BV2874" s="18"/>
    </row>
    <row r="2875" spans="1:74">
      <c r="A2875" s="18"/>
      <c r="B2875" s="19"/>
      <c r="BG2875" s="18"/>
      <c r="BH2875" s="18"/>
      <c r="BI2875" s="18"/>
      <c r="BJ2875" s="18"/>
      <c r="BK2875" s="18"/>
      <c r="BL2875" s="18"/>
      <c r="BM2875" s="18"/>
      <c r="BN2875" s="18"/>
      <c r="BO2875" s="18"/>
      <c r="BP2875" s="18"/>
      <c r="BQ2875" s="18"/>
      <c r="BR2875" s="18"/>
      <c r="BS2875" s="18"/>
      <c r="BT2875" s="18"/>
      <c r="BU2875" s="18"/>
      <c r="BV2875" s="18"/>
    </row>
    <row r="2876" spans="1:74">
      <c r="A2876" s="18"/>
      <c r="B2876" s="19"/>
      <c r="BG2876" s="18"/>
      <c r="BH2876" s="18"/>
      <c r="BI2876" s="18"/>
      <c r="BJ2876" s="18"/>
      <c r="BK2876" s="18"/>
      <c r="BL2876" s="18"/>
      <c r="BM2876" s="18"/>
      <c r="BN2876" s="18"/>
      <c r="BO2876" s="18"/>
      <c r="BP2876" s="18"/>
      <c r="BQ2876" s="18"/>
      <c r="BR2876" s="18"/>
      <c r="BS2876" s="18"/>
      <c r="BT2876" s="18"/>
      <c r="BU2876" s="18"/>
      <c r="BV2876" s="18"/>
    </row>
    <row r="2877" spans="1:74">
      <c r="A2877" s="18"/>
      <c r="B2877" s="19"/>
      <c r="BG2877" s="18"/>
      <c r="BH2877" s="18"/>
      <c r="BI2877" s="18"/>
      <c r="BJ2877" s="18"/>
      <c r="BK2877" s="18"/>
      <c r="BL2877" s="18"/>
      <c r="BM2877" s="18"/>
      <c r="BN2877" s="18"/>
      <c r="BO2877" s="18"/>
      <c r="BP2877" s="18"/>
      <c r="BQ2877" s="18"/>
      <c r="BR2877" s="18"/>
      <c r="BS2877" s="18"/>
      <c r="BT2877" s="18"/>
      <c r="BU2877" s="18"/>
      <c r="BV2877" s="18"/>
    </row>
    <row r="2878" spans="1:74">
      <c r="A2878" s="18"/>
      <c r="B2878" s="19"/>
      <c r="BG2878" s="18"/>
      <c r="BH2878" s="18"/>
      <c r="BI2878" s="18"/>
      <c r="BJ2878" s="18"/>
      <c r="BK2878" s="18"/>
      <c r="BL2878" s="18"/>
      <c r="BM2878" s="18"/>
      <c r="BN2878" s="18"/>
      <c r="BO2878" s="18"/>
      <c r="BP2878" s="18"/>
      <c r="BQ2878" s="18"/>
      <c r="BR2878" s="18"/>
      <c r="BS2878" s="18"/>
      <c r="BT2878" s="18"/>
      <c r="BU2878" s="18"/>
      <c r="BV2878" s="18"/>
    </row>
    <row r="2879" spans="1:74">
      <c r="A2879" s="18"/>
      <c r="B2879" s="19"/>
      <c r="BG2879" s="18"/>
      <c r="BH2879" s="18"/>
      <c r="BI2879" s="18"/>
      <c r="BJ2879" s="18"/>
      <c r="BK2879" s="18"/>
      <c r="BL2879" s="18"/>
      <c r="BM2879" s="18"/>
      <c r="BN2879" s="18"/>
      <c r="BO2879" s="18"/>
      <c r="BP2879" s="18"/>
      <c r="BQ2879" s="18"/>
      <c r="BR2879" s="18"/>
      <c r="BS2879" s="18"/>
      <c r="BT2879" s="18"/>
      <c r="BU2879" s="18"/>
      <c r="BV2879" s="18"/>
    </row>
    <row r="2880" spans="1:74">
      <c r="A2880" s="18"/>
      <c r="B2880" s="19"/>
      <c r="BG2880" s="18"/>
      <c r="BH2880" s="18"/>
      <c r="BI2880" s="18"/>
      <c r="BJ2880" s="18"/>
      <c r="BK2880" s="18"/>
      <c r="BL2880" s="18"/>
      <c r="BM2880" s="18"/>
      <c r="BN2880" s="18"/>
      <c r="BO2880" s="18"/>
      <c r="BP2880" s="18"/>
      <c r="BQ2880" s="18"/>
      <c r="BR2880" s="18"/>
      <c r="BS2880" s="18"/>
      <c r="BT2880" s="18"/>
      <c r="BU2880" s="18"/>
      <c r="BV2880" s="18"/>
    </row>
    <row r="2881" spans="1:74">
      <c r="A2881" s="18"/>
      <c r="B2881" s="19"/>
      <c r="BG2881" s="18"/>
      <c r="BH2881" s="18"/>
      <c r="BI2881" s="18"/>
      <c r="BJ2881" s="18"/>
      <c r="BK2881" s="18"/>
      <c r="BL2881" s="18"/>
      <c r="BM2881" s="18"/>
      <c r="BN2881" s="18"/>
      <c r="BO2881" s="18"/>
      <c r="BP2881" s="18"/>
      <c r="BQ2881" s="18"/>
      <c r="BR2881" s="18"/>
      <c r="BS2881" s="18"/>
      <c r="BT2881" s="18"/>
      <c r="BU2881" s="18"/>
      <c r="BV2881" s="18"/>
    </row>
    <row r="2882" spans="1:74">
      <c r="A2882" s="18"/>
      <c r="B2882" s="19"/>
      <c r="BG2882" s="18"/>
      <c r="BH2882" s="18"/>
      <c r="BI2882" s="18"/>
      <c r="BJ2882" s="18"/>
      <c r="BK2882" s="18"/>
      <c r="BL2882" s="18"/>
      <c r="BM2882" s="18"/>
      <c r="BN2882" s="18"/>
      <c r="BO2882" s="18"/>
      <c r="BP2882" s="18"/>
      <c r="BQ2882" s="18"/>
      <c r="BR2882" s="18"/>
      <c r="BS2882" s="18"/>
      <c r="BT2882" s="18"/>
      <c r="BU2882" s="18"/>
      <c r="BV2882" s="18"/>
    </row>
    <row r="2883" spans="1:74">
      <c r="A2883" s="18"/>
      <c r="B2883" s="19"/>
      <c r="BG2883" s="18"/>
      <c r="BH2883" s="18"/>
      <c r="BI2883" s="18"/>
      <c r="BJ2883" s="18"/>
      <c r="BK2883" s="18"/>
      <c r="BL2883" s="18"/>
      <c r="BM2883" s="18"/>
      <c r="BN2883" s="18"/>
      <c r="BO2883" s="18"/>
      <c r="BP2883" s="18"/>
      <c r="BQ2883" s="18"/>
      <c r="BR2883" s="18"/>
      <c r="BS2883" s="18"/>
      <c r="BT2883" s="18"/>
      <c r="BU2883" s="18"/>
      <c r="BV2883" s="18"/>
    </row>
    <row r="2884" spans="1:74">
      <c r="A2884" s="18"/>
      <c r="B2884" s="19"/>
      <c r="BG2884" s="18"/>
      <c r="BH2884" s="18"/>
      <c r="BI2884" s="18"/>
      <c r="BJ2884" s="18"/>
      <c r="BK2884" s="18"/>
      <c r="BL2884" s="18"/>
      <c r="BM2884" s="18"/>
      <c r="BN2884" s="18"/>
      <c r="BO2884" s="18"/>
      <c r="BP2884" s="18"/>
      <c r="BQ2884" s="18"/>
      <c r="BR2884" s="18"/>
      <c r="BS2884" s="18"/>
      <c r="BT2884" s="18"/>
      <c r="BU2884" s="18"/>
      <c r="BV2884" s="18"/>
    </row>
    <row r="2885" spans="1:74">
      <c r="A2885" s="18"/>
      <c r="B2885" s="19"/>
      <c r="BG2885" s="18"/>
      <c r="BH2885" s="18"/>
      <c r="BI2885" s="18"/>
      <c r="BJ2885" s="18"/>
      <c r="BK2885" s="18"/>
      <c r="BL2885" s="18"/>
      <c r="BM2885" s="18"/>
      <c r="BN2885" s="18"/>
      <c r="BO2885" s="18"/>
      <c r="BP2885" s="18"/>
      <c r="BQ2885" s="18"/>
      <c r="BR2885" s="18"/>
      <c r="BS2885" s="18"/>
      <c r="BT2885" s="18"/>
      <c r="BU2885" s="18"/>
      <c r="BV2885" s="18"/>
    </row>
    <row r="2886" spans="1:74">
      <c r="A2886" s="18"/>
      <c r="B2886" s="19"/>
      <c r="BG2886" s="18"/>
      <c r="BH2886" s="18"/>
      <c r="BI2886" s="18"/>
      <c r="BJ2886" s="18"/>
      <c r="BK2886" s="18"/>
      <c r="BL2886" s="18"/>
      <c r="BM2886" s="18"/>
      <c r="BN2886" s="18"/>
      <c r="BO2886" s="18"/>
      <c r="BP2886" s="18"/>
      <c r="BQ2886" s="18"/>
      <c r="BR2886" s="18"/>
      <c r="BS2886" s="18"/>
      <c r="BT2886" s="18"/>
      <c r="BU2886" s="18"/>
      <c r="BV2886" s="18"/>
    </row>
    <row r="2887" spans="1:74">
      <c r="A2887" s="18"/>
      <c r="B2887" s="19"/>
      <c r="BG2887" s="18"/>
      <c r="BH2887" s="18"/>
      <c r="BI2887" s="18"/>
      <c r="BJ2887" s="18"/>
      <c r="BK2887" s="18"/>
      <c r="BL2887" s="18"/>
      <c r="BM2887" s="18"/>
      <c r="BN2887" s="18"/>
      <c r="BO2887" s="18"/>
      <c r="BP2887" s="18"/>
      <c r="BQ2887" s="18"/>
      <c r="BR2887" s="18"/>
      <c r="BS2887" s="18"/>
      <c r="BT2887" s="18"/>
      <c r="BU2887" s="18"/>
      <c r="BV2887" s="18"/>
    </row>
    <row r="2888" spans="1:74">
      <c r="A2888" s="18"/>
      <c r="B2888" s="19"/>
      <c r="BG2888" s="18"/>
      <c r="BH2888" s="18"/>
      <c r="BI2888" s="18"/>
      <c r="BJ2888" s="18"/>
      <c r="BK2888" s="18"/>
      <c r="BL2888" s="18"/>
      <c r="BM2888" s="18"/>
      <c r="BN2888" s="18"/>
      <c r="BO2888" s="18"/>
      <c r="BP2888" s="18"/>
      <c r="BQ2888" s="18"/>
      <c r="BR2888" s="18"/>
      <c r="BS2888" s="18"/>
      <c r="BT2888" s="18"/>
      <c r="BU2888" s="18"/>
      <c r="BV2888" s="18"/>
    </row>
    <row r="2889" spans="1:74">
      <c r="A2889" s="18"/>
      <c r="B2889" s="19"/>
      <c r="BG2889" s="18"/>
      <c r="BH2889" s="18"/>
      <c r="BI2889" s="18"/>
      <c r="BJ2889" s="18"/>
      <c r="BK2889" s="18"/>
      <c r="BL2889" s="18"/>
      <c r="BM2889" s="18"/>
      <c r="BN2889" s="18"/>
      <c r="BO2889" s="18"/>
      <c r="BP2889" s="18"/>
      <c r="BQ2889" s="18"/>
      <c r="BR2889" s="18"/>
      <c r="BS2889" s="18"/>
      <c r="BT2889" s="18"/>
      <c r="BU2889" s="18"/>
      <c r="BV2889" s="18"/>
    </row>
    <row r="2890" spans="1:74">
      <c r="A2890" s="18"/>
      <c r="B2890" s="19"/>
      <c r="BG2890" s="18"/>
      <c r="BH2890" s="18"/>
      <c r="BI2890" s="18"/>
      <c r="BJ2890" s="18"/>
      <c r="BK2890" s="18"/>
      <c r="BL2890" s="18"/>
      <c r="BM2890" s="18"/>
      <c r="BN2890" s="18"/>
      <c r="BO2890" s="18"/>
      <c r="BP2890" s="18"/>
      <c r="BQ2890" s="18"/>
      <c r="BR2890" s="18"/>
      <c r="BS2890" s="18"/>
      <c r="BT2890" s="18"/>
      <c r="BU2890" s="18"/>
      <c r="BV2890" s="18"/>
    </row>
    <row r="2891" spans="1:74">
      <c r="A2891" s="18"/>
      <c r="B2891" s="19"/>
      <c r="BG2891" s="18"/>
      <c r="BH2891" s="18"/>
      <c r="BI2891" s="18"/>
      <c r="BJ2891" s="18"/>
      <c r="BK2891" s="18"/>
      <c r="BL2891" s="18"/>
      <c r="BM2891" s="18"/>
      <c r="BN2891" s="18"/>
      <c r="BO2891" s="18"/>
      <c r="BP2891" s="18"/>
      <c r="BQ2891" s="18"/>
      <c r="BR2891" s="18"/>
      <c r="BS2891" s="18"/>
      <c r="BT2891" s="18"/>
      <c r="BU2891" s="18"/>
      <c r="BV2891" s="18"/>
    </row>
    <row r="2892" spans="1:74">
      <c r="A2892" s="18"/>
      <c r="B2892" s="19"/>
      <c r="BG2892" s="18"/>
      <c r="BH2892" s="18"/>
      <c r="BI2892" s="18"/>
      <c r="BJ2892" s="18"/>
      <c r="BK2892" s="18"/>
      <c r="BL2892" s="18"/>
      <c r="BM2892" s="18"/>
      <c r="BN2892" s="18"/>
      <c r="BO2892" s="18"/>
      <c r="BP2892" s="18"/>
      <c r="BQ2892" s="18"/>
      <c r="BR2892" s="18"/>
      <c r="BS2892" s="18"/>
      <c r="BT2892" s="18"/>
      <c r="BU2892" s="18"/>
      <c r="BV2892" s="18"/>
    </row>
    <row r="2893" spans="1:74">
      <c r="A2893" s="18"/>
      <c r="B2893" s="19"/>
      <c r="BG2893" s="18"/>
      <c r="BH2893" s="18"/>
      <c r="BI2893" s="18"/>
      <c r="BJ2893" s="18"/>
      <c r="BK2893" s="18"/>
      <c r="BL2893" s="18"/>
      <c r="BM2893" s="18"/>
      <c r="BN2893" s="18"/>
      <c r="BO2893" s="18"/>
      <c r="BP2893" s="18"/>
      <c r="BQ2893" s="18"/>
      <c r="BR2893" s="18"/>
      <c r="BS2893" s="18"/>
      <c r="BT2893" s="18"/>
      <c r="BU2893" s="18"/>
      <c r="BV2893" s="18"/>
    </row>
    <row r="2894" spans="1:74">
      <c r="A2894" s="18"/>
      <c r="B2894" s="19"/>
      <c r="BG2894" s="18"/>
      <c r="BH2894" s="18"/>
      <c r="BI2894" s="18"/>
      <c r="BJ2894" s="18"/>
      <c r="BK2894" s="18"/>
      <c r="BL2894" s="18"/>
      <c r="BM2894" s="18"/>
      <c r="BN2894" s="18"/>
      <c r="BO2894" s="18"/>
      <c r="BP2894" s="18"/>
      <c r="BQ2894" s="18"/>
      <c r="BR2894" s="18"/>
      <c r="BS2894" s="18"/>
      <c r="BT2894" s="18"/>
      <c r="BU2894" s="18"/>
      <c r="BV2894" s="18"/>
    </row>
    <row r="2895" spans="1:74">
      <c r="A2895" s="18"/>
      <c r="B2895" s="19"/>
      <c r="BG2895" s="18"/>
      <c r="BH2895" s="18"/>
      <c r="BI2895" s="18"/>
      <c r="BJ2895" s="18"/>
      <c r="BK2895" s="18"/>
      <c r="BL2895" s="18"/>
      <c r="BM2895" s="18"/>
      <c r="BN2895" s="18"/>
      <c r="BO2895" s="18"/>
      <c r="BP2895" s="18"/>
      <c r="BQ2895" s="18"/>
      <c r="BR2895" s="18"/>
      <c r="BS2895" s="18"/>
      <c r="BT2895" s="18"/>
      <c r="BU2895" s="18"/>
      <c r="BV2895" s="18"/>
    </row>
    <row r="2896" spans="1:74">
      <c r="A2896" s="18"/>
      <c r="B2896" s="19"/>
      <c r="BG2896" s="18"/>
      <c r="BH2896" s="18"/>
      <c r="BI2896" s="18"/>
      <c r="BJ2896" s="18"/>
      <c r="BK2896" s="18"/>
      <c r="BL2896" s="18"/>
      <c r="BM2896" s="18"/>
      <c r="BN2896" s="18"/>
      <c r="BO2896" s="18"/>
      <c r="BP2896" s="18"/>
      <c r="BQ2896" s="18"/>
      <c r="BR2896" s="18"/>
      <c r="BS2896" s="18"/>
      <c r="BT2896" s="18"/>
      <c r="BU2896" s="18"/>
      <c r="BV2896" s="18"/>
    </row>
    <row r="2897" spans="1:74">
      <c r="A2897" s="18"/>
      <c r="B2897" s="19"/>
      <c r="BG2897" s="18"/>
      <c r="BH2897" s="18"/>
      <c r="BI2897" s="18"/>
      <c r="BJ2897" s="18"/>
      <c r="BK2897" s="18"/>
      <c r="BL2897" s="18"/>
      <c r="BM2897" s="18"/>
      <c r="BN2897" s="18"/>
      <c r="BO2897" s="18"/>
      <c r="BP2897" s="18"/>
      <c r="BQ2897" s="18"/>
      <c r="BR2897" s="18"/>
      <c r="BS2897" s="18"/>
      <c r="BT2897" s="18"/>
      <c r="BU2897" s="18"/>
      <c r="BV2897" s="18"/>
    </row>
    <row r="2898" spans="1:74">
      <c r="A2898" s="18"/>
      <c r="B2898" s="19"/>
      <c r="BG2898" s="18"/>
      <c r="BH2898" s="18"/>
      <c r="BI2898" s="18"/>
      <c r="BJ2898" s="18"/>
      <c r="BK2898" s="18"/>
      <c r="BL2898" s="18"/>
      <c r="BM2898" s="18"/>
      <c r="BN2898" s="18"/>
      <c r="BO2898" s="18"/>
      <c r="BP2898" s="18"/>
      <c r="BQ2898" s="18"/>
      <c r="BR2898" s="18"/>
      <c r="BS2898" s="18"/>
      <c r="BT2898" s="18"/>
      <c r="BU2898" s="18"/>
      <c r="BV2898" s="18"/>
    </row>
    <row r="2899" spans="1:74">
      <c r="A2899" s="18"/>
      <c r="B2899" s="19"/>
      <c r="BG2899" s="18"/>
      <c r="BH2899" s="18"/>
      <c r="BI2899" s="18"/>
      <c r="BJ2899" s="18"/>
      <c r="BK2899" s="18"/>
      <c r="BL2899" s="18"/>
      <c r="BM2899" s="18"/>
      <c r="BN2899" s="18"/>
      <c r="BO2899" s="18"/>
      <c r="BP2899" s="18"/>
      <c r="BQ2899" s="18"/>
      <c r="BR2899" s="18"/>
      <c r="BS2899" s="18"/>
      <c r="BT2899" s="18"/>
      <c r="BU2899" s="18"/>
      <c r="BV2899" s="18"/>
    </row>
    <row r="2900" spans="1:74">
      <c r="A2900" s="18"/>
      <c r="B2900" s="19"/>
      <c r="BG2900" s="18"/>
      <c r="BH2900" s="18"/>
      <c r="BI2900" s="18"/>
      <c r="BJ2900" s="18"/>
      <c r="BK2900" s="18"/>
      <c r="BL2900" s="18"/>
      <c r="BM2900" s="18"/>
      <c r="BN2900" s="18"/>
      <c r="BO2900" s="18"/>
      <c r="BP2900" s="18"/>
      <c r="BQ2900" s="18"/>
      <c r="BR2900" s="18"/>
      <c r="BS2900" s="18"/>
      <c r="BT2900" s="18"/>
      <c r="BU2900" s="18"/>
      <c r="BV2900" s="18"/>
    </row>
    <row r="2901" spans="1:74">
      <c r="A2901" s="18"/>
      <c r="B2901" s="19"/>
      <c r="BG2901" s="18"/>
      <c r="BH2901" s="18"/>
      <c r="BI2901" s="18"/>
      <c r="BJ2901" s="18"/>
      <c r="BK2901" s="18"/>
      <c r="BL2901" s="18"/>
      <c r="BM2901" s="18"/>
      <c r="BN2901" s="18"/>
      <c r="BO2901" s="18"/>
      <c r="BP2901" s="18"/>
      <c r="BQ2901" s="18"/>
      <c r="BR2901" s="18"/>
      <c r="BS2901" s="18"/>
      <c r="BT2901" s="18"/>
      <c r="BU2901" s="18"/>
      <c r="BV2901" s="18"/>
    </row>
    <row r="2902" spans="1:74">
      <c r="A2902" s="18"/>
      <c r="B2902" s="19"/>
      <c r="BG2902" s="18"/>
      <c r="BH2902" s="18"/>
      <c r="BI2902" s="18"/>
      <c r="BJ2902" s="18"/>
      <c r="BK2902" s="18"/>
      <c r="BL2902" s="18"/>
      <c r="BM2902" s="18"/>
      <c r="BN2902" s="18"/>
      <c r="BO2902" s="18"/>
      <c r="BP2902" s="18"/>
      <c r="BQ2902" s="18"/>
      <c r="BR2902" s="18"/>
      <c r="BS2902" s="18"/>
      <c r="BT2902" s="18"/>
      <c r="BU2902" s="18"/>
      <c r="BV2902" s="18"/>
    </row>
    <row r="2903" spans="1:74">
      <c r="A2903" s="18"/>
      <c r="B2903" s="19"/>
      <c r="BG2903" s="18"/>
      <c r="BH2903" s="18"/>
      <c r="BI2903" s="18"/>
      <c r="BJ2903" s="18"/>
      <c r="BK2903" s="18"/>
      <c r="BL2903" s="18"/>
      <c r="BM2903" s="18"/>
      <c r="BN2903" s="18"/>
      <c r="BO2903" s="18"/>
      <c r="BP2903" s="18"/>
      <c r="BQ2903" s="18"/>
      <c r="BR2903" s="18"/>
      <c r="BS2903" s="18"/>
      <c r="BT2903" s="18"/>
      <c r="BU2903" s="18"/>
      <c r="BV2903" s="18"/>
    </row>
    <row r="2904" spans="1:74">
      <c r="A2904" s="18"/>
      <c r="B2904" s="19"/>
      <c r="BG2904" s="18"/>
      <c r="BH2904" s="18"/>
      <c r="BI2904" s="18"/>
      <c r="BJ2904" s="18"/>
      <c r="BK2904" s="18"/>
      <c r="BL2904" s="18"/>
      <c r="BM2904" s="18"/>
      <c r="BN2904" s="18"/>
      <c r="BO2904" s="18"/>
      <c r="BP2904" s="18"/>
      <c r="BQ2904" s="18"/>
      <c r="BR2904" s="18"/>
      <c r="BS2904" s="18"/>
      <c r="BT2904" s="18"/>
      <c r="BU2904" s="18"/>
      <c r="BV2904" s="18"/>
    </row>
    <row r="2905" spans="1:74">
      <c r="A2905" s="18"/>
      <c r="B2905" s="19"/>
      <c r="BG2905" s="18"/>
      <c r="BH2905" s="18"/>
      <c r="BI2905" s="18"/>
      <c r="BJ2905" s="18"/>
      <c r="BK2905" s="18"/>
      <c r="BL2905" s="18"/>
      <c r="BM2905" s="18"/>
      <c r="BN2905" s="18"/>
      <c r="BO2905" s="18"/>
      <c r="BP2905" s="18"/>
      <c r="BQ2905" s="18"/>
      <c r="BR2905" s="18"/>
      <c r="BS2905" s="18"/>
      <c r="BT2905" s="18"/>
      <c r="BU2905" s="18"/>
      <c r="BV2905" s="18"/>
    </row>
    <row r="2906" spans="1:74">
      <c r="A2906" s="18"/>
      <c r="B2906" s="19"/>
      <c r="BG2906" s="18"/>
      <c r="BH2906" s="18"/>
      <c r="BI2906" s="18"/>
      <c r="BJ2906" s="18"/>
      <c r="BK2906" s="18"/>
      <c r="BL2906" s="18"/>
      <c r="BM2906" s="18"/>
      <c r="BN2906" s="18"/>
      <c r="BO2906" s="18"/>
      <c r="BP2906" s="18"/>
      <c r="BQ2906" s="18"/>
      <c r="BR2906" s="18"/>
      <c r="BS2906" s="18"/>
      <c r="BT2906" s="18"/>
      <c r="BU2906" s="18"/>
      <c r="BV2906" s="18"/>
    </row>
    <row r="2907" spans="1:74">
      <c r="A2907" s="18"/>
      <c r="B2907" s="19"/>
      <c r="BG2907" s="18"/>
      <c r="BH2907" s="18"/>
      <c r="BI2907" s="18"/>
      <c r="BJ2907" s="18"/>
      <c r="BK2907" s="18"/>
      <c r="BL2907" s="18"/>
      <c r="BM2907" s="18"/>
      <c r="BN2907" s="18"/>
      <c r="BO2907" s="18"/>
      <c r="BP2907" s="18"/>
      <c r="BQ2907" s="18"/>
      <c r="BR2907" s="18"/>
      <c r="BS2907" s="18"/>
      <c r="BT2907" s="18"/>
      <c r="BU2907" s="18"/>
      <c r="BV2907" s="18"/>
    </row>
    <row r="2908" spans="1:74">
      <c r="A2908" s="18"/>
      <c r="B2908" s="19"/>
      <c r="BG2908" s="18"/>
      <c r="BH2908" s="18"/>
      <c r="BI2908" s="18"/>
      <c r="BJ2908" s="18"/>
      <c r="BK2908" s="18"/>
      <c r="BL2908" s="18"/>
      <c r="BM2908" s="18"/>
      <c r="BN2908" s="18"/>
      <c r="BO2908" s="18"/>
      <c r="BP2908" s="18"/>
      <c r="BQ2908" s="18"/>
      <c r="BR2908" s="18"/>
      <c r="BS2908" s="18"/>
      <c r="BT2908" s="18"/>
      <c r="BU2908" s="18"/>
      <c r="BV2908" s="18"/>
    </row>
    <row r="2909" spans="1:74">
      <c r="A2909" s="18"/>
      <c r="B2909" s="19"/>
      <c r="BG2909" s="18"/>
      <c r="BH2909" s="18"/>
      <c r="BI2909" s="18"/>
      <c r="BJ2909" s="18"/>
      <c r="BK2909" s="18"/>
      <c r="BL2909" s="18"/>
      <c r="BM2909" s="18"/>
      <c r="BN2909" s="18"/>
      <c r="BO2909" s="18"/>
      <c r="BP2909" s="18"/>
      <c r="BQ2909" s="18"/>
      <c r="BR2909" s="18"/>
      <c r="BS2909" s="18"/>
      <c r="BT2909" s="18"/>
      <c r="BU2909" s="18"/>
      <c r="BV2909" s="18"/>
    </row>
    <row r="2910" spans="1:74">
      <c r="A2910" s="18"/>
      <c r="B2910" s="19"/>
      <c r="BG2910" s="18"/>
      <c r="BH2910" s="18"/>
      <c r="BI2910" s="18"/>
      <c r="BJ2910" s="18"/>
      <c r="BK2910" s="18"/>
      <c r="BL2910" s="18"/>
      <c r="BM2910" s="18"/>
      <c r="BN2910" s="18"/>
      <c r="BO2910" s="18"/>
      <c r="BP2910" s="18"/>
      <c r="BQ2910" s="18"/>
      <c r="BR2910" s="18"/>
      <c r="BS2910" s="18"/>
      <c r="BT2910" s="18"/>
      <c r="BU2910" s="18"/>
      <c r="BV2910" s="18"/>
    </row>
    <row r="2911" spans="1:74">
      <c r="A2911" s="18"/>
      <c r="B2911" s="19"/>
      <c r="BG2911" s="18"/>
      <c r="BH2911" s="18"/>
      <c r="BI2911" s="18"/>
      <c r="BJ2911" s="18"/>
      <c r="BK2911" s="18"/>
      <c r="BL2911" s="18"/>
      <c r="BM2911" s="18"/>
      <c r="BN2911" s="18"/>
      <c r="BO2911" s="18"/>
      <c r="BP2911" s="18"/>
      <c r="BQ2911" s="18"/>
      <c r="BR2911" s="18"/>
      <c r="BS2911" s="18"/>
      <c r="BT2911" s="18"/>
      <c r="BU2911" s="18"/>
      <c r="BV2911" s="18"/>
    </row>
    <row r="2912" spans="1:74">
      <c r="A2912" s="18"/>
      <c r="B2912" s="19"/>
      <c r="BG2912" s="18"/>
      <c r="BH2912" s="18"/>
      <c r="BI2912" s="18"/>
      <c r="BJ2912" s="18"/>
      <c r="BK2912" s="18"/>
      <c r="BL2912" s="18"/>
      <c r="BM2912" s="18"/>
      <c r="BN2912" s="18"/>
      <c r="BO2912" s="18"/>
      <c r="BP2912" s="18"/>
      <c r="BQ2912" s="18"/>
      <c r="BR2912" s="18"/>
      <c r="BS2912" s="18"/>
      <c r="BT2912" s="18"/>
      <c r="BU2912" s="18"/>
      <c r="BV2912" s="18"/>
    </row>
    <row r="2913" spans="1:74">
      <c r="A2913" s="18"/>
      <c r="B2913" s="19"/>
      <c r="BG2913" s="18"/>
      <c r="BH2913" s="18"/>
      <c r="BI2913" s="18"/>
      <c r="BJ2913" s="18"/>
      <c r="BK2913" s="18"/>
      <c r="BL2913" s="18"/>
      <c r="BM2913" s="18"/>
      <c r="BN2913" s="18"/>
      <c r="BO2913" s="18"/>
      <c r="BP2913" s="18"/>
      <c r="BQ2913" s="18"/>
      <c r="BR2913" s="18"/>
      <c r="BS2913" s="18"/>
      <c r="BT2913" s="18"/>
      <c r="BU2913" s="18"/>
      <c r="BV2913" s="18"/>
    </row>
    <row r="2914" spans="1:74">
      <c r="A2914" s="18"/>
      <c r="B2914" s="19"/>
      <c r="BG2914" s="18"/>
      <c r="BH2914" s="18"/>
      <c r="BI2914" s="18"/>
      <c r="BJ2914" s="18"/>
      <c r="BK2914" s="18"/>
      <c r="BL2914" s="18"/>
      <c r="BM2914" s="18"/>
      <c r="BN2914" s="18"/>
      <c r="BO2914" s="18"/>
      <c r="BP2914" s="18"/>
      <c r="BQ2914" s="18"/>
      <c r="BR2914" s="18"/>
      <c r="BS2914" s="18"/>
      <c r="BT2914" s="18"/>
      <c r="BU2914" s="18"/>
      <c r="BV2914" s="18"/>
    </row>
    <row r="2915" spans="1:74">
      <c r="A2915" s="18"/>
      <c r="B2915" s="19"/>
      <c r="BG2915" s="18"/>
      <c r="BH2915" s="18"/>
      <c r="BI2915" s="18"/>
      <c r="BJ2915" s="18"/>
      <c r="BK2915" s="18"/>
      <c r="BL2915" s="18"/>
      <c r="BM2915" s="18"/>
      <c r="BN2915" s="18"/>
      <c r="BO2915" s="18"/>
      <c r="BP2915" s="18"/>
      <c r="BQ2915" s="18"/>
      <c r="BR2915" s="18"/>
      <c r="BS2915" s="18"/>
      <c r="BT2915" s="18"/>
      <c r="BU2915" s="18"/>
      <c r="BV2915" s="18"/>
    </row>
    <row r="2916" spans="1:74">
      <c r="A2916" s="18"/>
      <c r="B2916" s="19"/>
      <c r="BG2916" s="18"/>
      <c r="BH2916" s="18"/>
      <c r="BI2916" s="18"/>
      <c r="BJ2916" s="18"/>
      <c r="BK2916" s="18"/>
      <c r="BL2916" s="18"/>
      <c r="BM2916" s="18"/>
      <c r="BN2916" s="18"/>
      <c r="BO2916" s="18"/>
      <c r="BP2916" s="18"/>
      <c r="BQ2916" s="18"/>
      <c r="BR2916" s="18"/>
      <c r="BS2916" s="18"/>
      <c r="BT2916" s="18"/>
      <c r="BU2916" s="18"/>
      <c r="BV2916" s="18"/>
    </row>
    <row r="2917" spans="1:74">
      <c r="A2917" s="18"/>
      <c r="B2917" s="19"/>
      <c r="BG2917" s="18"/>
      <c r="BH2917" s="18"/>
      <c r="BI2917" s="18"/>
      <c r="BJ2917" s="18"/>
      <c r="BK2917" s="18"/>
      <c r="BL2917" s="18"/>
      <c r="BM2917" s="18"/>
      <c r="BN2917" s="18"/>
      <c r="BO2917" s="18"/>
      <c r="BP2917" s="18"/>
      <c r="BQ2917" s="18"/>
      <c r="BR2917" s="18"/>
      <c r="BS2917" s="18"/>
      <c r="BT2917" s="18"/>
      <c r="BU2917" s="18"/>
      <c r="BV2917" s="18"/>
    </row>
    <row r="2918" spans="1:74">
      <c r="A2918" s="18"/>
      <c r="B2918" s="19"/>
      <c r="BG2918" s="18"/>
      <c r="BH2918" s="18"/>
      <c r="BI2918" s="18"/>
      <c r="BJ2918" s="18"/>
      <c r="BK2918" s="18"/>
      <c r="BL2918" s="18"/>
      <c r="BM2918" s="18"/>
      <c r="BN2918" s="18"/>
      <c r="BO2918" s="18"/>
      <c r="BP2918" s="18"/>
      <c r="BQ2918" s="18"/>
      <c r="BR2918" s="18"/>
      <c r="BS2918" s="18"/>
      <c r="BT2918" s="18"/>
      <c r="BU2918" s="18"/>
      <c r="BV2918" s="18"/>
    </row>
    <row r="2919" spans="1:74">
      <c r="A2919" s="18"/>
      <c r="B2919" s="19"/>
      <c r="BG2919" s="18"/>
      <c r="BH2919" s="18"/>
      <c r="BI2919" s="18"/>
      <c r="BJ2919" s="18"/>
      <c r="BK2919" s="18"/>
      <c r="BL2919" s="18"/>
      <c r="BM2919" s="18"/>
      <c r="BN2919" s="18"/>
      <c r="BO2919" s="18"/>
      <c r="BP2919" s="18"/>
      <c r="BQ2919" s="18"/>
      <c r="BR2919" s="18"/>
      <c r="BS2919" s="18"/>
      <c r="BT2919" s="18"/>
      <c r="BU2919" s="18"/>
      <c r="BV2919" s="18"/>
    </row>
    <row r="2920" spans="1:74">
      <c r="A2920" s="18"/>
      <c r="B2920" s="19"/>
      <c r="BG2920" s="18"/>
      <c r="BH2920" s="18"/>
      <c r="BI2920" s="18"/>
      <c r="BJ2920" s="18"/>
      <c r="BK2920" s="18"/>
      <c r="BL2920" s="18"/>
      <c r="BM2920" s="18"/>
      <c r="BN2920" s="18"/>
      <c r="BO2920" s="18"/>
      <c r="BP2920" s="18"/>
      <c r="BQ2920" s="18"/>
      <c r="BR2920" s="18"/>
      <c r="BS2920" s="18"/>
      <c r="BT2920" s="18"/>
      <c r="BU2920" s="18"/>
      <c r="BV2920" s="18"/>
    </row>
    <row r="2921" spans="1:74">
      <c r="A2921" s="18"/>
      <c r="B2921" s="19"/>
      <c r="BG2921" s="18"/>
      <c r="BH2921" s="18"/>
      <c r="BI2921" s="18"/>
      <c r="BJ2921" s="18"/>
      <c r="BK2921" s="18"/>
      <c r="BL2921" s="18"/>
      <c r="BM2921" s="18"/>
      <c r="BN2921" s="18"/>
      <c r="BO2921" s="18"/>
      <c r="BP2921" s="18"/>
      <c r="BQ2921" s="18"/>
      <c r="BR2921" s="18"/>
      <c r="BS2921" s="18"/>
      <c r="BT2921" s="18"/>
      <c r="BU2921" s="18"/>
      <c r="BV2921" s="18"/>
    </row>
    <row r="2922" spans="1:74">
      <c r="A2922" s="18"/>
      <c r="B2922" s="19"/>
      <c r="BG2922" s="18"/>
      <c r="BH2922" s="18"/>
      <c r="BI2922" s="18"/>
      <c r="BJ2922" s="18"/>
      <c r="BK2922" s="18"/>
      <c r="BL2922" s="18"/>
      <c r="BM2922" s="18"/>
      <c r="BN2922" s="18"/>
      <c r="BO2922" s="18"/>
      <c r="BP2922" s="18"/>
      <c r="BQ2922" s="18"/>
      <c r="BR2922" s="18"/>
      <c r="BS2922" s="18"/>
      <c r="BT2922" s="18"/>
      <c r="BU2922" s="18"/>
      <c r="BV2922" s="18"/>
    </row>
    <row r="2923" spans="1:74">
      <c r="A2923" s="18"/>
      <c r="B2923" s="19"/>
      <c r="BG2923" s="18"/>
      <c r="BH2923" s="18"/>
      <c r="BI2923" s="18"/>
      <c r="BJ2923" s="18"/>
      <c r="BK2923" s="18"/>
      <c r="BL2923" s="18"/>
      <c r="BM2923" s="18"/>
      <c r="BN2923" s="18"/>
      <c r="BO2923" s="18"/>
      <c r="BP2923" s="18"/>
      <c r="BQ2923" s="18"/>
      <c r="BR2923" s="18"/>
      <c r="BS2923" s="18"/>
      <c r="BT2923" s="18"/>
      <c r="BU2923" s="18"/>
      <c r="BV2923" s="18"/>
    </row>
    <row r="2924" spans="1:74">
      <c r="A2924" s="18"/>
      <c r="B2924" s="19"/>
      <c r="BG2924" s="18"/>
      <c r="BH2924" s="18"/>
      <c r="BI2924" s="18"/>
      <c r="BJ2924" s="18"/>
      <c r="BK2924" s="18"/>
      <c r="BL2924" s="18"/>
      <c r="BM2924" s="18"/>
      <c r="BN2924" s="18"/>
      <c r="BO2924" s="18"/>
      <c r="BP2924" s="18"/>
      <c r="BQ2924" s="18"/>
      <c r="BR2924" s="18"/>
      <c r="BS2924" s="18"/>
      <c r="BT2924" s="18"/>
      <c r="BU2924" s="18"/>
      <c r="BV2924" s="18"/>
    </row>
    <row r="2925" spans="1:74">
      <c r="A2925" s="18"/>
      <c r="B2925" s="19"/>
      <c r="BG2925" s="18"/>
      <c r="BH2925" s="18"/>
      <c r="BI2925" s="18"/>
      <c r="BJ2925" s="18"/>
      <c r="BK2925" s="18"/>
      <c r="BL2925" s="18"/>
      <c r="BM2925" s="18"/>
      <c r="BN2925" s="18"/>
      <c r="BO2925" s="18"/>
      <c r="BP2925" s="18"/>
      <c r="BQ2925" s="18"/>
      <c r="BR2925" s="18"/>
      <c r="BS2925" s="18"/>
      <c r="BT2925" s="18"/>
      <c r="BU2925" s="18"/>
      <c r="BV2925" s="18"/>
    </row>
    <row r="2926" spans="1:74">
      <c r="A2926" s="18"/>
      <c r="B2926" s="19"/>
      <c r="BG2926" s="18"/>
      <c r="BH2926" s="18"/>
      <c r="BI2926" s="18"/>
      <c r="BJ2926" s="18"/>
      <c r="BK2926" s="18"/>
      <c r="BL2926" s="18"/>
      <c r="BM2926" s="18"/>
      <c r="BN2926" s="18"/>
      <c r="BO2926" s="18"/>
      <c r="BP2926" s="18"/>
      <c r="BQ2926" s="18"/>
      <c r="BR2926" s="18"/>
      <c r="BS2926" s="18"/>
      <c r="BT2926" s="18"/>
      <c r="BU2926" s="18"/>
      <c r="BV2926" s="18"/>
    </row>
    <row r="2927" spans="1:74">
      <c r="A2927" s="18"/>
      <c r="B2927" s="19"/>
      <c r="BG2927" s="18"/>
      <c r="BH2927" s="18"/>
      <c r="BI2927" s="18"/>
      <c r="BJ2927" s="18"/>
      <c r="BK2927" s="18"/>
      <c r="BL2927" s="18"/>
      <c r="BM2927" s="18"/>
      <c r="BN2927" s="18"/>
      <c r="BO2927" s="18"/>
      <c r="BP2927" s="18"/>
      <c r="BQ2927" s="18"/>
      <c r="BR2927" s="18"/>
      <c r="BS2927" s="18"/>
      <c r="BT2927" s="18"/>
      <c r="BU2927" s="18"/>
      <c r="BV2927" s="18"/>
    </row>
    <row r="2928" spans="1:74">
      <c r="A2928" s="18"/>
      <c r="B2928" s="19"/>
      <c r="BG2928" s="18"/>
      <c r="BH2928" s="18"/>
      <c r="BI2928" s="18"/>
      <c r="BJ2928" s="18"/>
      <c r="BK2928" s="18"/>
      <c r="BL2928" s="18"/>
      <c r="BM2928" s="18"/>
      <c r="BN2928" s="18"/>
      <c r="BO2928" s="18"/>
      <c r="BP2928" s="18"/>
      <c r="BQ2928" s="18"/>
      <c r="BR2928" s="18"/>
      <c r="BS2928" s="18"/>
      <c r="BT2928" s="18"/>
      <c r="BU2928" s="18"/>
      <c r="BV2928" s="18"/>
    </row>
    <row r="2929" spans="1:74">
      <c r="A2929" s="18"/>
      <c r="B2929" s="19"/>
      <c r="BG2929" s="18"/>
      <c r="BH2929" s="18"/>
      <c r="BI2929" s="18"/>
      <c r="BJ2929" s="18"/>
      <c r="BK2929" s="18"/>
      <c r="BL2929" s="18"/>
      <c r="BM2929" s="18"/>
      <c r="BN2929" s="18"/>
      <c r="BO2929" s="18"/>
      <c r="BP2929" s="18"/>
      <c r="BQ2929" s="18"/>
      <c r="BR2929" s="18"/>
      <c r="BS2929" s="18"/>
      <c r="BT2929" s="18"/>
      <c r="BU2929" s="18"/>
      <c r="BV2929" s="18"/>
    </row>
    <row r="2930" spans="1:74">
      <c r="A2930" s="18"/>
      <c r="B2930" s="19"/>
      <c r="BG2930" s="18"/>
      <c r="BH2930" s="18"/>
      <c r="BI2930" s="18"/>
      <c r="BJ2930" s="18"/>
      <c r="BK2930" s="18"/>
      <c r="BL2930" s="18"/>
      <c r="BM2930" s="18"/>
      <c r="BN2930" s="18"/>
      <c r="BO2930" s="18"/>
      <c r="BP2930" s="18"/>
      <c r="BQ2930" s="18"/>
      <c r="BR2930" s="18"/>
      <c r="BS2930" s="18"/>
      <c r="BT2930" s="18"/>
      <c r="BU2930" s="18"/>
      <c r="BV2930" s="18"/>
    </row>
    <row r="2931" spans="1:74">
      <c r="A2931" s="18"/>
      <c r="B2931" s="19"/>
      <c r="BG2931" s="18"/>
      <c r="BH2931" s="18"/>
      <c r="BI2931" s="18"/>
      <c r="BJ2931" s="18"/>
      <c r="BK2931" s="18"/>
      <c r="BL2931" s="18"/>
      <c r="BM2931" s="18"/>
      <c r="BN2931" s="18"/>
      <c r="BO2931" s="18"/>
      <c r="BP2931" s="18"/>
      <c r="BQ2931" s="18"/>
      <c r="BR2931" s="18"/>
      <c r="BS2931" s="18"/>
      <c r="BT2931" s="18"/>
      <c r="BU2931" s="18"/>
      <c r="BV2931" s="18"/>
    </row>
    <row r="2932" spans="1:74">
      <c r="A2932" s="18"/>
      <c r="B2932" s="19"/>
      <c r="BG2932" s="18"/>
      <c r="BH2932" s="18"/>
      <c r="BI2932" s="18"/>
      <c r="BJ2932" s="18"/>
      <c r="BK2932" s="18"/>
      <c r="BL2932" s="18"/>
      <c r="BM2932" s="18"/>
      <c r="BN2932" s="18"/>
      <c r="BO2932" s="18"/>
      <c r="BP2932" s="18"/>
      <c r="BQ2932" s="18"/>
      <c r="BR2932" s="18"/>
      <c r="BS2932" s="18"/>
      <c r="BT2932" s="18"/>
      <c r="BU2932" s="18"/>
      <c r="BV2932" s="18"/>
    </row>
    <row r="2933" spans="1:74">
      <c r="A2933" s="18"/>
      <c r="B2933" s="19"/>
      <c r="BG2933" s="18"/>
      <c r="BH2933" s="18"/>
      <c r="BI2933" s="18"/>
      <c r="BJ2933" s="18"/>
      <c r="BK2933" s="18"/>
      <c r="BL2933" s="18"/>
      <c r="BM2933" s="18"/>
      <c r="BN2933" s="18"/>
      <c r="BO2933" s="18"/>
      <c r="BP2933" s="18"/>
      <c r="BQ2933" s="18"/>
      <c r="BR2933" s="18"/>
      <c r="BS2933" s="18"/>
      <c r="BT2933" s="18"/>
      <c r="BU2933" s="18"/>
      <c r="BV2933" s="18"/>
    </row>
    <row r="2934" spans="1:74">
      <c r="A2934" s="18"/>
      <c r="B2934" s="19"/>
      <c r="BG2934" s="18"/>
      <c r="BH2934" s="18"/>
      <c r="BI2934" s="18"/>
      <c r="BJ2934" s="18"/>
      <c r="BK2934" s="18"/>
      <c r="BL2934" s="18"/>
      <c r="BM2934" s="18"/>
      <c r="BN2934" s="18"/>
      <c r="BO2934" s="18"/>
      <c r="BP2934" s="18"/>
      <c r="BQ2934" s="18"/>
      <c r="BR2934" s="18"/>
      <c r="BS2934" s="18"/>
      <c r="BT2934" s="18"/>
      <c r="BU2934" s="18"/>
      <c r="BV2934" s="18"/>
    </row>
    <row r="2935" spans="1:74">
      <c r="A2935" s="18"/>
      <c r="B2935" s="19"/>
      <c r="BG2935" s="18"/>
      <c r="BH2935" s="18"/>
      <c r="BI2935" s="18"/>
      <c r="BJ2935" s="18"/>
      <c r="BK2935" s="18"/>
      <c r="BL2935" s="18"/>
      <c r="BM2935" s="18"/>
      <c r="BN2935" s="18"/>
      <c r="BO2935" s="18"/>
      <c r="BP2935" s="18"/>
      <c r="BQ2935" s="18"/>
      <c r="BR2935" s="18"/>
      <c r="BS2935" s="18"/>
      <c r="BT2935" s="18"/>
      <c r="BU2935" s="18"/>
      <c r="BV2935" s="18"/>
    </row>
    <row r="2936" spans="1:74">
      <c r="A2936" s="18"/>
      <c r="B2936" s="19"/>
      <c r="BG2936" s="18"/>
      <c r="BH2936" s="18"/>
      <c r="BI2936" s="18"/>
      <c r="BJ2936" s="18"/>
      <c r="BK2936" s="18"/>
      <c r="BL2936" s="18"/>
      <c r="BM2936" s="18"/>
      <c r="BN2936" s="18"/>
      <c r="BO2936" s="18"/>
      <c r="BP2936" s="18"/>
      <c r="BQ2936" s="18"/>
      <c r="BR2936" s="18"/>
      <c r="BS2936" s="18"/>
      <c r="BT2936" s="18"/>
      <c r="BU2936" s="18"/>
      <c r="BV2936" s="18"/>
    </row>
    <row r="2937" spans="1:74">
      <c r="A2937" s="18"/>
      <c r="B2937" s="19"/>
      <c r="BG2937" s="18"/>
      <c r="BH2937" s="18"/>
      <c r="BI2937" s="18"/>
      <c r="BJ2937" s="18"/>
      <c r="BK2937" s="18"/>
      <c r="BL2937" s="18"/>
      <c r="BM2937" s="18"/>
      <c r="BN2937" s="18"/>
      <c r="BO2937" s="18"/>
      <c r="BP2937" s="18"/>
      <c r="BQ2937" s="18"/>
      <c r="BR2937" s="18"/>
      <c r="BS2937" s="18"/>
      <c r="BT2937" s="18"/>
      <c r="BU2937" s="18"/>
      <c r="BV2937" s="18"/>
    </row>
    <row r="2938" spans="1:74">
      <c r="A2938" s="18"/>
      <c r="B2938" s="19"/>
      <c r="BG2938" s="18"/>
      <c r="BH2938" s="18"/>
      <c r="BI2938" s="18"/>
      <c r="BJ2938" s="18"/>
      <c r="BK2938" s="18"/>
      <c r="BL2938" s="18"/>
      <c r="BM2938" s="18"/>
      <c r="BN2938" s="18"/>
      <c r="BO2938" s="18"/>
      <c r="BP2938" s="18"/>
      <c r="BQ2938" s="18"/>
      <c r="BR2938" s="18"/>
      <c r="BS2938" s="18"/>
      <c r="BT2938" s="18"/>
      <c r="BU2938" s="18"/>
      <c r="BV2938" s="18"/>
    </row>
    <row r="2939" spans="1:74">
      <c r="A2939" s="18"/>
      <c r="B2939" s="19"/>
      <c r="BG2939" s="18"/>
      <c r="BH2939" s="18"/>
      <c r="BI2939" s="18"/>
      <c r="BJ2939" s="18"/>
      <c r="BK2939" s="18"/>
      <c r="BL2939" s="18"/>
      <c r="BM2939" s="18"/>
      <c r="BN2939" s="18"/>
      <c r="BO2939" s="18"/>
      <c r="BP2939" s="18"/>
      <c r="BQ2939" s="18"/>
      <c r="BR2939" s="18"/>
      <c r="BS2939" s="18"/>
      <c r="BT2939" s="18"/>
      <c r="BU2939" s="18"/>
      <c r="BV2939" s="18"/>
    </row>
    <row r="2940" spans="1:74">
      <c r="A2940" s="18"/>
      <c r="B2940" s="19"/>
      <c r="BG2940" s="18"/>
      <c r="BH2940" s="18"/>
      <c r="BI2940" s="18"/>
      <c r="BJ2940" s="18"/>
      <c r="BK2940" s="18"/>
      <c r="BL2940" s="18"/>
      <c r="BM2940" s="18"/>
      <c r="BN2940" s="18"/>
      <c r="BO2940" s="18"/>
      <c r="BP2940" s="18"/>
      <c r="BQ2940" s="18"/>
      <c r="BR2940" s="18"/>
      <c r="BS2940" s="18"/>
      <c r="BT2940" s="18"/>
      <c r="BU2940" s="18"/>
      <c r="BV2940" s="18"/>
    </row>
    <row r="2941" spans="1:74">
      <c r="A2941" s="18"/>
      <c r="B2941" s="19"/>
      <c r="BG2941" s="18"/>
      <c r="BH2941" s="18"/>
      <c r="BI2941" s="18"/>
      <c r="BJ2941" s="18"/>
      <c r="BK2941" s="18"/>
      <c r="BL2941" s="18"/>
      <c r="BM2941" s="18"/>
      <c r="BN2941" s="18"/>
      <c r="BO2941" s="18"/>
      <c r="BP2941" s="18"/>
      <c r="BQ2941" s="18"/>
      <c r="BR2941" s="18"/>
      <c r="BS2941" s="18"/>
      <c r="BT2941" s="18"/>
      <c r="BU2941" s="18"/>
      <c r="BV2941" s="18"/>
    </row>
    <row r="2942" spans="1:74">
      <c r="A2942" s="18"/>
      <c r="B2942" s="19"/>
      <c r="BG2942" s="18"/>
      <c r="BH2942" s="18"/>
      <c r="BI2942" s="18"/>
      <c r="BJ2942" s="18"/>
      <c r="BK2942" s="18"/>
      <c r="BL2942" s="18"/>
      <c r="BM2942" s="18"/>
      <c r="BN2942" s="18"/>
      <c r="BO2942" s="18"/>
      <c r="BP2942" s="18"/>
      <c r="BQ2942" s="18"/>
      <c r="BR2942" s="18"/>
      <c r="BS2942" s="18"/>
      <c r="BT2942" s="18"/>
      <c r="BU2942" s="18"/>
      <c r="BV2942" s="18"/>
    </row>
    <row r="2943" spans="1:74">
      <c r="A2943" s="18"/>
      <c r="B2943" s="19"/>
      <c r="BG2943" s="18"/>
      <c r="BH2943" s="18"/>
      <c r="BI2943" s="18"/>
      <c r="BJ2943" s="18"/>
      <c r="BK2943" s="18"/>
      <c r="BL2943" s="18"/>
      <c r="BM2943" s="18"/>
      <c r="BN2943" s="18"/>
      <c r="BO2943" s="18"/>
      <c r="BP2943" s="18"/>
      <c r="BQ2943" s="18"/>
      <c r="BR2943" s="18"/>
      <c r="BS2943" s="18"/>
      <c r="BT2943" s="18"/>
      <c r="BU2943" s="18"/>
      <c r="BV2943" s="18"/>
    </row>
    <row r="2944" spans="1:74">
      <c r="A2944" s="18"/>
      <c r="B2944" s="19"/>
      <c r="BG2944" s="18"/>
      <c r="BH2944" s="18"/>
      <c r="BI2944" s="18"/>
      <c r="BJ2944" s="18"/>
      <c r="BK2944" s="18"/>
      <c r="BL2944" s="18"/>
      <c r="BM2944" s="18"/>
      <c r="BN2944" s="18"/>
      <c r="BO2944" s="18"/>
      <c r="BP2944" s="18"/>
      <c r="BQ2944" s="18"/>
      <c r="BR2944" s="18"/>
      <c r="BS2944" s="18"/>
      <c r="BT2944" s="18"/>
      <c r="BU2944" s="18"/>
      <c r="BV2944" s="18"/>
    </row>
    <row r="2945" spans="1:74">
      <c r="A2945" s="18"/>
      <c r="B2945" s="19"/>
      <c r="BG2945" s="18"/>
      <c r="BH2945" s="18"/>
      <c r="BI2945" s="18"/>
      <c r="BJ2945" s="18"/>
      <c r="BK2945" s="18"/>
      <c r="BL2945" s="18"/>
      <c r="BM2945" s="18"/>
      <c r="BN2945" s="18"/>
      <c r="BO2945" s="18"/>
      <c r="BP2945" s="18"/>
      <c r="BQ2945" s="18"/>
      <c r="BR2945" s="18"/>
      <c r="BS2945" s="18"/>
      <c r="BT2945" s="18"/>
      <c r="BU2945" s="18"/>
      <c r="BV2945" s="18"/>
    </row>
    <row r="2946" spans="1:74">
      <c r="A2946" s="18"/>
      <c r="B2946" s="19"/>
      <c r="BG2946" s="18"/>
      <c r="BH2946" s="18"/>
      <c r="BI2946" s="18"/>
      <c r="BJ2946" s="18"/>
      <c r="BK2946" s="18"/>
      <c r="BL2946" s="18"/>
      <c r="BM2946" s="18"/>
      <c r="BN2946" s="18"/>
      <c r="BO2946" s="18"/>
      <c r="BP2946" s="18"/>
      <c r="BQ2946" s="18"/>
      <c r="BR2946" s="18"/>
      <c r="BS2946" s="18"/>
      <c r="BT2946" s="18"/>
      <c r="BU2946" s="18"/>
      <c r="BV2946" s="18"/>
    </row>
    <row r="2947" spans="1:74">
      <c r="A2947" s="18"/>
      <c r="B2947" s="19"/>
      <c r="BG2947" s="18"/>
      <c r="BH2947" s="18"/>
      <c r="BI2947" s="18"/>
      <c r="BJ2947" s="18"/>
      <c r="BK2947" s="18"/>
      <c r="BL2947" s="18"/>
      <c r="BM2947" s="18"/>
      <c r="BN2947" s="18"/>
      <c r="BO2947" s="18"/>
      <c r="BP2947" s="18"/>
      <c r="BQ2947" s="18"/>
      <c r="BR2947" s="18"/>
      <c r="BS2947" s="18"/>
      <c r="BT2947" s="18"/>
      <c r="BU2947" s="18"/>
      <c r="BV2947" s="18"/>
    </row>
    <row r="2948" spans="1:74">
      <c r="A2948" s="18"/>
      <c r="B2948" s="19"/>
      <c r="BG2948" s="18"/>
      <c r="BH2948" s="18"/>
      <c r="BI2948" s="18"/>
      <c r="BJ2948" s="18"/>
      <c r="BK2948" s="18"/>
      <c r="BL2948" s="18"/>
      <c r="BM2948" s="18"/>
      <c r="BN2948" s="18"/>
      <c r="BO2948" s="18"/>
      <c r="BP2948" s="18"/>
      <c r="BQ2948" s="18"/>
      <c r="BR2948" s="18"/>
      <c r="BS2948" s="18"/>
      <c r="BT2948" s="18"/>
      <c r="BU2948" s="18"/>
      <c r="BV2948" s="18"/>
    </row>
    <row r="2949" spans="1:74">
      <c r="A2949" s="18"/>
      <c r="B2949" s="19"/>
      <c r="BG2949" s="18"/>
      <c r="BH2949" s="18"/>
      <c r="BI2949" s="18"/>
      <c r="BJ2949" s="18"/>
      <c r="BK2949" s="18"/>
      <c r="BL2949" s="18"/>
      <c r="BM2949" s="18"/>
      <c r="BN2949" s="18"/>
      <c r="BO2949" s="18"/>
      <c r="BP2949" s="18"/>
      <c r="BQ2949" s="18"/>
      <c r="BR2949" s="18"/>
      <c r="BS2949" s="18"/>
      <c r="BT2949" s="18"/>
      <c r="BU2949" s="18"/>
      <c r="BV2949" s="18"/>
    </row>
    <row r="2950" spans="1:74">
      <c r="A2950" s="18"/>
      <c r="B2950" s="19"/>
      <c r="BG2950" s="18"/>
      <c r="BH2950" s="18"/>
      <c r="BI2950" s="18"/>
      <c r="BJ2950" s="18"/>
      <c r="BK2950" s="18"/>
      <c r="BL2950" s="18"/>
      <c r="BM2950" s="18"/>
      <c r="BN2950" s="18"/>
      <c r="BO2950" s="18"/>
      <c r="BP2950" s="18"/>
      <c r="BQ2950" s="18"/>
      <c r="BR2950" s="18"/>
      <c r="BS2950" s="18"/>
      <c r="BT2950" s="18"/>
      <c r="BU2950" s="18"/>
      <c r="BV2950" s="18"/>
    </row>
    <row r="2951" spans="1:74">
      <c r="A2951" s="18"/>
      <c r="B2951" s="19"/>
      <c r="BG2951" s="18"/>
      <c r="BH2951" s="18"/>
      <c r="BI2951" s="18"/>
      <c r="BJ2951" s="18"/>
      <c r="BK2951" s="18"/>
      <c r="BL2951" s="18"/>
      <c r="BM2951" s="18"/>
      <c r="BN2951" s="18"/>
      <c r="BO2951" s="18"/>
      <c r="BP2951" s="18"/>
      <c r="BQ2951" s="18"/>
      <c r="BR2951" s="18"/>
      <c r="BS2951" s="18"/>
      <c r="BT2951" s="18"/>
      <c r="BU2951" s="18"/>
      <c r="BV2951" s="18"/>
    </row>
    <row r="2952" spans="1:74">
      <c r="A2952" s="18"/>
      <c r="B2952" s="19"/>
      <c r="BG2952" s="18"/>
      <c r="BH2952" s="18"/>
      <c r="BI2952" s="18"/>
      <c r="BJ2952" s="18"/>
      <c r="BK2952" s="18"/>
      <c r="BL2952" s="18"/>
      <c r="BM2952" s="18"/>
      <c r="BN2952" s="18"/>
      <c r="BO2952" s="18"/>
      <c r="BP2952" s="18"/>
      <c r="BQ2952" s="18"/>
      <c r="BR2952" s="18"/>
      <c r="BS2952" s="18"/>
      <c r="BT2952" s="18"/>
      <c r="BU2952" s="18"/>
      <c r="BV2952" s="18"/>
    </row>
    <row r="2953" spans="1:74">
      <c r="A2953" s="18"/>
      <c r="B2953" s="19"/>
      <c r="BG2953" s="18"/>
      <c r="BH2953" s="18"/>
      <c r="BI2953" s="18"/>
      <c r="BJ2953" s="18"/>
      <c r="BK2953" s="18"/>
      <c r="BL2953" s="18"/>
      <c r="BM2953" s="18"/>
      <c r="BN2953" s="18"/>
      <c r="BO2953" s="18"/>
      <c r="BP2953" s="18"/>
      <c r="BQ2953" s="18"/>
      <c r="BR2953" s="18"/>
      <c r="BS2953" s="18"/>
      <c r="BT2953" s="18"/>
      <c r="BU2953" s="18"/>
      <c r="BV2953" s="18"/>
    </row>
    <row r="2954" spans="1:74">
      <c r="A2954" s="18"/>
      <c r="B2954" s="19"/>
      <c r="BG2954" s="18"/>
      <c r="BH2954" s="18"/>
      <c r="BI2954" s="18"/>
      <c r="BJ2954" s="18"/>
      <c r="BK2954" s="18"/>
      <c r="BL2954" s="18"/>
      <c r="BM2954" s="18"/>
      <c r="BN2954" s="18"/>
      <c r="BO2954" s="18"/>
      <c r="BP2954" s="18"/>
      <c r="BQ2954" s="18"/>
      <c r="BR2954" s="18"/>
      <c r="BS2954" s="18"/>
      <c r="BT2954" s="18"/>
      <c r="BU2954" s="18"/>
      <c r="BV2954" s="18"/>
    </row>
    <row r="2955" spans="1:74">
      <c r="A2955" s="18"/>
      <c r="B2955" s="19"/>
      <c r="BG2955" s="18"/>
      <c r="BH2955" s="18"/>
      <c r="BI2955" s="18"/>
      <c r="BJ2955" s="18"/>
      <c r="BK2955" s="18"/>
      <c r="BL2955" s="18"/>
      <c r="BM2955" s="18"/>
      <c r="BN2955" s="18"/>
      <c r="BO2955" s="18"/>
      <c r="BP2955" s="18"/>
      <c r="BQ2955" s="18"/>
      <c r="BR2955" s="18"/>
      <c r="BS2955" s="18"/>
      <c r="BT2955" s="18"/>
      <c r="BU2955" s="18"/>
      <c r="BV2955" s="18"/>
    </row>
    <row r="2956" spans="1:74">
      <c r="A2956" s="18"/>
      <c r="B2956" s="19"/>
      <c r="BG2956" s="18"/>
      <c r="BH2956" s="18"/>
      <c r="BI2956" s="18"/>
      <c r="BJ2956" s="18"/>
      <c r="BK2956" s="18"/>
      <c r="BL2956" s="18"/>
      <c r="BM2956" s="18"/>
      <c r="BN2956" s="18"/>
      <c r="BO2956" s="18"/>
      <c r="BP2956" s="18"/>
      <c r="BQ2956" s="18"/>
      <c r="BR2956" s="18"/>
      <c r="BS2956" s="18"/>
      <c r="BT2956" s="18"/>
      <c r="BU2956" s="18"/>
      <c r="BV2956" s="18"/>
    </row>
    <row r="2957" spans="1:74">
      <c r="A2957" s="18"/>
      <c r="B2957" s="19"/>
      <c r="BG2957" s="18"/>
      <c r="BH2957" s="18"/>
      <c r="BI2957" s="18"/>
      <c r="BJ2957" s="18"/>
      <c r="BK2957" s="18"/>
      <c r="BL2957" s="18"/>
      <c r="BM2957" s="18"/>
      <c r="BN2957" s="18"/>
      <c r="BO2957" s="18"/>
      <c r="BP2957" s="18"/>
      <c r="BQ2957" s="18"/>
      <c r="BR2957" s="18"/>
      <c r="BS2957" s="18"/>
      <c r="BT2957" s="18"/>
      <c r="BU2957" s="18"/>
      <c r="BV2957" s="18"/>
    </row>
    <row r="2958" spans="1:74">
      <c r="A2958" s="18"/>
      <c r="B2958" s="19"/>
      <c r="BG2958" s="18"/>
      <c r="BH2958" s="18"/>
      <c r="BI2958" s="18"/>
      <c r="BJ2958" s="18"/>
      <c r="BK2958" s="18"/>
      <c r="BL2958" s="18"/>
      <c r="BM2958" s="18"/>
      <c r="BN2958" s="18"/>
      <c r="BO2958" s="18"/>
      <c r="BP2958" s="18"/>
      <c r="BQ2958" s="18"/>
      <c r="BR2958" s="18"/>
      <c r="BS2958" s="18"/>
      <c r="BT2958" s="18"/>
      <c r="BU2958" s="18"/>
      <c r="BV2958" s="18"/>
    </row>
    <row r="2959" spans="1:74">
      <c r="A2959" s="18"/>
      <c r="B2959" s="19"/>
      <c r="BG2959" s="18"/>
      <c r="BH2959" s="18"/>
      <c r="BI2959" s="18"/>
      <c r="BJ2959" s="18"/>
      <c r="BK2959" s="18"/>
      <c r="BL2959" s="18"/>
      <c r="BM2959" s="18"/>
      <c r="BN2959" s="18"/>
      <c r="BO2959" s="18"/>
      <c r="BP2959" s="18"/>
      <c r="BQ2959" s="18"/>
      <c r="BR2959" s="18"/>
      <c r="BS2959" s="18"/>
      <c r="BT2959" s="18"/>
      <c r="BU2959" s="18"/>
      <c r="BV2959" s="18"/>
    </row>
    <row r="2960" spans="1:74">
      <c r="A2960" s="18"/>
      <c r="B2960" s="19"/>
      <c r="BG2960" s="18"/>
      <c r="BH2960" s="18"/>
      <c r="BI2960" s="18"/>
      <c r="BJ2960" s="18"/>
      <c r="BK2960" s="18"/>
      <c r="BL2960" s="18"/>
      <c r="BM2960" s="18"/>
      <c r="BN2960" s="18"/>
      <c r="BO2960" s="18"/>
      <c r="BP2960" s="18"/>
      <c r="BQ2960" s="18"/>
      <c r="BR2960" s="18"/>
      <c r="BS2960" s="18"/>
      <c r="BT2960" s="18"/>
      <c r="BU2960" s="18"/>
      <c r="BV2960" s="18"/>
    </row>
    <row r="2961" spans="1:74">
      <c r="A2961" s="18"/>
      <c r="B2961" s="19"/>
      <c r="BG2961" s="18"/>
      <c r="BH2961" s="18"/>
      <c r="BI2961" s="18"/>
      <c r="BJ2961" s="18"/>
      <c r="BK2961" s="18"/>
      <c r="BL2961" s="18"/>
      <c r="BM2961" s="18"/>
      <c r="BN2961" s="18"/>
      <c r="BO2961" s="18"/>
      <c r="BP2961" s="18"/>
      <c r="BQ2961" s="18"/>
      <c r="BR2961" s="18"/>
      <c r="BS2961" s="18"/>
      <c r="BT2961" s="18"/>
      <c r="BU2961" s="18"/>
      <c r="BV2961" s="18"/>
    </row>
    <row r="2962" spans="1:74">
      <c r="A2962" s="18"/>
      <c r="B2962" s="19"/>
      <c r="BG2962" s="18"/>
      <c r="BH2962" s="18"/>
      <c r="BI2962" s="18"/>
      <c r="BJ2962" s="18"/>
      <c r="BK2962" s="18"/>
      <c r="BL2962" s="18"/>
      <c r="BM2962" s="18"/>
      <c r="BN2962" s="18"/>
      <c r="BO2962" s="18"/>
      <c r="BP2962" s="18"/>
      <c r="BQ2962" s="18"/>
      <c r="BR2962" s="18"/>
      <c r="BS2962" s="18"/>
      <c r="BT2962" s="18"/>
      <c r="BU2962" s="18"/>
      <c r="BV2962" s="18"/>
    </row>
    <row r="2963" spans="1:74">
      <c r="A2963" s="18"/>
      <c r="B2963" s="19"/>
      <c r="BG2963" s="18"/>
      <c r="BH2963" s="18"/>
      <c r="BI2963" s="18"/>
      <c r="BJ2963" s="18"/>
      <c r="BK2963" s="18"/>
      <c r="BL2963" s="18"/>
      <c r="BM2963" s="18"/>
      <c r="BN2963" s="18"/>
      <c r="BO2963" s="18"/>
      <c r="BP2963" s="18"/>
      <c r="BQ2963" s="18"/>
      <c r="BR2963" s="18"/>
      <c r="BS2963" s="18"/>
      <c r="BT2963" s="18"/>
      <c r="BU2963" s="18"/>
      <c r="BV2963" s="18"/>
    </row>
    <row r="2964" spans="1:74">
      <c r="A2964" s="18"/>
      <c r="B2964" s="19"/>
      <c r="BG2964" s="18"/>
      <c r="BH2964" s="18"/>
      <c r="BI2964" s="18"/>
      <c r="BJ2964" s="18"/>
      <c r="BK2964" s="18"/>
      <c r="BL2964" s="18"/>
      <c r="BM2964" s="18"/>
      <c r="BN2964" s="18"/>
      <c r="BO2964" s="18"/>
      <c r="BP2964" s="18"/>
      <c r="BQ2964" s="18"/>
      <c r="BR2964" s="18"/>
      <c r="BS2964" s="18"/>
      <c r="BT2964" s="18"/>
      <c r="BU2964" s="18"/>
      <c r="BV2964" s="18"/>
    </row>
    <row r="2965" spans="1:74">
      <c r="A2965" s="18"/>
      <c r="B2965" s="19"/>
      <c r="BG2965" s="18"/>
      <c r="BH2965" s="18"/>
      <c r="BI2965" s="18"/>
      <c r="BJ2965" s="18"/>
      <c r="BK2965" s="18"/>
      <c r="BL2965" s="18"/>
      <c r="BM2965" s="18"/>
      <c r="BN2965" s="18"/>
      <c r="BO2965" s="18"/>
      <c r="BP2965" s="18"/>
      <c r="BQ2965" s="18"/>
      <c r="BR2965" s="18"/>
      <c r="BS2965" s="18"/>
      <c r="BT2965" s="18"/>
      <c r="BU2965" s="18"/>
      <c r="BV2965" s="18"/>
    </row>
    <row r="2966" spans="1:74">
      <c r="A2966" s="18"/>
      <c r="B2966" s="19"/>
      <c r="BG2966" s="18"/>
      <c r="BH2966" s="18"/>
      <c r="BI2966" s="18"/>
      <c r="BJ2966" s="18"/>
      <c r="BK2966" s="18"/>
      <c r="BL2966" s="18"/>
      <c r="BM2966" s="18"/>
      <c r="BN2966" s="18"/>
      <c r="BO2966" s="18"/>
      <c r="BP2966" s="18"/>
      <c r="BQ2966" s="18"/>
      <c r="BR2966" s="18"/>
      <c r="BS2966" s="18"/>
      <c r="BT2966" s="18"/>
      <c r="BU2966" s="18"/>
      <c r="BV2966" s="18"/>
    </row>
    <row r="2967" spans="1:74">
      <c r="A2967" s="18"/>
      <c r="B2967" s="19"/>
      <c r="BG2967" s="18"/>
      <c r="BH2967" s="18"/>
      <c r="BI2967" s="18"/>
      <c r="BJ2967" s="18"/>
      <c r="BK2967" s="18"/>
      <c r="BL2967" s="18"/>
      <c r="BM2967" s="18"/>
      <c r="BN2967" s="18"/>
      <c r="BO2967" s="18"/>
      <c r="BP2967" s="18"/>
      <c r="BQ2967" s="18"/>
      <c r="BR2967" s="18"/>
      <c r="BS2967" s="18"/>
      <c r="BT2967" s="18"/>
      <c r="BU2967" s="18"/>
      <c r="BV2967" s="18"/>
    </row>
    <row r="2968" spans="1:74">
      <c r="A2968" s="18"/>
      <c r="B2968" s="19"/>
      <c r="BG2968" s="18"/>
      <c r="BH2968" s="18"/>
      <c r="BI2968" s="18"/>
      <c r="BJ2968" s="18"/>
      <c r="BK2968" s="18"/>
      <c r="BL2968" s="18"/>
      <c r="BM2968" s="18"/>
      <c r="BN2968" s="18"/>
      <c r="BO2968" s="18"/>
      <c r="BP2968" s="18"/>
      <c r="BQ2968" s="18"/>
      <c r="BR2968" s="18"/>
      <c r="BS2968" s="18"/>
      <c r="BT2968" s="18"/>
      <c r="BU2968" s="18"/>
      <c r="BV2968" s="18"/>
    </row>
    <row r="2969" spans="1:74">
      <c r="A2969" s="18"/>
      <c r="B2969" s="19"/>
      <c r="BG2969" s="18"/>
      <c r="BH2969" s="18"/>
      <c r="BI2969" s="18"/>
      <c r="BJ2969" s="18"/>
      <c r="BK2969" s="18"/>
      <c r="BL2969" s="18"/>
      <c r="BM2969" s="18"/>
      <c r="BN2969" s="18"/>
      <c r="BO2969" s="18"/>
      <c r="BP2969" s="18"/>
      <c r="BQ2969" s="18"/>
      <c r="BR2969" s="18"/>
      <c r="BS2969" s="18"/>
      <c r="BT2969" s="18"/>
      <c r="BU2969" s="18"/>
      <c r="BV2969" s="18"/>
    </row>
    <row r="2970" spans="1:74">
      <c r="A2970" s="18"/>
      <c r="B2970" s="19"/>
      <c r="BG2970" s="18"/>
      <c r="BH2970" s="18"/>
      <c r="BI2970" s="18"/>
      <c r="BJ2970" s="18"/>
      <c r="BK2970" s="18"/>
      <c r="BL2970" s="18"/>
      <c r="BM2970" s="18"/>
      <c r="BN2970" s="18"/>
      <c r="BO2970" s="18"/>
      <c r="BP2970" s="18"/>
      <c r="BQ2970" s="18"/>
      <c r="BR2970" s="18"/>
      <c r="BS2970" s="18"/>
      <c r="BT2970" s="18"/>
      <c r="BU2970" s="18"/>
      <c r="BV2970" s="18"/>
    </row>
    <row r="2971" spans="1:74">
      <c r="A2971" s="18"/>
      <c r="B2971" s="19"/>
      <c r="BG2971" s="18"/>
      <c r="BH2971" s="18"/>
      <c r="BI2971" s="18"/>
      <c r="BJ2971" s="18"/>
      <c r="BK2971" s="18"/>
      <c r="BL2971" s="18"/>
      <c r="BM2971" s="18"/>
      <c r="BN2971" s="18"/>
      <c r="BO2971" s="18"/>
      <c r="BP2971" s="18"/>
      <c r="BQ2971" s="18"/>
      <c r="BR2971" s="18"/>
      <c r="BS2971" s="18"/>
      <c r="BT2971" s="18"/>
      <c r="BU2971" s="18"/>
      <c r="BV2971" s="18"/>
    </row>
    <row r="2972" spans="1:74">
      <c r="A2972" s="18"/>
      <c r="B2972" s="19"/>
      <c r="BG2972" s="18"/>
      <c r="BH2972" s="18"/>
      <c r="BI2972" s="18"/>
      <c r="BJ2972" s="18"/>
      <c r="BK2972" s="18"/>
      <c r="BL2972" s="18"/>
      <c r="BM2972" s="18"/>
      <c r="BN2972" s="18"/>
      <c r="BO2972" s="18"/>
      <c r="BP2972" s="18"/>
      <c r="BQ2972" s="18"/>
      <c r="BR2972" s="18"/>
      <c r="BS2972" s="18"/>
      <c r="BT2972" s="18"/>
      <c r="BU2972" s="18"/>
      <c r="BV2972" s="18"/>
    </row>
    <row r="2973" spans="1:74">
      <c r="A2973" s="18"/>
      <c r="B2973" s="19"/>
      <c r="BG2973" s="18"/>
      <c r="BH2973" s="18"/>
      <c r="BI2973" s="18"/>
      <c r="BJ2973" s="18"/>
      <c r="BK2973" s="18"/>
      <c r="BL2973" s="18"/>
      <c r="BM2973" s="18"/>
      <c r="BN2973" s="18"/>
      <c r="BO2973" s="18"/>
      <c r="BP2973" s="18"/>
      <c r="BQ2973" s="18"/>
      <c r="BR2973" s="18"/>
      <c r="BS2973" s="18"/>
      <c r="BT2973" s="18"/>
      <c r="BU2973" s="18"/>
      <c r="BV2973" s="18"/>
    </row>
    <row r="2974" spans="1:74">
      <c r="A2974" s="18"/>
      <c r="B2974" s="19"/>
      <c r="BG2974" s="18"/>
      <c r="BH2974" s="18"/>
      <c r="BI2974" s="18"/>
      <c r="BJ2974" s="18"/>
      <c r="BK2974" s="18"/>
      <c r="BL2974" s="18"/>
      <c r="BM2974" s="18"/>
      <c r="BN2974" s="18"/>
      <c r="BO2974" s="18"/>
      <c r="BP2974" s="18"/>
      <c r="BQ2974" s="18"/>
      <c r="BR2974" s="18"/>
      <c r="BS2974" s="18"/>
      <c r="BT2974" s="18"/>
      <c r="BU2974" s="18"/>
      <c r="BV2974" s="18"/>
    </row>
    <row r="2975" spans="1:74">
      <c r="A2975" s="18"/>
      <c r="B2975" s="19"/>
      <c r="BG2975" s="18"/>
      <c r="BH2975" s="18"/>
      <c r="BI2975" s="18"/>
      <c r="BJ2975" s="18"/>
      <c r="BK2975" s="18"/>
      <c r="BL2975" s="18"/>
      <c r="BM2975" s="18"/>
      <c r="BN2975" s="18"/>
      <c r="BO2975" s="18"/>
      <c r="BP2975" s="18"/>
      <c r="BQ2975" s="18"/>
      <c r="BR2975" s="18"/>
      <c r="BS2975" s="18"/>
      <c r="BT2975" s="18"/>
      <c r="BU2975" s="18"/>
      <c r="BV2975" s="18"/>
    </row>
    <row r="2976" spans="1:74">
      <c r="A2976" s="18"/>
      <c r="B2976" s="19"/>
      <c r="BG2976" s="18"/>
      <c r="BH2976" s="18"/>
      <c r="BI2976" s="18"/>
      <c r="BJ2976" s="18"/>
      <c r="BK2976" s="18"/>
      <c r="BL2976" s="18"/>
      <c r="BM2976" s="18"/>
      <c r="BN2976" s="18"/>
      <c r="BO2976" s="18"/>
      <c r="BP2976" s="18"/>
      <c r="BQ2976" s="18"/>
      <c r="BR2976" s="18"/>
      <c r="BS2976" s="18"/>
      <c r="BT2976" s="18"/>
      <c r="BU2976" s="18"/>
      <c r="BV2976" s="18"/>
    </row>
    <row r="2977" spans="1:74">
      <c r="A2977" s="18"/>
      <c r="B2977" s="19"/>
      <c r="BG2977" s="18"/>
      <c r="BH2977" s="18"/>
      <c r="BI2977" s="18"/>
      <c r="BJ2977" s="18"/>
      <c r="BK2977" s="18"/>
      <c r="BL2977" s="18"/>
      <c r="BM2977" s="18"/>
      <c r="BN2977" s="18"/>
      <c r="BO2977" s="18"/>
      <c r="BP2977" s="18"/>
      <c r="BQ2977" s="18"/>
      <c r="BR2977" s="18"/>
      <c r="BS2977" s="18"/>
      <c r="BT2977" s="18"/>
      <c r="BU2977" s="18"/>
      <c r="BV2977" s="18"/>
    </row>
    <row r="2978" spans="1:74">
      <c r="A2978" s="18"/>
      <c r="B2978" s="19"/>
      <c r="BG2978" s="18"/>
      <c r="BH2978" s="18"/>
      <c r="BI2978" s="18"/>
      <c r="BJ2978" s="18"/>
      <c r="BK2978" s="18"/>
      <c r="BL2978" s="18"/>
      <c r="BM2978" s="18"/>
      <c r="BN2978" s="18"/>
      <c r="BO2978" s="18"/>
      <c r="BP2978" s="18"/>
      <c r="BQ2978" s="18"/>
      <c r="BR2978" s="18"/>
      <c r="BS2978" s="18"/>
      <c r="BT2978" s="18"/>
      <c r="BU2978" s="18"/>
      <c r="BV2978" s="18"/>
    </row>
    <row r="2979" spans="1:74">
      <c r="A2979" s="18"/>
      <c r="B2979" s="19"/>
      <c r="BG2979" s="18"/>
      <c r="BH2979" s="18"/>
      <c r="BI2979" s="18"/>
      <c r="BJ2979" s="18"/>
      <c r="BK2979" s="18"/>
      <c r="BL2979" s="18"/>
      <c r="BM2979" s="18"/>
      <c r="BN2979" s="18"/>
      <c r="BO2979" s="18"/>
      <c r="BP2979" s="18"/>
      <c r="BQ2979" s="18"/>
      <c r="BR2979" s="18"/>
      <c r="BS2979" s="18"/>
      <c r="BT2979" s="18"/>
      <c r="BU2979" s="18"/>
      <c r="BV2979" s="18"/>
    </row>
    <row r="2980" spans="1:74">
      <c r="A2980" s="18"/>
      <c r="B2980" s="19"/>
      <c r="BG2980" s="18"/>
      <c r="BH2980" s="18"/>
      <c r="BI2980" s="18"/>
      <c r="BJ2980" s="18"/>
      <c r="BK2980" s="18"/>
      <c r="BL2980" s="18"/>
      <c r="BM2980" s="18"/>
      <c r="BN2980" s="18"/>
      <c r="BO2980" s="18"/>
      <c r="BP2980" s="18"/>
      <c r="BQ2980" s="18"/>
      <c r="BR2980" s="18"/>
      <c r="BS2980" s="18"/>
      <c r="BT2980" s="18"/>
      <c r="BU2980" s="18"/>
      <c r="BV2980" s="18"/>
    </row>
    <row r="2981" spans="1:74">
      <c r="A2981" s="18"/>
      <c r="B2981" s="19"/>
      <c r="BG2981" s="18"/>
      <c r="BH2981" s="18"/>
      <c r="BI2981" s="18"/>
      <c r="BJ2981" s="18"/>
      <c r="BK2981" s="18"/>
      <c r="BL2981" s="18"/>
      <c r="BM2981" s="18"/>
      <c r="BN2981" s="18"/>
      <c r="BO2981" s="18"/>
      <c r="BP2981" s="18"/>
      <c r="BQ2981" s="18"/>
      <c r="BR2981" s="18"/>
      <c r="BS2981" s="18"/>
      <c r="BT2981" s="18"/>
      <c r="BU2981" s="18"/>
      <c r="BV2981" s="18"/>
    </row>
    <row r="2982" spans="1:74">
      <c r="A2982" s="18"/>
      <c r="B2982" s="19"/>
      <c r="BG2982" s="18"/>
      <c r="BH2982" s="18"/>
      <c r="BI2982" s="18"/>
      <c r="BJ2982" s="18"/>
      <c r="BK2982" s="18"/>
      <c r="BL2982" s="18"/>
      <c r="BM2982" s="18"/>
      <c r="BN2982" s="18"/>
      <c r="BO2982" s="18"/>
      <c r="BP2982" s="18"/>
      <c r="BQ2982" s="18"/>
      <c r="BR2982" s="18"/>
      <c r="BS2982" s="18"/>
      <c r="BT2982" s="18"/>
      <c r="BU2982" s="18"/>
      <c r="BV2982" s="18"/>
    </row>
    <row r="2983" spans="1:74">
      <c r="A2983" s="18"/>
      <c r="B2983" s="19"/>
      <c r="BG2983" s="18"/>
      <c r="BH2983" s="18"/>
      <c r="BI2983" s="18"/>
      <c r="BJ2983" s="18"/>
      <c r="BK2983" s="18"/>
      <c r="BL2983" s="18"/>
      <c r="BM2983" s="18"/>
      <c r="BN2983" s="18"/>
      <c r="BO2983" s="18"/>
      <c r="BP2983" s="18"/>
      <c r="BQ2983" s="18"/>
      <c r="BR2983" s="18"/>
      <c r="BS2983" s="18"/>
      <c r="BT2983" s="18"/>
      <c r="BU2983" s="18"/>
      <c r="BV2983" s="18"/>
    </row>
    <row r="2984" spans="1:74">
      <c r="A2984" s="18"/>
      <c r="B2984" s="19"/>
      <c r="BG2984" s="18"/>
      <c r="BH2984" s="18"/>
      <c r="BI2984" s="18"/>
      <c r="BJ2984" s="18"/>
      <c r="BK2984" s="18"/>
      <c r="BL2984" s="18"/>
      <c r="BM2984" s="18"/>
      <c r="BN2984" s="18"/>
      <c r="BO2984" s="18"/>
      <c r="BP2984" s="18"/>
      <c r="BQ2984" s="18"/>
      <c r="BR2984" s="18"/>
      <c r="BS2984" s="18"/>
      <c r="BT2984" s="18"/>
      <c r="BU2984" s="18"/>
      <c r="BV2984" s="18"/>
    </row>
    <row r="2985" spans="1:74">
      <c r="A2985" s="18"/>
      <c r="B2985" s="19"/>
      <c r="BG2985" s="18"/>
      <c r="BH2985" s="18"/>
      <c r="BI2985" s="18"/>
      <c r="BJ2985" s="18"/>
      <c r="BK2985" s="18"/>
      <c r="BL2985" s="18"/>
      <c r="BM2985" s="18"/>
      <c r="BN2985" s="18"/>
      <c r="BO2985" s="18"/>
      <c r="BP2985" s="18"/>
      <c r="BQ2985" s="18"/>
      <c r="BR2985" s="18"/>
      <c r="BS2985" s="18"/>
      <c r="BT2985" s="18"/>
      <c r="BU2985" s="18"/>
      <c r="BV2985" s="18"/>
    </row>
    <row r="2986" spans="1:74">
      <c r="A2986" s="18"/>
      <c r="B2986" s="19"/>
      <c r="BG2986" s="18"/>
      <c r="BH2986" s="18"/>
      <c r="BI2986" s="18"/>
      <c r="BJ2986" s="18"/>
      <c r="BK2986" s="18"/>
      <c r="BL2986" s="18"/>
      <c r="BM2986" s="18"/>
      <c r="BN2986" s="18"/>
      <c r="BO2986" s="18"/>
      <c r="BP2986" s="18"/>
      <c r="BQ2986" s="18"/>
      <c r="BR2986" s="18"/>
      <c r="BS2986" s="18"/>
      <c r="BT2986" s="18"/>
      <c r="BU2986" s="18"/>
      <c r="BV2986" s="18"/>
    </row>
    <row r="2987" spans="1:74">
      <c r="A2987" s="18"/>
      <c r="B2987" s="19"/>
      <c r="BG2987" s="18"/>
      <c r="BH2987" s="18"/>
      <c r="BI2987" s="18"/>
      <c r="BJ2987" s="18"/>
      <c r="BK2987" s="18"/>
      <c r="BL2987" s="18"/>
      <c r="BM2987" s="18"/>
      <c r="BN2987" s="18"/>
      <c r="BO2987" s="18"/>
      <c r="BP2987" s="18"/>
      <c r="BQ2987" s="18"/>
      <c r="BR2987" s="18"/>
      <c r="BS2987" s="18"/>
      <c r="BT2987" s="18"/>
      <c r="BU2987" s="18"/>
      <c r="BV2987" s="18"/>
    </row>
    <row r="2988" spans="1:74">
      <c r="A2988" s="18"/>
      <c r="B2988" s="19"/>
      <c r="BG2988" s="18"/>
      <c r="BH2988" s="18"/>
      <c r="BI2988" s="18"/>
      <c r="BJ2988" s="18"/>
      <c r="BK2988" s="18"/>
      <c r="BL2988" s="18"/>
      <c r="BM2988" s="18"/>
      <c r="BN2988" s="18"/>
      <c r="BO2988" s="18"/>
      <c r="BP2988" s="18"/>
      <c r="BQ2988" s="18"/>
      <c r="BR2988" s="18"/>
      <c r="BS2988" s="18"/>
      <c r="BT2988" s="18"/>
      <c r="BU2988" s="18"/>
      <c r="BV2988" s="18"/>
    </row>
    <row r="2989" spans="1:74">
      <c r="A2989" s="18"/>
      <c r="B2989" s="19"/>
      <c r="BG2989" s="18"/>
      <c r="BH2989" s="18"/>
      <c r="BI2989" s="18"/>
      <c r="BJ2989" s="18"/>
      <c r="BK2989" s="18"/>
      <c r="BL2989" s="18"/>
      <c r="BM2989" s="18"/>
      <c r="BN2989" s="18"/>
      <c r="BO2989" s="18"/>
      <c r="BP2989" s="18"/>
      <c r="BQ2989" s="18"/>
      <c r="BR2989" s="18"/>
      <c r="BS2989" s="18"/>
      <c r="BT2989" s="18"/>
      <c r="BU2989" s="18"/>
      <c r="BV2989" s="18"/>
    </row>
    <row r="2990" spans="1:74">
      <c r="A2990" s="18"/>
      <c r="B2990" s="19"/>
      <c r="BG2990" s="18"/>
      <c r="BH2990" s="18"/>
      <c r="BI2990" s="18"/>
      <c r="BJ2990" s="18"/>
      <c r="BK2990" s="18"/>
      <c r="BL2990" s="18"/>
      <c r="BM2990" s="18"/>
      <c r="BN2990" s="18"/>
      <c r="BO2990" s="18"/>
      <c r="BP2990" s="18"/>
      <c r="BQ2990" s="18"/>
      <c r="BR2990" s="18"/>
      <c r="BS2990" s="18"/>
      <c r="BT2990" s="18"/>
      <c r="BU2990" s="18"/>
      <c r="BV2990" s="18"/>
    </row>
    <row r="2991" spans="1:74">
      <c r="A2991" s="18"/>
      <c r="B2991" s="19"/>
      <c r="BG2991" s="18"/>
      <c r="BH2991" s="18"/>
      <c r="BI2991" s="18"/>
      <c r="BJ2991" s="18"/>
      <c r="BK2991" s="18"/>
      <c r="BL2991" s="18"/>
      <c r="BM2991" s="18"/>
      <c r="BN2991" s="18"/>
      <c r="BO2991" s="18"/>
      <c r="BP2991" s="18"/>
      <c r="BQ2991" s="18"/>
      <c r="BR2991" s="18"/>
      <c r="BS2991" s="18"/>
      <c r="BT2991" s="18"/>
      <c r="BU2991" s="18"/>
      <c r="BV2991" s="18"/>
    </row>
    <row r="2992" spans="1:74">
      <c r="A2992" s="18"/>
      <c r="B2992" s="19"/>
      <c r="BG2992" s="18"/>
      <c r="BH2992" s="18"/>
      <c r="BI2992" s="18"/>
      <c r="BJ2992" s="18"/>
      <c r="BK2992" s="18"/>
      <c r="BL2992" s="18"/>
      <c r="BM2992" s="18"/>
      <c r="BN2992" s="18"/>
      <c r="BO2992" s="18"/>
      <c r="BP2992" s="18"/>
      <c r="BQ2992" s="18"/>
      <c r="BR2992" s="18"/>
      <c r="BS2992" s="18"/>
      <c r="BT2992" s="18"/>
      <c r="BU2992" s="18"/>
      <c r="BV2992" s="18"/>
    </row>
    <row r="2993" spans="1:74">
      <c r="A2993" s="18"/>
      <c r="B2993" s="19"/>
      <c r="BG2993" s="18"/>
      <c r="BH2993" s="18"/>
      <c r="BI2993" s="18"/>
      <c r="BJ2993" s="18"/>
      <c r="BK2993" s="18"/>
      <c r="BL2993" s="18"/>
      <c r="BM2993" s="18"/>
      <c r="BN2993" s="18"/>
      <c r="BO2993" s="18"/>
      <c r="BP2993" s="18"/>
      <c r="BQ2993" s="18"/>
      <c r="BR2993" s="18"/>
      <c r="BS2993" s="18"/>
      <c r="BT2993" s="18"/>
      <c r="BU2993" s="18"/>
      <c r="BV2993" s="18"/>
    </row>
    <row r="2994" spans="1:74">
      <c r="A2994" s="18"/>
      <c r="B2994" s="19"/>
      <c r="BG2994" s="18"/>
      <c r="BH2994" s="18"/>
      <c r="BI2994" s="18"/>
      <c r="BJ2994" s="18"/>
      <c r="BK2994" s="18"/>
      <c r="BL2994" s="18"/>
      <c r="BM2994" s="18"/>
      <c r="BN2994" s="18"/>
      <c r="BO2994" s="18"/>
      <c r="BP2994" s="18"/>
      <c r="BQ2994" s="18"/>
      <c r="BR2994" s="18"/>
      <c r="BS2994" s="18"/>
      <c r="BT2994" s="18"/>
      <c r="BU2994" s="18"/>
      <c r="BV2994" s="18"/>
    </row>
    <row r="2995" spans="1:74">
      <c r="A2995" s="18"/>
      <c r="B2995" s="19"/>
      <c r="BG2995" s="18"/>
      <c r="BH2995" s="18"/>
      <c r="BI2995" s="18"/>
      <c r="BJ2995" s="18"/>
      <c r="BK2995" s="18"/>
      <c r="BL2995" s="18"/>
      <c r="BM2995" s="18"/>
      <c r="BN2995" s="18"/>
      <c r="BO2995" s="18"/>
      <c r="BP2995" s="18"/>
      <c r="BQ2995" s="18"/>
      <c r="BR2995" s="18"/>
      <c r="BS2995" s="18"/>
      <c r="BT2995" s="18"/>
      <c r="BU2995" s="18"/>
      <c r="BV2995" s="18"/>
    </row>
    <row r="2996" spans="1:74">
      <c r="A2996" s="18"/>
      <c r="B2996" s="19"/>
      <c r="BG2996" s="18"/>
      <c r="BH2996" s="18"/>
      <c r="BI2996" s="18"/>
      <c r="BJ2996" s="18"/>
      <c r="BK2996" s="18"/>
      <c r="BL2996" s="18"/>
      <c r="BM2996" s="18"/>
      <c r="BN2996" s="18"/>
      <c r="BO2996" s="18"/>
      <c r="BP2996" s="18"/>
      <c r="BQ2996" s="18"/>
      <c r="BR2996" s="18"/>
      <c r="BS2996" s="18"/>
      <c r="BT2996" s="18"/>
      <c r="BU2996" s="18"/>
      <c r="BV2996" s="18"/>
    </row>
    <row r="2997" spans="1:74">
      <c r="A2997" s="18"/>
      <c r="B2997" s="19"/>
      <c r="BG2997" s="18"/>
      <c r="BH2997" s="18"/>
      <c r="BI2997" s="18"/>
      <c r="BJ2997" s="18"/>
      <c r="BK2997" s="18"/>
      <c r="BL2997" s="18"/>
      <c r="BM2997" s="18"/>
      <c r="BN2997" s="18"/>
      <c r="BO2997" s="18"/>
      <c r="BP2997" s="18"/>
      <c r="BQ2997" s="18"/>
      <c r="BR2997" s="18"/>
      <c r="BS2997" s="18"/>
      <c r="BT2997" s="18"/>
      <c r="BU2997" s="18"/>
      <c r="BV2997" s="18"/>
    </row>
    <row r="2998" spans="1:74">
      <c r="A2998" s="18"/>
      <c r="B2998" s="19"/>
      <c r="BG2998" s="18"/>
      <c r="BH2998" s="18"/>
      <c r="BI2998" s="18"/>
      <c r="BJ2998" s="18"/>
      <c r="BK2998" s="18"/>
      <c r="BL2998" s="18"/>
      <c r="BM2998" s="18"/>
      <c r="BN2998" s="18"/>
      <c r="BO2998" s="18"/>
      <c r="BP2998" s="18"/>
      <c r="BQ2998" s="18"/>
      <c r="BR2998" s="18"/>
      <c r="BS2998" s="18"/>
      <c r="BT2998" s="18"/>
      <c r="BU2998" s="18"/>
      <c r="BV2998" s="18"/>
    </row>
    <row r="2999" spans="1:74">
      <c r="A2999" s="18"/>
      <c r="B2999" s="19"/>
      <c r="BG2999" s="18"/>
      <c r="BH2999" s="18"/>
      <c r="BI2999" s="18"/>
      <c r="BJ2999" s="18"/>
      <c r="BK2999" s="18"/>
      <c r="BL2999" s="18"/>
      <c r="BM2999" s="18"/>
      <c r="BN2999" s="18"/>
      <c r="BO2999" s="18"/>
      <c r="BP2999" s="18"/>
      <c r="BQ2999" s="18"/>
      <c r="BR2999" s="18"/>
      <c r="BS2999" s="18"/>
      <c r="BT2999" s="18"/>
      <c r="BU2999" s="18"/>
      <c r="BV2999" s="18"/>
    </row>
    <row r="3000" spans="1:74">
      <c r="A3000" s="18"/>
      <c r="B3000" s="19"/>
      <c r="BG3000" s="18"/>
      <c r="BH3000" s="18"/>
      <c r="BI3000" s="18"/>
      <c r="BJ3000" s="18"/>
      <c r="BK3000" s="18"/>
      <c r="BL3000" s="18"/>
      <c r="BM3000" s="18"/>
      <c r="BN3000" s="18"/>
      <c r="BO3000" s="18"/>
      <c r="BP3000" s="18"/>
      <c r="BQ3000" s="18"/>
      <c r="BR3000" s="18"/>
      <c r="BS3000" s="18"/>
      <c r="BT3000" s="18"/>
      <c r="BU3000" s="18"/>
      <c r="BV3000" s="18"/>
    </row>
    <row r="3001" spans="1:74">
      <c r="A3001" s="18"/>
      <c r="B3001" s="19"/>
      <c r="BG3001" s="18"/>
      <c r="BH3001" s="18"/>
      <c r="BI3001" s="18"/>
      <c r="BJ3001" s="18"/>
      <c r="BK3001" s="18"/>
      <c r="BL3001" s="18"/>
      <c r="BM3001" s="18"/>
      <c r="BN3001" s="18"/>
      <c r="BO3001" s="18"/>
      <c r="BP3001" s="18"/>
      <c r="BQ3001" s="18"/>
      <c r="BR3001" s="18"/>
      <c r="BS3001" s="18"/>
      <c r="BT3001" s="18"/>
      <c r="BU3001" s="18"/>
      <c r="BV3001" s="18"/>
    </row>
    <row r="3002" spans="1:74">
      <c r="A3002" s="18"/>
      <c r="B3002" s="19"/>
      <c r="BG3002" s="18"/>
      <c r="BH3002" s="18"/>
      <c r="BI3002" s="18"/>
      <c r="BJ3002" s="18"/>
      <c r="BK3002" s="18"/>
      <c r="BL3002" s="18"/>
      <c r="BM3002" s="18"/>
      <c r="BN3002" s="18"/>
      <c r="BO3002" s="18"/>
      <c r="BP3002" s="18"/>
      <c r="BQ3002" s="18"/>
      <c r="BR3002" s="18"/>
      <c r="BS3002" s="18"/>
      <c r="BT3002" s="18"/>
      <c r="BU3002" s="18"/>
      <c r="BV3002" s="18"/>
    </row>
    <row r="3003" spans="1:74">
      <c r="A3003" s="18"/>
      <c r="B3003" s="19"/>
      <c r="BG3003" s="18"/>
      <c r="BH3003" s="18"/>
      <c r="BI3003" s="18"/>
      <c r="BJ3003" s="18"/>
      <c r="BK3003" s="18"/>
      <c r="BL3003" s="18"/>
      <c r="BM3003" s="18"/>
      <c r="BN3003" s="18"/>
      <c r="BO3003" s="18"/>
      <c r="BP3003" s="18"/>
      <c r="BQ3003" s="18"/>
      <c r="BR3003" s="18"/>
      <c r="BS3003" s="18"/>
      <c r="BT3003" s="18"/>
      <c r="BU3003" s="18"/>
      <c r="BV3003" s="18"/>
    </row>
    <row r="3004" spans="1:74">
      <c r="A3004" s="18"/>
      <c r="B3004" s="19"/>
      <c r="BG3004" s="18"/>
      <c r="BH3004" s="18"/>
      <c r="BI3004" s="18"/>
      <c r="BJ3004" s="18"/>
      <c r="BK3004" s="18"/>
      <c r="BL3004" s="18"/>
      <c r="BM3004" s="18"/>
      <c r="BN3004" s="18"/>
      <c r="BO3004" s="18"/>
      <c r="BP3004" s="18"/>
      <c r="BQ3004" s="18"/>
      <c r="BR3004" s="18"/>
      <c r="BS3004" s="18"/>
      <c r="BT3004" s="18"/>
      <c r="BU3004" s="18"/>
      <c r="BV3004" s="18"/>
    </row>
    <row r="3005" spans="1:74">
      <c r="A3005" s="18"/>
      <c r="B3005" s="19"/>
      <c r="BG3005" s="18"/>
      <c r="BH3005" s="18"/>
      <c r="BI3005" s="18"/>
      <c r="BJ3005" s="18"/>
      <c r="BK3005" s="18"/>
      <c r="BL3005" s="18"/>
      <c r="BM3005" s="18"/>
      <c r="BN3005" s="18"/>
      <c r="BO3005" s="18"/>
      <c r="BP3005" s="18"/>
      <c r="BQ3005" s="18"/>
      <c r="BR3005" s="18"/>
      <c r="BS3005" s="18"/>
      <c r="BT3005" s="18"/>
      <c r="BU3005" s="18"/>
      <c r="BV3005" s="18"/>
    </row>
    <row r="3006" spans="1:74">
      <c r="A3006" s="18"/>
      <c r="B3006" s="19"/>
      <c r="BG3006" s="18"/>
      <c r="BH3006" s="18"/>
      <c r="BI3006" s="18"/>
      <c r="BJ3006" s="18"/>
      <c r="BK3006" s="18"/>
      <c r="BL3006" s="18"/>
      <c r="BM3006" s="18"/>
      <c r="BN3006" s="18"/>
      <c r="BO3006" s="18"/>
      <c r="BP3006" s="18"/>
      <c r="BQ3006" s="18"/>
      <c r="BR3006" s="18"/>
      <c r="BS3006" s="18"/>
      <c r="BT3006" s="18"/>
      <c r="BU3006" s="18"/>
      <c r="BV3006" s="18"/>
    </row>
    <row r="3007" spans="1:74">
      <c r="A3007" s="18"/>
      <c r="B3007" s="19"/>
      <c r="BG3007" s="18"/>
      <c r="BH3007" s="18"/>
      <c r="BI3007" s="18"/>
      <c r="BJ3007" s="18"/>
      <c r="BK3007" s="18"/>
      <c r="BL3007" s="18"/>
      <c r="BM3007" s="18"/>
      <c r="BN3007" s="18"/>
      <c r="BO3007" s="18"/>
      <c r="BP3007" s="18"/>
      <c r="BQ3007" s="18"/>
      <c r="BR3007" s="18"/>
      <c r="BS3007" s="18"/>
      <c r="BT3007" s="18"/>
      <c r="BU3007" s="18"/>
      <c r="BV3007" s="18"/>
    </row>
    <row r="3008" spans="1:74">
      <c r="A3008" s="18"/>
      <c r="B3008" s="19"/>
      <c r="BG3008" s="18"/>
      <c r="BH3008" s="18"/>
      <c r="BI3008" s="18"/>
      <c r="BJ3008" s="18"/>
      <c r="BK3008" s="18"/>
      <c r="BL3008" s="18"/>
      <c r="BM3008" s="18"/>
      <c r="BN3008" s="18"/>
      <c r="BO3008" s="18"/>
      <c r="BP3008" s="18"/>
      <c r="BQ3008" s="18"/>
      <c r="BR3008" s="18"/>
      <c r="BS3008" s="18"/>
      <c r="BT3008" s="18"/>
      <c r="BU3008" s="18"/>
      <c r="BV3008" s="18"/>
    </row>
    <row r="3009" spans="1:74">
      <c r="A3009" s="18"/>
      <c r="B3009" s="19"/>
      <c r="BG3009" s="18"/>
      <c r="BH3009" s="18"/>
      <c r="BI3009" s="18"/>
      <c r="BJ3009" s="18"/>
      <c r="BK3009" s="18"/>
      <c r="BL3009" s="18"/>
      <c r="BM3009" s="18"/>
      <c r="BN3009" s="18"/>
      <c r="BO3009" s="18"/>
      <c r="BP3009" s="18"/>
      <c r="BQ3009" s="18"/>
      <c r="BR3009" s="18"/>
      <c r="BS3009" s="18"/>
      <c r="BT3009" s="18"/>
      <c r="BU3009" s="18"/>
      <c r="BV3009" s="18"/>
    </row>
    <row r="3010" spans="1:74">
      <c r="A3010" s="18"/>
      <c r="B3010" s="19"/>
      <c r="BG3010" s="18"/>
      <c r="BH3010" s="18"/>
      <c r="BI3010" s="18"/>
      <c r="BJ3010" s="18"/>
      <c r="BK3010" s="18"/>
      <c r="BL3010" s="18"/>
      <c r="BM3010" s="18"/>
      <c r="BN3010" s="18"/>
      <c r="BO3010" s="18"/>
      <c r="BP3010" s="18"/>
      <c r="BQ3010" s="18"/>
      <c r="BR3010" s="18"/>
      <c r="BS3010" s="18"/>
      <c r="BT3010" s="18"/>
      <c r="BU3010" s="18"/>
      <c r="BV3010" s="18"/>
    </row>
    <row r="3011" spans="1:74">
      <c r="A3011" s="18"/>
      <c r="B3011" s="19"/>
      <c r="BG3011" s="18"/>
      <c r="BH3011" s="18"/>
      <c r="BI3011" s="18"/>
      <c r="BJ3011" s="18"/>
      <c r="BK3011" s="18"/>
      <c r="BL3011" s="18"/>
      <c r="BM3011" s="18"/>
      <c r="BN3011" s="18"/>
      <c r="BO3011" s="18"/>
      <c r="BP3011" s="18"/>
      <c r="BQ3011" s="18"/>
      <c r="BR3011" s="18"/>
      <c r="BS3011" s="18"/>
      <c r="BT3011" s="18"/>
      <c r="BU3011" s="18"/>
      <c r="BV3011" s="18"/>
    </row>
    <row r="3012" spans="1:74">
      <c r="A3012" s="18"/>
      <c r="B3012" s="19"/>
      <c r="BG3012" s="18"/>
      <c r="BH3012" s="18"/>
      <c r="BI3012" s="18"/>
      <c r="BJ3012" s="18"/>
      <c r="BK3012" s="18"/>
      <c r="BL3012" s="18"/>
      <c r="BM3012" s="18"/>
      <c r="BN3012" s="18"/>
      <c r="BO3012" s="18"/>
      <c r="BP3012" s="18"/>
      <c r="BQ3012" s="18"/>
      <c r="BR3012" s="18"/>
      <c r="BS3012" s="18"/>
      <c r="BT3012" s="18"/>
      <c r="BU3012" s="18"/>
      <c r="BV3012" s="18"/>
    </row>
    <row r="3013" spans="1:74">
      <c r="A3013" s="18"/>
      <c r="B3013" s="19"/>
      <c r="BG3013" s="18"/>
      <c r="BH3013" s="18"/>
      <c r="BI3013" s="18"/>
      <c r="BJ3013" s="18"/>
      <c r="BK3013" s="18"/>
      <c r="BL3013" s="18"/>
      <c r="BM3013" s="18"/>
      <c r="BN3013" s="18"/>
      <c r="BO3013" s="18"/>
      <c r="BP3013" s="18"/>
      <c r="BQ3013" s="18"/>
      <c r="BR3013" s="18"/>
      <c r="BS3013" s="18"/>
      <c r="BT3013" s="18"/>
      <c r="BU3013" s="18"/>
      <c r="BV3013" s="18"/>
    </row>
    <row r="3014" spans="1:74">
      <c r="A3014" s="18"/>
      <c r="B3014" s="19"/>
      <c r="BG3014" s="18"/>
      <c r="BH3014" s="18"/>
      <c r="BI3014" s="18"/>
      <c r="BJ3014" s="18"/>
      <c r="BK3014" s="18"/>
      <c r="BL3014" s="18"/>
      <c r="BM3014" s="18"/>
      <c r="BN3014" s="18"/>
      <c r="BO3014" s="18"/>
      <c r="BP3014" s="18"/>
      <c r="BQ3014" s="18"/>
      <c r="BR3014" s="18"/>
      <c r="BS3014" s="18"/>
      <c r="BT3014" s="18"/>
      <c r="BU3014" s="18"/>
      <c r="BV3014" s="18"/>
    </row>
    <row r="3015" spans="1:74">
      <c r="A3015" s="18"/>
      <c r="B3015" s="19"/>
      <c r="BG3015" s="18"/>
      <c r="BH3015" s="18"/>
      <c r="BI3015" s="18"/>
      <c r="BJ3015" s="18"/>
      <c r="BK3015" s="18"/>
      <c r="BL3015" s="18"/>
      <c r="BM3015" s="18"/>
      <c r="BN3015" s="18"/>
      <c r="BO3015" s="18"/>
      <c r="BP3015" s="18"/>
      <c r="BQ3015" s="18"/>
      <c r="BR3015" s="18"/>
      <c r="BS3015" s="18"/>
      <c r="BT3015" s="18"/>
      <c r="BU3015" s="18"/>
      <c r="BV3015" s="18"/>
    </row>
    <row r="3016" spans="1:74">
      <c r="A3016" s="18"/>
      <c r="B3016" s="19"/>
      <c r="BG3016" s="18"/>
      <c r="BH3016" s="18"/>
      <c r="BI3016" s="18"/>
      <c r="BJ3016" s="18"/>
      <c r="BK3016" s="18"/>
      <c r="BL3016" s="18"/>
      <c r="BM3016" s="18"/>
      <c r="BN3016" s="18"/>
      <c r="BO3016" s="18"/>
      <c r="BP3016" s="18"/>
      <c r="BQ3016" s="18"/>
      <c r="BR3016" s="18"/>
      <c r="BS3016" s="18"/>
      <c r="BT3016" s="18"/>
      <c r="BU3016" s="18"/>
      <c r="BV3016" s="18"/>
    </row>
    <row r="3017" spans="1:74">
      <c r="A3017" s="18"/>
      <c r="B3017" s="19"/>
      <c r="BG3017" s="18"/>
      <c r="BH3017" s="18"/>
      <c r="BI3017" s="18"/>
      <c r="BJ3017" s="18"/>
      <c r="BK3017" s="18"/>
      <c r="BL3017" s="18"/>
      <c r="BM3017" s="18"/>
      <c r="BN3017" s="18"/>
      <c r="BO3017" s="18"/>
      <c r="BP3017" s="18"/>
      <c r="BQ3017" s="18"/>
      <c r="BR3017" s="18"/>
      <c r="BS3017" s="18"/>
      <c r="BT3017" s="18"/>
      <c r="BU3017" s="18"/>
      <c r="BV3017" s="18"/>
    </row>
    <row r="3018" spans="1:74">
      <c r="A3018" s="18"/>
      <c r="B3018" s="19"/>
      <c r="BG3018" s="18"/>
      <c r="BH3018" s="18"/>
      <c r="BI3018" s="18"/>
      <c r="BJ3018" s="18"/>
      <c r="BK3018" s="18"/>
      <c r="BL3018" s="18"/>
      <c r="BM3018" s="18"/>
      <c r="BN3018" s="18"/>
      <c r="BO3018" s="18"/>
      <c r="BP3018" s="18"/>
      <c r="BQ3018" s="18"/>
      <c r="BR3018" s="18"/>
      <c r="BS3018" s="18"/>
      <c r="BT3018" s="18"/>
      <c r="BU3018" s="18"/>
      <c r="BV3018" s="18"/>
    </row>
    <row r="3019" spans="1:74">
      <c r="A3019" s="18"/>
      <c r="B3019" s="19"/>
      <c r="BG3019" s="18"/>
      <c r="BH3019" s="18"/>
      <c r="BI3019" s="18"/>
      <c r="BJ3019" s="18"/>
      <c r="BK3019" s="18"/>
      <c r="BL3019" s="18"/>
      <c r="BM3019" s="18"/>
      <c r="BN3019" s="18"/>
      <c r="BO3019" s="18"/>
      <c r="BP3019" s="18"/>
      <c r="BQ3019" s="18"/>
      <c r="BR3019" s="18"/>
      <c r="BS3019" s="18"/>
      <c r="BT3019" s="18"/>
      <c r="BU3019" s="18"/>
      <c r="BV3019" s="18"/>
    </row>
    <row r="3020" spans="1:74">
      <c r="A3020" s="18"/>
      <c r="B3020" s="19"/>
      <c r="BG3020" s="18"/>
      <c r="BH3020" s="18"/>
      <c r="BI3020" s="18"/>
      <c r="BJ3020" s="18"/>
      <c r="BK3020" s="18"/>
      <c r="BL3020" s="18"/>
      <c r="BM3020" s="18"/>
      <c r="BN3020" s="18"/>
      <c r="BO3020" s="18"/>
      <c r="BP3020" s="18"/>
      <c r="BQ3020" s="18"/>
      <c r="BR3020" s="18"/>
      <c r="BS3020" s="18"/>
      <c r="BT3020" s="18"/>
      <c r="BU3020" s="18"/>
      <c r="BV3020" s="18"/>
    </row>
    <row r="3021" spans="1:74">
      <c r="A3021" s="18"/>
      <c r="B3021" s="19"/>
      <c r="BG3021" s="18"/>
      <c r="BH3021" s="18"/>
      <c r="BI3021" s="18"/>
      <c r="BJ3021" s="18"/>
      <c r="BK3021" s="18"/>
      <c r="BL3021" s="18"/>
      <c r="BM3021" s="18"/>
      <c r="BN3021" s="18"/>
      <c r="BO3021" s="18"/>
      <c r="BP3021" s="18"/>
      <c r="BQ3021" s="18"/>
      <c r="BR3021" s="18"/>
      <c r="BS3021" s="18"/>
      <c r="BT3021" s="18"/>
      <c r="BU3021" s="18"/>
      <c r="BV3021" s="18"/>
    </row>
    <row r="3022" spans="1:74">
      <c r="A3022" s="18"/>
      <c r="B3022" s="19"/>
      <c r="BG3022" s="18"/>
      <c r="BH3022" s="18"/>
      <c r="BI3022" s="18"/>
      <c r="BJ3022" s="18"/>
      <c r="BK3022" s="18"/>
      <c r="BL3022" s="18"/>
      <c r="BM3022" s="18"/>
      <c r="BN3022" s="18"/>
      <c r="BO3022" s="18"/>
      <c r="BP3022" s="18"/>
      <c r="BQ3022" s="18"/>
      <c r="BR3022" s="18"/>
      <c r="BS3022" s="18"/>
      <c r="BT3022" s="18"/>
      <c r="BU3022" s="18"/>
      <c r="BV3022" s="18"/>
    </row>
    <row r="3023" spans="1:74">
      <c r="A3023" s="18"/>
      <c r="B3023" s="19"/>
      <c r="BG3023" s="18"/>
      <c r="BH3023" s="18"/>
      <c r="BI3023" s="18"/>
      <c r="BJ3023" s="18"/>
      <c r="BK3023" s="18"/>
      <c r="BL3023" s="18"/>
      <c r="BM3023" s="18"/>
      <c r="BN3023" s="18"/>
      <c r="BO3023" s="18"/>
      <c r="BP3023" s="18"/>
      <c r="BQ3023" s="18"/>
      <c r="BR3023" s="18"/>
      <c r="BS3023" s="18"/>
      <c r="BT3023" s="18"/>
      <c r="BU3023" s="18"/>
      <c r="BV3023" s="18"/>
    </row>
    <row r="3024" spans="1:74">
      <c r="A3024" s="18"/>
      <c r="B3024" s="19"/>
      <c r="BG3024" s="18"/>
      <c r="BH3024" s="18"/>
      <c r="BI3024" s="18"/>
      <c r="BJ3024" s="18"/>
      <c r="BK3024" s="18"/>
      <c r="BL3024" s="18"/>
      <c r="BM3024" s="18"/>
      <c r="BN3024" s="18"/>
      <c r="BO3024" s="18"/>
      <c r="BP3024" s="18"/>
      <c r="BQ3024" s="18"/>
      <c r="BR3024" s="18"/>
      <c r="BS3024" s="18"/>
      <c r="BT3024" s="18"/>
      <c r="BU3024" s="18"/>
      <c r="BV3024" s="18"/>
    </row>
    <row r="3025" spans="1:74">
      <c r="A3025" s="18"/>
      <c r="B3025" s="19"/>
      <c r="BG3025" s="18"/>
      <c r="BH3025" s="18"/>
      <c r="BI3025" s="18"/>
      <c r="BJ3025" s="18"/>
      <c r="BK3025" s="18"/>
      <c r="BL3025" s="18"/>
      <c r="BM3025" s="18"/>
      <c r="BN3025" s="18"/>
      <c r="BO3025" s="18"/>
      <c r="BP3025" s="18"/>
      <c r="BQ3025" s="18"/>
      <c r="BR3025" s="18"/>
      <c r="BS3025" s="18"/>
      <c r="BT3025" s="18"/>
      <c r="BU3025" s="18"/>
      <c r="BV3025" s="18"/>
    </row>
    <row r="3026" spans="1:74">
      <c r="A3026" s="18"/>
      <c r="B3026" s="19"/>
      <c r="BG3026" s="18"/>
      <c r="BH3026" s="18"/>
      <c r="BI3026" s="18"/>
      <c r="BJ3026" s="18"/>
      <c r="BK3026" s="18"/>
      <c r="BL3026" s="18"/>
      <c r="BM3026" s="18"/>
      <c r="BN3026" s="18"/>
      <c r="BO3026" s="18"/>
      <c r="BP3026" s="18"/>
      <c r="BQ3026" s="18"/>
      <c r="BR3026" s="18"/>
      <c r="BS3026" s="18"/>
      <c r="BT3026" s="18"/>
      <c r="BU3026" s="18"/>
      <c r="BV3026" s="18"/>
    </row>
    <row r="3027" spans="1:74">
      <c r="A3027" s="18"/>
      <c r="B3027" s="19"/>
      <c r="BG3027" s="18"/>
      <c r="BH3027" s="18"/>
      <c r="BI3027" s="18"/>
      <c r="BJ3027" s="18"/>
      <c r="BK3027" s="18"/>
      <c r="BL3027" s="18"/>
      <c r="BM3027" s="18"/>
      <c r="BN3027" s="18"/>
      <c r="BO3027" s="18"/>
      <c r="BP3027" s="18"/>
      <c r="BQ3027" s="18"/>
      <c r="BR3027" s="18"/>
      <c r="BS3027" s="18"/>
      <c r="BT3027" s="18"/>
      <c r="BU3027" s="18"/>
      <c r="BV3027" s="18"/>
    </row>
    <row r="3028" spans="1:74">
      <c r="A3028" s="18"/>
      <c r="B3028" s="19"/>
      <c r="BG3028" s="18"/>
      <c r="BH3028" s="18"/>
      <c r="BI3028" s="18"/>
      <c r="BJ3028" s="18"/>
      <c r="BK3028" s="18"/>
      <c r="BL3028" s="18"/>
      <c r="BM3028" s="18"/>
      <c r="BN3028" s="18"/>
      <c r="BO3028" s="18"/>
      <c r="BP3028" s="18"/>
      <c r="BQ3028" s="18"/>
      <c r="BR3028" s="18"/>
      <c r="BS3028" s="18"/>
      <c r="BT3028" s="18"/>
      <c r="BU3028" s="18"/>
      <c r="BV3028" s="18"/>
    </row>
    <row r="3029" spans="1:74">
      <c r="A3029" s="18"/>
      <c r="B3029" s="19"/>
      <c r="BG3029" s="18"/>
      <c r="BH3029" s="18"/>
      <c r="BI3029" s="18"/>
      <c r="BJ3029" s="18"/>
      <c r="BK3029" s="18"/>
      <c r="BL3029" s="18"/>
      <c r="BM3029" s="18"/>
      <c r="BN3029" s="18"/>
      <c r="BO3029" s="18"/>
      <c r="BP3029" s="18"/>
      <c r="BQ3029" s="18"/>
      <c r="BR3029" s="18"/>
      <c r="BS3029" s="18"/>
      <c r="BT3029" s="18"/>
      <c r="BU3029" s="18"/>
      <c r="BV3029" s="18"/>
    </row>
    <row r="3030" spans="1:74">
      <c r="A3030" s="18"/>
      <c r="B3030" s="19"/>
      <c r="BG3030" s="18"/>
      <c r="BH3030" s="18"/>
      <c r="BI3030" s="18"/>
      <c r="BJ3030" s="18"/>
      <c r="BK3030" s="18"/>
      <c r="BL3030" s="18"/>
      <c r="BM3030" s="18"/>
      <c r="BN3030" s="18"/>
      <c r="BO3030" s="18"/>
      <c r="BP3030" s="18"/>
      <c r="BQ3030" s="18"/>
      <c r="BR3030" s="18"/>
      <c r="BS3030" s="18"/>
      <c r="BT3030" s="18"/>
      <c r="BU3030" s="18"/>
      <c r="BV3030" s="18"/>
    </row>
    <row r="3031" spans="1:74">
      <c r="A3031" s="18"/>
      <c r="B3031" s="19"/>
      <c r="BG3031" s="18"/>
      <c r="BH3031" s="18"/>
      <c r="BI3031" s="18"/>
      <c r="BJ3031" s="18"/>
      <c r="BK3031" s="18"/>
      <c r="BL3031" s="18"/>
      <c r="BM3031" s="18"/>
      <c r="BN3031" s="18"/>
      <c r="BO3031" s="18"/>
      <c r="BP3031" s="18"/>
      <c r="BQ3031" s="18"/>
      <c r="BR3031" s="18"/>
      <c r="BS3031" s="18"/>
      <c r="BT3031" s="18"/>
      <c r="BU3031" s="18"/>
      <c r="BV3031" s="18"/>
    </row>
    <row r="3032" spans="1:74">
      <c r="A3032" s="18"/>
      <c r="B3032" s="19"/>
      <c r="BG3032" s="18"/>
      <c r="BH3032" s="18"/>
      <c r="BI3032" s="18"/>
      <c r="BJ3032" s="18"/>
      <c r="BK3032" s="18"/>
      <c r="BL3032" s="18"/>
      <c r="BM3032" s="18"/>
      <c r="BN3032" s="18"/>
      <c r="BO3032" s="18"/>
      <c r="BP3032" s="18"/>
      <c r="BQ3032" s="18"/>
      <c r="BR3032" s="18"/>
      <c r="BS3032" s="18"/>
      <c r="BT3032" s="18"/>
      <c r="BU3032" s="18"/>
      <c r="BV3032" s="18"/>
    </row>
    <row r="3033" spans="1:74">
      <c r="A3033" s="18"/>
      <c r="B3033" s="19"/>
      <c r="BG3033" s="18"/>
      <c r="BH3033" s="18"/>
      <c r="BI3033" s="18"/>
      <c r="BJ3033" s="18"/>
      <c r="BK3033" s="18"/>
      <c r="BL3033" s="18"/>
      <c r="BM3033" s="18"/>
      <c r="BN3033" s="18"/>
      <c r="BO3033" s="18"/>
      <c r="BP3033" s="18"/>
      <c r="BQ3033" s="18"/>
      <c r="BR3033" s="18"/>
      <c r="BS3033" s="18"/>
      <c r="BT3033" s="18"/>
      <c r="BU3033" s="18"/>
      <c r="BV3033" s="18"/>
    </row>
    <row r="3034" spans="1:74">
      <c r="A3034" s="18"/>
      <c r="B3034" s="19"/>
      <c r="BG3034" s="18"/>
      <c r="BH3034" s="18"/>
      <c r="BI3034" s="18"/>
      <c r="BJ3034" s="18"/>
      <c r="BK3034" s="18"/>
      <c r="BL3034" s="18"/>
      <c r="BM3034" s="18"/>
      <c r="BN3034" s="18"/>
      <c r="BO3034" s="18"/>
      <c r="BP3034" s="18"/>
      <c r="BQ3034" s="18"/>
      <c r="BR3034" s="18"/>
      <c r="BS3034" s="18"/>
      <c r="BT3034" s="18"/>
      <c r="BU3034" s="18"/>
      <c r="BV3034" s="18"/>
    </row>
    <row r="3035" spans="1:74">
      <c r="A3035" s="18"/>
      <c r="B3035" s="19"/>
      <c r="BG3035" s="18"/>
      <c r="BH3035" s="18"/>
      <c r="BI3035" s="18"/>
      <c r="BJ3035" s="18"/>
      <c r="BK3035" s="18"/>
      <c r="BL3035" s="18"/>
      <c r="BM3035" s="18"/>
      <c r="BN3035" s="18"/>
      <c r="BO3035" s="18"/>
      <c r="BP3035" s="18"/>
      <c r="BQ3035" s="18"/>
      <c r="BR3035" s="18"/>
      <c r="BS3035" s="18"/>
      <c r="BT3035" s="18"/>
      <c r="BU3035" s="18"/>
      <c r="BV3035" s="18"/>
    </row>
    <row r="3036" spans="1:74">
      <c r="A3036" s="18"/>
      <c r="B3036" s="19"/>
      <c r="BG3036" s="18"/>
      <c r="BH3036" s="18"/>
      <c r="BI3036" s="18"/>
      <c r="BJ3036" s="18"/>
      <c r="BK3036" s="18"/>
      <c r="BL3036" s="18"/>
      <c r="BM3036" s="18"/>
      <c r="BN3036" s="18"/>
      <c r="BO3036" s="18"/>
      <c r="BP3036" s="18"/>
      <c r="BQ3036" s="18"/>
      <c r="BR3036" s="18"/>
      <c r="BS3036" s="18"/>
      <c r="BT3036" s="18"/>
      <c r="BU3036" s="18"/>
      <c r="BV3036" s="18"/>
    </row>
    <row r="3037" spans="1:74">
      <c r="A3037" s="18"/>
      <c r="B3037" s="19"/>
      <c r="BG3037" s="18"/>
      <c r="BH3037" s="18"/>
      <c r="BI3037" s="18"/>
      <c r="BJ3037" s="18"/>
      <c r="BK3037" s="18"/>
      <c r="BL3037" s="18"/>
      <c r="BM3037" s="18"/>
      <c r="BN3037" s="18"/>
      <c r="BO3037" s="18"/>
      <c r="BP3037" s="18"/>
      <c r="BQ3037" s="18"/>
      <c r="BR3037" s="18"/>
      <c r="BS3037" s="18"/>
      <c r="BT3037" s="18"/>
      <c r="BU3037" s="18"/>
      <c r="BV3037" s="18"/>
    </row>
    <row r="3038" spans="1:74">
      <c r="A3038" s="18"/>
      <c r="B3038" s="19"/>
      <c r="BG3038" s="18"/>
      <c r="BH3038" s="18"/>
      <c r="BI3038" s="18"/>
      <c r="BJ3038" s="18"/>
      <c r="BK3038" s="18"/>
      <c r="BL3038" s="18"/>
      <c r="BM3038" s="18"/>
      <c r="BN3038" s="18"/>
      <c r="BO3038" s="18"/>
      <c r="BP3038" s="18"/>
      <c r="BQ3038" s="18"/>
      <c r="BR3038" s="18"/>
      <c r="BS3038" s="18"/>
      <c r="BT3038" s="18"/>
      <c r="BU3038" s="18"/>
      <c r="BV3038" s="18"/>
    </row>
    <row r="3039" spans="1:74">
      <c r="A3039" s="18"/>
      <c r="B3039" s="19"/>
      <c r="BG3039" s="18"/>
      <c r="BH3039" s="18"/>
      <c r="BI3039" s="18"/>
      <c r="BJ3039" s="18"/>
      <c r="BK3039" s="18"/>
      <c r="BL3039" s="18"/>
      <c r="BM3039" s="18"/>
      <c r="BN3039" s="18"/>
      <c r="BO3039" s="18"/>
      <c r="BP3039" s="18"/>
      <c r="BQ3039" s="18"/>
      <c r="BR3039" s="18"/>
      <c r="BS3039" s="18"/>
      <c r="BT3039" s="18"/>
      <c r="BU3039" s="18"/>
      <c r="BV3039" s="18"/>
    </row>
    <row r="3040" spans="1:74">
      <c r="A3040" s="18"/>
      <c r="B3040" s="19"/>
      <c r="BG3040" s="18"/>
      <c r="BH3040" s="18"/>
      <c r="BI3040" s="18"/>
      <c r="BJ3040" s="18"/>
      <c r="BK3040" s="18"/>
      <c r="BL3040" s="18"/>
      <c r="BM3040" s="18"/>
      <c r="BN3040" s="18"/>
      <c r="BO3040" s="18"/>
      <c r="BP3040" s="18"/>
      <c r="BQ3040" s="18"/>
      <c r="BR3040" s="18"/>
      <c r="BS3040" s="18"/>
      <c r="BT3040" s="18"/>
      <c r="BU3040" s="18"/>
      <c r="BV3040" s="18"/>
    </row>
    <row r="3041" spans="1:74">
      <c r="A3041" s="18"/>
      <c r="B3041" s="19"/>
      <c r="BG3041" s="18"/>
      <c r="BH3041" s="18"/>
      <c r="BI3041" s="18"/>
      <c r="BJ3041" s="18"/>
      <c r="BK3041" s="18"/>
      <c r="BL3041" s="18"/>
      <c r="BM3041" s="18"/>
      <c r="BN3041" s="18"/>
      <c r="BO3041" s="18"/>
      <c r="BP3041" s="18"/>
      <c r="BQ3041" s="18"/>
      <c r="BR3041" s="18"/>
      <c r="BS3041" s="18"/>
      <c r="BT3041" s="18"/>
      <c r="BU3041" s="18"/>
      <c r="BV3041" s="18"/>
    </row>
    <row r="3042" spans="1:74">
      <c r="A3042" s="18"/>
      <c r="B3042" s="19"/>
      <c r="BG3042" s="18"/>
      <c r="BH3042" s="18"/>
      <c r="BI3042" s="18"/>
      <c r="BJ3042" s="18"/>
      <c r="BK3042" s="18"/>
      <c r="BL3042" s="18"/>
      <c r="BM3042" s="18"/>
      <c r="BN3042" s="18"/>
      <c r="BO3042" s="18"/>
      <c r="BP3042" s="18"/>
      <c r="BQ3042" s="18"/>
      <c r="BR3042" s="18"/>
      <c r="BS3042" s="18"/>
      <c r="BT3042" s="18"/>
      <c r="BU3042" s="18"/>
      <c r="BV3042" s="18"/>
    </row>
    <row r="3043" spans="1:74">
      <c r="A3043" s="18"/>
      <c r="B3043" s="19"/>
      <c r="BG3043" s="18"/>
      <c r="BH3043" s="18"/>
      <c r="BI3043" s="18"/>
      <c r="BJ3043" s="18"/>
      <c r="BK3043" s="18"/>
      <c r="BL3043" s="18"/>
      <c r="BM3043" s="18"/>
      <c r="BN3043" s="18"/>
      <c r="BO3043" s="18"/>
      <c r="BP3043" s="18"/>
      <c r="BQ3043" s="18"/>
      <c r="BR3043" s="18"/>
      <c r="BS3043" s="18"/>
      <c r="BT3043" s="18"/>
      <c r="BU3043" s="18"/>
      <c r="BV3043" s="18"/>
    </row>
    <row r="3044" spans="1:74">
      <c r="A3044" s="18"/>
      <c r="B3044" s="19"/>
      <c r="BG3044" s="18"/>
      <c r="BH3044" s="18"/>
      <c r="BI3044" s="18"/>
      <c r="BJ3044" s="18"/>
      <c r="BK3044" s="18"/>
      <c r="BL3044" s="18"/>
      <c r="BM3044" s="18"/>
      <c r="BN3044" s="18"/>
      <c r="BO3044" s="18"/>
      <c r="BP3044" s="18"/>
      <c r="BQ3044" s="18"/>
      <c r="BR3044" s="18"/>
      <c r="BS3044" s="18"/>
      <c r="BT3044" s="18"/>
      <c r="BU3044" s="18"/>
      <c r="BV3044" s="18"/>
    </row>
    <row r="3045" spans="1:74">
      <c r="A3045" s="18"/>
      <c r="B3045" s="19"/>
      <c r="BG3045" s="18"/>
      <c r="BH3045" s="18"/>
      <c r="BI3045" s="18"/>
      <c r="BJ3045" s="18"/>
      <c r="BK3045" s="18"/>
      <c r="BL3045" s="18"/>
      <c r="BM3045" s="18"/>
      <c r="BN3045" s="18"/>
      <c r="BO3045" s="18"/>
      <c r="BP3045" s="18"/>
      <c r="BQ3045" s="18"/>
      <c r="BR3045" s="18"/>
      <c r="BS3045" s="18"/>
      <c r="BT3045" s="18"/>
      <c r="BU3045" s="18"/>
      <c r="BV3045" s="18"/>
    </row>
    <row r="3046" spans="1:74">
      <c r="A3046" s="18"/>
      <c r="B3046" s="19"/>
      <c r="BG3046" s="18"/>
      <c r="BH3046" s="18"/>
      <c r="BI3046" s="18"/>
      <c r="BJ3046" s="18"/>
      <c r="BK3046" s="18"/>
      <c r="BL3046" s="18"/>
      <c r="BM3046" s="18"/>
      <c r="BN3046" s="18"/>
      <c r="BO3046" s="18"/>
      <c r="BP3046" s="18"/>
      <c r="BQ3046" s="18"/>
      <c r="BR3046" s="18"/>
      <c r="BS3046" s="18"/>
      <c r="BT3046" s="18"/>
      <c r="BU3046" s="18"/>
      <c r="BV3046" s="18"/>
    </row>
    <row r="3047" spans="1:74">
      <c r="A3047" s="18"/>
      <c r="B3047" s="19"/>
      <c r="BG3047" s="18"/>
      <c r="BH3047" s="18"/>
      <c r="BI3047" s="18"/>
      <c r="BJ3047" s="18"/>
      <c r="BK3047" s="18"/>
      <c r="BL3047" s="18"/>
      <c r="BM3047" s="18"/>
      <c r="BN3047" s="18"/>
      <c r="BO3047" s="18"/>
      <c r="BP3047" s="18"/>
      <c r="BQ3047" s="18"/>
      <c r="BR3047" s="18"/>
      <c r="BS3047" s="18"/>
      <c r="BT3047" s="18"/>
      <c r="BU3047" s="18"/>
      <c r="BV3047" s="18"/>
    </row>
    <row r="3048" spans="1:74">
      <c r="A3048" s="18"/>
      <c r="B3048" s="19"/>
      <c r="BG3048" s="18"/>
      <c r="BH3048" s="18"/>
      <c r="BI3048" s="18"/>
      <c r="BJ3048" s="18"/>
      <c r="BK3048" s="18"/>
      <c r="BL3048" s="18"/>
      <c r="BM3048" s="18"/>
      <c r="BN3048" s="18"/>
      <c r="BO3048" s="18"/>
      <c r="BP3048" s="18"/>
      <c r="BQ3048" s="18"/>
      <c r="BR3048" s="18"/>
      <c r="BS3048" s="18"/>
      <c r="BT3048" s="18"/>
      <c r="BU3048" s="18"/>
      <c r="BV3048" s="18"/>
    </row>
    <row r="3049" spans="1:74">
      <c r="A3049" s="18"/>
      <c r="B3049" s="19"/>
      <c r="BG3049" s="18"/>
      <c r="BH3049" s="18"/>
      <c r="BI3049" s="18"/>
      <c r="BJ3049" s="18"/>
      <c r="BK3049" s="18"/>
      <c r="BL3049" s="18"/>
      <c r="BM3049" s="18"/>
      <c r="BN3049" s="18"/>
      <c r="BO3049" s="18"/>
      <c r="BP3049" s="18"/>
      <c r="BQ3049" s="18"/>
      <c r="BR3049" s="18"/>
      <c r="BS3049" s="18"/>
      <c r="BT3049" s="18"/>
      <c r="BU3049" s="18"/>
      <c r="BV3049" s="18"/>
    </row>
    <row r="3050" spans="1:74">
      <c r="A3050" s="18"/>
      <c r="B3050" s="19"/>
      <c r="BG3050" s="18"/>
      <c r="BH3050" s="18"/>
      <c r="BI3050" s="18"/>
      <c r="BJ3050" s="18"/>
      <c r="BK3050" s="18"/>
      <c r="BL3050" s="18"/>
      <c r="BM3050" s="18"/>
      <c r="BN3050" s="18"/>
      <c r="BO3050" s="18"/>
      <c r="BP3050" s="18"/>
      <c r="BQ3050" s="18"/>
      <c r="BR3050" s="18"/>
      <c r="BS3050" s="18"/>
      <c r="BT3050" s="18"/>
      <c r="BU3050" s="18"/>
      <c r="BV3050" s="18"/>
    </row>
    <row r="3051" spans="1:74">
      <c r="A3051" s="18"/>
      <c r="B3051" s="19"/>
      <c r="BG3051" s="18"/>
      <c r="BH3051" s="18"/>
      <c r="BI3051" s="18"/>
      <c r="BJ3051" s="18"/>
      <c r="BK3051" s="18"/>
      <c r="BL3051" s="18"/>
      <c r="BM3051" s="18"/>
      <c r="BN3051" s="18"/>
      <c r="BO3051" s="18"/>
      <c r="BP3051" s="18"/>
      <c r="BQ3051" s="18"/>
      <c r="BR3051" s="18"/>
      <c r="BS3051" s="18"/>
      <c r="BT3051" s="18"/>
      <c r="BU3051" s="18"/>
      <c r="BV3051" s="18"/>
    </row>
    <row r="3052" spans="1:74">
      <c r="A3052" s="18"/>
      <c r="B3052" s="19"/>
      <c r="BG3052" s="18"/>
      <c r="BH3052" s="18"/>
      <c r="BI3052" s="18"/>
      <c r="BJ3052" s="18"/>
      <c r="BK3052" s="18"/>
      <c r="BL3052" s="18"/>
      <c r="BM3052" s="18"/>
      <c r="BN3052" s="18"/>
      <c r="BO3052" s="18"/>
      <c r="BP3052" s="18"/>
      <c r="BQ3052" s="18"/>
      <c r="BR3052" s="18"/>
      <c r="BS3052" s="18"/>
      <c r="BT3052" s="18"/>
      <c r="BU3052" s="18"/>
      <c r="BV3052" s="18"/>
    </row>
    <row r="3053" spans="1:74">
      <c r="A3053" s="18"/>
      <c r="B3053" s="19"/>
      <c r="BG3053" s="18"/>
      <c r="BH3053" s="18"/>
      <c r="BI3053" s="18"/>
      <c r="BJ3053" s="18"/>
      <c r="BK3053" s="18"/>
      <c r="BL3053" s="18"/>
      <c r="BM3053" s="18"/>
      <c r="BN3053" s="18"/>
      <c r="BO3053" s="18"/>
      <c r="BP3053" s="18"/>
      <c r="BQ3053" s="18"/>
      <c r="BR3053" s="18"/>
      <c r="BS3053" s="18"/>
      <c r="BT3053" s="18"/>
      <c r="BU3053" s="18"/>
      <c r="BV3053" s="18"/>
    </row>
    <row r="3054" spans="1:74">
      <c r="A3054" s="18"/>
      <c r="B3054" s="19"/>
      <c r="BG3054" s="18"/>
      <c r="BH3054" s="18"/>
      <c r="BI3054" s="18"/>
      <c r="BJ3054" s="18"/>
      <c r="BK3054" s="18"/>
      <c r="BL3054" s="18"/>
      <c r="BM3054" s="18"/>
      <c r="BN3054" s="18"/>
      <c r="BO3054" s="18"/>
      <c r="BP3054" s="18"/>
      <c r="BQ3054" s="18"/>
      <c r="BR3054" s="18"/>
      <c r="BS3054" s="18"/>
      <c r="BT3054" s="18"/>
      <c r="BU3054" s="18"/>
      <c r="BV3054" s="18"/>
    </row>
    <row r="3055" spans="1:74">
      <c r="A3055" s="18"/>
      <c r="B3055" s="19"/>
      <c r="BG3055" s="18"/>
      <c r="BH3055" s="18"/>
      <c r="BI3055" s="18"/>
      <c r="BJ3055" s="18"/>
      <c r="BK3055" s="18"/>
      <c r="BL3055" s="18"/>
      <c r="BM3055" s="18"/>
      <c r="BN3055" s="18"/>
      <c r="BO3055" s="18"/>
      <c r="BP3055" s="18"/>
      <c r="BQ3055" s="18"/>
      <c r="BR3055" s="18"/>
      <c r="BS3055" s="18"/>
      <c r="BT3055" s="18"/>
      <c r="BU3055" s="18"/>
      <c r="BV3055" s="18"/>
    </row>
    <row r="3056" spans="1:74">
      <c r="A3056" s="18"/>
      <c r="B3056" s="19"/>
      <c r="BG3056" s="18"/>
      <c r="BH3056" s="18"/>
      <c r="BI3056" s="18"/>
      <c r="BJ3056" s="18"/>
      <c r="BK3056" s="18"/>
      <c r="BL3056" s="18"/>
      <c r="BM3056" s="18"/>
      <c r="BN3056" s="18"/>
      <c r="BO3056" s="18"/>
      <c r="BP3056" s="18"/>
      <c r="BQ3056" s="18"/>
      <c r="BR3056" s="18"/>
      <c r="BS3056" s="18"/>
      <c r="BT3056" s="18"/>
      <c r="BU3056" s="18"/>
      <c r="BV3056" s="18"/>
    </row>
    <row r="3057" spans="1:74">
      <c r="A3057" s="18"/>
      <c r="B3057" s="19"/>
      <c r="BG3057" s="18"/>
      <c r="BH3057" s="18"/>
      <c r="BI3057" s="18"/>
      <c r="BJ3057" s="18"/>
      <c r="BK3057" s="18"/>
      <c r="BL3057" s="18"/>
      <c r="BM3057" s="18"/>
      <c r="BN3057" s="18"/>
      <c r="BO3057" s="18"/>
      <c r="BP3057" s="18"/>
      <c r="BQ3057" s="18"/>
      <c r="BR3057" s="18"/>
      <c r="BS3057" s="18"/>
      <c r="BT3057" s="18"/>
      <c r="BU3057" s="18"/>
      <c r="BV3057" s="18"/>
    </row>
    <row r="3058" spans="1:74">
      <c r="A3058" s="18"/>
      <c r="B3058" s="19"/>
      <c r="BG3058" s="18"/>
      <c r="BH3058" s="18"/>
      <c r="BI3058" s="18"/>
      <c r="BJ3058" s="18"/>
      <c r="BK3058" s="18"/>
      <c r="BL3058" s="18"/>
      <c r="BM3058" s="18"/>
      <c r="BN3058" s="18"/>
      <c r="BO3058" s="18"/>
      <c r="BP3058" s="18"/>
      <c r="BQ3058" s="18"/>
      <c r="BR3058" s="18"/>
      <c r="BS3058" s="18"/>
      <c r="BT3058" s="18"/>
      <c r="BU3058" s="18"/>
      <c r="BV3058" s="18"/>
    </row>
    <row r="3059" spans="1:74">
      <c r="A3059" s="18"/>
      <c r="B3059" s="19"/>
      <c r="BG3059" s="18"/>
      <c r="BH3059" s="18"/>
      <c r="BI3059" s="18"/>
      <c r="BJ3059" s="18"/>
      <c r="BK3059" s="18"/>
      <c r="BL3059" s="18"/>
      <c r="BM3059" s="18"/>
      <c r="BN3059" s="18"/>
      <c r="BO3059" s="18"/>
      <c r="BP3059" s="18"/>
      <c r="BQ3059" s="18"/>
      <c r="BR3059" s="18"/>
      <c r="BS3059" s="18"/>
      <c r="BT3059" s="18"/>
      <c r="BU3059" s="18"/>
      <c r="BV3059" s="18"/>
    </row>
    <row r="3060" spans="1:74">
      <c r="A3060" s="18"/>
      <c r="B3060" s="19"/>
      <c r="BG3060" s="18"/>
      <c r="BH3060" s="18"/>
      <c r="BI3060" s="18"/>
      <c r="BJ3060" s="18"/>
      <c r="BK3060" s="18"/>
      <c r="BL3060" s="18"/>
      <c r="BM3060" s="18"/>
      <c r="BN3060" s="18"/>
      <c r="BO3060" s="18"/>
      <c r="BP3060" s="18"/>
      <c r="BQ3060" s="18"/>
      <c r="BR3060" s="18"/>
      <c r="BS3060" s="18"/>
      <c r="BT3060" s="18"/>
      <c r="BU3060" s="18"/>
      <c r="BV3060" s="18"/>
    </row>
    <row r="3061" spans="1:74">
      <c r="A3061" s="18"/>
      <c r="B3061" s="19"/>
      <c r="BG3061" s="18"/>
      <c r="BH3061" s="18"/>
      <c r="BI3061" s="18"/>
      <c r="BJ3061" s="18"/>
      <c r="BK3061" s="18"/>
      <c r="BL3061" s="18"/>
      <c r="BM3061" s="18"/>
      <c r="BN3061" s="18"/>
      <c r="BO3061" s="18"/>
      <c r="BP3061" s="18"/>
      <c r="BQ3061" s="18"/>
      <c r="BR3061" s="18"/>
      <c r="BS3061" s="18"/>
      <c r="BT3061" s="18"/>
      <c r="BU3061" s="18"/>
      <c r="BV3061" s="18"/>
    </row>
    <row r="3062" spans="1:74">
      <c r="A3062" s="18"/>
      <c r="B3062" s="19"/>
      <c r="BG3062" s="18"/>
      <c r="BH3062" s="18"/>
      <c r="BI3062" s="18"/>
      <c r="BJ3062" s="18"/>
      <c r="BK3062" s="18"/>
      <c r="BL3062" s="18"/>
      <c r="BM3062" s="18"/>
      <c r="BN3062" s="18"/>
      <c r="BO3062" s="18"/>
      <c r="BP3062" s="18"/>
      <c r="BQ3062" s="18"/>
      <c r="BR3062" s="18"/>
      <c r="BS3062" s="18"/>
      <c r="BT3062" s="18"/>
      <c r="BU3062" s="18"/>
      <c r="BV3062" s="18"/>
    </row>
    <row r="3063" spans="1:74">
      <c r="A3063" s="18"/>
      <c r="B3063" s="19"/>
      <c r="BG3063" s="18"/>
      <c r="BH3063" s="18"/>
      <c r="BI3063" s="18"/>
      <c r="BJ3063" s="18"/>
      <c r="BK3063" s="18"/>
      <c r="BL3063" s="18"/>
      <c r="BM3063" s="18"/>
      <c r="BN3063" s="18"/>
      <c r="BO3063" s="18"/>
      <c r="BP3063" s="18"/>
      <c r="BQ3063" s="18"/>
      <c r="BR3063" s="18"/>
      <c r="BS3063" s="18"/>
      <c r="BT3063" s="18"/>
      <c r="BU3063" s="18"/>
      <c r="BV3063" s="18"/>
    </row>
    <row r="3064" spans="1:74">
      <c r="A3064" s="18"/>
      <c r="B3064" s="19"/>
      <c r="BG3064" s="18"/>
      <c r="BH3064" s="18"/>
      <c r="BI3064" s="18"/>
      <c r="BJ3064" s="18"/>
      <c r="BK3064" s="18"/>
      <c r="BL3064" s="18"/>
      <c r="BM3064" s="18"/>
      <c r="BN3064" s="18"/>
      <c r="BO3064" s="18"/>
      <c r="BP3064" s="18"/>
      <c r="BQ3064" s="18"/>
      <c r="BR3064" s="18"/>
      <c r="BS3064" s="18"/>
      <c r="BT3064" s="18"/>
      <c r="BU3064" s="18"/>
      <c r="BV3064" s="18"/>
    </row>
    <row r="3065" spans="1:74">
      <c r="A3065" s="18"/>
      <c r="B3065" s="19"/>
      <c r="BG3065" s="18"/>
      <c r="BH3065" s="18"/>
      <c r="BI3065" s="18"/>
      <c r="BJ3065" s="18"/>
      <c r="BK3065" s="18"/>
      <c r="BL3065" s="18"/>
      <c r="BM3065" s="18"/>
      <c r="BN3065" s="18"/>
      <c r="BO3065" s="18"/>
      <c r="BP3065" s="18"/>
      <c r="BQ3065" s="18"/>
      <c r="BR3065" s="18"/>
      <c r="BS3065" s="18"/>
      <c r="BT3065" s="18"/>
      <c r="BU3065" s="18"/>
      <c r="BV3065" s="18"/>
    </row>
    <row r="3066" spans="1:74">
      <c r="A3066" s="18"/>
      <c r="B3066" s="19"/>
      <c r="BG3066" s="18"/>
      <c r="BH3066" s="18"/>
      <c r="BI3066" s="18"/>
      <c r="BJ3066" s="18"/>
      <c r="BK3066" s="18"/>
      <c r="BL3066" s="18"/>
      <c r="BM3066" s="18"/>
      <c r="BN3066" s="18"/>
      <c r="BO3066" s="18"/>
      <c r="BP3066" s="18"/>
      <c r="BQ3066" s="18"/>
      <c r="BR3066" s="18"/>
      <c r="BS3066" s="18"/>
      <c r="BT3066" s="18"/>
      <c r="BU3066" s="18"/>
      <c r="BV3066" s="18"/>
    </row>
    <row r="3067" spans="1:74">
      <c r="A3067" s="18"/>
      <c r="B3067" s="19"/>
      <c r="BG3067" s="18"/>
      <c r="BH3067" s="18"/>
      <c r="BI3067" s="18"/>
      <c r="BJ3067" s="18"/>
      <c r="BK3067" s="18"/>
      <c r="BL3067" s="18"/>
      <c r="BM3067" s="18"/>
      <c r="BN3067" s="18"/>
      <c r="BO3067" s="18"/>
      <c r="BP3067" s="18"/>
      <c r="BQ3067" s="18"/>
      <c r="BR3067" s="18"/>
      <c r="BS3067" s="18"/>
      <c r="BT3067" s="18"/>
      <c r="BU3067" s="18"/>
      <c r="BV3067" s="18"/>
    </row>
    <row r="3068" spans="1:74">
      <c r="A3068" s="18"/>
      <c r="B3068" s="19"/>
      <c r="BG3068" s="18"/>
      <c r="BH3068" s="18"/>
      <c r="BI3068" s="18"/>
      <c r="BJ3068" s="18"/>
      <c r="BK3068" s="18"/>
      <c r="BL3068" s="18"/>
      <c r="BM3068" s="18"/>
      <c r="BN3068" s="18"/>
      <c r="BO3068" s="18"/>
      <c r="BP3068" s="18"/>
      <c r="BQ3068" s="18"/>
      <c r="BR3068" s="18"/>
      <c r="BS3068" s="18"/>
      <c r="BT3068" s="18"/>
      <c r="BU3068" s="18"/>
      <c r="BV3068" s="18"/>
    </row>
    <row r="3069" spans="1:74">
      <c r="A3069" s="18"/>
      <c r="B3069" s="19"/>
      <c r="BG3069" s="18"/>
      <c r="BH3069" s="18"/>
      <c r="BI3069" s="18"/>
      <c r="BJ3069" s="18"/>
      <c r="BK3069" s="18"/>
      <c r="BL3069" s="18"/>
      <c r="BM3069" s="18"/>
      <c r="BN3069" s="18"/>
      <c r="BO3069" s="18"/>
      <c r="BP3069" s="18"/>
      <c r="BQ3069" s="18"/>
      <c r="BR3069" s="18"/>
      <c r="BS3069" s="18"/>
      <c r="BT3069" s="18"/>
      <c r="BU3069" s="18"/>
      <c r="BV3069" s="18"/>
    </row>
    <row r="3070" spans="1:74">
      <c r="A3070" s="18"/>
      <c r="B3070" s="19"/>
      <c r="BG3070" s="18"/>
      <c r="BH3070" s="18"/>
      <c r="BI3070" s="18"/>
      <c r="BJ3070" s="18"/>
      <c r="BK3070" s="18"/>
      <c r="BL3070" s="18"/>
      <c r="BM3070" s="18"/>
      <c r="BN3070" s="18"/>
      <c r="BO3070" s="18"/>
      <c r="BP3070" s="18"/>
      <c r="BQ3070" s="18"/>
      <c r="BR3070" s="18"/>
      <c r="BS3070" s="18"/>
      <c r="BT3070" s="18"/>
      <c r="BU3070" s="18"/>
      <c r="BV3070" s="18"/>
    </row>
    <row r="3071" spans="1:74">
      <c r="A3071" s="18"/>
      <c r="B3071" s="19"/>
      <c r="BG3071" s="18"/>
      <c r="BH3071" s="18"/>
      <c r="BI3071" s="18"/>
      <c r="BJ3071" s="18"/>
      <c r="BK3071" s="18"/>
      <c r="BL3071" s="18"/>
      <c r="BM3071" s="18"/>
      <c r="BN3071" s="18"/>
      <c r="BO3071" s="18"/>
      <c r="BP3071" s="18"/>
      <c r="BQ3071" s="18"/>
      <c r="BR3071" s="18"/>
      <c r="BS3071" s="18"/>
      <c r="BT3071" s="18"/>
      <c r="BU3071" s="18"/>
      <c r="BV3071" s="18"/>
    </row>
    <row r="3072" spans="1:74">
      <c r="A3072" s="18"/>
      <c r="B3072" s="19"/>
      <c r="BG3072" s="18"/>
      <c r="BH3072" s="18"/>
      <c r="BI3072" s="18"/>
      <c r="BJ3072" s="18"/>
      <c r="BK3072" s="18"/>
      <c r="BL3072" s="18"/>
      <c r="BM3072" s="18"/>
      <c r="BN3072" s="18"/>
      <c r="BO3072" s="18"/>
      <c r="BP3072" s="18"/>
      <c r="BQ3072" s="18"/>
      <c r="BR3072" s="18"/>
      <c r="BS3072" s="18"/>
      <c r="BT3072" s="18"/>
      <c r="BU3072" s="18"/>
      <c r="BV3072" s="18"/>
    </row>
    <row r="3073" spans="1:74">
      <c r="A3073" s="18"/>
      <c r="B3073" s="19"/>
      <c r="BG3073" s="18"/>
      <c r="BH3073" s="18"/>
      <c r="BI3073" s="18"/>
      <c r="BJ3073" s="18"/>
      <c r="BK3073" s="18"/>
      <c r="BL3073" s="18"/>
      <c r="BM3073" s="18"/>
      <c r="BN3073" s="18"/>
      <c r="BO3073" s="18"/>
      <c r="BP3073" s="18"/>
      <c r="BQ3073" s="18"/>
      <c r="BR3073" s="18"/>
      <c r="BS3073" s="18"/>
      <c r="BT3073" s="18"/>
      <c r="BU3073" s="18"/>
      <c r="BV3073" s="18"/>
    </row>
    <row r="3074" spans="1:74">
      <c r="A3074" s="18"/>
      <c r="B3074" s="19"/>
      <c r="BG3074" s="18"/>
      <c r="BH3074" s="18"/>
      <c r="BI3074" s="18"/>
      <c r="BJ3074" s="18"/>
      <c r="BK3074" s="18"/>
      <c r="BL3074" s="18"/>
      <c r="BM3074" s="18"/>
      <c r="BN3074" s="18"/>
      <c r="BO3074" s="18"/>
      <c r="BP3074" s="18"/>
      <c r="BQ3074" s="18"/>
      <c r="BR3074" s="18"/>
      <c r="BS3074" s="18"/>
      <c r="BT3074" s="18"/>
      <c r="BU3074" s="18"/>
      <c r="BV3074" s="18"/>
    </row>
    <row r="3075" spans="1:74">
      <c r="A3075" s="18"/>
      <c r="B3075" s="19"/>
      <c r="BG3075" s="18"/>
      <c r="BH3075" s="18"/>
      <c r="BI3075" s="18"/>
      <c r="BJ3075" s="18"/>
      <c r="BK3075" s="18"/>
      <c r="BL3075" s="18"/>
      <c r="BM3075" s="18"/>
      <c r="BN3075" s="18"/>
      <c r="BO3075" s="18"/>
      <c r="BP3075" s="18"/>
      <c r="BQ3075" s="18"/>
      <c r="BR3075" s="18"/>
      <c r="BS3075" s="18"/>
      <c r="BT3075" s="18"/>
      <c r="BU3075" s="18"/>
      <c r="BV3075" s="18"/>
    </row>
    <row r="3076" spans="1:74">
      <c r="A3076" s="18"/>
      <c r="B3076" s="19"/>
      <c r="BG3076" s="18"/>
      <c r="BH3076" s="18"/>
      <c r="BI3076" s="18"/>
      <c r="BJ3076" s="18"/>
      <c r="BK3076" s="18"/>
      <c r="BL3076" s="18"/>
      <c r="BM3076" s="18"/>
      <c r="BN3076" s="18"/>
      <c r="BO3076" s="18"/>
      <c r="BP3076" s="18"/>
      <c r="BQ3076" s="18"/>
      <c r="BR3076" s="18"/>
      <c r="BS3076" s="18"/>
      <c r="BT3076" s="18"/>
      <c r="BU3076" s="18"/>
      <c r="BV3076" s="18"/>
    </row>
    <row r="3077" spans="1:74">
      <c r="A3077" s="18"/>
      <c r="B3077" s="19"/>
      <c r="BG3077" s="18"/>
      <c r="BH3077" s="18"/>
      <c r="BI3077" s="18"/>
      <c r="BJ3077" s="18"/>
      <c r="BK3077" s="18"/>
      <c r="BL3077" s="18"/>
      <c r="BM3077" s="18"/>
      <c r="BN3077" s="18"/>
      <c r="BO3077" s="18"/>
      <c r="BP3077" s="18"/>
      <c r="BQ3077" s="18"/>
      <c r="BR3077" s="18"/>
      <c r="BS3077" s="18"/>
      <c r="BT3077" s="18"/>
      <c r="BU3077" s="18"/>
      <c r="BV3077" s="18"/>
    </row>
    <row r="3078" spans="1:74">
      <c r="A3078" s="18"/>
      <c r="B3078" s="19"/>
      <c r="BG3078" s="18"/>
      <c r="BH3078" s="18"/>
      <c r="BI3078" s="18"/>
      <c r="BJ3078" s="18"/>
      <c r="BK3078" s="18"/>
      <c r="BL3078" s="18"/>
      <c r="BM3078" s="18"/>
      <c r="BN3078" s="18"/>
      <c r="BO3078" s="18"/>
      <c r="BP3078" s="18"/>
      <c r="BQ3078" s="18"/>
      <c r="BR3078" s="18"/>
      <c r="BS3078" s="18"/>
      <c r="BT3078" s="18"/>
      <c r="BU3078" s="18"/>
      <c r="BV3078" s="18"/>
    </row>
    <row r="3079" spans="1:74">
      <c r="A3079" s="18"/>
      <c r="B3079" s="19"/>
      <c r="BG3079" s="18"/>
      <c r="BH3079" s="18"/>
      <c r="BI3079" s="18"/>
      <c r="BJ3079" s="18"/>
      <c r="BK3079" s="18"/>
      <c r="BL3079" s="18"/>
      <c r="BM3079" s="18"/>
      <c r="BN3079" s="18"/>
      <c r="BO3079" s="18"/>
      <c r="BP3079" s="18"/>
      <c r="BQ3079" s="18"/>
      <c r="BR3079" s="18"/>
      <c r="BS3079" s="18"/>
      <c r="BT3079" s="18"/>
      <c r="BU3079" s="18"/>
      <c r="BV3079" s="18"/>
    </row>
    <row r="3080" spans="1:74">
      <c r="A3080" s="18"/>
      <c r="B3080" s="19"/>
      <c r="BG3080" s="18"/>
      <c r="BH3080" s="18"/>
      <c r="BI3080" s="18"/>
      <c r="BJ3080" s="18"/>
      <c r="BK3080" s="18"/>
      <c r="BL3080" s="18"/>
      <c r="BM3080" s="18"/>
      <c r="BN3080" s="18"/>
      <c r="BO3080" s="18"/>
      <c r="BP3080" s="18"/>
      <c r="BQ3080" s="18"/>
      <c r="BR3080" s="18"/>
      <c r="BS3080" s="18"/>
      <c r="BT3080" s="18"/>
      <c r="BU3080" s="18"/>
      <c r="BV3080" s="18"/>
    </row>
    <row r="3081" spans="1:74">
      <c r="A3081" s="18"/>
      <c r="B3081" s="19"/>
      <c r="BG3081" s="18"/>
      <c r="BH3081" s="18"/>
      <c r="BI3081" s="18"/>
      <c r="BJ3081" s="18"/>
      <c r="BK3081" s="18"/>
      <c r="BL3081" s="18"/>
      <c r="BM3081" s="18"/>
      <c r="BN3081" s="18"/>
      <c r="BO3081" s="18"/>
      <c r="BP3081" s="18"/>
      <c r="BQ3081" s="18"/>
      <c r="BR3081" s="18"/>
      <c r="BS3081" s="18"/>
      <c r="BT3081" s="18"/>
      <c r="BU3081" s="18"/>
      <c r="BV3081" s="18"/>
    </row>
    <row r="3082" spans="1:74">
      <c r="A3082" s="18"/>
      <c r="B3082" s="19"/>
      <c r="BG3082" s="18"/>
      <c r="BH3082" s="18"/>
      <c r="BI3082" s="18"/>
      <c r="BJ3082" s="18"/>
      <c r="BK3082" s="18"/>
      <c r="BL3082" s="18"/>
      <c r="BM3082" s="18"/>
      <c r="BN3082" s="18"/>
      <c r="BO3082" s="18"/>
      <c r="BP3082" s="18"/>
      <c r="BQ3082" s="18"/>
      <c r="BR3082" s="18"/>
      <c r="BS3082" s="18"/>
      <c r="BT3082" s="18"/>
      <c r="BU3082" s="18"/>
      <c r="BV3082" s="18"/>
    </row>
    <row r="3083" spans="1:74">
      <c r="A3083" s="18"/>
      <c r="B3083" s="19"/>
      <c r="BG3083" s="18"/>
      <c r="BH3083" s="18"/>
      <c r="BI3083" s="18"/>
      <c r="BJ3083" s="18"/>
      <c r="BK3083" s="18"/>
      <c r="BL3083" s="18"/>
      <c r="BM3083" s="18"/>
      <c r="BN3083" s="18"/>
      <c r="BO3083" s="18"/>
      <c r="BP3083" s="18"/>
      <c r="BQ3083" s="18"/>
      <c r="BR3083" s="18"/>
      <c r="BS3083" s="18"/>
      <c r="BT3083" s="18"/>
      <c r="BU3083" s="18"/>
      <c r="BV3083" s="18"/>
    </row>
    <row r="3084" spans="1:74">
      <c r="A3084" s="18"/>
      <c r="B3084" s="19"/>
      <c r="BG3084" s="18"/>
      <c r="BH3084" s="18"/>
      <c r="BI3084" s="18"/>
      <c r="BJ3084" s="18"/>
      <c r="BK3084" s="18"/>
      <c r="BL3084" s="18"/>
      <c r="BM3084" s="18"/>
      <c r="BN3084" s="18"/>
      <c r="BO3084" s="18"/>
      <c r="BP3084" s="18"/>
      <c r="BQ3084" s="18"/>
      <c r="BR3084" s="18"/>
      <c r="BS3084" s="18"/>
      <c r="BT3084" s="18"/>
      <c r="BU3084" s="18"/>
      <c r="BV3084" s="18"/>
    </row>
    <row r="3085" spans="1:74">
      <c r="A3085" s="18"/>
      <c r="B3085" s="19"/>
      <c r="BG3085" s="18"/>
      <c r="BH3085" s="18"/>
      <c r="BI3085" s="18"/>
      <c r="BJ3085" s="18"/>
      <c r="BK3085" s="18"/>
      <c r="BL3085" s="18"/>
      <c r="BM3085" s="18"/>
      <c r="BN3085" s="18"/>
      <c r="BO3085" s="18"/>
      <c r="BP3085" s="18"/>
      <c r="BQ3085" s="18"/>
      <c r="BR3085" s="18"/>
      <c r="BS3085" s="18"/>
      <c r="BT3085" s="18"/>
      <c r="BU3085" s="18"/>
      <c r="BV3085" s="18"/>
    </row>
    <row r="3086" spans="1:74">
      <c r="A3086" s="18"/>
      <c r="B3086" s="19"/>
      <c r="BG3086" s="18"/>
      <c r="BH3086" s="18"/>
      <c r="BI3086" s="18"/>
      <c r="BJ3086" s="18"/>
      <c r="BK3086" s="18"/>
      <c r="BL3086" s="18"/>
      <c r="BM3086" s="18"/>
      <c r="BN3086" s="18"/>
      <c r="BO3086" s="18"/>
      <c r="BP3086" s="18"/>
      <c r="BQ3086" s="18"/>
      <c r="BR3086" s="18"/>
      <c r="BS3086" s="18"/>
      <c r="BT3086" s="18"/>
      <c r="BU3086" s="18"/>
      <c r="BV3086" s="18"/>
    </row>
    <row r="3087" spans="1:74">
      <c r="A3087" s="18"/>
      <c r="B3087" s="19"/>
      <c r="BG3087" s="18"/>
      <c r="BH3087" s="18"/>
      <c r="BI3087" s="18"/>
      <c r="BJ3087" s="18"/>
      <c r="BK3087" s="18"/>
      <c r="BL3087" s="18"/>
      <c r="BM3087" s="18"/>
      <c r="BN3087" s="18"/>
      <c r="BO3087" s="18"/>
      <c r="BP3087" s="18"/>
      <c r="BQ3087" s="18"/>
      <c r="BR3087" s="18"/>
      <c r="BS3087" s="18"/>
      <c r="BT3087" s="18"/>
      <c r="BU3087" s="18"/>
      <c r="BV3087" s="18"/>
    </row>
    <row r="3088" spans="1:74">
      <c r="A3088" s="18"/>
      <c r="B3088" s="19"/>
      <c r="BG3088" s="18"/>
      <c r="BH3088" s="18"/>
      <c r="BI3088" s="18"/>
      <c r="BJ3088" s="18"/>
      <c r="BK3088" s="18"/>
      <c r="BL3088" s="18"/>
      <c r="BM3088" s="18"/>
      <c r="BN3088" s="18"/>
      <c r="BO3088" s="18"/>
      <c r="BP3088" s="18"/>
      <c r="BQ3088" s="18"/>
      <c r="BR3088" s="18"/>
      <c r="BS3088" s="18"/>
      <c r="BT3088" s="18"/>
      <c r="BU3088" s="18"/>
      <c r="BV3088" s="18"/>
    </row>
    <row r="3089" spans="1:74">
      <c r="A3089" s="18"/>
      <c r="B3089" s="19"/>
      <c r="BG3089" s="18"/>
      <c r="BH3089" s="18"/>
      <c r="BI3089" s="18"/>
      <c r="BJ3089" s="18"/>
      <c r="BK3089" s="18"/>
      <c r="BL3089" s="18"/>
      <c r="BM3089" s="18"/>
      <c r="BN3089" s="18"/>
      <c r="BO3089" s="18"/>
      <c r="BP3089" s="18"/>
      <c r="BQ3089" s="18"/>
      <c r="BR3089" s="18"/>
      <c r="BS3089" s="18"/>
      <c r="BT3089" s="18"/>
      <c r="BU3089" s="18"/>
      <c r="BV3089" s="18"/>
    </row>
    <row r="3090" spans="1:74">
      <c r="A3090" s="18"/>
      <c r="B3090" s="19"/>
      <c r="BG3090" s="18"/>
      <c r="BH3090" s="18"/>
      <c r="BI3090" s="18"/>
      <c r="BJ3090" s="18"/>
      <c r="BK3090" s="18"/>
      <c r="BL3090" s="18"/>
      <c r="BM3090" s="18"/>
      <c r="BN3090" s="18"/>
      <c r="BO3090" s="18"/>
      <c r="BP3090" s="18"/>
      <c r="BQ3090" s="18"/>
      <c r="BR3090" s="18"/>
      <c r="BS3090" s="18"/>
      <c r="BT3090" s="18"/>
      <c r="BU3090" s="18"/>
      <c r="BV3090" s="18"/>
    </row>
    <row r="3091" spans="1:74">
      <c r="A3091" s="18"/>
      <c r="B3091" s="19"/>
      <c r="BG3091" s="18"/>
      <c r="BH3091" s="18"/>
      <c r="BI3091" s="18"/>
      <c r="BJ3091" s="18"/>
      <c r="BK3091" s="18"/>
      <c r="BL3091" s="18"/>
      <c r="BM3091" s="18"/>
      <c r="BN3091" s="18"/>
      <c r="BO3091" s="18"/>
      <c r="BP3091" s="18"/>
      <c r="BQ3091" s="18"/>
      <c r="BR3091" s="18"/>
      <c r="BS3091" s="18"/>
      <c r="BT3091" s="18"/>
      <c r="BU3091" s="18"/>
      <c r="BV3091" s="18"/>
    </row>
    <row r="3092" spans="1:74">
      <c r="A3092" s="18"/>
      <c r="B3092" s="19"/>
      <c r="BG3092" s="18"/>
      <c r="BH3092" s="18"/>
      <c r="BI3092" s="18"/>
      <c r="BJ3092" s="18"/>
      <c r="BK3092" s="18"/>
      <c r="BL3092" s="18"/>
      <c r="BM3092" s="18"/>
      <c r="BN3092" s="18"/>
      <c r="BO3092" s="18"/>
      <c r="BP3092" s="18"/>
      <c r="BQ3092" s="18"/>
      <c r="BR3092" s="18"/>
      <c r="BS3092" s="18"/>
      <c r="BT3092" s="18"/>
      <c r="BU3092" s="18"/>
      <c r="BV3092" s="18"/>
    </row>
    <row r="3093" spans="1:74">
      <c r="A3093" s="18"/>
      <c r="B3093" s="19"/>
      <c r="BG3093" s="18"/>
      <c r="BH3093" s="18"/>
      <c r="BI3093" s="18"/>
      <c r="BJ3093" s="18"/>
      <c r="BK3093" s="18"/>
      <c r="BL3093" s="18"/>
      <c r="BM3093" s="18"/>
      <c r="BN3093" s="18"/>
      <c r="BO3093" s="18"/>
      <c r="BP3093" s="18"/>
      <c r="BQ3093" s="18"/>
      <c r="BR3093" s="18"/>
      <c r="BS3093" s="18"/>
      <c r="BT3093" s="18"/>
      <c r="BU3093" s="18"/>
      <c r="BV3093" s="18"/>
    </row>
    <row r="3094" spans="1:74">
      <c r="A3094" s="18"/>
      <c r="B3094" s="19"/>
      <c r="BG3094" s="18"/>
      <c r="BH3094" s="18"/>
      <c r="BI3094" s="18"/>
      <c r="BJ3094" s="18"/>
      <c r="BK3094" s="18"/>
      <c r="BL3094" s="18"/>
      <c r="BM3094" s="18"/>
      <c r="BN3094" s="18"/>
      <c r="BO3094" s="18"/>
      <c r="BP3094" s="18"/>
      <c r="BQ3094" s="18"/>
      <c r="BR3094" s="18"/>
      <c r="BS3094" s="18"/>
      <c r="BT3094" s="18"/>
      <c r="BU3094" s="18"/>
      <c r="BV3094" s="18"/>
    </row>
    <row r="3095" spans="1:74">
      <c r="A3095" s="18"/>
      <c r="B3095" s="19"/>
      <c r="BG3095" s="18"/>
      <c r="BH3095" s="18"/>
      <c r="BI3095" s="18"/>
      <c r="BJ3095" s="18"/>
      <c r="BK3095" s="18"/>
      <c r="BL3095" s="18"/>
      <c r="BM3095" s="18"/>
      <c r="BN3095" s="18"/>
      <c r="BO3095" s="18"/>
      <c r="BP3095" s="18"/>
      <c r="BQ3095" s="18"/>
      <c r="BR3095" s="18"/>
      <c r="BS3095" s="18"/>
      <c r="BT3095" s="18"/>
      <c r="BU3095" s="18"/>
      <c r="BV3095" s="18"/>
    </row>
    <row r="3096" spans="1:74">
      <c r="A3096" s="18"/>
      <c r="B3096" s="19"/>
      <c r="BG3096" s="18"/>
      <c r="BH3096" s="18"/>
      <c r="BI3096" s="18"/>
      <c r="BJ3096" s="18"/>
      <c r="BK3096" s="18"/>
      <c r="BL3096" s="18"/>
      <c r="BM3096" s="18"/>
      <c r="BN3096" s="18"/>
      <c r="BO3096" s="18"/>
      <c r="BP3096" s="18"/>
      <c r="BQ3096" s="18"/>
      <c r="BR3096" s="18"/>
      <c r="BS3096" s="18"/>
      <c r="BT3096" s="18"/>
      <c r="BU3096" s="18"/>
      <c r="BV3096" s="18"/>
    </row>
    <row r="3097" spans="1:74">
      <c r="A3097" s="18"/>
      <c r="B3097" s="19"/>
      <c r="BG3097" s="18"/>
      <c r="BH3097" s="18"/>
      <c r="BI3097" s="18"/>
      <c r="BJ3097" s="18"/>
      <c r="BK3097" s="18"/>
      <c r="BL3097" s="18"/>
      <c r="BM3097" s="18"/>
      <c r="BN3097" s="18"/>
      <c r="BO3097" s="18"/>
      <c r="BP3097" s="18"/>
      <c r="BQ3097" s="18"/>
      <c r="BR3097" s="18"/>
      <c r="BS3097" s="18"/>
      <c r="BT3097" s="18"/>
      <c r="BU3097" s="18"/>
      <c r="BV3097" s="18"/>
    </row>
    <row r="3098" spans="1:74">
      <c r="A3098" s="18"/>
      <c r="B3098" s="19"/>
      <c r="BG3098" s="18"/>
      <c r="BH3098" s="18"/>
      <c r="BI3098" s="18"/>
      <c r="BJ3098" s="18"/>
      <c r="BK3098" s="18"/>
      <c r="BL3098" s="18"/>
      <c r="BM3098" s="18"/>
      <c r="BN3098" s="18"/>
      <c r="BO3098" s="18"/>
      <c r="BP3098" s="18"/>
      <c r="BQ3098" s="18"/>
      <c r="BR3098" s="18"/>
      <c r="BS3098" s="18"/>
      <c r="BT3098" s="18"/>
      <c r="BU3098" s="18"/>
      <c r="BV3098" s="18"/>
    </row>
    <row r="3099" spans="1:74">
      <c r="A3099" s="18"/>
      <c r="B3099" s="19"/>
      <c r="BG3099" s="18"/>
      <c r="BH3099" s="18"/>
      <c r="BI3099" s="18"/>
      <c r="BJ3099" s="18"/>
      <c r="BK3099" s="18"/>
      <c r="BL3099" s="18"/>
      <c r="BM3099" s="18"/>
      <c r="BN3099" s="18"/>
      <c r="BO3099" s="18"/>
      <c r="BP3099" s="18"/>
      <c r="BQ3099" s="18"/>
      <c r="BR3099" s="18"/>
      <c r="BS3099" s="18"/>
      <c r="BT3099" s="18"/>
      <c r="BU3099" s="18"/>
      <c r="BV3099" s="18"/>
    </row>
    <row r="3100" spans="1:74">
      <c r="A3100" s="18"/>
      <c r="B3100" s="19"/>
      <c r="BG3100" s="18"/>
      <c r="BH3100" s="18"/>
      <c r="BI3100" s="18"/>
      <c r="BJ3100" s="18"/>
      <c r="BK3100" s="18"/>
      <c r="BL3100" s="18"/>
      <c r="BM3100" s="18"/>
      <c r="BN3100" s="18"/>
      <c r="BO3100" s="18"/>
      <c r="BP3100" s="18"/>
      <c r="BQ3100" s="18"/>
      <c r="BR3100" s="18"/>
      <c r="BS3100" s="18"/>
      <c r="BT3100" s="18"/>
      <c r="BU3100" s="18"/>
      <c r="BV3100" s="18"/>
    </row>
    <row r="3101" spans="1:74">
      <c r="A3101" s="18"/>
      <c r="B3101" s="19"/>
      <c r="BG3101" s="18"/>
      <c r="BH3101" s="18"/>
      <c r="BI3101" s="18"/>
      <c r="BJ3101" s="18"/>
      <c r="BK3101" s="18"/>
      <c r="BL3101" s="18"/>
      <c r="BM3101" s="18"/>
      <c r="BN3101" s="18"/>
      <c r="BO3101" s="18"/>
      <c r="BP3101" s="18"/>
      <c r="BQ3101" s="18"/>
      <c r="BR3101" s="18"/>
      <c r="BS3101" s="18"/>
      <c r="BT3101" s="18"/>
      <c r="BU3101" s="18"/>
      <c r="BV3101" s="18"/>
    </row>
    <row r="3102" spans="1:74">
      <c r="A3102" s="18"/>
      <c r="B3102" s="19"/>
      <c r="BG3102" s="18"/>
      <c r="BH3102" s="18"/>
      <c r="BI3102" s="18"/>
      <c r="BJ3102" s="18"/>
      <c r="BK3102" s="18"/>
      <c r="BL3102" s="18"/>
      <c r="BM3102" s="18"/>
      <c r="BN3102" s="18"/>
      <c r="BO3102" s="18"/>
      <c r="BP3102" s="18"/>
      <c r="BQ3102" s="18"/>
      <c r="BR3102" s="18"/>
      <c r="BS3102" s="18"/>
      <c r="BT3102" s="18"/>
      <c r="BU3102" s="18"/>
      <c r="BV3102" s="18"/>
    </row>
    <row r="3103" spans="1:74">
      <c r="A3103" s="18"/>
      <c r="B3103" s="19"/>
      <c r="BG3103" s="18"/>
      <c r="BH3103" s="18"/>
      <c r="BI3103" s="18"/>
      <c r="BJ3103" s="18"/>
      <c r="BK3103" s="18"/>
      <c r="BL3103" s="18"/>
      <c r="BM3103" s="18"/>
      <c r="BN3103" s="18"/>
      <c r="BO3103" s="18"/>
      <c r="BP3103" s="18"/>
      <c r="BQ3103" s="18"/>
      <c r="BR3103" s="18"/>
      <c r="BS3103" s="18"/>
      <c r="BT3103" s="18"/>
      <c r="BU3103" s="18"/>
      <c r="BV3103" s="18"/>
    </row>
    <row r="3104" spans="1:74">
      <c r="A3104" s="18"/>
      <c r="B3104" s="19"/>
      <c r="BG3104" s="18"/>
      <c r="BH3104" s="18"/>
      <c r="BI3104" s="18"/>
      <c r="BJ3104" s="18"/>
      <c r="BK3104" s="18"/>
      <c r="BL3104" s="18"/>
      <c r="BM3104" s="18"/>
      <c r="BN3104" s="18"/>
      <c r="BO3104" s="18"/>
      <c r="BP3104" s="18"/>
      <c r="BQ3104" s="18"/>
      <c r="BR3104" s="18"/>
      <c r="BS3104" s="18"/>
      <c r="BT3104" s="18"/>
      <c r="BU3104" s="18"/>
      <c r="BV3104" s="18"/>
    </row>
    <row r="3105" spans="1:74">
      <c r="A3105" s="18"/>
      <c r="B3105" s="19"/>
      <c r="BG3105" s="18"/>
      <c r="BH3105" s="18"/>
      <c r="BI3105" s="18"/>
      <c r="BJ3105" s="18"/>
      <c r="BK3105" s="18"/>
      <c r="BL3105" s="18"/>
      <c r="BM3105" s="18"/>
      <c r="BN3105" s="18"/>
      <c r="BO3105" s="18"/>
      <c r="BP3105" s="18"/>
      <c r="BQ3105" s="18"/>
      <c r="BR3105" s="18"/>
      <c r="BS3105" s="18"/>
      <c r="BT3105" s="18"/>
      <c r="BU3105" s="18"/>
      <c r="BV3105" s="18"/>
    </row>
    <row r="3106" spans="1:74">
      <c r="A3106" s="18"/>
      <c r="B3106" s="19"/>
      <c r="BG3106" s="18"/>
      <c r="BH3106" s="18"/>
      <c r="BI3106" s="18"/>
      <c r="BJ3106" s="18"/>
      <c r="BK3106" s="18"/>
      <c r="BL3106" s="18"/>
      <c r="BM3106" s="18"/>
      <c r="BN3106" s="18"/>
      <c r="BO3106" s="18"/>
      <c r="BP3106" s="18"/>
      <c r="BQ3106" s="18"/>
      <c r="BR3106" s="18"/>
      <c r="BS3106" s="18"/>
      <c r="BT3106" s="18"/>
      <c r="BU3106" s="18"/>
      <c r="BV3106" s="18"/>
    </row>
    <row r="3107" spans="1:74">
      <c r="A3107" s="18"/>
      <c r="B3107" s="19"/>
      <c r="BG3107" s="18"/>
      <c r="BH3107" s="18"/>
      <c r="BI3107" s="18"/>
      <c r="BJ3107" s="18"/>
      <c r="BK3107" s="18"/>
      <c r="BL3107" s="18"/>
      <c r="BM3107" s="18"/>
      <c r="BN3107" s="18"/>
      <c r="BO3107" s="18"/>
      <c r="BP3107" s="18"/>
      <c r="BQ3107" s="18"/>
      <c r="BR3107" s="18"/>
      <c r="BS3107" s="18"/>
      <c r="BT3107" s="18"/>
      <c r="BU3107" s="18"/>
      <c r="BV3107" s="18"/>
    </row>
    <row r="3108" spans="1:74">
      <c r="A3108" s="18"/>
      <c r="B3108" s="19"/>
      <c r="BG3108" s="18"/>
      <c r="BH3108" s="18"/>
      <c r="BI3108" s="18"/>
      <c r="BJ3108" s="18"/>
      <c r="BK3108" s="18"/>
      <c r="BL3108" s="18"/>
      <c r="BM3108" s="18"/>
      <c r="BN3108" s="18"/>
      <c r="BO3108" s="18"/>
      <c r="BP3108" s="18"/>
      <c r="BQ3108" s="18"/>
      <c r="BR3108" s="18"/>
      <c r="BS3108" s="18"/>
      <c r="BT3108" s="18"/>
      <c r="BU3108" s="18"/>
      <c r="BV3108" s="18"/>
    </row>
    <row r="3109" spans="1:74">
      <c r="A3109" s="18"/>
      <c r="B3109" s="19"/>
      <c r="BG3109" s="18"/>
      <c r="BH3109" s="18"/>
      <c r="BI3109" s="18"/>
      <c r="BJ3109" s="18"/>
      <c r="BK3109" s="18"/>
      <c r="BL3109" s="18"/>
      <c r="BM3109" s="18"/>
      <c r="BN3109" s="18"/>
      <c r="BO3109" s="18"/>
      <c r="BP3109" s="18"/>
      <c r="BQ3109" s="18"/>
      <c r="BR3109" s="18"/>
      <c r="BS3109" s="18"/>
      <c r="BT3109" s="18"/>
      <c r="BU3109" s="18"/>
      <c r="BV3109" s="18"/>
    </row>
    <row r="3110" spans="1:74">
      <c r="A3110" s="18"/>
      <c r="B3110" s="19"/>
      <c r="BG3110" s="18"/>
      <c r="BH3110" s="18"/>
      <c r="BI3110" s="18"/>
      <c r="BJ3110" s="18"/>
      <c r="BK3110" s="18"/>
      <c r="BL3110" s="18"/>
      <c r="BM3110" s="18"/>
      <c r="BN3110" s="18"/>
      <c r="BO3110" s="18"/>
      <c r="BP3110" s="18"/>
      <c r="BQ3110" s="18"/>
      <c r="BR3110" s="18"/>
      <c r="BS3110" s="18"/>
      <c r="BT3110" s="18"/>
      <c r="BU3110" s="18"/>
      <c r="BV3110" s="18"/>
    </row>
    <row r="3111" spans="1:74">
      <c r="A3111" s="18"/>
      <c r="B3111" s="19"/>
      <c r="BG3111" s="18"/>
      <c r="BH3111" s="18"/>
      <c r="BI3111" s="18"/>
      <c r="BJ3111" s="18"/>
      <c r="BK3111" s="18"/>
      <c r="BL3111" s="18"/>
      <c r="BM3111" s="18"/>
      <c r="BN3111" s="18"/>
      <c r="BO3111" s="18"/>
      <c r="BP3111" s="18"/>
      <c r="BQ3111" s="18"/>
      <c r="BR3111" s="18"/>
      <c r="BS3111" s="18"/>
      <c r="BT3111" s="18"/>
      <c r="BU3111" s="18"/>
      <c r="BV3111" s="18"/>
    </row>
    <row r="3112" spans="1:74">
      <c r="A3112" s="18"/>
      <c r="B3112" s="19"/>
      <c r="BG3112" s="18"/>
      <c r="BH3112" s="18"/>
      <c r="BI3112" s="18"/>
      <c r="BJ3112" s="18"/>
      <c r="BK3112" s="18"/>
      <c r="BL3112" s="18"/>
      <c r="BM3112" s="18"/>
      <c r="BN3112" s="18"/>
      <c r="BO3112" s="18"/>
      <c r="BP3112" s="18"/>
      <c r="BQ3112" s="18"/>
      <c r="BR3112" s="18"/>
      <c r="BS3112" s="18"/>
      <c r="BT3112" s="18"/>
      <c r="BU3112" s="18"/>
      <c r="BV3112" s="18"/>
    </row>
    <row r="3113" spans="1:74">
      <c r="A3113" s="18"/>
      <c r="B3113" s="19"/>
      <c r="BG3113" s="18"/>
      <c r="BH3113" s="18"/>
      <c r="BI3113" s="18"/>
      <c r="BJ3113" s="18"/>
      <c r="BK3113" s="18"/>
      <c r="BL3113" s="18"/>
      <c r="BM3113" s="18"/>
      <c r="BN3113" s="18"/>
      <c r="BO3113" s="18"/>
      <c r="BP3113" s="18"/>
      <c r="BQ3113" s="18"/>
      <c r="BR3113" s="18"/>
      <c r="BS3113" s="18"/>
      <c r="BT3113" s="18"/>
      <c r="BU3113" s="18"/>
      <c r="BV3113" s="18"/>
    </row>
    <row r="3114" spans="1:74">
      <c r="A3114" s="18"/>
      <c r="B3114" s="19"/>
      <c r="BG3114" s="18"/>
      <c r="BH3114" s="18"/>
      <c r="BI3114" s="18"/>
      <c r="BJ3114" s="18"/>
      <c r="BK3114" s="18"/>
      <c r="BL3114" s="18"/>
      <c r="BM3114" s="18"/>
      <c r="BN3114" s="18"/>
      <c r="BO3114" s="18"/>
      <c r="BP3114" s="18"/>
      <c r="BQ3114" s="18"/>
      <c r="BR3114" s="18"/>
      <c r="BS3114" s="18"/>
      <c r="BT3114" s="18"/>
      <c r="BU3114" s="18"/>
      <c r="BV3114" s="18"/>
    </row>
    <row r="3115" spans="1:74">
      <c r="A3115" s="18"/>
      <c r="B3115" s="19"/>
      <c r="BG3115" s="18"/>
      <c r="BH3115" s="18"/>
      <c r="BI3115" s="18"/>
      <c r="BJ3115" s="18"/>
      <c r="BK3115" s="18"/>
      <c r="BL3115" s="18"/>
      <c r="BM3115" s="18"/>
      <c r="BN3115" s="18"/>
      <c r="BO3115" s="18"/>
      <c r="BP3115" s="18"/>
      <c r="BQ3115" s="18"/>
      <c r="BR3115" s="18"/>
      <c r="BS3115" s="18"/>
      <c r="BT3115" s="18"/>
      <c r="BU3115" s="18"/>
      <c r="BV3115" s="18"/>
    </row>
    <row r="3116" spans="1:74">
      <c r="A3116" s="18"/>
      <c r="B3116" s="19"/>
      <c r="BG3116" s="18"/>
      <c r="BH3116" s="18"/>
      <c r="BI3116" s="18"/>
      <c r="BJ3116" s="18"/>
      <c r="BK3116" s="18"/>
      <c r="BL3116" s="18"/>
      <c r="BM3116" s="18"/>
      <c r="BN3116" s="18"/>
      <c r="BO3116" s="18"/>
      <c r="BP3116" s="18"/>
      <c r="BQ3116" s="18"/>
      <c r="BR3116" s="18"/>
      <c r="BS3116" s="18"/>
      <c r="BT3116" s="18"/>
      <c r="BU3116" s="18"/>
      <c r="BV3116" s="18"/>
    </row>
    <row r="3117" spans="1:74">
      <c r="A3117" s="18"/>
      <c r="B3117" s="19"/>
      <c r="BG3117" s="18"/>
      <c r="BH3117" s="18"/>
      <c r="BI3117" s="18"/>
      <c r="BJ3117" s="18"/>
      <c r="BK3117" s="18"/>
      <c r="BL3117" s="18"/>
      <c r="BM3117" s="18"/>
      <c r="BN3117" s="18"/>
      <c r="BO3117" s="18"/>
      <c r="BP3117" s="18"/>
      <c r="BQ3117" s="18"/>
      <c r="BR3117" s="18"/>
      <c r="BS3117" s="18"/>
      <c r="BT3117" s="18"/>
      <c r="BU3117" s="18"/>
      <c r="BV3117" s="18"/>
    </row>
    <row r="3118" spans="1:74">
      <c r="A3118" s="18"/>
      <c r="B3118" s="19"/>
      <c r="BG3118" s="18"/>
      <c r="BH3118" s="18"/>
      <c r="BI3118" s="18"/>
      <c r="BJ3118" s="18"/>
      <c r="BK3118" s="18"/>
      <c r="BL3118" s="18"/>
      <c r="BM3118" s="18"/>
      <c r="BN3118" s="18"/>
      <c r="BO3118" s="18"/>
      <c r="BP3118" s="18"/>
      <c r="BQ3118" s="18"/>
      <c r="BR3118" s="18"/>
      <c r="BS3118" s="18"/>
      <c r="BT3118" s="18"/>
      <c r="BU3118" s="18"/>
      <c r="BV3118" s="18"/>
    </row>
    <row r="3119" spans="1:74">
      <c r="A3119" s="18"/>
      <c r="B3119" s="19"/>
      <c r="BG3119" s="18"/>
      <c r="BH3119" s="18"/>
      <c r="BI3119" s="18"/>
      <c r="BJ3119" s="18"/>
      <c r="BK3119" s="18"/>
      <c r="BL3119" s="18"/>
      <c r="BM3119" s="18"/>
      <c r="BN3119" s="18"/>
      <c r="BO3119" s="18"/>
      <c r="BP3119" s="18"/>
      <c r="BQ3119" s="18"/>
      <c r="BR3119" s="18"/>
      <c r="BS3119" s="18"/>
      <c r="BT3119" s="18"/>
      <c r="BU3119" s="18"/>
      <c r="BV3119" s="18"/>
    </row>
    <row r="3120" spans="1:74">
      <c r="A3120" s="18"/>
      <c r="B3120" s="19"/>
      <c r="BG3120" s="18"/>
      <c r="BH3120" s="18"/>
      <c r="BI3120" s="18"/>
      <c r="BJ3120" s="18"/>
      <c r="BK3120" s="18"/>
      <c r="BL3120" s="18"/>
      <c r="BM3120" s="18"/>
      <c r="BN3120" s="18"/>
      <c r="BO3120" s="18"/>
      <c r="BP3120" s="18"/>
      <c r="BQ3120" s="18"/>
      <c r="BR3120" s="18"/>
      <c r="BS3120" s="18"/>
      <c r="BT3120" s="18"/>
      <c r="BU3120" s="18"/>
      <c r="BV3120" s="18"/>
    </row>
    <row r="3121" spans="1:74">
      <c r="A3121" s="18"/>
      <c r="B3121" s="19"/>
      <c r="BG3121" s="18"/>
      <c r="BH3121" s="18"/>
      <c r="BI3121" s="18"/>
      <c r="BJ3121" s="18"/>
      <c r="BK3121" s="18"/>
      <c r="BL3121" s="18"/>
      <c r="BM3121" s="18"/>
      <c r="BN3121" s="18"/>
      <c r="BO3121" s="18"/>
      <c r="BP3121" s="18"/>
      <c r="BQ3121" s="18"/>
      <c r="BR3121" s="18"/>
      <c r="BS3121" s="18"/>
      <c r="BT3121" s="18"/>
      <c r="BU3121" s="18"/>
      <c r="BV3121" s="18"/>
    </row>
    <row r="3122" spans="1:74">
      <c r="A3122" s="18"/>
      <c r="B3122" s="19"/>
      <c r="BG3122" s="18"/>
      <c r="BH3122" s="18"/>
      <c r="BI3122" s="18"/>
      <c r="BJ3122" s="18"/>
      <c r="BK3122" s="18"/>
      <c r="BL3122" s="18"/>
      <c r="BM3122" s="18"/>
      <c r="BN3122" s="18"/>
      <c r="BO3122" s="18"/>
      <c r="BP3122" s="18"/>
      <c r="BQ3122" s="18"/>
      <c r="BR3122" s="18"/>
      <c r="BS3122" s="18"/>
      <c r="BT3122" s="18"/>
      <c r="BU3122" s="18"/>
      <c r="BV3122" s="18"/>
    </row>
    <row r="3123" spans="1:74">
      <c r="A3123" s="18"/>
      <c r="B3123" s="19"/>
      <c r="BG3123" s="18"/>
      <c r="BH3123" s="18"/>
      <c r="BI3123" s="18"/>
      <c r="BJ3123" s="18"/>
      <c r="BK3123" s="18"/>
      <c r="BL3123" s="18"/>
      <c r="BM3123" s="18"/>
      <c r="BN3123" s="18"/>
      <c r="BO3123" s="18"/>
      <c r="BP3123" s="18"/>
      <c r="BQ3123" s="18"/>
      <c r="BR3123" s="18"/>
      <c r="BS3123" s="18"/>
      <c r="BT3123" s="18"/>
      <c r="BU3123" s="18"/>
      <c r="BV3123" s="18"/>
    </row>
    <row r="3124" spans="1:74">
      <c r="A3124" s="18"/>
      <c r="B3124" s="19"/>
      <c r="BG3124" s="18"/>
      <c r="BH3124" s="18"/>
      <c r="BI3124" s="18"/>
      <c r="BJ3124" s="18"/>
      <c r="BK3124" s="18"/>
      <c r="BL3124" s="18"/>
      <c r="BM3124" s="18"/>
      <c r="BN3124" s="18"/>
      <c r="BO3124" s="18"/>
      <c r="BP3124" s="18"/>
      <c r="BQ3124" s="18"/>
      <c r="BR3124" s="18"/>
      <c r="BS3124" s="18"/>
      <c r="BT3124" s="18"/>
      <c r="BU3124" s="18"/>
      <c r="BV3124" s="18"/>
    </row>
    <row r="3125" spans="1:74">
      <c r="A3125" s="18"/>
      <c r="B3125" s="19"/>
      <c r="BG3125" s="18"/>
      <c r="BH3125" s="18"/>
      <c r="BI3125" s="18"/>
      <c r="BJ3125" s="18"/>
      <c r="BK3125" s="18"/>
      <c r="BL3125" s="18"/>
      <c r="BM3125" s="18"/>
      <c r="BN3125" s="18"/>
      <c r="BO3125" s="18"/>
      <c r="BP3125" s="18"/>
      <c r="BQ3125" s="18"/>
      <c r="BR3125" s="18"/>
      <c r="BS3125" s="18"/>
      <c r="BT3125" s="18"/>
      <c r="BU3125" s="18"/>
      <c r="BV3125" s="18"/>
    </row>
    <row r="3126" spans="1:74">
      <c r="A3126" s="18"/>
      <c r="B3126" s="19"/>
      <c r="BG3126" s="18"/>
      <c r="BH3126" s="18"/>
      <c r="BI3126" s="18"/>
      <c r="BJ3126" s="18"/>
      <c r="BK3126" s="18"/>
      <c r="BL3126" s="18"/>
      <c r="BM3126" s="18"/>
      <c r="BN3126" s="18"/>
      <c r="BO3126" s="18"/>
      <c r="BP3126" s="18"/>
      <c r="BQ3126" s="18"/>
      <c r="BR3126" s="18"/>
      <c r="BS3126" s="18"/>
      <c r="BT3126" s="18"/>
      <c r="BU3126" s="18"/>
      <c r="BV3126" s="18"/>
    </row>
    <row r="3127" spans="1:74">
      <c r="A3127" s="18"/>
      <c r="B3127" s="19"/>
      <c r="BG3127" s="18"/>
      <c r="BH3127" s="18"/>
      <c r="BI3127" s="18"/>
      <c r="BJ3127" s="18"/>
      <c r="BK3127" s="18"/>
      <c r="BL3127" s="18"/>
      <c r="BM3127" s="18"/>
      <c r="BN3127" s="18"/>
      <c r="BO3127" s="18"/>
      <c r="BP3127" s="18"/>
      <c r="BQ3127" s="18"/>
      <c r="BR3127" s="18"/>
      <c r="BS3127" s="18"/>
      <c r="BT3127" s="18"/>
      <c r="BU3127" s="18"/>
      <c r="BV3127" s="18"/>
    </row>
    <row r="3128" spans="1:74">
      <c r="A3128" s="18"/>
      <c r="B3128" s="19"/>
      <c r="BG3128" s="18"/>
      <c r="BH3128" s="18"/>
      <c r="BI3128" s="18"/>
      <c r="BJ3128" s="18"/>
      <c r="BK3128" s="18"/>
      <c r="BL3128" s="18"/>
      <c r="BM3128" s="18"/>
      <c r="BN3128" s="18"/>
      <c r="BO3128" s="18"/>
      <c r="BP3128" s="18"/>
      <c r="BQ3128" s="18"/>
      <c r="BR3128" s="18"/>
      <c r="BS3128" s="18"/>
      <c r="BT3128" s="18"/>
      <c r="BU3128" s="18"/>
      <c r="BV3128" s="18"/>
    </row>
    <row r="3129" spans="1:74">
      <c r="A3129" s="18"/>
      <c r="B3129" s="19"/>
      <c r="BG3129" s="18"/>
      <c r="BH3129" s="18"/>
      <c r="BI3129" s="18"/>
      <c r="BJ3129" s="18"/>
      <c r="BK3129" s="18"/>
      <c r="BL3129" s="18"/>
      <c r="BM3129" s="18"/>
      <c r="BN3129" s="18"/>
      <c r="BO3129" s="18"/>
      <c r="BP3129" s="18"/>
      <c r="BQ3129" s="18"/>
      <c r="BR3129" s="18"/>
      <c r="BS3129" s="18"/>
      <c r="BT3129" s="18"/>
      <c r="BU3129" s="18"/>
      <c r="BV3129" s="18"/>
    </row>
    <row r="3130" spans="1:74">
      <c r="A3130" s="18"/>
      <c r="B3130" s="19"/>
      <c r="BG3130" s="18"/>
      <c r="BH3130" s="18"/>
      <c r="BI3130" s="18"/>
      <c r="BJ3130" s="18"/>
      <c r="BK3130" s="18"/>
      <c r="BL3130" s="18"/>
      <c r="BM3130" s="18"/>
      <c r="BN3130" s="18"/>
      <c r="BO3130" s="18"/>
      <c r="BP3130" s="18"/>
      <c r="BQ3130" s="18"/>
      <c r="BR3130" s="18"/>
      <c r="BS3130" s="18"/>
      <c r="BT3130" s="18"/>
      <c r="BU3130" s="18"/>
      <c r="BV3130" s="18"/>
    </row>
    <row r="3131" spans="1:74">
      <c r="A3131" s="18"/>
      <c r="B3131" s="19"/>
      <c r="BG3131" s="18"/>
      <c r="BH3131" s="18"/>
      <c r="BI3131" s="18"/>
      <c r="BJ3131" s="18"/>
      <c r="BK3131" s="18"/>
      <c r="BL3131" s="18"/>
      <c r="BM3131" s="18"/>
      <c r="BN3131" s="18"/>
      <c r="BO3131" s="18"/>
      <c r="BP3131" s="18"/>
      <c r="BQ3131" s="18"/>
      <c r="BR3131" s="18"/>
      <c r="BS3131" s="18"/>
      <c r="BT3131" s="18"/>
      <c r="BU3131" s="18"/>
      <c r="BV3131" s="18"/>
    </row>
    <row r="3132" spans="1:74">
      <c r="A3132" s="18"/>
      <c r="B3132" s="19"/>
      <c r="BG3132" s="18"/>
      <c r="BH3132" s="18"/>
      <c r="BI3132" s="18"/>
      <c r="BJ3132" s="18"/>
      <c r="BK3132" s="18"/>
      <c r="BL3132" s="18"/>
      <c r="BM3132" s="18"/>
      <c r="BN3132" s="18"/>
      <c r="BO3132" s="18"/>
      <c r="BP3132" s="18"/>
      <c r="BQ3132" s="18"/>
      <c r="BR3132" s="18"/>
      <c r="BS3132" s="18"/>
      <c r="BT3132" s="18"/>
      <c r="BU3132" s="18"/>
      <c r="BV3132" s="18"/>
    </row>
    <row r="3133" spans="1:74">
      <c r="A3133" s="18"/>
      <c r="B3133" s="19"/>
      <c r="BG3133" s="18"/>
      <c r="BH3133" s="18"/>
      <c r="BI3133" s="18"/>
      <c r="BJ3133" s="18"/>
      <c r="BK3133" s="18"/>
      <c r="BL3133" s="18"/>
      <c r="BM3133" s="18"/>
      <c r="BN3133" s="18"/>
      <c r="BO3133" s="18"/>
      <c r="BP3133" s="18"/>
      <c r="BQ3133" s="18"/>
      <c r="BR3133" s="18"/>
      <c r="BS3133" s="18"/>
      <c r="BT3133" s="18"/>
      <c r="BU3133" s="18"/>
      <c r="BV3133" s="18"/>
    </row>
    <row r="3134" spans="1:74">
      <c r="A3134" s="18"/>
      <c r="B3134" s="19"/>
      <c r="BG3134" s="18"/>
      <c r="BH3134" s="18"/>
      <c r="BI3134" s="18"/>
      <c r="BJ3134" s="18"/>
      <c r="BK3134" s="18"/>
      <c r="BL3134" s="18"/>
      <c r="BM3134" s="18"/>
      <c r="BN3134" s="18"/>
      <c r="BO3134" s="18"/>
      <c r="BP3134" s="18"/>
      <c r="BQ3134" s="18"/>
      <c r="BR3134" s="18"/>
      <c r="BS3134" s="18"/>
      <c r="BT3134" s="18"/>
      <c r="BU3134" s="18"/>
      <c r="BV3134" s="18"/>
    </row>
    <row r="3135" spans="1:74">
      <c r="A3135" s="18"/>
      <c r="B3135" s="19"/>
      <c r="BG3135" s="18"/>
      <c r="BH3135" s="18"/>
      <c r="BI3135" s="18"/>
      <c r="BJ3135" s="18"/>
      <c r="BK3135" s="18"/>
      <c r="BL3135" s="18"/>
      <c r="BM3135" s="18"/>
      <c r="BN3135" s="18"/>
      <c r="BO3135" s="18"/>
      <c r="BP3135" s="18"/>
      <c r="BQ3135" s="18"/>
      <c r="BR3135" s="18"/>
      <c r="BS3135" s="18"/>
      <c r="BT3135" s="18"/>
      <c r="BU3135" s="18"/>
      <c r="BV3135" s="18"/>
    </row>
    <row r="3136" spans="1:74">
      <c r="A3136" s="18"/>
      <c r="B3136" s="19"/>
      <c r="BG3136" s="18"/>
      <c r="BH3136" s="18"/>
      <c r="BI3136" s="18"/>
      <c r="BJ3136" s="18"/>
      <c r="BK3136" s="18"/>
      <c r="BL3136" s="18"/>
      <c r="BM3136" s="18"/>
      <c r="BN3136" s="18"/>
      <c r="BO3136" s="18"/>
      <c r="BP3136" s="18"/>
      <c r="BQ3136" s="18"/>
      <c r="BR3136" s="18"/>
      <c r="BS3136" s="18"/>
      <c r="BT3136" s="18"/>
      <c r="BU3136" s="18"/>
      <c r="BV3136" s="18"/>
    </row>
    <row r="3137" spans="1:74">
      <c r="A3137" s="18"/>
      <c r="B3137" s="19"/>
      <c r="BG3137" s="18"/>
      <c r="BH3137" s="18"/>
      <c r="BI3137" s="18"/>
      <c r="BJ3137" s="18"/>
      <c r="BK3137" s="18"/>
      <c r="BL3137" s="18"/>
      <c r="BM3137" s="18"/>
      <c r="BN3137" s="18"/>
      <c r="BO3137" s="18"/>
      <c r="BP3137" s="18"/>
      <c r="BQ3137" s="18"/>
      <c r="BR3137" s="18"/>
      <c r="BS3137" s="18"/>
      <c r="BT3137" s="18"/>
      <c r="BU3137" s="18"/>
      <c r="BV3137" s="18"/>
    </row>
    <row r="3138" spans="1:74">
      <c r="A3138" s="18"/>
      <c r="B3138" s="19"/>
      <c r="BG3138" s="18"/>
      <c r="BH3138" s="18"/>
      <c r="BI3138" s="18"/>
      <c r="BJ3138" s="18"/>
      <c r="BK3138" s="18"/>
      <c r="BL3138" s="18"/>
      <c r="BM3138" s="18"/>
      <c r="BN3138" s="18"/>
      <c r="BO3138" s="18"/>
      <c r="BP3138" s="18"/>
      <c r="BQ3138" s="18"/>
      <c r="BR3138" s="18"/>
      <c r="BS3138" s="18"/>
      <c r="BT3138" s="18"/>
      <c r="BU3138" s="18"/>
      <c r="BV3138" s="18"/>
    </row>
    <row r="3139" spans="1:74">
      <c r="A3139" s="18"/>
      <c r="B3139" s="19"/>
      <c r="BG3139" s="18"/>
      <c r="BH3139" s="18"/>
      <c r="BI3139" s="18"/>
      <c r="BJ3139" s="18"/>
      <c r="BK3139" s="18"/>
      <c r="BL3139" s="18"/>
      <c r="BM3139" s="18"/>
      <c r="BN3139" s="18"/>
      <c r="BO3139" s="18"/>
      <c r="BP3139" s="18"/>
      <c r="BQ3139" s="18"/>
      <c r="BR3139" s="18"/>
      <c r="BS3139" s="18"/>
      <c r="BT3139" s="18"/>
      <c r="BU3139" s="18"/>
      <c r="BV3139" s="18"/>
    </row>
    <row r="3140" spans="1:74">
      <c r="A3140" s="18"/>
      <c r="B3140" s="19"/>
      <c r="BG3140" s="18"/>
      <c r="BH3140" s="18"/>
      <c r="BI3140" s="18"/>
      <c r="BJ3140" s="18"/>
      <c r="BK3140" s="18"/>
      <c r="BL3140" s="18"/>
      <c r="BM3140" s="18"/>
      <c r="BN3140" s="18"/>
      <c r="BO3140" s="18"/>
      <c r="BP3140" s="18"/>
      <c r="BQ3140" s="18"/>
      <c r="BR3140" s="18"/>
      <c r="BS3140" s="18"/>
      <c r="BT3140" s="18"/>
      <c r="BU3140" s="18"/>
      <c r="BV3140" s="18"/>
    </row>
    <row r="3141" spans="1:74">
      <c r="A3141" s="18"/>
      <c r="B3141" s="19"/>
      <c r="BG3141" s="18"/>
      <c r="BH3141" s="18"/>
      <c r="BI3141" s="18"/>
      <c r="BJ3141" s="18"/>
      <c r="BK3141" s="18"/>
      <c r="BL3141" s="18"/>
      <c r="BM3141" s="18"/>
      <c r="BN3141" s="18"/>
      <c r="BO3141" s="18"/>
      <c r="BP3141" s="18"/>
      <c r="BQ3141" s="18"/>
      <c r="BR3141" s="18"/>
      <c r="BS3141" s="18"/>
      <c r="BT3141" s="18"/>
      <c r="BU3141" s="18"/>
      <c r="BV3141" s="18"/>
    </row>
    <row r="3142" spans="1:74">
      <c r="A3142" s="18"/>
      <c r="B3142" s="19"/>
      <c r="BG3142" s="18"/>
      <c r="BH3142" s="18"/>
      <c r="BI3142" s="18"/>
      <c r="BJ3142" s="18"/>
      <c r="BK3142" s="18"/>
      <c r="BL3142" s="18"/>
      <c r="BM3142" s="18"/>
      <c r="BN3142" s="18"/>
      <c r="BO3142" s="18"/>
      <c r="BP3142" s="18"/>
      <c r="BQ3142" s="18"/>
      <c r="BR3142" s="18"/>
      <c r="BS3142" s="18"/>
      <c r="BT3142" s="18"/>
      <c r="BU3142" s="18"/>
      <c r="BV3142" s="18"/>
    </row>
    <row r="3143" spans="1:74">
      <c r="A3143" s="18"/>
      <c r="B3143" s="19"/>
      <c r="BG3143" s="18"/>
      <c r="BH3143" s="18"/>
      <c r="BI3143" s="18"/>
      <c r="BJ3143" s="18"/>
      <c r="BK3143" s="18"/>
      <c r="BL3143" s="18"/>
      <c r="BM3143" s="18"/>
      <c r="BN3143" s="18"/>
      <c r="BO3143" s="18"/>
      <c r="BP3143" s="18"/>
      <c r="BQ3143" s="18"/>
      <c r="BR3143" s="18"/>
      <c r="BS3143" s="18"/>
      <c r="BT3143" s="18"/>
      <c r="BU3143" s="18"/>
      <c r="BV3143" s="18"/>
    </row>
    <row r="3144" spans="1:74">
      <c r="A3144" s="18"/>
      <c r="B3144" s="19"/>
      <c r="BG3144" s="18"/>
      <c r="BH3144" s="18"/>
      <c r="BI3144" s="18"/>
      <c r="BJ3144" s="18"/>
      <c r="BK3144" s="18"/>
      <c r="BL3144" s="18"/>
      <c r="BM3144" s="18"/>
      <c r="BN3144" s="18"/>
      <c r="BO3144" s="18"/>
      <c r="BP3144" s="18"/>
      <c r="BQ3144" s="18"/>
      <c r="BR3144" s="18"/>
      <c r="BS3144" s="18"/>
      <c r="BT3144" s="18"/>
      <c r="BU3144" s="18"/>
      <c r="BV3144" s="18"/>
    </row>
    <row r="3145" spans="1:74">
      <c r="A3145" s="18"/>
      <c r="B3145" s="19"/>
      <c r="BG3145" s="18"/>
      <c r="BH3145" s="18"/>
      <c r="BI3145" s="18"/>
      <c r="BJ3145" s="18"/>
      <c r="BK3145" s="18"/>
      <c r="BL3145" s="18"/>
      <c r="BM3145" s="18"/>
      <c r="BN3145" s="18"/>
      <c r="BO3145" s="18"/>
      <c r="BP3145" s="18"/>
      <c r="BQ3145" s="18"/>
      <c r="BR3145" s="18"/>
      <c r="BS3145" s="18"/>
      <c r="BT3145" s="18"/>
      <c r="BU3145" s="18"/>
      <c r="BV3145" s="18"/>
    </row>
    <row r="3146" spans="1:74">
      <c r="A3146" s="18"/>
      <c r="B3146" s="19"/>
      <c r="BG3146" s="18"/>
      <c r="BH3146" s="18"/>
      <c r="BI3146" s="18"/>
      <c r="BJ3146" s="18"/>
      <c r="BK3146" s="18"/>
      <c r="BL3146" s="18"/>
      <c r="BM3146" s="18"/>
      <c r="BN3146" s="18"/>
      <c r="BO3146" s="18"/>
      <c r="BP3146" s="18"/>
      <c r="BQ3146" s="18"/>
      <c r="BR3146" s="18"/>
      <c r="BS3146" s="18"/>
      <c r="BT3146" s="18"/>
      <c r="BU3146" s="18"/>
      <c r="BV3146" s="18"/>
    </row>
    <row r="3147" spans="1:74">
      <c r="A3147" s="18"/>
      <c r="B3147" s="19"/>
      <c r="BG3147" s="18"/>
      <c r="BH3147" s="18"/>
      <c r="BI3147" s="18"/>
      <c r="BJ3147" s="18"/>
      <c r="BK3147" s="18"/>
      <c r="BL3147" s="18"/>
      <c r="BM3147" s="18"/>
      <c r="BN3147" s="18"/>
      <c r="BO3147" s="18"/>
      <c r="BP3147" s="18"/>
      <c r="BQ3147" s="18"/>
      <c r="BR3147" s="18"/>
      <c r="BS3147" s="18"/>
      <c r="BT3147" s="18"/>
      <c r="BU3147" s="18"/>
      <c r="BV3147" s="18"/>
    </row>
    <row r="3148" spans="1:74">
      <c r="A3148" s="18"/>
      <c r="B3148" s="19"/>
      <c r="BG3148" s="18"/>
      <c r="BH3148" s="18"/>
      <c r="BI3148" s="18"/>
      <c r="BJ3148" s="18"/>
      <c r="BK3148" s="18"/>
      <c r="BL3148" s="18"/>
      <c r="BM3148" s="18"/>
      <c r="BN3148" s="18"/>
      <c r="BO3148" s="18"/>
      <c r="BP3148" s="18"/>
      <c r="BQ3148" s="18"/>
      <c r="BR3148" s="18"/>
      <c r="BS3148" s="18"/>
      <c r="BT3148" s="18"/>
      <c r="BU3148" s="18"/>
      <c r="BV3148" s="18"/>
    </row>
    <row r="3149" spans="1:74">
      <c r="A3149" s="18"/>
      <c r="B3149" s="19"/>
      <c r="BG3149" s="18"/>
      <c r="BH3149" s="18"/>
      <c r="BI3149" s="18"/>
      <c r="BJ3149" s="18"/>
      <c r="BK3149" s="18"/>
      <c r="BL3149" s="18"/>
      <c r="BM3149" s="18"/>
      <c r="BN3149" s="18"/>
      <c r="BO3149" s="18"/>
      <c r="BP3149" s="18"/>
      <c r="BQ3149" s="18"/>
      <c r="BR3149" s="18"/>
      <c r="BS3149" s="18"/>
      <c r="BT3149" s="18"/>
      <c r="BU3149" s="18"/>
      <c r="BV3149" s="18"/>
    </row>
    <row r="3150" spans="1:74">
      <c r="A3150" s="18"/>
      <c r="B3150" s="19"/>
      <c r="BG3150" s="18"/>
      <c r="BH3150" s="18"/>
      <c r="BI3150" s="18"/>
      <c r="BJ3150" s="18"/>
      <c r="BK3150" s="18"/>
      <c r="BL3150" s="18"/>
      <c r="BM3150" s="18"/>
      <c r="BN3150" s="18"/>
      <c r="BO3150" s="18"/>
      <c r="BP3150" s="18"/>
      <c r="BQ3150" s="18"/>
      <c r="BR3150" s="18"/>
      <c r="BS3150" s="18"/>
      <c r="BT3150" s="18"/>
      <c r="BU3150" s="18"/>
      <c r="BV3150" s="18"/>
    </row>
    <row r="3151" spans="1:74">
      <c r="A3151" s="18"/>
      <c r="B3151" s="19"/>
      <c r="BG3151" s="18"/>
      <c r="BH3151" s="18"/>
      <c r="BI3151" s="18"/>
      <c r="BJ3151" s="18"/>
      <c r="BK3151" s="18"/>
      <c r="BL3151" s="18"/>
      <c r="BM3151" s="18"/>
      <c r="BN3151" s="18"/>
      <c r="BO3151" s="18"/>
      <c r="BP3151" s="18"/>
      <c r="BQ3151" s="18"/>
      <c r="BR3151" s="18"/>
      <c r="BS3151" s="18"/>
      <c r="BT3151" s="18"/>
      <c r="BU3151" s="18"/>
      <c r="BV3151" s="18"/>
    </row>
    <row r="3152" spans="1:74">
      <c r="A3152" s="18"/>
      <c r="B3152" s="19"/>
      <c r="BG3152" s="18"/>
      <c r="BH3152" s="18"/>
      <c r="BI3152" s="18"/>
      <c r="BJ3152" s="18"/>
      <c r="BK3152" s="18"/>
      <c r="BL3152" s="18"/>
      <c r="BM3152" s="18"/>
      <c r="BN3152" s="18"/>
      <c r="BO3152" s="18"/>
      <c r="BP3152" s="18"/>
      <c r="BQ3152" s="18"/>
      <c r="BR3152" s="18"/>
      <c r="BS3152" s="18"/>
      <c r="BT3152" s="18"/>
      <c r="BU3152" s="18"/>
      <c r="BV3152" s="18"/>
    </row>
    <row r="3153" spans="1:74">
      <c r="A3153" s="18"/>
      <c r="B3153" s="19"/>
      <c r="BG3153" s="18"/>
      <c r="BH3153" s="18"/>
      <c r="BI3153" s="18"/>
      <c r="BJ3153" s="18"/>
      <c r="BK3153" s="18"/>
      <c r="BL3153" s="18"/>
      <c r="BM3153" s="18"/>
      <c r="BN3153" s="18"/>
      <c r="BO3153" s="18"/>
      <c r="BP3153" s="18"/>
      <c r="BQ3153" s="18"/>
      <c r="BR3153" s="18"/>
      <c r="BS3153" s="18"/>
      <c r="BT3153" s="18"/>
      <c r="BU3153" s="18"/>
      <c r="BV3153" s="18"/>
    </row>
    <row r="3154" spans="1:74">
      <c r="A3154" s="18"/>
      <c r="B3154" s="19"/>
      <c r="BG3154" s="18"/>
      <c r="BH3154" s="18"/>
      <c r="BI3154" s="18"/>
      <c r="BJ3154" s="18"/>
      <c r="BK3154" s="18"/>
      <c r="BL3154" s="18"/>
      <c r="BM3154" s="18"/>
      <c r="BN3154" s="18"/>
      <c r="BO3154" s="18"/>
      <c r="BP3154" s="18"/>
      <c r="BQ3154" s="18"/>
      <c r="BR3154" s="18"/>
      <c r="BS3154" s="18"/>
      <c r="BT3154" s="18"/>
      <c r="BU3154" s="18"/>
      <c r="BV3154" s="18"/>
    </row>
    <row r="3155" spans="1:74">
      <c r="A3155" s="18"/>
      <c r="B3155" s="19"/>
      <c r="BG3155" s="18"/>
      <c r="BH3155" s="18"/>
      <c r="BI3155" s="18"/>
      <c r="BJ3155" s="18"/>
      <c r="BK3155" s="18"/>
      <c r="BL3155" s="18"/>
      <c r="BM3155" s="18"/>
      <c r="BN3155" s="18"/>
      <c r="BO3155" s="18"/>
      <c r="BP3155" s="18"/>
      <c r="BQ3155" s="18"/>
      <c r="BR3155" s="18"/>
      <c r="BS3155" s="18"/>
      <c r="BT3155" s="18"/>
      <c r="BU3155" s="18"/>
      <c r="BV3155" s="18"/>
    </row>
    <row r="3156" spans="1:74">
      <c r="A3156" s="18"/>
      <c r="B3156" s="19"/>
      <c r="BG3156" s="18"/>
      <c r="BH3156" s="18"/>
      <c r="BI3156" s="18"/>
      <c r="BJ3156" s="18"/>
      <c r="BK3156" s="18"/>
      <c r="BL3156" s="18"/>
      <c r="BM3156" s="18"/>
      <c r="BN3156" s="18"/>
      <c r="BO3156" s="18"/>
      <c r="BP3156" s="18"/>
      <c r="BQ3156" s="18"/>
      <c r="BR3156" s="18"/>
      <c r="BS3156" s="18"/>
      <c r="BT3156" s="18"/>
      <c r="BU3156" s="18"/>
      <c r="BV3156" s="18"/>
    </row>
    <row r="3157" spans="1:74">
      <c r="A3157" s="18"/>
      <c r="B3157" s="19"/>
      <c r="BG3157" s="18"/>
      <c r="BH3157" s="18"/>
      <c r="BI3157" s="18"/>
      <c r="BJ3157" s="18"/>
      <c r="BK3157" s="18"/>
      <c r="BL3157" s="18"/>
      <c r="BM3157" s="18"/>
      <c r="BN3157" s="18"/>
      <c r="BO3157" s="18"/>
      <c r="BP3157" s="18"/>
      <c r="BQ3157" s="18"/>
      <c r="BR3157" s="18"/>
      <c r="BS3157" s="18"/>
      <c r="BT3157" s="18"/>
      <c r="BU3157" s="18"/>
      <c r="BV3157" s="18"/>
    </row>
    <row r="3158" spans="1:74">
      <c r="A3158" s="18"/>
      <c r="B3158" s="19"/>
      <c r="BG3158" s="18"/>
      <c r="BH3158" s="18"/>
      <c r="BI3158" s="18"/>
      <c r="BJ3158" s="18"/>
      <c r="BK3158" s="18"/>
      <c r="BL3158" s="18"/>
      <c r="BM3158" s="18"/>
      <c r="BN3158" s="18"/>
      <c r="BO3158" s="18"/>
      <c r="BP3158" s="18"/>
      <c r="BQ3158" s="18"/>
      <c r="BR3158" s="18"/>
      <c r="BS3158" s="18"/>
      <c r="BT3158" s="18"/>
      <c r="BU3158" s="18"/>
      <c r="BV3158" s="18"/>
    </row>
    <row r="3159" spans="1:74">
      <c r="A3159" s="18"/>
      <c r="B3159" s="19"/>
      <c r="BG3159" s="18"/>
      <c r="BH3159" s="18"/>
      <c r="BI3159" s="18"/>
      <c r="BJ3159" s="18"/>
      <c r="BK3159" s="18"/>
      <c r="BL3159" s="18"/>
      <c r="BM3159" s="18"/>
      <c r="BN3159" s="18"/>
      <c r="BO3159" s="18"/>
      <c r="BP3159" s="18"/>
      <c r="BQ3159" s="18"/>
      <c r="BR3159" s="18"/>
      <c r="BS3159" s="18"/>
      <c r="BT3159" s="18"/>
      <c r="BU3159" s="18"/>
      <c r="BV3159" s="18"/>
    </row>
    <row r="3160" spans="1:74">
      <c r="A3160" s="18"/>
      <c r="B3160" s="19"/>
      <c r="BG3160" s="18"/>
      <c r="BH3160" s="18"/>
      <c r="BI3160" s="18"/>
      <c r="BJ3160" s="18"/>
      <c r="BK3160" s="18"/>
      <c r="BL3160" s="18"/>
      <c r="BM3160" s="18"/>
      <c r="BN3160" s="18"/>
      <c r="BO3160" s="18"/>
      <c r="BP3160" s="18"/>
      <c r="BQ3160" s="18"/>
      <c r="BR3160" s="18"/>
      <c r="BS3160" s="18"/>
      <c r="BT3160" s="18"/>
      <c r="BU3160" s="18"/>
      <c r="BV3160" s="18"/>
    </row>
    <row r="3161" spans="1:74">
      <c r="A3161" s="18"/>
      <c r="B3161" s="19"/>
      <c r="BG3161" s="18"/>
      <c r="BH3161" s="18"/>
      <c r="BI3161" s="18"/>
      <c r="BJ3161" s="18"/>
      <c r="BK3161" s="18"/>
      <c r="BL3161" s="18"/>
      <c r="BM3161" s="18"/>
      <c r="BN3161" s="18"/>
      <c r="BO3161" s="18"/>
      <c r="BP3161" s="18"/>
      <c r="BQ3161" s="18"/>
      <c r="BR3161" s="18"/>
      <c r="BS3161" s="18"/>
      <c r="BT3161" s="18"/>
      <c r="BU3161" s="18"/>
      <c r="BV3161" s="18"/>
    </row>
    <row r="3162" spans="1:74">
      <c r="A3162" s="18"/>
      <c r="B3162" s="19"/>
      <c r="BG3162" s="18"/>
      <c r="BH3162" s="18"/>
      <c r="BI3162" s="18"/>
      <c r="BJ3162" s="18"/>
      <c r="BK3162" s="18"/>
      <c r="BL3162" s="18"/>
      <c r="BM3162" s="18"/>
      <c r="BN3162" s="18"/>
      <c r="BO3162" s="18"/>
      <c r="BP3162" s="18"/>
      <c r="BQ3162" s="18"/>
      <c r="BR3162" s="18"/>
      <c r="BS3162" s="18"/>
      <c r="BT3162" s="18"/>
      <c r="BU3162" s="18"/>
      <c r="BV3162" s="18"/>
    </row>
    <row r="3163" spans="1:74">
      <c r="A3163" s="18"/>
      <c r="B3163" s="19"/>
      <c r="BG3163" s="18"/>
      <c r="BH3163" s="18"/>
      <c r="BI3163" s="18"/>
      <c r="BJ3163" s="18"/>
      <c r="BK3163" s="18"/>
      <c r="BL3163" s="18"/>
      <c r="BM3163" s="18"/>
      <c r="BN3163" s="18"/>
      <c r="BO3163" s="18"/>
      <c r="BP3163" s="18"/>
      <c r="BQ3163" s="18"/>
      <c r="BR3163" s="18"/>
      <c r="BS3163" s="18"/>
      <c r="BT3163" s="18"/>
      <c r="BU3163" s="18"/>
      <c r="BV3163" s="18"/>
    </row>
    <row r="3164" spans="1:74">
      <c r="A3164" s="18"/>
      <c r="B3164" s="19"/>
      <c r="BG3164" s="18"/>
      <c r="BH3164" s="18"/>
      <c r="BI3164" s="18"/>
      <c r="BJ3164" s="18"/>
      <c r="BK3164" s="18"/>
      <c r="BL3164" s="18"/>
      <c r="BM3164" s="18"/>
      <c r="BN3164" s="18"/>
      <c r="BO3164" s="18"/>
      <c r="BP3164" s="18"/>
      <c r="BQ3164" s="18"/>
      <c r="BR3164" s="18"/>
      <c r="BS3164" s="18"/>
      <c r="BT3164" s="18"/>
      <c r="BU3164" s="18"/>
      <c r="BV3164" s="18"/>
    </row>
    <row r="3165" spans="1:74">
      <c r="A3165" s="18"/>
      <c r="B3165" s="19"/>
      <c r="BG3165" s="18"/>
      <c r="BH3165" s="18"/>
      <c r="BI3165" s="18"/>
      <c r="BJ3165" s="18"/>
      <c r="BK3165" s="18"/>
      <c r="BL3165" s="18"/>
      <c r="BM3165" s="18"/>
      <c r="BN3165" s="18"/>
      <c r="BO3165" s="18"/>
      <c r="BP3165" s="18"/>
      <c r="BQ3165" s="18"/>
      <c r="BR3165" s="18"/>
      <c r="BS3165" s="18"/>
      <c r="BT3165" s="18"/>
      <c r="BU3165" s="18"/>
      <c r="BV3165" s="18"/>
    </row>
    <row r="3166" spans="1:74">
      <c r="A3166" s="18"/>
      <c r="B3166" s="19"/>
      <c r="BG3166" s="18"/>
      <c r="BH3166" s="18"/>
      <c r="BI3166" s="18"/>
      <c r="BJ3166" s="18"/>
      <c r="BK3166" s="18"/>
      <c r="BL3166" s="18"/>
      <c r="BM3166" s="18"/>
      <c r="BN3166" s="18"/>
      <c r="BO3166" s="18"/>
      <c r="BP3166" s="18"/>
      <c r="BQ3166" s="18"/>
      <c r="BR3166" s="18"/>
      <c r="BS3166" s="18"/>
      <c r="BT3166" s="18"/>
      <c r="BU3166" s="18"/>
      <c r="BV3166" s="18"/>
    </row>
    <row r="3167" spans="1:74">
      <c r="A3167" s="18"/>
      <c r="B3167" s="19"/>
      <c r="BG3167" s="18"/>
      <c r="BH3167" s="18"/>
      <c r="BI3167" s="18"/>
      <c r="BJ3167" s="18"/>
      <c r="BK3167" s="18"/>
      <c r="BL3167" s="18"/>
      <c r="BM3167" s="18"/>
      <c r="BN3167" s="18"/>
      <c r="BO3167" s="18"/>
      <c r="BP3167" s="18"/>
      <c r="BQ3167" s="18"/>
      <c r="BR3167" s="18"/>
      <c r="BS3167" s="18"/>
      <c r="BT3167" s="18"/>
      <c r="BU3167" s="18"/>
      <c r="BV3167" s="18"/>
    </row>
    <row r="3168" spans="1:74">
      <c r="A3168" s="18"/>
      <c r="B3168" s="19"/>
      <c r="BG3168" s="18"/>
      <c r="BH3168" s="18"/>
      <c r="BI3168" s="18"/>
      <c r="BJ3168" s="18"/>
      <c r="BK3168" s="18"/>
      <c r="BL3168" s="18"/>
      <c r="BM3168" s="18"/>
      <c r="BN3168" s="18"/>
      <c r="BO3168" s="18"/>
      <c r="BP3168" s="18"/>
      <c r="BQ3168" s="18"/>
      <c r="BR3168" s="18"/>
      <c r="BS3168" s="18"/>
      <c r="BT3168" s="18"/>
      <c r="BU3168" s="18"/>
      <c r="BV3168" s="18"/>
    </row>
    <row r="3169" spans="1:74">
      <c r="A3169" s="18"/>
      <c r="B3169" s="19"/>
      <c r="BG3169" s="18"/>
      <c r="BH3169" s="18"/>
      <c r="BI3169" s="18"/>
      <c r="BJ3169" s="18"/>
      <c r="BK3169" s="18"/>
      <c r="BL3169" s="18"/>
      <c r="BM3169" s="18"/>
      <c r="BN3169" s="18"/>
      <c r="BO3169" s="18"/>
      <c r="BP3169" s="18"/>
      <c r="BQ3169" s="18"/>
      <c r="BR3169" s="18"/>
      <c r="BS3169" s="18"/>
      <c r="BT3169" s="18"/>
      <c r="BU3169" s="18"/>
      <c r="BV3169" s="18"/>
    </row>
    <row r="3170" spans="1:74">
      <c r="A3170" s="18"/>
      <c r="B3170" s="19"/>
      <c r="BG3170" s="18"/>
      <c r="BH3170" s="18"/>
      <c r="BI3170" s="18"/>
      <c r="BJ3170" s="18"/>
      <c r="BK3170" s="18"/>
      <c r="BL3170" s="18"/>
      <c r="BM3170" s="18"/>
      <c r="BN3170" s="18"/>
      <c r="BO3170" s="18"/>
      <c r="BP3170" s="18"/>
      <c r="BQ3170" s="18"/>
      <c r="BR3170" s="18"/>
      <c r="BS3170" s="18"/>
      <c r="BT3170" s="18"/>
      <c r="BU3170" s="18"/>
      <c r="BV3170" s="18"/>
    </row>
    <row r="3171" spans="1:74">
      <c r="A3171" s="18"/>
      <c r="B3171" s="19"/>
      <c r="BG3171" s="18"/>
      <c r="BH3171" s="18"/>
      <c r="BI3171" s="18"/>
      <c r="BJ3171" s="18"/>
      <c r="BK3171" s="18"/>
      <c r="BL3171" s="18"/>
      <c r="BM3171" s="18"/>
      <c r="BN3171" s="18"/>
      <c r="BO3171" s="18"/>
      <c r="BP3171" s="18"/>
      <c r="BQ3171" s="18"/>
      <c r="BR3171" s="18"/>
      <c r="BS3171" s="18"/>
      <c r="BT3171" s="18"/>
      <c r="BU3171" s="18"/>
      <c r="BV3171" s="18"/>
    </row>
    <row r="3172" spans="1:74">
      <c r="A3172" s="18"/>
      <c r="B3172" s="19"/>
      <c r="BG3172" s="18"/>
      <c r="BH3172" s="18"/>
      <c r="BI3172" s="18"/>
      <c r="BJ3172" s="18"/>
      <c r="BK3172" s="18"/>
      <c r="BL3172" s="18"/>
      <c r="BM3172" s="18"/>
      <c r="BN3172" s="18"/>
      <c r="BO3172" s="18"/>
      <c r="BP3172" s="18"/>
      <c r="BQ3172" s="18"/>
      <c r="BR3172" s="18"/>
      <c r="BS3172" s="18"/>
      <c r="BT3172" s="18"/>
      <c r="BU3172" s="18"/>
      <c r="BV3172" s="18"/>
    </row>
    <row r="3173" spans="1:74">
      <c r="A3173" s="18"/>
      <c r="B3173" s="19"/>
      <c r="BG3173" s="18"/>
      <c r="BH3173" s="18"/>
      <c r="BI3173" s="18"/>
      <c r="BJ3173" s="18"/>
      <c r="BK3173" s="18"/>
      <c r="BL3173" s="18"/>
      <c r="BM3173" s="18"/>
      <c r="BN3173" s="18"/>
      <c r="BO3173" s="18"/>
      <c r="BP3173" s="18"/>
      <c r="BQ3173" s="18"/>
      <c r="BR3173" s="18"/>
      <c r="BS3173" s="18"/>
      <c r="BT3173" s="18"/>
      <c r="BU3173" s="18"/>
      <c r="BV3173" s="18"/>
    </row>
    <row r="3174" spans="1:74">
      <c r="A3174" s="18"/>
      <c r="B3174" s="19"/>
      <c r="BG3174" s="18"/>
      <c r="BH3174" s="18"/>
      <c r="BI3174" s="18"/>
      <c r="BJ3174" s="18"/>
      <c r="BK3174" s="18"/>
      <c r="BL3174" s="18"/>
      <c r="BM3174" s="18"/>
      <c r="BN3174" s="18"/>
      <c r="BO3174" s="18"/>
      <c r="BP3174" s="18"/>
      <c r="BQ3174" s="18"/>
      <c r="BR3174" s="18"/>
      <c r="BS3174" s="18"/>
      <c r="BT3174" s="18"/>
      <c r="BU3174" s="18"/>
      <c r="BV3174" s="18"/>
    </row>
    <row r="3175" spans="1:74">
      <c r="A3175" s="18"/>
      <c r="B3175" s="19"/>
      <c r="BG3175" s="18"/>
      <c r="BH3175" s="18"/>
      <c r="BI3175" s="18"/>
      <c r="BJ3175" s="18"/>
      <c r="BK3175" s="18"/>
      <c r="BL3175" s="18"/>
      <c r="BM3175" s="18"/>
      <c r="BN3175" s="18"/>
      <c r="BO3175" s="18"/>
      <c r="BP3175" s="18"/>
      <c r="BQ3175" s="18"/>
      <c r="BR3175" s="18"/>
      <c r="BS3175" s="18"/>
      <c r="BT3175" s="18"/>
      <c r="BU3175" s="18"/>
      <c r="BV3175" s="18"/>
    </row>
    <row r="3176" spans="1:74">
      <c r="A3176" s="18"/>
      <c r="B3176" s="19"/>
      <c r="BG3176" s="18"/>
      <c r="BH3176" s="18"/>
      <c r="BI3176" s="18"/>
      <c r="BJ3176" s="18"/>
      <c r="BK3176" s="18"/>
      <c r="BL3176" s="18"/>
      <c r="BM3176" s="18"/>
      <c r="BN3176" s="18"/>
      <c r="BO3176" s="18"/>
      <c r="BP3176" s="18"/>
      <c r="BQ3176" s="18"/>
      <c r="BR3176" s="18"/>
      <c r="BS3176" s="18"/>
      <c r="BT3176" s="18"/>
      <c r="BU3176" s="18"/>
      <c r="BV3176" s="18"/>
    </row>
    <row r="3177" spans="1:74">
      <c r="A3177" s="18"/>
      <c r="B3177" s="19"/>
      <c r="BG3177" s="18"/>
      <c r="BH3177" s="18"/>
      <c r="BI3177" s="18"/>
      <c r="BJ3177" s="18"/>
      <c r="BK3177" s="18"/>
      <c r="BL3177" s="18"/>
      <c r="BM3177" s="18"/>
      <c r="BN3177" s="18"/>
      <c r="BO3177" s="18"/>
      <c r="BP3177" s="18"/>
      <c r="BQ3177" s="18"/>
      <c r="BR3177" s="18"/>
      <c r="BS3177" s="18"/>
      <c r="BT3177" s="18"/>
      <c r="BU3177" s="18"/>
      <c r="BV3177" s="18"/>
    </row>
    <row r="3178" spans="1:74">
      <c r="A3178" s="18"/>
      <c r="B3178" s="19"/>
      <c r="BG3178" s="18"/>
      <c r="BH3178" s="18"/>
      <c r="BI3178" s="18"/>
      <c r="BJ3178" s="18"/>
      <c r="BK3178" s="18"/>
      <c r="BL3178" s="18"/>
      <c r="BM3178" s="18"/>
      <c r="BN3178" s="18"/>
      <c r="BO3178" s="18"/>
      <c r="BP3178" s="18"/>
      <c r="BQ3178" s="18"/>
      <c r="BR3178" s="18"/>
      <c r="BS3178" s="18"/>
      <c r="BT3178" s="18"/>
      <c r="BU3178" s="18"/>
      <c r="BV3178" s="18"/>
    </row>
    <row r="3179" spans="1:74">
      <c r="A3179" s="18"/>
      <c r="B3179" s="19"/>
      <c r="BG3179" s="18"/>
      <c r="BH3179" s="18"/>
      <c r="BI3179" s="18"/>
      <c r="BJ3179" s="18"/>
      <c r="BK3179" s="18"/>
      <c r="BL3179" s="18"/>
      <c r="BM3179" s="18"/>
      <c r="BN3179" s="18"/>
      <c r="BO3179" s="18"/>
      <c r="BP3179" s="18"/>
      <c r="BQ3179" s="18"/>
      <c r="BR3179" s="18"/>
      <c r="BS3179" s="18"/>
      <c r="BT3179" s="18"/>
      <c r="BU3179" s="18"/>
      <c r="BV3179" s="18"/>
    </row>
    <row r="3180" spans="1:74">
      <c r="A3180" s="18"/>
      <c r="B3180" s="19"/>
      <c r="BG3180" s="18"/>
      <c r="BH3180" s="18"/>
      <c r="BI3180" s="18"/>
      <c r="BJ3180" s="18"/>
      <c r="BK3180" s="18"/>
      <c r="BL3180" s="18"/>
      <c r="BM3180" s="18"/>
      <c r="BN3180" s="18"/>
      <c r="BO3180" s="18"/>
      <c r="BP3180" s="18"/>
      <c r="BQ3180" s="18"/>
      <c r="BR3180" s="18"/>
      <c r="BS3180" s="18"/>
      <c r="BT3180" s="18"/>
      <c r="BU3180" s="18"/>
      <c r="BV3180" s="18"/>
    </row>
    <row r="3181" spans="1:74">
      <c r="A3181" s="18"/>
      <c r="B3181" s="19"/>
      <c r="BG3181" s="18"/>
      <c r="BH3181" s="18"/>
      <c r="BI3181" s="18"/>
      <c r="BJ3181" s="18"/>
      <c r="BK3181" s="18"/>
      <c r="BL3181" s="18"/>
      <c r="BM3181" s="18"/>
      <c r="BN3181" s="18"/>
      <c r="BO3181" s="18"/>
      <c r="BP3181" s="18"/>
      <c r="BQ3181" s="18"/>
      <c r="BR3181" s="18"/>
      <c r="BS3181" s="18"/>
      <c r="BT3181" s="18"/>
      <c r="BU3181" s="18"/>
      <c r="BV3181" s="18"/>
    </row>
    <row r="3182" spans="1:74">
      <c r="A3182" s="18"/>
      <c r="B3182" s="19"/>
      <c r="BG3182" s="18"/>
      <c r="BH3182" s="18"/>
      <c r="BI3182" s="18"/>
      <c r="BJ3182" s="18"/>
      <c r="BK3182" s="18"/>
      <c r="BL3182" s="18"/>
      <c r="BM3182" s="18"/>
      <c r="BN3182" s="18"/>
      <c r="BO3182" s="18"/>
      <c r="BP3182" s="18"/>
      <c r="BQ3182" s="18"/>
      <c r="BR3182" s="18"/>
      <c r="BS3182" s="18"/>
      <c r="BT3182" s="18"/>
      <c r="BU3182" s="18"/>
      <c r="BV3182" s="18"/>
    </row>
    <row r="3183" spans="1:74">
      <c r="A3183" s="18"/>
      <c r="B3183" s="19"/>
      <c r="BG3183" s="18"/>
      <c r="BH3183" s="18"/>
      <c r="BI3183" s="18"/>
      <c r="BJ3183" s="18"/>
      <c r="BK3183" s="18"/>
      <c r="BL3183" s="18"/>
      <c r="BM3183" s="18"/>
      <c r="BN3183" s="18"/>
      <c r="BO3183" s="18"/>
      <c r="BP3183" s="18"/>
      <c r="BQ3183" s="18"/>
      <c r="BR3183" s="18"/>
      <c r="BS3183" s="18"/>
      <c r="BT3183" s="18"/>
      <c r="BU3183" s="18"/>
      <c r="BV3183" s="18"/>
    </row>
    <row r="3184" spans="1:74">
      <c r="A3184" s="18"/>
      <c r="B3184" s="19"/>
      <c r="BG3184" s="18"/>
      <c r="BH3184" s="18"/>
      <c r="BI3184" s="18"/>
      <c r="BJ3184" s="18"/>
      <c r="BK3184" s="18"/>
      <c r="BL3184" s="18"/>
      <c r="BM3184" s="18"/>
      <c r="BN3184" s="18"/>
      <c r="BO3184" s="18"/>
      <c r="BP3184" s="18"/>
      <c r="BQ3184" s="18"/>
      <c r="BR3184" s="18"/>
      <c r="BS3184" s="18"/>
      <c r="BT3184" s="18"/>
      <c r="BU3184" s="18"/>
      <c r="BV3184" s="18"/>
    </row>
    <row r="3185" spans="1:74">
      <c r="A3185" s="18"/>
      <c r="B3185" s="19"/>
      <c r="BG3185" s="18"/>
      <c r="BH3185" s="18"/>
      <c r="BI3185" s="18"/>
      <c r="BJ3185" s="18"/>
      <c r="BK3185" s="18"/>
      <c r="BL3185" s="18"/>
      <c r="BM3185" s="18"/>
      <c r="BN3185" s="18"/>
      <c r="BO3185" s="18"/>
      <c r="BP3185" s="18"/>
      <c r="BQ3185" s="18"/>
      <c r="BR3185" s="18"/>
      <c r="BS3185" s="18"/>
      <c r="BT3185" s="18"/>
      <c r="BU3185" s="18"/>
      <c r="BV3185" s="18"/>
    </row>
    <row r="3186" spans="1:74">
      <c r="A3186" s="18"/>
      <c r="B3186" s="19"/>
      <c r="BG3186" s="18"/>
      <c r="BH3186" s="18"/>
      <c r="BI3186" s="18"/>
      <c r="BJ3186" s="18"/>
      <c r="BK3186" s="18"/>
      <c r="BL3186" s="18"/>
      <c r="BM3186" s="18"/>
      <c r="BN3186" s="18"/>
      <c r="BO3186" s="18"/>
      <c r="BP3186" s="18"/>
      <c r="BQ3186" s="18"/>
      <c r="BR3186" s="18"/>
      <c r="BS3186" s="18"/>
      <c r="BT3186" s="18"/>
      <c r="BU3186" s="18"/>
      <c r="BV3186" s="18"/>
    </row>
    <row r="3187" spans="1:74">
      <c r="A3187" s="18"/>
      <c r="B3187" s="19"/>
      <c r="BG3187" s="18"/>
      <c r="BH3187" s="18"/>
      <c r="BI3187" s="18"/>
      <c r="BJ3187" s="18"/>
      <c r="BK3187" s="18"/>
      <c r="BL3187" s="18"/>
      <c r="BM3187" s="18"/>
      <c r="BN3187" s="18"/>
      <c r="BO3187" s="18"/>
      <c r="BP3187" s="18"/>
      <c r="BQ3187" s="18"/>
      <c r="BR3187" s="18"/>
      <c r="BS3187" s="18"/>
      <c r="BT3187" s="18"/>
      <c r="BU3187" s="18"/>
      <c r="BV3187" s="18"/>
    </row>
    <row r="3188" spans="1:74">
      <c r="A3188" s="18"/>
      <c r="B3188" s="19"/>
      <c r="BG3188" s="18"/>
      <c r="BH3188" s="18"/>
      <c r="BI3188" s="18"/>
      <c r="BJ3188" s="18"/>
      <c r="BK3188" s="18"/>
      <c r="BL3188" s="18"/>
      <c r="BM3188" s="18"/>
      <c r="BN3188" s="18"/>
      <c r="BO3188" s="18"/>
      <c r="BP3188" s="18"/>
      <c r="BQ3188" s="18"/>
      <c r="BR3188" s="18"/>
      <c r="BS3188" s="18"/>
      <c r="BT3188" s="18"/>
      <c r="BU3188" s="18"/>
      <c r="BV3188" s="18"/>
    </row>
    <row r="3189" spans="1:74">
      <c r="A3189" s="18"/>
      <c r="B3189" s="19"/>
      <c r="BG3189" s="18"/>
      <c r="BH3189" s="18"/>
      <c r="BI3189" s="18"/>
      <c r="BJ3189" s="18"/>
      <c r="BK3189" s="18"/>
      <c r="BL3189" s="18"/>
      <c r="BM3189" s="18"/>
      <c r="BN3189" s="18"/>
      <c r="BO3189" s="18"/>
      <c r="BP3189" s="18"/>
      <c r="BQ3189" s="18"/>
      <c r="BR3189" s="18"/>
      <c r="BS3189" s="18"/>
      <c r="BT3189" s="18"/>
      <c r="BU3189" s="18"/>
      <c r="BV3189" s="18"/>
    </row>
    <row r="3190" spans="1:74">
      <c r="A3190" s="18"/>
      <c r="B3190" s="19"/>
      <c r="BG3190" s="18"/>
      <c r="BH3190" s="18"/>
      <c r="BI3190" s="18"/>
      <c r="BJ3190" s="18"/>
      <c r="BK3190" s="18"/>
      <c r="BL3190" s="18"/>
      <c r="BM3190" s="18"/>
      <c r="BN3190" s="18"/>
      <c r="BO3190" s="18"/>
      <c r="BP3190" s="18"/>
      <c r="BQ3190" s="18"/>
      <c r="BR3190" s="18"/>
      <c r="BS3190" s="18"/>
      <c r="BT3190" s="18"/>
      <c r="BU3190" s="18"/>
      <c r="BV3190" s="18"/>
    </row>
    <row r="3191" spans="1:74">
      <c r="A3191" s="18"/>
      <c r="B3191" s="19"/>
      <c r="BG3191" s="18"/>
      <c r="BH3191" s="18"/>
      <c r="BI3191" s="18"/>
      <c r="BJ3191" s="18"/>
      <c r="BK3191" s="18"/>
      <c r="BL3191" s="18"/>
      <c r="BM3191" s="18"/>
      <c r="BN3191" s="18"/>
      <c r="BO3191" s="18"/>
      <c r="BP3191" s="18"/>
      <c r="BQ3191" s="18"/>
      <c r="BR3191" s="18"/>
      <c r="BS3191" s="18"/>
      <c r="BT3191" s="18"/>
      <c r="BU3191" s="18"/>
      <c r="BV3191" s="18"/>
    </row>
    <row r="3192" spans="1:74">
      <c r="A3192" s="18"/>
      <c r="B3192" s="19"/>
      <c r="BG3192" s="18"/>
      <c r="BH3192" s="18"/>
      <c r="BI3192" s="18"/>
      <c r="BJ3192" s="18"/>
      <c r="BK3192" s="18"/>
      <c r="BL3192" s="18"/>
      <c r="BM3192" s="18"/>
      <c r="BN3192" s="18"/>
      <c r="BO3192" s="18"/>
      <c r="BP3192" s="18"/>
      <c r="BQ3192" s="18"/>
      <c r="BR3192" s="18"/>
      <c r="BS3192" s="18"/>
      <c r="BT3192" s="18"/>
      <c r="BU3192" s="18"/>
      <c r="BV3192" s="18"/>
    </row>
    <row r="3193" spans="1:74">
      <c r="A3193" s="18"/>
      <c r="B3193" s="19"/>
      <c r="BG3193" s="18"/>
      <c r="BH3193" s="18"/>
      <c r="BI3193" s="18"/>
      <c r="BJ3193" s="18"/>
      <c r="BK3193" s="18"/>
      <c r="BL3193" s="18"/>
      <c r="BM3193" s="18"/>
      <c r="BN3193" s="18"/>
      <c r="BO3193" s="18"/>
      <c r="BP3193" s="18"/>
      <c r="BQ3193" s="18"/>
      <c r="BR3193" s="18"/>
      <c r="BS3193" s="18"/>
      <c r="BT3193" s="18"/>
      <c r="BU3193" s="18"/>
      <c r="BV3193" s="18"/>
    </row>
    <row r="3194" spans="1:74">
      <c r="A3194" s="18"/>
      <c r="B3194" s="19"/>
      <c r="BG3194" s="18"/>
      <c r="BH3194" s="18"/>
      <c r="BI3194" s="18"/>
      <c r="BJ3194" s="18"/>
      <c r="BK3194" s="18"/>
      <c r="BL3194" s="18"/>
      <c r="BM3194" s="18"/>
      <c r="BN3194" s="18"/>
      <c r="BO3194" s="18"/>
      <c r="BP3194" s="18"/>
      <c r="BQ3194" s="18"/>
      <c r="BR3194" s="18"/>
      <c r="BS3194" s="18"/>
      <c r="BT3194" s="18"/>
      <c r="BU3194" s="18"/>
      <c r="BV3194" s="18"/>
    </row>
    <row r="3195" spans="1:74">
      <c r="A3195" s="18"/>
      <c r="B3195" s="19"/>
      <c r="BG3195" s="18"/>
      <c r="BH3195" s="18"/>
      <c r="BI3195" s="18"/>
      <c r="BJ3195" s="18"/>
      <c r="BK3195" s="18"/>
      <c r="BL3195" s="18"/>
      <c r="BM3195" s="18"/>
      <c r="BN3195" s="18"/>
      <c r="BO3195" s="18"/>
      <c r="BP3195" s="18"/>
      <c r="BQ3195" s="18"/>
      <c r="BR3195" s="18"/>
      <c r="BS3195" s="18"/>
      <c r="BT3195" s="18"/>
      <c r="BU3195" s="18"/>
      <c r="BV3195" s="18"/>
    </row>
    <row r="3196" spans="1:74">
      <c r="A3196" s="18"/>
      <c r="B3196" s="19"/>
      <c r="BG3196" s="18"/>
      <c r="BH3196" s="18"/>
      <c r="BI3196" s="18"/>
      <c r="BJ3196" s="18"/>
      <c r="BK3196" s="18"/>
      <c r="BL3196" s="18"/>
      <c r="BM3196" s="18"/>
      <c r="BN3196" s="18"/>
      <c r="BO3196" s="18"/>
      <c r="BP3196" s="18"/>
      <c r="BQ3196" s="18"/>
      <c r="BR3196" s="18"/>
      <c r="BS3196" s="18"/>
      <c r="BT3196" s="18"/>
      <c r="BU3196" s="18"/>
      <c r="BV3196" s="18"/>
    </row>
    <row r="3197" spans="1:74">
      <c r="A3197" s="18"/>
      <c r="B3197" s="19"/>
      <c r="BG3197" s="18"/>
      <c r="BH3197" s="18"/>
      <c r="BI3197" s="18"/>
      <c r="BJ3197" s="18"/>
      <c r="BK3197" s="18"/>
      <c r="BL3197" s="18"/>
      <c r="BM3197" s="18"/>
      <c r="BN3197" s="18"/>
      <c r="BO3197" s="18"/>
      <c r="BP3197" s="18"/>
      <c r="BQ3197" s="18"/>
      <c r="BR3197" s="18"/>
      <c r="BS3197" s="18"/>
      <c r="BT3197" s="18"/>
      <c r="BU3197" s="18"/>
      <c r="BV3197" s="18"/>
    </row>
    <row r="3198" spans="1:74">
      <c r="A3198" s="18"/>
      <c r="B3198" s="19"/>
      <c r="BG3198" s="18"/>
      <c r="BH3198" s="18"/>
      <c r="BI3198" s="18"/>
      <c r="BJ3198" s="18"/>
      <c r="BK3198" s="18"/>
      <c r="BL3198" s="18"/>
      <c r="BM3198" s="18"/>
      <c r="BN3198" s="18"/>
      <c r="BO3198" s="18"/>
      <c r="BP3198" s="18"/>
      <c r="BQ3198" s="18"/>
      <c r="BR3198" s="18"/>
      <c r="BS3198" s="18"/>
      <c r="BT3198" s="18"/>
      <c r="BU3198" s="18"/>
      <c r="BV3198" s="18"/>
    </row>
    <row r="3199" spans="1:74">
      <c r="A3199" s="18"/>
      <c r="B3199" s="19"/>
      <c r="BG3199" s="18"/>
      <c r="BH3199" s="18"/>
      <c r="BI3199" s="18"/>
      <c r="BJ3199" s="18"/>
      <c r="BK3199" s="18"/>
      <c r="BL3199" s="18"/>
      <c r="BM3199" s="18"/>
      <c r="BN3199" s="18"/>
      <c r="BO3199" s="18"/>
      <c r="BP3199" s="18"/>
      <c r="BQ3199" s="18"/>
      <c r="BR3199" s="18"/>
      <c r="BS3199" s="18"/>
      <c r="BT3199" s="18"/>
      <c r="BU3199" s="18"/>
      <c r="BV3199" s="18"/>
    </row>
    <row r="3200" spans="1:74">
      <c r="A3200" s="18"/>
      <c r="B3200" s="19"/>
      <c r="BG3200" s="18"/>
      <c r="BH3200" s="18"/>
      <c r="BI3200" s="18"/>
      <c r="BJ3200" s="18"/>
      <c r="BK3200" s="18"/>
      <c r="BL3200" s="18"/>
      <c r="BM3200" s="18"/>
      <c r="BN3200" s="18"/>
      <c r="BO3200" s="18"/>
      <c r="BP3200" s="18"/>
      <c r="BQ3200" s="18"/>
      <c r="BR3200" s="18"/>
      <c r="BS3200" s="18"/>
      <c r="BT3200" s="18"/>
      <c r="BU3200" s="18"/>
      <c r="BV3200" s="18"/>
    </row>
    <row r="3201" spans="1:74">
      <c r="A3201" s="18"/>
      <c r="B3201" s="19"/>
      <c r="BG3201" s="18"/>
      <c r="BH3201" s="18"/>
      <c r="BI3201" s="18"/>
      <c r="BJ3201" s="18"/>
      <c r="BK3201" s="18"/>
      <c r="BL3201" s="18"/>
      <c r="BM3201" s="18"/>
      <c r="BN3201" s="18"/>
      <c r="BO3201" s="18"/>
      <c r="BP3201" s="18"/>
      <c r="BQ3201" s="18"/>
      <c r="BR3201" s="18"/>
      <c r="BS3201" s="18"/>
      <c r="BT3201" s="18"/>
      <c r="BU3201" s="18"/>
      <c r="BV3201" s="18"/>
    </row>
    <row r="3202" spans="1:74">
      <c r="A3202" s="18"/>
      <c r="B3202" s="19"/>
      <c r="BG3202" s="18"/>
      <c r="BH3202" s="18"/>
      <c r="BI3202" s="18"/>
      <c r="BJ3202" s="18"/>
      <c r="BK3202" s="18"/>
      <c r="BL3202" s="18"/>
      <c r="BM3202" s="18"/>
      <c r="BN3202" s="18"/>
      <c r="BO3202" s="18"/>
      <c r="BP3202" s="18"/>
      <c r="BQ3202" s="18"/>
      <c r="BR3202" s="18"/>
      <c r="BS3202" s="18"/>
      <c r="BT3202" s="18"/>
      <c r="BU3202" s="18"/>
      <c r="BV3202" s="18"/>
    </row>
    <row r="3203" spans="1:74">
      <c r="A3203" s="18"/>
      <c r="B3203" s="19"/>
      <c r="BG3203" s="18"/>
      <c r="BH3203" s="18"/>
      <c r="BI3203" s="18"/>
      <c r="BJ3203" s="18"/>
      <c r="BK3203" s="18"/>
      <c r="BL3203" s="18"/>
      <c r="BM3203" s="18"/>
      <c r="BN3203" s="18"/>
      <c r="BO3203" s="18"/>
      <c r="BP3203" s="18"/>
      <c r="BQ3203" s="18"/>
      <c r="BR3203" s="18"/>
      <c r="BS3203" s="18"/>
      <c r="BT3203" s="18"/>
      <c r="BU3203" s="18"/>
      <c r="BV3203" s="18"/>
    </row>
    <row r="3204" spans="1:74">
      <c r="A3204" s="18"/>
      <c r="B3204" s="19"/>
      <c r="BG3204" s="18"/>
      <c r="BH3204" s="18"/>
      <c r="BI3204" s="18"/>
      <c r="BJ3204" s="18"/>
      <c r="BK3204" s="18"/>
      <c r="BL3204" s="18"/>
      <c r="BM3204" s="18"/>
      <c r="BN3204" s="18"/>
      <c r="BO3204" s="18"/>
      <c r="BP3204" s="18"/>
      <c r="BQ3204" s="18"/>
      <c r="BR3204" s="18"/>
      <c r="BS3204" s="18"/>
      <c r="BT3204" s="18"/>
      <c r="BU3204" s="18"/>
      <c r="BV3204" s="18"/>
    </row>
    <row r="3205" spans="1:74">
      <c r="A3205" s="18"/>
      <c r="B3205" s="19"/>
      <c r="BG3205" s="18"/>
      <c r="BH3205" s="18"/>
      <c r="BI3205" s="18"/>
      <c r="BJ3205" s="18"/>
      <c r="BK3205" s="18"/>
      <c r="BL3205" s="18"/>
      <c r="BM3205" s="18"/>
      <c r="BN3205" s="18"/>
      <c r="BO3205" s="18"/>
      <c r="BP3205" s="18"/>
      <c r="BQ3205" s="18"/>
      <c r="BR3205" s="18"/>
      <c r="BS3205" s="18"/>
      <c r="BT3205" s="18"/>
      <c r="BU3205" s="18"/>
      <c r="BV3205" s="18"/>
    </row>
    <row r="3206" spans="1:74">
      <c r="A3206" s="18"/>
      <c r="B3206" s="19"/>
      <c r="BG3206" s="18"/>
      <c r="BH3206" s="18"/>
      <c r="BI3206" s="18"/>
      <c r="BJ3206" s="18"/>
      <c r="BK3206" s="18"/>
      <c r="BL3206" s="18"/>
      <c r="BM3206" s="18"/>
      <c r="BN3206" s="18"/>
      <c r="BO3206" s="18"/>
      <c r="BP3206" s="18"/>
      <c r="BQ3206" s="18"/>
      <c r="BR3206" s="18"/>
      <c r="BS3206" s="18"/>
      <c r="BT3206" s="18"/>
      <c r="BU3206" s="18"/>
      <c r="BV3206" s="18"/>
    </row>
    <row r="3207" spans="1:74">
      <c r="A3207" s="18"/>
      <c r="B3207" s="19"/>
      <c r="BG3207" s="18"/>
      <c r="BH3207" s="18"/>
      <c r="BI3207" s="18"/>
      <c r="BJ3207" s="18"/>
      <c r="BK3207" s="18"/>
      <c r="BL3207" s="18"/>
      <c r="BM3207" s="18"/>
      <c r="BN3207" s="18"/>
      <c r="BO3207" s="18"/>
      <c r="BP3207" s="18"/>
      <c r="BQ3207" s="18"/>
      <c r="BR3207" s="18"/>
      <c r="BS3207" s="18"/>
      <c r="BT3207" s="18"/>
      <c r="BU3207" s="18"/>
      <c r="BV3207" s="18"/>
    </row>
    <row r="3208" spans="1:74">
      <c r="A3208" s="18"/>
      <c r="B3208" s="19"/>
      <c r="BG3208" s="18"/>
      <c r="BH3208" s="18"/>
      <c r="BI3208" s="18"/>
      <c r="BJ3208" s="18"/>
      <c r="BK3208" s="18"/>
      <c r="BL3208" s="18"/>
      <c r="BM3208" s="18"/>
      <c r="BN3208" s="18"/>
      <c r="BO3208" s="18"/>
      <c r="BP3208" s="18"/>
      <c r="BQ3208" s="18"/>
      <c r="BR3208" s="18"/>
      <c r="BS3208" s="18"/>
      <c r="BT3208" s="18"/>
      <c r="BU3208" s="18"/>
      <c r="BV3208" s="18"/>
    </row>
    <row r="3209" spans="1:74">
      <c r="A3209" s="18"/>
      <c r="B3209" s="19"/>
      <c r="BG3209" s="18"/>
      <c r="BH3209" s="18"/>
      <c r="BI3209" s="18"/>
      <c r="BJ3209" s="18"/>
      <c r="BK3209" s="18"/>
      <c r="BL3209" s="18"/>
      <c r="BM3209" s="18"/>
      <c r="BN3209" s="18"/>
      <c r="BO3209" s="18"/>
      <c r="BP3209" s="18"/>
      <c r="BQ3209" s="18"/>
      <c r="BR3209" s="18"/>
      <c r="BS3209" s="18"/>
      <c r="BT3209" s="18"/>
      <c r="BU3209" s="18"/>
      <c r="BV3209" s="18"/>
    </row>
    <row r="3210" spans="1:74">
      <c r="A3210" s="18"/>
      <c r="B3210" s="19"/>
      <c r="BG3210" s="18"/>
      <c r="BH3210" s="18"/>
      <c r="BI3210" s="18"/>
      <c r="BJ3210" s="18"/>
      <c r="BK3210" s="18"/>
      <c r="BL3210" s="18"/>
      <c r="BM3210" s="18"/>
      <c r="BN3210" s="18"/>
      <c r="BO3210" s="18"/>
      <c r="BP3210" s="18"/>
      <c r="BQ3210" s="18"/>
      <c r="BR3210" s="18"/>
      <c r="BS3210" s="18"/>
      <c r="BT3210" s="18"/>
      <c r="BU3210" s="18"/>
      <c r="BV3210" s="18"/>
    </row>
    <row r="3211" spans="1:74">
      <c r="A3211" s="18"/>
      <c r="B3211" s="19"/>
      <c r="BG3211" s="18"/>
      <c r="BH3211" s="18"/>
      <c r="BI3211" s="18"/>
      <c r="BJ3211" s="18"/>
      <c r="BK3211" s="18"/>
      <c r="BL3211" s="18"/>
      <c r="BM3211" s="18"/>
      <c r="BN3211" s="18"/>
      <c r="BO3211" s="18"/>
      <c r="BP3211" s="18"/>
      <c r="BQ3211" s="18"/>
      <c r="BR3211" s="18"/>
      <c r="BS3211" s="18"/>
      <c r="BT3211" s="18"/>
      <c r="BU3211" s="18"/>
      <c r="BV3211" s="18"/>
    </row>
    <row r="3212" spans="1:74">
      <c r="A3212" s="18"/>
      <c r="B3212" s="19"/>
      <c r="BG3212" s="18"/>
      <c r="BH3212" s="18"/>
      <c r="BI3212" s="18"/>
      <c r="BJ3212" s="18"/>
      <c r="BK3212" s="18"/>
      <c r="BL3212" s="18"/>
      <c r="BM3212" s="18"/>
      <c r="BN3212" s="18"/>
      <c r="BO3212" s="18"/>
      <c r="BP3212" s="18"/>
      <c r="BQ3212" s="18"/>
      <c r="BR3212" s="18"/>
      <c r="BS3212" s="18"/>
      <c r="BT3212" s="18"/>
      <c r="BU3212" s="18"/>
      <c r="BV3212" s="18"/>
    </row>
    <row r="3213" spans="1:74">
      <c r="A3213" s="18"/>
      <c r="B3213" s="19"/>
      <c r="BG3213" s="18"/>
      <c r="BH3213" s="18"/>
      <c r="BI3213" s="18"/>
      <c r="BJ3213" s="18"/>
      <c r="BK3213" s="18"/>
      <c r="BL3213" s="18"/>
      <c r="BM3213" s="18"/>
      <c r="BN3213" s="18"/>
      <c r="BO3213" s="18"/>
      <c r="BP3213" s="18"/>
      <c r="BQ3213" s="18"/>
      <c r="BR3213" s="18"/>
      <c r="BS3213" s="18"/>
      <c r="BT3213" s="18"/>
      <c r="BU3213" s="18"/>
      <c r="BV3213" s="18"/>
    </row>
    <row r="3214" spans="1:74">
      <c r="A3214" s="18"/>
      <c r="B3214" s="19"/>
      <c r="BG3214" s="18"/>
      <c r="BH3214" s="18"/>
      <c r="BI3214" s="18"/>
      <c r="BJ3214" s="18"/>
      <c r="BK3214" s="18"/>
      <c r="BL3214" s="18"/>
      <c r="BM3214" s="18"/>
      <c r="BN3214" s="18"/>
      <c r="BO3214" s="18"/>
      <c r="BP3214" s="18"/>
      <c r="BQ3214" s="18"/>
      <c r="BR3214" s="18"/>
      <c r="BS3214" s="18"/>
      <c r="BT3214" s="18"/>
      <c r="BU3214" s="18"/>
      <c r="BV3214" s="18"/>
    </row>
    <row r="3215" spans="1:74">
      <c r="A3215" s="18"/>
      <c r="B3215" s="19"/>
      <c r="BG3215" s="18"/>
      <c r="BH3215" s="18"/>
      <c r="BI3215" s="18"/>
      <c r="BJ3215" s="18"/>
      <c r="BK3215" s="18"/>
      <c r="BL3215" s="18"/>
      <c r="BM3215" s="18"/>
      <c r="BN3215" s="18"/>
      <c r="BO3215" s="18"/>
      <c r="BP3215" s="18"/>
      <c r="BQ3215" s="18"/>
      <c r="BR3215" s="18"/>
      <c r="BS3215" s="18"/>
      <c r="BT3215" s="18"/>
      <c r="BU3215" s="18"/>
      <c r="BV3215" s="18"/>
    </row>
    <row r="3216" spans="1:74">
      <c r="A3216" s="18"/>
      <c r="B3216" s="19"/>
      <c r="BG3216" s="18"/>
      <c r="BH3216" s="18"/>
      <c r="BI3216" s="18"/>
      <c r="BJ3216" s="18"/>
      <c r="BK3216" s="18"/>
      <c r="BL3216" s="18"/>
      <c r="BM3216" s="18"/>
      <c r="BN3216" s="18"/>
      <c r="BO3216" s="18"/>
      <c r="BP3216" s="18"/>
      <c r="BQ3216" s="18"/>
      <c r="BR3216" s="18"/>
      <c r="BS3216" s="18"/>
      <c r="BT3216" s="18"/>
      <c r="BU3216" s="18"/>
      <c r="BV3216" s="18"/>
    </row>
    <row r="3217" spans="1:74">
      <c r="A3217" s="18"/>
      <c r="B3217" s="19"/>
      <c r="BG3217" s="18"/>
      <c r="BH3217" s="18"/>
      <c r="BI3217" s="18"/>
      <c r="BJ3217" s="18"/>
      <c r="BK3217" s="18"/>
      <c r="BL3217" s="18"/>
      <c r="BM3217" s="18"/>
      <c r="BN3217" s="18"/>
      <c r="BO3217" s="18"/>
      <c r="BP3217" s="18"/>
      <c r="BQ3217" s="18"/>
      <c r="BR3217" s="18"/>
      <c r="BS3217" s="18"/>
      <c r="BT3217" s="18"/>
      <c r="BU3217" s="18"/>
      <c r="BV3217" s="18"/>
    </row>
    <row r="3218" spans="1:74">
      <c r="A3218" s="18"/>
      <c r="B3218" s="19"/>
      <c r="BG3218" s="18"/>
      <c r="BH3218" s="18"/>
      <c r="BI3218" s="18"/>
      <c r="BJ3218" s="18"/>
      <c r="BK3218" s="18"/>
      <c r="BL3218" s="18"/>
      <c r="BM3218" s="18"/>
      <c r="BN3218" s="18"/>
      <c r="BO3218" s="18"/>
      <c r="BP3218" s="18"/>
      <c r="BQ3218" s="18"/>
      <c r="BR3218" s="18"/>
      <c r="BS3218" s="18"/>
      <c r="BT3218" s="18"/>
      <c r="BU3218" s="18"/>
      <c r="BV3218" s="18"/>
    </row>
    <row r="3219" spans="1:74">
      <c r="A3219" s="18"/>
      <c r="B3219" s="19"/>
      <c r="BG3219" s="18"/>
      <c r="BH3219" s="18"/>
      <c r="BI3219" s="18"/>
      <c r="BJ3219" s="18"/>
      <c r="BK3219" s="18"/>
      <c r="BL3219" s="18"/>
      <c r="BM3219" s="18"/>
      <c r="BN3219" s="18"/>
      <c r="BO3219" s="18"/>
      <c r="BP3219" s="18"/>
      <c r="BQ3219" s="18"/>
      <c r="BR3219" s="18"/>
      <c r="BS3219" s="18"/>
      <c r="BT3219" s="18"/>
      <c r="BU3219" s="18"/>
      <c r="BV3219" s="18"/>
    </row>
    <row r="3220" spans="1:74">
      <c r="A3220" s="18"/>
      <c r="B3220" s="19"/>
      <c r="BG3220" s="18"/>
      <c r="BH3220" s="18"/>
      <c r="BI3220" s="18"/>
      <c r="BJ3220" s="18"/>
      <c r="BK3220" s="18"/>
      <c r="BL3220" s="18"/>
      <c r="BM3220" s="18"/>
      <c r="BN3220" s="18"/>
      <c r="BO3220" s="18"/>
      <c r="BP3220" s="18"/>
      <c r="BQ3220" s="18"/>
      <c r="BR3220" s="18"/>
      <c r="BS3220" s="18"/>
      <c r="BT3220" s="18"/>
      <c r="BU3220" s="18"/>
      <c r="BV3220" s="18"/>
    </row>
    <row r="3221" spans="1:74">
      <c r="A3221" s="18"/>
      <c r="B3221" s="19"/>
      <c r="BG3221" s="18"/>
      <c r="BH3221" s="18"/>
      <c r="BI3221" s="18"/>
      <c r="BJ3221" s="18"/>
      <c r="BK3221" s="18"/>
      <c r="BL3221" s="18"/>
      <c r="BM3221" s="18"/>
      <c r="BN3221" s="18"/>
      <c r="BO3221" s="18"/>
      <c r="BP3221" s="18"/>
      <c r="BQ3221" s="18"/>
      <c r="BR3221" s="18"/>
      <c r="BS3221" s="18"/>
      <c r="BT3221" s="18"/>
      <c r="BU3221" s="18"/>
      <c r="BV3221" s="18"/>
    </row>
    <row r="3222" spans="1:74">
      <c r="A3222" s="18"/>
      <c r="B3222" s="19"/>
      <c r="BG3222" s="18"/>
      <c r="BH3222" s="18"/>
      <c r="BI3222" s="18"/>
      <c r="BJ3222" s="18"/>
      <c r="BK3222" s="18"/>
      <c r="BL3222" s="18"/>
      <c r="BM3222" s="18"/>
      <c r="BN3222" s="18"/>
      <c r="BO3222" s="18"/>
      <c r="BP3222" s="18"/>
      <c r="BQ3222" s="18"/>
      <c r="BR3222" s="18"/>
      <c r="BS3222" s="18"/>
      <c r="BT3222" s="18"/>
      <c r="BU3222" s="18"/>
      <c r="BV3222" s="18"/>
    </row>
    <row r="3223" spans="1:74">
      <c r="A3223" s="18"/>
      <c r="B3223" s="19"/>
      <c r="BG3223" s="18"/>
      <c r="BH3223" s="18"/>
      <c r="BI3223" s="18"/>
      <c r="BJ3223" s="18"/>
      <c r="BK3223" s="18"/>
      <c r="BL3223" s="18"/>
      <c r="BM3223" s="18"/>
      <c r="BN3223" s="18"/>
      <c r="BO3223" s="18"/>
      <c r="BP3223" s="18"/>
      <c r="BQ3223" s="18"/>
      <c r="BR3223" s="18"/>
      <c r="BS3223" s="18"/>
      <c r="BT3223" s="18"/>
      <c r="BU3223" s="18"/>
      <c r="BV3223" s="18"/>
    </row>
    <row r="3224" spans="1:74">
      <c r="A3224" s="18"/>
      <c r="B3224" s="19"/>
      <c r="BG3224" s="18"/>
      <c r="BH3224" s="18"/>
      <c r="BI3224" s="18"/>
      <c r="BJ3224" s="18"/>
      <c r="BK3224" s="18"/>
      <c r="BL3224" s="18"/>
      <c r="BM3224" s="18"/>
      <c r="BN3224" s="18"/>
      <c r="BO3224" s="18"/>
      <c r="BP3224" s="18"/>
      <c r="BQ3224" s="18"/>
      <c r="BR3224" s="18"/>
      <c r="BS3224" s="18"/>
      <c r="BT3224" s="18"/>
      <c r="BU3224" s="18"/>
      <c r="BV3224" s="18"/>
    </row>
    <row r="3225" spans="1:74">
      <c r="A3225" s="18"/>
      <c r="B3225" s="19"/>
      <c r="BG3225" s="18"/>
      <c r="BH3225" s="18"/>
      <c r="BI3225" s="18"/>
      <c r="BJ3225" s="18"/>
      <c r="BK3225" s="18"/>
      <c r="BL3225" s="18"/>
      <c r="BM3225" s="18"/>
      <c r="BN3225" s="18"/>
      <c r="BO3225" s="18"/>
      <c r="BP3225" s="18"/>
      <c r="BQ3225" s="18"/>
      <c r="BR3225" s="18"/>
      <c r="BS3225" s="18"/>
      <c r="BT3225" s="18"/>
      <c r="BU3225" s="18"/>
      <c r="BV3225" s="18"/>
    </row>
    <row r="3226" spans="1:74">
      <c r="A3226" s="18"/>
      <c r="B3226" s="19"/>
      <c r="BG3226" s="18"/>
      <c r="BH3226" s="18"/>
      <c r="BI3226" s="18"/>
      <c r="BJ3226" s="18"/>
      <c r="BK3226" s="18"/>
      <c r="BL3226" s="18"/>
      <c r="BM3226" s="18"/>
      <c r="BN3226" s="18"/>
      <c r="BO3226" s="18"/>
      <c r="BP3226" s="18"/>
      <c r="BQ3226" s="18"/>
      <c r="BR3226" s="18"/>
      <c r="BS3226" s="18"/>
      <c r="BT3226" s="18"/>
      <c r="BU3226" s="18"/>
      <c r="BV3226" s="18"/>
    </row>
    <row r="3227" spans="1:74">
      <c r="A3227" s="18"/>
      <c r="B3227" s="19"/>
      <c r="BG3227" s="18"/>
      <c r="BH3227" s="18"/>
      <c r="BI3227" s="18"/>
      <c r="BJ3227" s="18"/>
      <c r="BK3227" s="18"/>
      <c r="BL3227" s="18"/>
      <c r="BM3227" s="18"/>
      <c r="BN3227" s="18"/>
      <c r="BO3227" s="18"/>
      <c r="BP3227" s="18"/>
      <c r="BQ3227" s="18"/>
      <c r="BR3227" s="18"/>
      <c r="BS3227" s="18"/>
      <c r="BT3227" s="18"/>
      <c r="BU3227" s="18"/>
      <c r="BV3227" s="18"/>
    </row>
    <row r="3228" spans="1:74">
      <c r="A3228" s="18"/>
      <c r="B3228" s="19"/>
      <c r="BG3228" s="18"/>
      <c r="BH3228" s="18"/>
      <c r="BI3228" s="18"/>
      <c r="BJ3228" s="18"/>
      <c r="BK3228" s="18"/>
      <c r="BL3228" s="18"/>
      <c r="BM3228" s="18"/>
      <c r="BN3228" s="18"/>
      <c r="BO3228" s="18"/>
      <c r="BP3228" s="18"/>
      <c r="BQ3228" s="18"/>
      <c r="BR3228" s="18"/>
      <c r="BS3228" s="18"/>
      <c r="BT3228" s="18"/>
      <c r="BU3228" s="18"/>
      <c r="BV3228" s="18"/>
    </row>
    <row r="3229" spans="1:74">
      <c r="A3229" s="18"/>
      <c r="B3229" s="19"/>
      <c r="BG3229" s="18"/>
      <c r="BH3229" s="18"/>
      <c r="BI3229" s="18"/>
      <c r="BJ3229" s="18"/>
      <c r="BK3229" s="18"/>
      <c r="BL3229" s="18"/>
      <c r="BM3229" s="18"/>
      <c r="BN3229" s="18"/>
      <c r="BO3229" s="18"/>
      <c r="BP3229" s="18"/>
      <c r="BQ3229" s="18"/>
      <c r="BR3229" s="18"/>
      <c r="BS3229" s="18"/>
      <c r="BT3229" s="18"/>
      <c r="BU3229" s="18"/>
      <c r="BV3229" s="18"/>
    </row>
    <row r="3230" spans="1:74">
      <c r="A3230" s="18"/>
      <c r="B3230" s="19"/>
      <c r="BG3230" s="18"/>
      <c r="BH3230" s="18"/>
      <c r="BI3230" s="18"/>
      <c r="BJ3230" s="18"/>
      <c r="BK3230" s="18"/>
      <c r="BL3230" s="18"/>
      <c r="BM3230" s="18"/>
      <c r="BN3230" s="18"/>
      <c r="BO3230" s="18"/>
      <c r="BP3230" s="18"/>
      <c r="BQ3230" s="18"/>
      <c r="BR3230" s="18"/>
      <c r="BS3230" s="18"/>
      <c r="BT3230" s="18"/>
      <c r="BU3230" s="18"/>
      <c r="BV3230" s="18"/>
    </row>
    <row r="3231" spans="1:74">
      <c r="A3231" s="18"/>
      <c r="B3231" s="19"/>
      <c r="BG3231" s="18"/>
      <c r="BH3231" s="18"/>
      <c r="BI3231" s="18"/>
      <c r="BJ3231" s="18"/>
      <c r="BK3231" s="18"/>
      <c r="BL3231" s="18"/>
      <c r="BM3231" s="18"/>
      <c r="BN3231" s="18"/>
      <c r="BO3231" s="18"/>
      <c r="BP3231" s="18"/>
      <c r="BQ3231" s="18"/>
      <c r="BR3231" s="18"/>
      <c r="BS3231" s="18"/>
      <c r="BT3231" s="18"/>
      <c r="BU3231" s="18"/>
      <c r="BV3231" s="18"/>
    </row>
    <row r="3232" spans="1:74">
      <c r="A3232" s="18"/>
      <c r="B3232" s="19"/>
      <c r="BG3232" s="18"/>
      <c r="BH3232" s="18"/>
      <c r="BI3232" s="18"/>
      <c r="BJ3232" s="18"/>
      <c r="BK3232" s="18"/>
      <c r="BL3232" s="18"/>
      <c r="BM3232" s="18"/>
      <c r="BN3232" s="18"/>
      <c r="BO3232" s="18"/>
      <c r="BP3232" s="18"/>
      <c r="BQ3232" s="18"/>
      <c r="BR3232" s="18"/>
      <c r="BS3232" s="18"/>
      <c r="BT3232" s="18"/>
      <c r="BU3232" s="18"/>
      <c r="BV3232" s="18"/>
    </row>
    <row r="3233" spans="1:74">
      <c r="A3233" s="18"/>
      <c r="B3233" s="19"/>
      <c r="BG3233" s="18"/>
      <c r="BH3233" s="18"/>
      <c r="BI3233" s="18"/>
      <c r="BJ3233" s="18"/>
      <c r="BK3233" s="18"/>
      <c r="BL3233" s="18"/>
      <c r="BM3233" s="18"/>
      <c r="BN3233" s="18"/>
      <c r="BO3233" s="18"/>
      <c r="BP3233" s="18"/>
      <c r="BQ3233" s="18"/>
      <c r="BR3233" s="18"/>
      <c r="BS3233" s="18"/>
      <c r="BT3233" s="18"/>
      <c r="BU3233" s="18"/>
      <c r="BV3233" s="18"/>
    </row>
    <row r="3234" spans="1:74">
      <c r="A3234" s="18"/>
      <c r="B3234" s="19"/>
      <c r="BG3234" s="18"/>
      <c r="BH3234" s="18"/>
      <c r="BI3234" s="18"/>
      <c r="BJ3234" s="18"/>
      <c r="BK3234" s="18"/>
      <c r="BL3234" s="18"/>
      <c r="BM3234" s="18"/>
      <c r="BN3234" s="18"/>
      <c r="BO3234" s="18"/>
      <c r="BP3234" s="18"/>
      <c r="BQ3234" s="18"/>
      <c r="BR3234" s="18"/>
      <c r="BS3234" s="18"/>
      <c r="BT3234" s="18"/>
      <c r="BU3234" s="18"/>
      <c r="BV3234" s="18"/>
    </row>
    <row r="3235" spans="1:74">
      <c r="A3235" s="18"/>
      <c r="B3235" s="19"/>
      <c r="BG3235" s="18"/>
      <c r="BH3235" s="18"/>
      <c r="BI3235" s="18"/>
      <c r="BJ3235" s="18"/>
      <c r="BK3235" s="18"/>
      <c r="BL3235" s="18"/>
      <c r="BM3235" s="18"/>
      <c r="BN3235" s="18"/>
      <c r="BO3235" s="18"/>
      <c r="BP3235" s="18"/>
      <c r="BQ3235" s="18"/>
      <c r="BR3235" s="18"/>
      <c r="BS3235" s="18"/>
      <c r="BT3235" s="18"/>
      <c r="BU3235" s="18"/>
      <c r="BV3235" s="18"/>
    </row>
    <row r="3236" spans="1:74">
      <c r="A3236" s="18"/>
      <c r="B3236" s="19"/>
      <c r="BG3236" s="18"/>
      <c r="BH3236" s="18"/>
      <c r="BI3236" s="18"/>
      <c r="BJ3236" s="18"/>
      <c r="BK3236" s="18"/>
      <c r="BL3236" s="18"/>
      <c r="BM3236" s="18"/>
      <c r="BN3236" s="18"/>
      <c r="BO3236" s="18"/>
      <c r="BP3236" s="18"/>
      <c r="BQ3236" s="18"/>
      <c r="BR3236" s="18"/>
      <c r="BS3236" s="18"/>
      <c r="BT3236" s="18"/>
      <c r="BU3236" s="18"/>
      <c r="BV3236" s="18"/>
    </row>
    <row r="3237" spans="1:74">
      <c r="A3237" s="18"/>
      <c r="B3237" s="19"/>
      <c r="BG3237" s="18"/>
      <c r="BH3237" s="18"/>
      <c r="BI3237" s="18"/>
      <c r="BJ3237" s="18"/>
      <c r="BK3237" s="18"/>
      <c r="BL3237" s="18"/>
      <c r="BM3237" s="18"/>
      <c r="BN3237" s="18"/>
      <c r="BO3237" s="18"/>
      <c r="BP3237" s="18"/>
      <c r="BQ3237" s="18"/>
      <c r="BR3237" s="18"/>
      <c r="BS3237" s="18"/>
      <c r="BT3237" s="18"/>
      <c r="BU3237" s="18"/>
      <c r="BV3237" s="18"/>
    </row>
    <row r="3238" spans="1:74">
      <c r="A3238" s="18"/>
      <c r="B3238" s="19"/>
      <c r="BG3238" s="18"/>
      <c r="BH3238" s="18"/>
      <c r="BI3238" s="18"/>
      <c r="BJ3238" s="18"/>
      <c r="BK3238" s="18"/>
      <c r="BL3238" s="18"/>
      <c r="BM3238" s="18"/>
      <c r="BN3238" s="18"/>
      <c r="BO3238" s="18"/>
      <c r="BP3238" s="18"/>
      <c r="BQ3238" s="18"/>
      <c r="BR3238" s="18"/>
      <c r="BS3238" s="18"/>
      <c r="BT3238" s="18"/>
      <c r="BU3238" s="18"/>
      <c r="BV3238" s="18"/>
    </row>
    <row r="3239" spans="1:74">
      <c r="A3239" s="18"/>
      <c r="B3239" s="19"/>
      <c r="BG3239" s="18"/>
      <c r="BH3239" s="18"/>
      <c r="BI3239" s="18"/>
      <c r="BJ3239" s="18"/>
      <c r="BK3239" s="18"/>
      <c r="BL3239" s="18"/>
      <c r="BM3239" s="18"/>
      <c r="BN3239" s="18"/>
      <c r="BO3239" s="18"/>
      <c r="BP3239" s="18"/>
      <c r="BQ3239" s="18"/>
      <c r="BR3239" s="18"/>
      <c r="BS3239" s="18"/>
      <c r="BT3239" s="18"/>
      <c r="BU3239" s="18"/>
      <c r="BV3239" s="18"/>
    </row>
    <row r="3240" spans="1:74">
      <c r="A3240" s="18"/>
      <c r="B3240" s="19"/>
      <c r="BG3240" s="18"/>
      <c r="BH3240" s="18"/>
      <c r="BI3240" s="18"/>
      <c r="BJ3240" s="18"/>
      <c r="BK3240" s="18"/>
      <c r="BL3240" s="18"/>
      <c r="BM3240" s="18"/>
      <c r="BN3240" s="18"/>
      <c r="BO3240" s="18"/>
      <c r="BP3240" s="18"/>
      <c r="BQ3240" s="18"/>
      <c r="BR3240" s="18"/>
      <c r="BS3240" s="18"/>
      <c r="BT3240" s="18"/>
      <c r="BU3240" s="18"/>
      <c r="BV3240" s="18"/>
    </row>
    <row r="3241" spans="1:74">
      <c r="A3241" s="18"/>
      <c r="B3241" s="19"/>
      <c r="BG3241" s="18"/>
      <c r="BH3241" s="18"/>
      <c r="BI3241" s="18"/>
      <c r="BJ3241" s="18"/>
      <c r="BK3241" s="18"/>
      <c r="BL3241" s="18"/>
      <c r="BM3241" s="18"/>
      <c r="BN3241" s="18"/>
      <c r="BO3241" s="18"/>
      <c r="BP3241" s="18"/>
      <c r="BQ3241" s="18"/>
      <c r="BR3241" s="18"/>
      <c r="BS3241" s="18"/>
      <c r="BT3241" s="18"/>
      <c r="BU3241" s="18"/>
      <c r="BV3241" s="18"/>
    </row>
    <row r="3242" spans="1:74">
      <c r="A3242" s="18"/>
      <c r="B3242" s="19"/>
      <c r="BG3242" s="18"/>
      <c r="BH3242" s="18"/>
      <c r="BI3242" s="18"/>
      <c r="BJ3242" s="18"/>
      <c r="BK3242" s="18"/>
      <c r="BL3242" s="18"/>
      <c r="BM3242" s="18"/>
      <c r="BN3242" s="18"/>
      <c r="BO3242" s="18"/>
      <c r="BP3242" s="18"/>
      <c r="BQ3242" s="18"/>
      <c r="BR3242" s="18"/>
      <c r="BS3242" s="18"/>
      <c r="BT3242" s="18"/>
      <c r="BU3242" s="18"/>
      <c r="BV3242" s="18"/>
    </row>
    <row r="3243" spans="1:74">
      <c r="A3243" s="18"/>
      <c r="B3243" s="19"/>
      <c r="BG3243" s="18"/>
      <c r="BH3243" s="18"/>
      <c r="BI3243" s="18"/>
      <c r="BJ3243" s="18"/>
      <c r="BK3243" s="18"/>
      <c r="BL3243" s="18"/>
      <c r="BM3243" s="18"/>
      <c r="BN3243" s="18"/>
      <c r="BO3243" s="18"/>
      <c r="BP3243" s="18"/>
      <c r="BQ3243" s="18"/>
      <c r="BR3243" s="18"/>
      <c r="BS3243" s="18"/>
      <c r="BT3243" s="18"/>
      <c r="BU3243" s="18"/>
      <c r="BV3243" s="18"/>
    </row>
    <row r="3244" spans="1:74">
      <c r="A3244" s="18"/>
      <c r="B3244" s="19"/>
      <c r="BG3244" s="18"/>
      <c r="BH3244" s="18"/>
      <c r="BI3244" s="18"/>
      <c r="BJ3244" s="18"/>
      <c r="BK3244" s="18"/>
      <c r="BL3244" s="18"/>
      <c r="BM3244" s="18"/>
      <c r="BN3244" s="18"/>
      <c r="BO3244" s="18"/>
      <c r="BP3244" s="18"/>
      <c r="BQ3244" s="18"/>
      <c r="BR3244" s="18"/>
      <c r="BS3244" s="18"/>
      <c r="BT3244" s="18"/>
      <c r="BU3244" s="18"/>
      <c r="BV3244" s="18"/>
    </row>
    <row r="3245" spans="1:74">
      <c r="A3245" s="18"/>
      <c r="B3245" s="19"/>
      <c r="BG3245" s="18"/>
      <c r="BH3245" s="18"/>
      <c r="BI3245" s="18"/>
      <c r="BJ3245" s="18"/>
      <c r="BK3245" s="18"/>
      <c r="BL3245" s="18"/>
      <c r="BM3245" s="18"/>
      <c r="BN3245" s="18"/>
      <c r="BO3245" s="18"/>
      <c r="BP3245" s="18"/>
      <c r="BQ3245" s="18"/>
      <c r="BR3245" s="18"/>
      <c r="BS3245" s="18"/>
      <c r="BT3245" s="18"/>
      <c r="BU3245" s="18"/>
      <c r="BV3245" s="18"/>
    </row>
    <row r="3246" spans="1:74">
      <c r="A3246" s="18"/>
      <c r="B3246" s="19"/>
      <c r="BG3246" s="18"/>
      <c r="BH3246" s="18"/>
      <c r="BI3246" s="18"/>
      <c r="BJ3246" s="18"/>
      <c r="BK3246" s="18"/>
      <c r="BL3246" s="18"/>
      <c r="BM3246" s="18"/>
      <c r="BN3246" s="18"/>
      <c r="BO3246" s="18"/>
      <c r="BP3246" s="18"/>
      <c r="BQ3246" s="18"/>
      <c r="BR3246" s="18"/>
      <c r="BS3246" s="18"/>
      <c r="BT3246" s="18"/>
      <c r="BU3246" s="18"/>
      <c r="BV3246" s="18"/>
    </row>
    <row r="3247" spans="1:74">
      <c r="A3247" s="18"/>
      <c r="B3247" s="19"/>
      <c r="BG3247" s="18"/>
      <c r="BH3247" s="18"/>
      <c r="BI3247" s="18"/>
      <c r="BJ3247" s="18"/>
      <c r="BK3247" s="18"/>
      <c r="BL3247" s="18"/>
      <c r="BM3247" s="18"/>
      <c r="BN3247" s="18"/>
      <c r="BO3247" s="18"/>
      <c r="BP3247" s="18"/>
      <c r="BQ3247" s="18"/>
      <c r="BR3247" s="18"/>
      <c r="BS3247" s="18"/>
      <c r="BT3247" s="18"/>
      <c r="BU3247" s="18"/>
      <c r="BV3247" s="18"/>
    </row>
    <row r="3248" spans="1:74">
      <c r="A3248" s="18"/>
      <c r="B3248" s="19"/>
      <c r="BG3248" s="18"/>
      <c r="BH3248" s="18"/>
      <c r="BI3248" s="18"/>
      <c r="BJ3248" s="18"/>
      <c r="BK3248" s="18"/>
      <c r="BL3248" s="18"/>
      <c r="BM3248" s="18"/>
      <c r="BN3248" s="18"/>
      <c r="BO3248" s="18"/>
      <c r="BP3248" s="18"/>
      <c r="BQ3248" s="18"/>
      <c r="BR3248" s="18"/>
      <c r="BS3248" s="18"/>
      <c r="BT3248" s="18"/>
      <c r="BU3248" s="18"/>
      <c r="BV3248" s="18"/>
    </row>
    <row r="3249" spans="1:74">
      <c r="A3249" s="18"/>
      <c r="B3249" s="19"/>
      <c r="BG3249" s="18"/>
      <c r="BH3249" s="18"/>
      <c r="BI3249" s="18"/>
      <c r="BJ3249" s="18"/>
      <c r="BK3249" s="18"/>
      <c r="BL3249" s="18"/>
      <c r="BM3249" s="18"/>
      <c r="BN3249" s="18"/>
      <c r="BO3249" s="18"/>
      <c r="BP3249" s="18"/>
      <c r="BQ3249" s="18"/>
      <c r="BR3249" s="18"/>
      <c r="BS3249" s="18"/>
      <c r="BT3249" s="18"/>
      <c r="BU3249" s="18"/>
      <c r="BV3249" s="18"/>
    </row>
    <row r="3250" spans="1:74">
      <c r="A3250" s="18"/>
      <c r="B3250" s="19"/>
      <c r="BG3250" s="18"/>
      <c r="BH3250" s="18"/>
      <c r="BI3250" s="18"/>
      <c r="BJ3250" s="18"/>
      <c r="BK3250" s="18"/>
      <c r="BL3250" s="18"/>
      <c r="BM3250" s="18"/>
      <c r="BN3250" s="18"/>
      <c r="BO3250" s="18"/>
      <c r="BP3250" s="18"/>
      <c r="BQ3250" s="18"/>
      <c r="BR3250" s="18"/>
      <c r="BS3250" s="18"/>
      <c r="BT3250" s="18"/>
      <c r="BU3250" s="18"/>
      <c r="BV3250" s="18"/>
    </row>
    <row r="3251" spans="1:74">
      <c r="A3251" s="18"/>
      <c r="B3251" s="19"/>
      <c r="BG3251" s="18"/>
      <c r="BH3251" s="18"/>
      <c r="BI3251" s="18"/>
      <c r="BJ3251" s="18"/>
      <c r="BK3251" s="18"/>
      <c r="BL3251" s="18"/>
      <c r="BM3251" s="18"/>
      <c r="BN3251" s="18"/>
      <c r="BO3251" s="18"/>
      <c r="BP3251" s="18"/>
      <c r="BQ3251" s="18"/>
      <c r="BR3251" s="18"/>
      <c r="BS3251" s="18"/>
      <c r="BT3251" s="18"/>
      <c r="BU3251" s="18"/>
      <c r="BV3251" s="18"/>
    </row>
    <row r="3252" spans="1:74">
      <c r="A3252" s="18"/>
      <c r="B3252" s="19"/>
      <c r="BG3252" s="18"/>
      <c r="BH3252" s="18"/>
      <c r="BI3252" s="18"/>
      <c r="BJ3252" s="18"/>
      <c r="BK3252" s="18"/>
      <c r="BL3252" s="18"/>
      <c r="BM3252" s="18"/>
      <c r="BN3252" s="18"/>
      <c r="BO3252" s="18"/>
      <c r="BP3252" s="18"/>
      <c r="BQ3252" s="18"/>
      <c r="BR3252" s="18"/>
      <c r="BS3252" s="18"/>
      <c r="BT3252" s="18"/>
      <c r="BU3252" s="18"/>
      <c r="BV3252" s="18"/>
    </row>
    <row r="3253" spans="1:74">
      <c r="A3253" s="18"/>
      <c r="B3253" s="19"/>
      <c r="BG3253" s="18"/>
      <c r="BH3253" s="18"/>
      <c r="BI3253" s="18"/>
      <c r="BJ3253" s="18"/>
      <c r="BK3253" s="18"/>
      <c r="BL3253" s="18"/>
      <c r="BM3253" s="18"/>
      <c r="BN3253" s="18"/>
      <c r="BO3253" s="18"/>
      <c r="BP3253" s="18"/>
      <c r="BQ3253" s="18"/>
      <c r="BR3253" s="18"/>
      <c r="BS3253" s="18"/>
      <c r="BT3253" s="18"/>
      <c r="BU3253" s="18"/>
      <c r="BV3253" s="18"/>
    </row>
    <row r="3254" spans="1:74">
      <c r="A3254" s="18"/>
      <c r="B3254" s="19"/>
      <c r="BG3254" s="18"/>
      <c r="BH3254" s="18"/>
      <c r="BI3254" s="18"/>
      <c r="BJ3254" s="18"/>
      <c r="BK3254" s="18"/>
      <c r="BL3254" s="18"/>
      <c r="BM3254" s="18"/>
      <c r="BN3254" s="18"/>
      <c r="BO3254" s="18"/>
      <c r="BP3254" s="18"/>
      <c r="BQ3254" s="18"/>
      <c r="BR3254" s="18"/>
      <c r="BS3254" s="18"/>
      <c r="BT3254" s="18"/>
      <c r="BU3254" s="18"/>
      <c r="BV3254" s="18"/>
    </row>
    <row r="3255" spans="1:74">
      <c r="A3255" s="18"/>
      <c r="B3255" s="19"/>
      <c r="BG3255" s="18"/>
      <c r="BH3255" s="18"/>
      <c r="BI3255" s="18"/>
      <c r="BJ3255" s="18"/>
      <c r="BK3255" s="18"/>
      <c r="BL3255" s="18"/>
      <c r="BM3255" s="18"/>
      <c r="BN3255" s="18"/>
      <c r="BO3255" s="18"/>
      <c r="BP3255" s="18"/>
      <c r="BQ3255" s="18"/>
      <c r="BR3255" s="18"/>
      <c r="BS3255" s="18"/>
      <c r="BT3255" s="18"/>
      <c r="BU3255" s="18"/>
      <c r="BV3255" s="18"/>
    </row>
    <row r="3256" spans="1:74">
      <c r="A3256" s="18"/>
      <c r="B3256" s="19"/>
      <c r="BG3256" s="18"/>
      <c r="BH3256" s="18"/>
      <c r="BI3256" s="18"/>
      <c r="BJ3256" s="18"/>
      <c r="BK3256" s="18"/>
      <c r="BL3256" s="18"/>
      <c r="BM3256" s="18"/>
      <c r="BN3256" s="18"/>
      <c r="BO3256" s="18"/>
      <c r="BP3256" s="18"/>
      <c r="BQ3256" s="18"/>
      <c r="BR3256" s="18"/>
      <c r="BS3256" s="18"/>
      <c r="BT3256" s="18"/>
      <c r="BU3256" s="18"/>
      <c r="BV3256" s="18"/>
    </row>
    <row r="3257" spans="1:74">
      <c r="A3257" s="18"/>
      <c r="B3257" s="19"/>
      <c r="BG3257" s="18"/>
      <c r="BH3257" s="18"/>
      <c r="BI3257" s="18"/>
      <c r="BJ3257" s="18"/>
      <c r="BK3257" s="18"/>
      <c r="BL3257" s="18"/>
      <c r="BM3257" s="18"/>
      <c r="BN3257" s="18"/>
      <c r="BO3257" s="18"/>
      <c r="BP3257" s="18"/>
      <c r="BQ3257" s="18"/>
      <c r="BR3257" s="18"/>
      <c r="BS3257" s="18"/>
      <c r="BT3257" s="18"/>
      <c r="BU3257" s="18"/>
      <c r="BV3257" s="18"/>
    </row>
    <row r="3258" spans="1:74">
      <c r="A3258" s="18"/>
      <c r="B3258" s="19"/>
      <c r="BG3258" s="18"/>
      <c r="BH3258" s="18"/>
      <c r="BI3258" s="18"/>
      <c r="BJ3258" s="18"/>
      <c r="BK3258" s="18"/>
      <c r="BL3258" s="18"/>
      <c r="BM3258" s="18"/>
      <c r="BN3258" s="18"/>
      <c r="BO3258" s="18"/>
      <c r="BP3258" s="18"/>
      <c r="BQ3258" s="18"/>
      <c r="BR3258" s="18"/>
      <c r="BS3258" s="18"/>
      <c r="BT3258" s="18"/>
      <c r="BU3258" s="18"/>
      <c r="BV3258" s="18"/>
    </row>
    <row r="3259" spans="1:74">
      <c r="A3259" s="18"/>
      <c r="B3259" s="19"/>
      <c r="BG3259" s="18"/>
      <c r="BH3259" s="18"/>
      <c r="BI3259" s="18"/>
      <c r="BJ3259" s="18"/>
      <c r="BK3259" s="18"/>
      <c r="BL3259" s="18"/>
      <c r="BM3259" s="18"/>
      <c r="BN3259" s="18"/>
      <c r="BO3259" s="18"/>
      <c r="BP3259" s="18"/>
      <c r="BQ3259" s="18"/>
      <c r="BR3259" s="18"/>
      <c r="BS3259" s="18"/>
      <c r="BT3259" s="18"/>
      <c r="BU3259" s="18"/>
      <c r="BV3259" s="18"/>
    </row>
    <row r="3260" spans="1:74">
      <c r="A3260" s="18"/>
      <c r="B3260" s="19"/>
      <c r="BG3260" s="18"/>
      <c r="BH3260" s="18"/>
      <c r="BI3260" s="18"/>
      <c r="BJ3260" s="18"/>
      <c r="BK3260" s="18"/>
      <c r="BL3260" s="18"/>
      <c r="BM3260" s="18"/>
      <c r="BN3260" s="18"/>
      <c r="BO3260" s="18"/>
      <c r="BP3260" s="18"/>
      <c r="BQ3260" s="18"/>
      <c r="BR3260" s="18"/>
      <c r="BS3260" s="18"/>
      <c r="BT3260" s="18"/>
      <c r="BU3260" s="18"/>
      <c r="BV3260" s="18"/>
    </row>
    <row r="3261" spans="1:74">
      <c r="A3261" s="18"/>
      <c r="B3261" s="19"/>
      <c r="BG3261" s="18"/>
      <c r="BH3261" s="18"/>
      <c r="BI3261" s="18"/>
      <c r="BJ3261" s="18"/>
      <c r="BK3261" s="18"/>
      <c r="BL3261" s="18"/>
      <c r="BM3261" s="18"/>
      <c r="BN3261" s="18"/>
      <c r="BO3261" s="18"/>
      <c r="BP3261" s="18"/>
      <c r="BQ3261" s="18"/>
      <c r="BR3261" s="18"/>
      <c r="BS3261" s="18"/>
      <c r="BT3261" s="18"/>
      <c r="BU3261" s="18"/>
      <c r="BV3261" s="18"/>
    </row>
    <row r="3262" spans="1:74">
      <c r="A3262" s="18"/>
      <c r="B3262" s="19"/>
      <c r="BG3262" s="18"/>
      <c r="BH3262" s="18"/>
      <c r="BI3262" s="18"/>
      <c r="BJ3262" s="18"/>
      <c r="BK3262" s="18"/>
      <c r="BL3262" s="18"/>
      <c r="BM3262" s="18"/>
      <c r="BN3262" s="18"/>
      <c r="BO3262" s="18"/>
      <c r="BP3262" s="18"/>
      <c r="BQ3262" s="18"/>
      <c r="BR3262" s="18"/>
      <c r="BS3262" s="18"/>
      <c r="BT3262" s="18"/>
      <c r="BU3262" s="18"/>
      <c r="BV3262" s="18"/>
    </row>
    <row r="3263" spans="1:74">
      <c r="A3263" s="18"/>
      <c r="B3263" s="19"/>
      <c r="BG3263" s="18"/>
      <c r="BH3263" s="18"/>
      <c r="BI3263" s="18"/>
      <c r="BJ3263" s="18"/>
      <c r="BK3263" s="18"/>
      <c r="BL3263" s="18"/>
      <c r="BM3263" s="18"/>
      <c r="BN3263" s="18"/>
      <c r="BO3263" s="18"/>
      <c r="BP3263" s="18"/>
      <c r="BQ3263" s="18"/>
      <c r="BR3263" s="18"/>
      <c r="BS3263" s="18"/>
      <c r="BT3263" s="18"/>
      <c r="BU3263" s="18"/>
      <c r="BV3263" s="18"/>
    </row>
    <row r="3264" spans="1:74">
      <c r="A3264" s="18"/>
      <c r="B3264" s="19"/>
      <c r="BG3264" s="18"/>
      <c r="BH3264" s="18"/>
      <c r="BI3264" s="18"/>
      <c r="BJ3264" s="18"/>
      <c r="BK3264" s="18"/>
      <c r="BL3264" s="18"/>
      <c r="BM3264" s="18"/>
      <c r="BN3264" s="18"/>
      <c r="BO3264" s="18"/>
      <c r="BP3264" s="18"/>
      <c r="BQ3264" s="18"/>
      <c r="BR3264" s="18"/>
      <c r="BS3264" s="18"/>
      <c r="BT3264" s="18"/>
      <c r="BU3264" s="18"/>
      <c r="BV3264" s="18"/>
    </row>
    <row r="3265" spans="1:74">
      <c r="A3265" s="18"/>
      <c r="B3265" s="19"/>
      <c r="BG3265" s="18"/>
      <c r="BH3265" s="18"/>
      <c r="BI3265" s="18"/>
      <c r="BJ3265" s="18"/>
      <c r="BK3265" s="18"/>
      <c r="BL3265" s="18"/>
      <c r="BM3265" s="18"/>
      <c r="BN3265" s="18"/>
      <c r="BO3265" s="18"/>
      <c r="BP3265" s="18"/>
      <c r="BQ3265" s="18"/>
      <c r="BR3265" s="18"/>
      <c r="BS3265" s="18"/>
      <c r="BT3265" s="18"/>
      <c r="BU3265" s="18"/>
      <c r="BV3265" s="18"/>
    </row>
    <row r="3266" spans="1:74">
      <c r="A3266" s="18"/>
      <c r="B3266" s="19"/>
      <c r="BG3266" s="18"/>
      <c r="BH3266" s="18"/>
      <c r="BI3266" s="18"/>
      <c r="BJ3266" s="18"/>
      <c r="BK3266" s="18"/>
      <c r="BL3266" s="18"/>
      <c r="BM3266" s="18"/>
      <c r="BN3266" s="18"/>
      <c r="BO3266" s="18"/>
      <c r="BP3266" s="18"/>
      <c r="BQ3266" s="18"/>
      <c r="BR3266" s="18"/>
      <c r="BS3266" s="18"/>
      <c r="BT3266" s="18"/>
      <c r="BU3266" s="18"/>
      <c r="BV3266" s="18"/>
    </row>
    <row r="3267" spans="1:74">
      <c r="A3267" s="18"/>
      <c r="B3267" s="19"/>
      <c r="BG3267" s="18"/>
      <c r="BH3267" s="18"/>
      <c r="BI3267" s="18"/>
      <c r="BJ3267" s="18"/>
      <c r="BK3267" s="18"/>
      <c r="BL3267" s="18"/>
      <c r="BM3267" s="18"/>
      <c r="BN3267" s="18"/>
      <c r="BO3267" s="18"/>
      <c r="BP3267" s="18"/>
      <c r="BQ3267" s="18"/>
      <c r="BR3267" s="18"/>
      <c r="BS3267" s="18"/>
      <c r="BT3267" s="18"/>
      <c r="BU3267" s="18"/>
      <c r="BV3267" s="18"/>
    </row>
    <row r="3268" spans="1:74">
      <c r="A3268" s="18"/>
      <c r="B3268" s="19"/>
      <c r="BG3268" s="18"/>
      <c r="BH3268" s="18"/>
      <c r="BI3268" s="18"/>
      <c r="BJ3268" s="18"/>
      <c r="BK3268" s="18"/>
      <c r="BL3268" s="18"/>
      <c r="BM3268" s="18"/>
      <c r="BN3268" s="18"/>
      <c r="BO3268" s="18"/>
      <c r="BP3268" s="18"/>
      <c r="BQ3268" s="18"/>
      <c r="BR3268" s="18"/>
      <c r="BS3268" s="18"/>
      <c r="BT3268" s="18"/>
      <c r="BU3268" s="18"/>
      <c r="BV3268" s="18"/>
    </row>
    <row r="3269" spans="1:74">
      <c r="A3269" s="18"/>
      <c r="B3269" s="19"/>
      <c r="BG3269" s="18"/>
      <c r="BH3269" s="18"/>
      <c r="BI3269" s="18"/>
      <c r="BJ3269" s="18"/>
      <c r="BK3269" s="18"/>
      <c r="BL3269" s="18"/>
      <c r="BM3269" s="18"/>
      <c r="BN3269" s="18"/>
      <c r="BO3269" s="18"/>
      <c r="BP3269" s="18"/>
      <c r="BQ3269" s="18"/>
      <c r="BR3269" s="18"/>
      <c r="BS3269" s="18"/>
      <c r="BT3269" s="18"/>
      <c r="BU3269" s="18"/>
      <c r="BV3269" s="18"/>
    </row>
    <row r="3270" spans="1:74">
      <c r="A3270" s="18"/>
      <c r="B3270" s="19"/>
      <c r="BG3270" s="18"/>
      <c r="BH3270" s="18"/>
      <c r="BI3270" s="18"/>
      <c r="BJ3270" s="18"/>
      <c r="BK3270" s="18"/>
      <c r="BL3270" s="18"/>
      <c r="BM3270" s="18"/>
      <c r="BN3270" s="18"/>
      <c r="BO3270" s="18"/>
      <c r="BP3270" s="18"/>
      <c r="BQ3270" s="18"/>
      <c r="BR3270" s="18"/>
      <c r="BS3270" s="18"/>
      <c r="BT3270" s="18"/>
      <c r="BU3270" s="18"/>
      <c r="BV3270" s="18"/>
    </row>
    <row r="3271" spans="1:74">
      <c r="A3271" s="18"/>
      <c r="B3271" s="19"/>
      <c r="BG3271" s="18"/>
      <c r="BH3271" s="18"/>
      <c r="BI3271" s="18"/>
      <c r="BJ3271" s="18"/>
      <c r="BK3271" s="18"/>
      <c r="BL3271" s="18"/>
      <c r="BM3271" s="18"/>
      <c r="BN3271" s="18"/>
      <c r="BO3271" s="18"/>
      <c r="BP3271" s="18"/>
      <c r="BQ3271" s="18"/>
      <c r="BR3271" s="18"/>
      <c r="BS3271" s="18"/>
      <c r="BT3271" s="18"/>
      <c r="BU3271" s="18"/>
      <c r="BV3271" s="18"/>
    </row>
    <row r="3272" spans="1:74">
      <c r="A3272" s="18"/>
      <c r="B3272" s="19"/>
      <c r="BG3272" s="18"/>
      <c r="BH3272" s="18"/>
      <c r="BI3272" s="18"/>
      <c r="BJ3272" s="18"/>
      <c r="BK3272" s="18"/>
      <c r="BL3272" s="18"/>
      <c r="BM3272" s="18"/>
      <c r="BN3272" s="18"/>
      <c r="BO3272" s="18"/>
      <c r="BP3272" s="18"/>
      <c r="BQ3272" s="18"/>
      <c r="BR3272" s="18"/>
      <c r="BS3272" s="18"/>
      <c r="BT3272" s="18"/>
      <c r="BU3272" s="18"/>
      <c r="BV3272" s="18"/>
    </row>
    <row r="3273" spans="1:74">
      <c r="A3273" s="18"/>
      <c r="B3273" s="19"/>
      <c r="BG3273" s="18"/>
      <c r="BH3273" s="18"/>
      <c r="BI3273" s="18"/>
      <c r="BJ3273" s="18"/>
      <c r="BK3273" s="18"/>
      <c r="BL3273" s="18"/>
      <c r="BM3273" s="18"/>
      <c r="BN3273" s="18"/>
      <c r="BO3273" s="18"/>
      <c r="BP3273" s="18"/>
      <c r="BQ3273" s="18"/>
      <c r="BR3273" s="18"/>
      <c r="BS3273" s="18"/>
      <c r="BT3273" s="18"/>
      <c r="BU3273" s="18"/>
      <c r="BV3273" s="18"/>
    </row>
    <row r="3274" spans="1:74">
      <c r="A3274" s="18"/>
      <c r="B3274" s="19"/>
      <c r="BG3274" s="18"/>
      <c r="BH3274" s="18"/>
      <c r="BI3274" s="18"/>
      <c r="BJ3274" s="18"/>
      <c r="BK3274" s="18"/>
      <c r="BL3274" s="18"/>
      <c r="BM3274" s="18"/>
      <c r="BN3274" s="18"/>
      <c r="BO3274" s="18"/>
      <c r="BP3274" s="18"/>
      <c r="BQ3274" s="18"/>
      <c r="BR3274" s="18"/>
      <c r="BS3274" s="18"/>
      <c r="BT3274" s="18"/>
      <c r="BU3274" s="18"/>
      <c r="BV3274" s="18"/>
    </row>
    <row r="3275" spans="1:74">
      <c r="A3275" s="18"/>
      <c r="B3275" s="19"/>
      <c r="BG3275" s="18"/>
      <c r="BH3275" s="18"/>
      <c r="BI3275" s="18"/>
      <c r="BJ3275" s="18"/>
      <c r="BK3275" s="18"/>
      <c r="BL3275" s="18"/>
      <c r="BM3275" s="18"/>
      <c r="BN3275" s="18"/>
      <c r="BO3275" s="18"/>
      <c r="BP3275" s="18"/>
      <c r="BQ3275" s="18"/>
      <c r="BR3275" s="18"/>
      <c r="BS3275" s="18"/>
      <c r="BT3275" s="18"/>
      <c r="BU3275" s="18"/>
      <c r="BV3275" s="18"/>
    </row>
    <row r="3276" spans="1:74">
      <c r="A3276" s="18"/>
      <c r="B3276" s="19"/>
      <c r="BG3276" s="18"/>
      <c r="BH3276" s="18"/>
      <c r="BI3276" s="18"/>
      <c r="BJ3276" s="18"/>
      <c r="BK3276" s="18"/>
      <c r="BL3276" s="18"/>
      <c r="BM3276" s="18"/>
      <c r="BN3276" s="18"/>
      <c r="BO3276" s="18"/>
      <c r="BP3276" s="18"/>
      <c r="BQ3276" s="18"/>
      <c r="BR3276" s="18"/>
      <c r="BS3276" s="18"/>
      <c r="BT3276" s="18"/>
      <c r="BU3276" s="18"/>
      <c r="BV3276" s="18"/>
    </row>
    <row r="3277" spans="1:74">
      <c r="A3277" s="18"/>
      <c r="B3277" s="19"/>
      <c r="BG3277" s="18"/>
      <c r="BH3277" s="18"/>
      <c r="BI3277" s="18"/>
      <c r="BJ3277" s="18"/>
      <c r="BK3277" s="18"/>
      <c r="BL3277" s="18"/>
      <c r="BM3277" s="18"/>
      <c r="BN3277" s="18"/>
      <c r="BO3277" s="18"/>
      <c r="BP3277" s="18"/>
      <c r="BQ3277" s="18"/>
      <c r="BR3277" s="18"/>
      <c r="BS3277" s="18"/>
      <c r="BT3277" s="18"/>
      <c r="BU3277" s="18"/>
      <c r="BV3277" s="18"/>
    </row>
    <row r="3278" spans="1:74">
      <c r="A3278" s="18"/>
      <c r="B3278" s="19"/>
      <c r="BG3278" s="18"/>
      <c r="BH3278" s="18"/>
      <c r="BI3278" s="18"/>
      <c r="BJ3278" s="18"/>
      <c r="BK3278" s="18"/>
      <c r="BL3278" s="18"/>
      <c r="BM3278" s="18"/>
      <c r="BN3278" s="18"/>
      <c r="BO3278" s="18"/>
      <c r="BP3278" s="18"/>
      <c r="BQ3278" s="18"/>
      <c r="BR3278" s="18"/>
      <c r="BS3278" s="18"/>
      <c r="BT3278" s="18"/>
      <c r="BU3278" s="18"/>
      <c r="BV3278" s="18"/>
    </row>
    <row r="3279" spans="1:74">
      <c r="A3279" s="18"/>
      <c r="B3279" s="19"/>
      <c r="BG3279" s="18"/>
      <c r="BH3279" s="18"/>
      <c r="BI3279" s="18"/>
      <c r="BJ3279" s="18"/>
      <c r="BK3279" s="18"/>
      <c r="BL3279" s="18"/>
      <c r="BM3279" s="18"/>
      <c r="BN3279" s="18"/>
      <c r="BO3279" s="18"/>
      <c r="BP3279" s="18"/>
      <c r="BQ3279" s="18"/>
      <c r="BR3279" s="18"/>
      <c r="BS3279" s="18"/>
      <c r="BT3279" s="18"/>
      <c r="BU3279" s="18"/>
      <c r="BV3279" s="18"/>
    </row>
    <row r="3280" spans="1:74">
      <c r="A3280" s="18"/>
      <c r="B3280" s="19"/>
      <c r="BG3280" s="18"/>
      <c r="BH3280" s="18"/>
      <c r="BI3280" s="18"/>
      <c r="BJ3280" s="18"/>
      <c r="BK3280" s="18"/>
      <c r="BL3280" s="18"/>
      <c r="BM3280" s="18"/>
      <c r="BN3280" s="18"/>
      <c r="BO3280" s="18"/>
      <c r="BP3280" s="18"/>
      <c r="BQ3280" s="18"/>
      <c r="BR3280" s="18"/>
      <c r="BS3280" s="18"/>
      <c r="BT3280" s="18"/>
      <c r="BU3280" s="18"/>
      <c r="BV3280" s="18"/>
    </row>
    <row r="3281" spans="1:74">
      <c r="A3281" s="18"/>
      <c r="B3281" s="19"/>
      <c r="BG3281" s="18"/>
      <c r="BH3281" s="18"/>
      <c r="BI3281" s="18"/>
      <c r="BJ3281" s="18"/>
      <c r="BK3281" s="18"/>
      <c r="BL3281" s="18"/>
      <c r="BM3281" s="18"/>
      <c r="BN3281" s="18"/>
      <c r="BO3281" s="18"/>
      <c r="BP3281" s="18"/>
      <c r="BQ3281" s="18"/>
      <c r="BR3281" s="18"/>
      <c r="BS3281" s="18"/>
      <c r="BT3281" s="18"/>
      <c r="BU3281" s="18"/>
      <c r="BV3281" s="18"/>
    </row>
    <row r="3282" spans="1:74">
      <c r="A3282" s="18"/>
      <c r="B3282" s="19"/>
      <c r="BG3282" s="18"/>
      <c r="BH3282" s="18"/>
      <c r="BI3282" s="18"/>
      <c r="BJ3282" s="18"/>
      <c r="BK3282" s="18"/>
      <c r="BL3282" s="18"/>
      <c r="BM3282" s="18"/>
      <c r="BN3282" s="18"/>
      <c r="BO3282" s="18"/>
      <c r="BP3282" s="18"/>
      <c r="BQ3282" s="18"/>
      <c r="BR3282" s="18"/>
      <c r="BS3282" s="18"/>
      <c r="BT3282" s="18"/>
      <c r="BU3282" s="18"/>
      <c r="BV3282" s="18"/>
    </row>
    <row r="3283" spans="1:74">
      <c r="A3283" s="18"/>
      <c r="B3283" s="19"/>
      <c r="BG3283" s="18"/>
      <c r="BH3283" s="18"/>
      <c r="BI3283" s="18"/>
      <c r="BJ3283" s="18"/>
      <c r="BK3283" s="18"/>
      <c r="BL3283" s="18"/>
      <c r="BM3283" s="18"/>
      <c r="BN3283" s="18"/>
      <c r="BO3283" s="18"/>
      <c r="BP3283" s="18"/>
      <c r="BQ3283" s="18"/>
      <c r="BR3283" s="18"/>
      <c r="BS3283" s="18"/>
      <c r="BT3283" s="18"/>
      <c r="BU3283" s="18"/>
      <c r="BV3283" s="18"/>
    </row>
    <row r="3284" spans="1:74">
      <c r="A3284" s="18"/>
      <c r="B3284" s="19"/>
      <c r="BG3284" s="18"/>
      <c r="BH3284" s="18"/>
      <c r="BI3284" s="18"/>
      <c r="BJ3284" s="18"/>
      <c r="BK3284" s="18"/>
      <c r="BL3284" s="18"/>
      <c r="BM3284" s="18"/>
      <c r="BN3284" s="18"/>
      <c r="BO3284" s="18"/>
      <c r="BP3284" s="18"/>
      <c r="BQ3284" s="18"/>
      <c r="BR3284" s="18"/>
      <c r="BS3284" s="18"/>
      <c r="BT3284" s="18"/>
      <c r="BU3284" s="18"/>
      <c r="BV3284" s="18"/>
    </row>
    <row r="3285" spans="1:74">
      <c r="A3285" s="18"/>
      <c r="B3285" s="19"/>
      <c r="BG3285" s="18"/>
      <c r="BH3285" s="18"/>
      <c r="BI3285" s="18"/>
      <c r="BJ3285" s="18"/>
      <c r="BK3285" s="18"/>
      <c r="BL3285" s="18"/>
      <c r="BM3285" s="18"/>
      <c r="BN3285" s="18"/>
      <c r="BO3285" s="18"/>
      <c r="BP3285" s="18"/>
      <c r="BQ3285" s="18"/>
      <c r="BR3285" s="18"/>
      <c r="BS3285" s="18"/>
      <c r="BT3285" s="18"/>
      <c r="BU3285" s="18"/>
      <c r="BV3285" s="18"/>
    </row>
    <row r="3286" spans="1:74">
      <c r="A3286" s="18"/>
      <c r="B3286" s="19"/>
      <c r="BG3286" s="18"/>
      <c r="BH3286" s="18"/>
      <c r="BI3286" s="18"/>
      <c r="BJ3286" s="18"/>
      <c r="BK3286" s="18"/>
      <c r="BL3286" s="18"/>
      <c r="BM3286" s="18"/>
      <c r="BN3286" s="18"/>
      <c r="BO3286" s="18"/>
      <c r="BP3286" s="18"/>
      <c r="BQ3286" s="18"/>
      <c r="BR3286" s="18"/>
      <c r="BS3286" s="18"/>
      <c r="BT3286" s="18"/>
      <c r="BU3286" s="18"/>
      <c r="BV3286" s="18"/>
    </row>
    <row r="3287" spans="1:74">
      <c r="A3287" s="18"/>
      <c r="B3287" s="19"/>
      <c r="BG3287" s="18"/>
      <c r="BH3287" s="18"/>
      <c r="BI3287" s="18"/>
      <c r="BJ3287" s="18"/>
      <c r="BK3287" s="18"/>
      <c r="BL3287" s="18"/>
      <c r="BM3287" s="18"/>
      <c r="BN3287" s="18"/>
      <c r="BO3287" s="18"/>
      <c r="BP3287" s="18"/>
      <c r="BQ3287" s="18"/>
      <c r="BR3287" s="18"/>
      <c r="BS3287" s="18"/>
      <c r="BT3287" s="18"/>
      <c r="BU3287" s="18"/>
      <c r="BV3287" s="18"/>
    </row>
    <row r="3288" spans="1:74">
      <c r="A3288" s="18"/>
      <c r="B3288" s="19"/>
      <c r="BG3288" s="18"/>
      <c r="BH3288" s="18"/>
      <c r="BI3288" s="18"/>
      <c r="BJ3288" s="18"/>
      <c r="BK3288" s="18"/>
      <c r="BL3288" s="18"/>
      <c r="BM3288" s="18"/>
      <c r="BN3288" s="18"/>
      <c r="BO3288" s="18"/>
      <c r="BP3288" s="18"/>
      <c r="BQ3288" s="18"/>
      <c r="BR3288" s="18"/>
      <c r="BS3288" s="18"/>
      <c r="BT3288" s="18"/>
      <c r="BU3288" s="18"/>
      <c r="BV3288" s="18"/>
    </row>
    <row r="3289" spans="1:74">
      <c r="A3289" s="18"/>
      <c r="B3289" s="19"/>
      <c r="BG3289" s="18"/>
      <c r="BH3289" s="18"/>
      <c r="BI3289" s="18"/>
      <c r="BJ3289" s="18"/>
      <c r="BK3289" s="18"/>
      <c r="BL3289" s="18"/>
      <c r="BM3289" s="18"/>
      <c r="BN3289" s="18"/>
      <c r="BO3289" s="18"/>
      <c r="BP3289" s="18"/>
      <c r="BQ3289" s="18"/>
      <c r="BR3289" s="18"/>
      <c r="BS3289" s="18"/>
      <c r="BT3289" s="18"/>
      <c r="BU3289" s="18"/>
      <c r="BV3289" s="18"/>
    </row>
    <row r="3290" spans="1:74">
      <c r="A3290" s="18"/>
      <c r="B3290" s="19"/>
      <c r="BG3290" s="18"/>
      <c r="BH3290" s="18"/>
      <c r="BI3290" s="18"/>
      <c r="BJ3290" s="18"/>
      <c r="BK3290" s="18"/>
      <c r="BL3290" s="18"/>
      <c r="BM3290" s="18"/>
      <c r="BN3290" s="18"/>
      <c r="BO3290" s="18"/>
      <c r="BP3290" s="18"/>
      <c r="BQ3290" s="18"/>
      <c r="BR3290" s="18"/>
      <c r="BS3290" s="18"/>
      <c r="BT3290" s="18"/>
      <c r="BU3290" s="18"/>
      <c r="BV3290" s="18"/>
    </row>
    <row r="3291" spans="1:74">
      <c r="A3291" s="18"/>
      <c r="B3291" s="19"/>
      <c r="BG3291" s="18"/>
      <c r="BH3291" s="18"/>
      <c r="BI3291" s="18"/>
      <c r="BJ3291" s="18"/>
      <c r="BK3291" s="18"/>
      <c r="BL3291" s="18"/>
      <c r="BM3291" s="18"/>
      <c r="BN3291" s="18"/>
      <c r="BO3291" s="18"/>
      <c r="BP3291" s="18"/>
      <c r="BQ3291" s="18"/>
      <c r="BR3291" s="18"/>
      <c r="BS3291" s="18"/>
      <c r="BT3291" s="18"/>
      <c r="BU3291" s="18"/>
      <c r="BV3291" s="18"/>
    </row>
    <row r="3292" spans="1:74">
      <c r="A3292" s="18"/>
      <c r="B3292" s="19"/>
      <c r="BG3292" s="18"/>
      <c r="BH3292" s="18"/>
      <c r="BI3292" s="18"/>
      <c r="BJ3292" s="18"/>
      <c r="BK3292" s="18"/>
      <c r="BL3292" s="18"/>
      <c r="BM3292" s="18"/>
      <c r="BN3292" s="18"/>
      <c r="BO3292" s="18"/>
      <c r="BP3292" s="18"/>
      <c r="BQ3292" s="18"/>
      <c r="BR3292" s="18"/>
      <c r="BS3292" s="18"/>
      <c r="BT3292" s="18"/>
      <c r="BU3292" s="18"/>
      <c r="BV3292" s="18"/>
    </row>
    <row r="3293" spans="1:74">
      <c r="A3293" s="18"/>
      <c r="B3293" s="19"/>
      <c r="BG3293" s="18"/>
      <c r="BH3293" s="18"/>
      <c r="BI3293" s="18"/>
      <c r="BJ3293" s="18"/>
      <c r="BK3293" s="18"/>
      <c r="BL3293" s="18"/>
      <c r="BM3293" s="18"/>
      <c r="BN3293" s="18"/>
      <c r="BO3293" s="18"/>
      <c r="BP3293" s="18"/>
      <c r="BQ3293" s="18"/>
      <c r="BR3293" s="18"/>
      <c r="BS3293" s="18"/>
      <c r="BT3293" s="18"/>
      <c r="BU3293" s="18"/>
      <c r="BV3293" s="18"/>
    </row>
    <row r="3294" spans="1:74">
      <c r="A3294" s="18"/>
      <c r="B3294" s="19"/>
      <c r="BG3294" s="18"/>
      <c r="BH3294" s="18"/>
      <c r="BI3294" s="18"/>
      <c r="BJ3294" s="18"/>
      <c r="BK3294" s="18"/>
      <c r="BL3294" s="18"/>
      <c r="BM3294" s="18"/>
      <c r="BN3294" s="18"/>
      <c r="BO3294" s="18"/>
      <c r="BP3294" s="18"/>
      <c r="BQ3294" s="18"/>
      <c r="BR3294" s="18"/>
      <c r="BS3294" s="18"/>
      <c r="BT3294" s="18"/>
      <c r="BU3294" s="18"/>
      <c r="BV3294" s="18"/>
    </row>
    <row r="3295" spans="1:74">
      <c r="A3295" s="18"/>
      <c r="B3295" s="19"/>
      <c r="BG3295" s="18"/>
      <c r="BH3295" s="18"/>
      <c r="BI3295" s="18"/>
      <c r="BJ3295" s="18"/>
      <c r="BK3295" s="18"/>
      <c r="BL3295" s="18"/>
      <c r="BM3295" s="18"/>
      <c r="BN3295" s="18"/>
      <c r="BO3295" s="18"/>
      <c r="BP3295" s="18"/>
      <c r="BQ3295" s="18"/>
      <c r="BR3295" s="18"/>
      <c r="BS3295" s="18"/>
      <c r="BT3295" s="18"/>
      <c r="BU3295" s="18"/>
      <c r="BV3295" s="18"/>
    </row>
    <row r="3296" spans="1:74">
      <c r="A3296" s="18"/>
      <c r="B3296" s="19"/>
      <c r="BG3296" s="18"/>
      <c r="BH3296" s="18"/>
      <c r="BI3296" s="18"/>
      <c r="BJ3296" s="18"/>
      <c r="BK3296" s="18"/>
      <c r="BL3296" s="18"/>
      <c r="BM3296" s="18"/>
      <c r="BN3296" s="18"/>
      <c r="BO3296" s="18"/>
      <c r="BP3296" s="18"/>
      <c r="BQ3296" s="18"/>
      <c r="BR3296" s="18"/>
      <c r="BS3296" s="18"/>
      <c r="BT3296" s="18"/>
      <c r="BU3296" s="18"/>
      <c r="BV3296" s="18"/>
    </row>
    <row r="3297" spans="1:74">
      <c r="A3297" s="18"/>
      <c r="B3297" s="19"/>
      <c r="BG3297" s="18"/>
      <c r="BH3297" s="18"/>
      <c r="BI3297" s="18"/>
      <c r="BJ3297" s="18"/>
      <c r="BK3297" s="18"/>
      <c r="BL3297" s="18"/>
      <c r="BM3297" s="18"/>
      <c r="BN3297" s="18"/>
      <c r="BO3297" s="18"/>
      <c r="BP3297" s="18"/>
      <c r="BQ3297" s="18"/>
      <c r="BR3297" s="18"/>
      <c r="BS3297" s="18"/>
      <c r="BT3297" s="18"/>
      <c r="BU3297" s="18"/>
      <c r="BV3297" s="18"/>
    </row>
    <row r="3298" spans="1:74">
      <c r="A3298" s="18"/>
      <c r="B3298" s="19"/>
      <c r="BG3298" s="18"/>
      <c r="BH3298" s="18"/>
      <c r="BI3298" s="18"/>
      <c r="BJ3298" s="18"/>
      <c r="BK3298" s="18"/>
      <c r="BL3298" s="18"/>
      <c r="BM3298" s="18"/>
      <c r="BN3298" s="18"/>
      <c r="BO3298" s="18"/>
      <c r="BP3298" s="18"/>
      <c r="BQ3298" s="18"/>
      <c r="BR3298" s="18"/>
      <c r="BS3298" s="18"/>
      <c r="BT3298" s="18"/>
      <c r="BU3298" s="18"/>
      <c r="BV3298" s="18"/>
    </row>
    <row r="3299" spans="1:74">
      <c r="A3299" s="18"/>
      <c r="B3299" s="19"/>
      <c r="BG3299" s="18"/>
      <c r="BH3299" s="18"/>
      <c r="BI3299" s="18"/>
      <c r="BJ3299" s="18"/>
      <c r="BK3299" s="18"/>
      <c r="BL3299" s="18"/>
      <c r="BM3299" s="18"/>
      <c r="BN3299" s="18"/>
      <c r="BO3299" s="18"/>
      <c r="BP3299" s="18"/>
      <c r="BQ3299" s="18"/>
      <c r="BR3299" s="18"/>
      <c r="BS3299" s="18"/>
      <c r="BT3299" s="18"/>
      <c r="BU3299" s="18"/>
      <c r="BV3299" s="18"/>
    </row>
    <row r="3300" spans="1:74">
      <c r="A3300" s="18"/>
      <c r="B3300" s="19"/>
      <c r="BG3300" s="18"/>
      <c r="BH3300" s="18"/>
      <c r="BI3300" s="18"/>
      <c r="BJ3300" s="18"/>
      <c r="BK3300" s="18"/>
      <c r="BL3300" s="18"/>
      <c r="BM3300" s="18"/>
      <c r="BN3300" s="18"/>
      <c r="BO3300" s="18"/>
      <c r="BP3300" s="18"/>
      <c r="BQ3300" s="18"/>
      <c r="BR3300" s="18"/>
      <c r="BS3300" s="18"/>
      <c r="BT3300" s="18"/>
      <c r="BU3300" s="18"/>
      <c r="BV3300" s="18"/>
    </row>
    <row r="3301" spans="1:74">
      <c r="A3301" s="18"/>
      <c r="B3301" s="19"/>
      <c r="BG3301" s="18"/>
      <c r="BH3301" s="18"/>
      <c r="BI3301" s="18"/>
      <c r="BJ3301" s="18"/>
      <c r="BK3301" s="18"/>
      <c r="BL3301" s="18"/>
      <c r="BM3301" s="18"/>
      <c r="BN3301" s="18"/>
      <c r="BO3301" s="18"/>
      <c r="BP3301" s="18"/>
      <c r="BQ3301" s="18"/>
      <c r="BR3301" s="18"/>
      <c r="BS3301" s="18"/>
      <c r="BT3301" s="18"/>
      <c r="BU3301" s="18"/>
      <c r="BV3301" s="18"/>
    </row>
    <row r="3302" spans="1:74">
      <c r="A3302" s="18"/>
      <c r="B3302" s="19"/>
      <c r="BG3302" s="18"/>
      <c r="BH3302" s="18"/>
      <c r="BI3302" s="18"/>
      <c r="BJ3302" s="18"/>
      <c r="BK3302" s="18"/>
      <c r="BL3302" s="18"/>
      <c r="BM3302" s="18"/>
      <c r="BN3302" s="18"/>
      <c r="BO3302" s="18"/>
      <c r="BP3302" s="18"/>
      <c r="BQ3302" s="18"/>
      <c r="BR3302" s="18"/>
      <c r="BS3302" s="18"/>
      <c r="BT3302" s="18"/>
      <c r="BU3302" s="18"/>
      <c r="BV3302" s="18"/>
    </row>
    <row r="3303" spans="1:74">
      <c r="A3303" s="18"/>
      <c r="B3303" s="19"/>
      <c r="BG3303" s="18"/>
      <c r="BH3303" s="18"/>
      <c r="BI3303" s="18"/>
      <c r="BJ3303" s="18"/>
      <c r="BK3303" s="18"/>
      <c r="BL3303" s="18"/>
      <c r="BM3303" s="18"/>
      <c r="BN3303" s="18"/>
      <c r="BO3303" s="18"/>
      <c r="BP3303" s="18"/>
      <c r="BQ3303" s="18"/>
      <c r="BR3303" s="18"/>
      <c r="BS3303" s="18"/>
      <c r="BT3303" s="18"/>
      <c r="BU3303" s="18"/>
      <c r="BV3303" s="18"/>
    </row>
    <row r="3304" spans="1:74">
      <c r="A3304" s="18"/>
      <c r="B3304" s="19"/>
      <c r="BG3304" s="18"/>
      <c r="BH3304" s="18"/>
      <c r="BI3304" s="18"/>
      <c r="BJ3304" s="18"/>
      <c r="BK3304" s="18"/>
      <c r="BL3304" s="18"/>
      <c r="BM3304" s="18"/>
      <c r="BN3304" s="18"/>
      <c r="BO3304" s="18"/>
      <c r="BP3304" s="18"/>
      <c r="BQ3304" s="18"/>
      <c r="BR3304" s="18"/>
      <c r="BS3304" s="18"/>
      <c r="BT3304" s="18"/>
      <c r="BU3304" s="18"/>
      <c r="BV3304" s="18"/>
    </row>
    <row r="3305" spans="1:74">
      <c r="A3305" s="18"/>
      <c r="B3305" s="19"/>
      <c r="BG3305" s="18"/>
      <c r="BH3305" s="18"/>
      <c r="BI3305" s="18"/>
      <c r="BJ3305" s="18"/>
      <c r="BK3305" s="18"/>
      <c r="BL3305" s="18"/>
      <c r="BM3305" s="18"/>
      <c r="BN3305" s="18"/>
      <c r="BO3305" s="18"/>
      <c r="BP3305" s="18"/>
      <c r="BQ3305" s="18"/>
      <c r="BR3305" s="18"/>
      <c r="BS3305" s="18"/>
      <c r="BT3305" s="18"/>
      <c r="BU3305" s="18"/>
      <c r="BV3305" s="18"/>
    </row>
    <row r="3306" spans="1:74">
      <c r="A3306" s="18"/>
      <c r="B3306" s="19"/>
      <c r="BG3306" s="18"/>
      <c r="BH3306" s="18"/>
      <c r="BI3306" s="18"/>
      <c r="BJ3306" s="18"/>
      <c r="BK3306" s="18"/>
      <c r="BL3306" s="18"/>
      <c r="BM3306" s="18"/>
      <c r="BN3306" s="18"/>
      <c r="BO3306" s="18"/>
      <c r="BP3306" s="18"/>
      <c r="BQ3306" s="18"/>
      <c r="BR3306" s="18"/>
      <c r="BS3306" s="18"/>
      <c r="BT3306" s="18"/>
      <c r="BU3306" s="18"/>
      <c r="BV3306" s="18"/>
    </row>
    <row r="3307" spans="1:74">
      <c r="A3307" s="18"/>
      <c r="B3307" s="19"/>
      <c r="BG3307" s="18"/>
      <c r="BH3307" s="18"/>
      <c r="BI3307" s="18"/>
      <c r="BJ3307" s="18"/>
      <c r="BK3307" s="18"/>
      <c r="BL3307" s="18"/>
      <c r="BM3307" s="18"/>
      <c r="BN3307" s="18"/>
      <c r="BO3307" s="18"/>
      <c r="BP3307" s="18"/>
      <c r="BQ3307" s="18"/>
      <c r="BR3307" s="18"/>
      <c r="BS3307" s="18"/>
      <c r="BT3307" s="18"/>
      <c r="BU3307" s="18"/>
      <c r="BV3307" s="18"/>
    </row>
    <row r="3308" spans="1:74">
      <c r="A3308" s="18"/>
      <c r="B3308" s="19"/>
      <c r="BG3308" s="18"/>
      <c r="BH3308" s="18"/>
      <c r="BI3308" s="18"/>
      <c r="BJ3308" s="18"/>
      <c r="BK3308" s="18"/>
      <c r="BL3308" s="18"/>
      <c r="BM3308" s="18"/>
      <c r="BN3308" s="18"/>
      <c r="BO3308" s="18"/>
      <c r="BP3308" s="18"/>
      <c r="BQ3308" s="18"/>
      <c r="BR3308" s="18"/>
      <c r="BS3308" s="18"/>
      <c r="BT3308" s="18"/>
      <c r="BU3308" s="18"/>
      <c r="BV3308" s="18"/>
    </row>
    <row r="3309" spans="1:74">
      <c r="A3309" s="18"/>
      <c r="B3309" s="19"/>
      <c r="BG3309" s="18"/>
      <c r="BH3309" s="18"/>
      <c r="BI3309" s="18"/>
      <c r="BJ3309" s="18"/>
      <c r="BK3309" s="18"/>
      <c r="BL3309" s="18"/>
      <c r="BM3309" s="18"/>
      <c r="BN3309" s="18"/>
      <c r="BO3309" s="18"/>
      <c r="BP3309" s="18"/>
      <c r="BQ3309" s="18"/>
      <c r="BR3309" s="18"/>
      <c r="BS3309" s="18"/>
      <c r="BT3309" s="18"/>
      <c r="BU3309" s="18"/>
      <c r="BV3309" s="18"/>
    </row>
    <row r="3310" spans="1:74">
      <c r="A3310" s="18"/>
      <c r="B3310" s="19"/>
      <c r="BG3310" s="18"/>
      <c r="BH3310" s="18"/>
      <c r="BI3310" s="18"/>
      <c r="BJ3310" s="18"/>
      <c r="BK3310" s="18"/>
      <c r="BL3310" s="18"/>
      <c r="BM3310" s="18"/>
      <c r="BN3310" s="18"/>
      <c r="BO3310" s="18"/>
      <c r="BP3310" s="18"/>
      <c r="BQ3310" s="18"/>
      <c r="BR3310" s="18"/>
      <c r="BS3310" s="18"/>
      <c r="BT3310" s="18"/>
      <c r="BU3310" s="18"/>
      <c r="BV3310" s="18"/>
    </row>
    <row r="3311" spans="1:74">
      <c r="A3311" s="18"/>
      <c r="B3311" s="19"/>
      <c r="BG3311" s="18"/>
      <c r="BH3311" s="18"/>
      <c r="BI3311" s="18"/>
      <c r="BJ3311" s="18"/>
      <c r="BK3311" s="18"/>
      <c r="BL3311" s="18"/>
      <c r="BM3311" s="18"/>
      <c r="BN3311" s="18"/>
      <c r="BO3311" s="18"/>
      <c r="BP3311" s="18"/>
      <c r="BQ3311" s="18"/>
      <c r="BR3311" s="18"/>
      <c r="BS3311" s="18"/>
      <c r="BT3311" s="18"/>
      <c r="BU3311" s="18"/>
      <c r="BV3311" s="18"/>
    </row>
    <row r="3312" spans="1:74">
      <c r="A3312" s="18"/>
      <c r="B3312" s="19"/>
      <c r="BG3312" s="18"/>
      <c r="BH3312" s="18"/>
      <c r="BI3312" s="18"/>
      <c r="BJ3312" s="18"/>
      <c r="BK3312" s="18"/>
      <c r="BL3312" s="18"/>
      <c r="BM3312" s="18"/>
      <c r="BN3312" s="18"/>
      <c r="BO3312" s="18"/>
      <c r="BP3312" s="18"/>
      <c r="BQ3312" s="18"/>
      <c r="BR3312" s="18"/>
      <c r="BS3312" s="18"/>
      <c r="BT3312" s="18"/>
      <c r="BU3312" s="18"/>
      <c r="BV3312" s="18"/>
    </row>
    <row r="3313" spans="1:74">
      <c r="A3313" s="18"/>
      <c r="B3313" s="19"/>
      <c r="BG3313" s="18"/>
      <c r="BH3313" s="18"/>
      <c r="BI3313" s="18"/>
      <c r="BJ3313" s="18"/>
      <c r="BK3313" s="18"/>
      <c r="BL3313" s="18"/>
      <c r="BM3313" s="18"/>
      <c r="BN3313" s="18"/>
      <c r="BO3313" s="18"/>
      <c r="BP3313" s="18"/>
      <c r="BQ3313" s="18"/>
      <c r="BR3313" s="18"/>
      <c r="BS3313" s="18"/>
      <c r="BT3313" s="18"/>
      <c r="BU3313" s="18"/>
      <c r="BV3313" s="18"/>
    </row>
    <row r="3314" spans="1:74">
      <c r="A3314" s="18"/>
      <c r="B3314" s="19"/>
      <c r="BG3314" s="18"/>
      <c r="BH3314" s="18"/>
      <c r="BI3314" s="18"/>
      <c r="BJ3314" s="18"/>
      <c r="BK3314" s="18"/>
      <c r="BL3314" s="18"/>
      <c r="BM3314" s="18"/>
      <c r="BN3314" s="18"/>
      <c r="BO3314" s="18"/>
      <c r="BP3314" s="18"/>
      <c r="BQ3314" s="18"/>
      <c r="BR3314" s="18"/>
      <c r="BS3314" s="18"/>
      <c r="BT3314" s="18"/>
      <c r="BU3314" s="18"/>
      <c r="BV3314" s="18"/>
    </row>
    <row r="3315" spans="1:74">
      <c r="A3315" s="18"/>
      <c r="B3315" s="19"/>
      <c r="BG3315" s="18"/>
      <c r="BH3315" s="18"/>
      <c r="BI3315" s="18"/>
      <c r="BJ3315" s="18"/>
      <c r="BK3315" s="18"/>
      <c r="BL3315" s="18"/>
      <c r="BM3315" s="18"/>
      <c r="BN3315" s="18"/>
      <c r="BO3315" s="18"/>
      <c r="BP3315" s="18"/>
      <c r="BQ3315" s="18"/>
      <c r="BR3315" s="18"/>
      <c r="BS3315" s="18"/>
      <c r="BT3315" s="18"/>
      <c r="BU3315" s="18"/>
      <c r="BV3315" s="18"/>
    </row>
    <row r="3316" spans="1:74">
      <c r="A3316" s="18"/>
      <c r="B3316" s="19"/>
      <c r="BG3316" s="18"/>
      <c r="BH3316" s="18"/>
      <c r="BI3316" s="18"/>
      <c r="BJ3316" s="18"/>
      <c r="BK3316" s="18"/>
      <c r="BL3316" s="18"/>
      <c r="BM3316" s="18"/>
      <c r="BN3316" s="18"/>
      <c r="BO3316" s="18"/>
      <c r="BP3316" s="18"/>
      <c r="BQ3316" s="18"/>
      <c r="BR3316" s="18"/>
      <c r="BS3316" s="18"/>
      <c r="BT3316" s="18"/>
      <c r="BU3316" s="18"/>
      <c r="BV3316" s="18"/>
    </row>
    <row r="3317" spans="1:74">
      <c r="A3317" s="18"/>
      <c r="B3317" s="19"/>
      <c r="BG3317" s="18"/>
      <c r="BH3317" s="18"/>
      <c r="BI3317" s="18"/>
      <c r="BJ3317" s="18"/>
      <c r="BK3317" s="18"/>
      <c r="BL3317" s="18"/>
      <c r="BM3317" s="18"/>
      <c r="BN3317" s="18"/>
      <c r="BO3317" s="18"/>
      <c r="BP3317" s="18"/>
      <c r="BQ3317" s="18"/>
      <c r="BR3317" s="18"/>
      <c r="BS3317" s="18"/>
      <c r="BT3317" s="18"/>
      <c r="BU3317" s="18"/>
      <c r="BV3317" s="18"/>
    </row>
    <row r="3318" spans="1:74">
      <c r="A3318" s="18"/>
      <c r="B3318" s="19"/>
      <c r="BG3318" s="18"/>
      <c r="BH3318" s="18"/>
      <c r="BI3318" s="18"/>
      <c r="BJ3318" s="18"/>
      <c r="BK3318" s="18"/>
      <c r="BL3318" s="18"/>
      <c r="BM3318" s="18"/>
      <c r="BN3318" s="18"/>
      <c r="BO3318" s="18"/>
      <c r="BP3318" s="18"/>
      <c r="BQ3318" s="18"/>
      <c r="BR3318" s="18"/>
      <c r="BS3318" s="18"/>
      <c r="BT3318" s="18"/>
      <c r="BU3318" s="18"/>
      <c r="BV3318" s="18"/>
    </row>
    <row r="3319" spans="1:74">
      <c r="A3319" s="18"/>
      <c r="B3319" s="19"/>
      <c r="BG3319" s="18"/>
      <c r="BH3319" s="18"/>
      <c r="BI3319" s="18"/>
      <c r="BJ3319" s="18"/>
      <c r="BK3319" s="18"/>
      <c r="BL3319" s="18"/>
      <c r="BM3319" s="18"/>
      <c r="BN3319" s="18"/>
      <c r="BO3319" s="18"/>
      <c r="BP3319" s="18"/>
      <c r="BQ3319" s="18"/>
      <c r="BR3319" s="18"/>
      <c r="BS3319" s="18"/>
      <c r="BT3319" s="18"/>
      <c r="BU3319" s="18"/>
      <c r="BV3319" s="18"/>
    </row>
    <row r="3320" spans="1:74">
      <c r="A3320" s="18"/>
      <c r="B3320" s="19"/>
      <c r="BG3320" s="18"/>
      <c r="BH3320" s="18"/>
      <c r="BI3320" s="18"/>
      <c r="BJ3320" s="18"/>
      <c r="BK3320" s="18"/>
      <c r="BL3320" s="18"/>
      <c r="BM3320" s="18"/>
      <c r="BN3320" s="18"/>
      <c r="BO3320" s="18"/>
      <c r="BP3320" s="18"/>
      <c r="BQ3320" s="18"/>
      <c r="BR3320" s="18"/>
      <c r="BS3320" s="18"/>
      <c r="BT3320" s="18"/>
      <c r="BU3320" s="18"/>
      <c r="BV3320" s="18"/>
    </row>
    <row r="3321" spans="1:74">
      <c r="A3321" s="18"/>
      <c r="B3321" s="19"/>
      <c r="BG3321" s="18"/>
      <c r="BH3321" s="18"/>
      <c r="BI3321" s="18"/>
      <c r="BJ3321" s="18"/>
      <c r="BK3321" s="18"/>
      <c r="BL3321" s="18"/>
      <c r="BM3321" s="18"/>
      <c r="BN3321" s="18"/>
      <c r="BO3321" s="18"/>
      <c r="BP3321" s="18"/>
      <c r="BQ3321" s="18"/>
      <c r="BR3321" s="18"/>
      <c r="BS3321" s="18"/>
      <c r="BT3321" s="18"/>
      <c r="BU3321" s="18"/>
      <c r="BV3321" s="18"/>
    </row>
    <row r="3322" spans="1:74">
      <c r="A3322" s="18"/>
      <c r="B3322" s="19"/>
      <c r="BG3322" s="18"/>
      <c r="BH3322" s="18"/>
      <c r="BI3322" s="18"/>
      <c r="BJ3322" s="18"/>
      <c r="BK3322" s="18"/>
      <c r="BL3322" s="18"/>
      <c r="BM3322" s="18"/>
      <c r="BN3322" s="18"/>
      <c r="BO3322" s="18"/>
      <c r="BP3322" s="18"/>
      <c r="BQ3322" s="18"/>
      <c r="BR3322" s="18"/>
      <c r="BS3322" s="18"/>
      <c r="BT3322" s="18"/>
      <c r="BU3322" s="18"/>
      <c r="BV3322" s="18"/>
    </row>
    <row r="3323" spans="1:74">
      <c r="A3323" s="18"/>
      <c r="B3323" s="19"/>
      <c r="BG3323" s="18"/>
      <c r="BH3323" s="18"/>
      <c r="BI3323" s="18"/>
      <c r="BJ3323" s="18"/>
      <c r="BK3323" s="18"/>
      <c r="BL3323" s="18"/>
      <c r="BM3323" s="18"/>
      <c r="BN3323" s="18"/>
      <c r="BO3323" s="18"/>
      <c r="BP3323" s="18"/>
      <c r="BQ3323" s="18"/>
      <c r="BR3323" s="18"/>
      <c r="BS3323" s="18"/>
      <c r="BT3323" s="18"/>
      <c r="BU3323" s="18"/>
      <c r="BV3323" s="18"/>
    </row>
    <row r="3324" spans="1:74">
      <c r="A3324" s="18"/>
      <c r="B3324" s="19"/>
      <c r="BG3324" s="18"/>
      <c r="BH3324" s="18"/>
      <c r="BI3324" s="18"/>
      <c r="BJ3324" s="18"/>
      <c r="BK3324" s="18"/>
      <c r="BL3324" s="18"/>
      <c r="BM3324" s="18"/>
      <c r="BN3324" s="18"/>
      <c r="BO3324" s="18"/>
      <c r="BP3324" s="18"/>
      <c r="BQ3324" s="18"/>
      <c r="BR3324" s="18"/>
      <c r="BS3324" s="18"/>
      <c r="BT3324" s="18"/>
      <c r="BU3324" s="18"/>
      <c r="BV3324" s="18"/>
    </row>
    <row r="3325" spans="1:74">
      <c r="A3325" s="18"/>
      <c r="B3325" s="19"/>
      <c r="BG3325" s="18"/>
      <c r="BH3325" s="18"/>
      <c r="BI3325" s="18"/>
      <c r="BJ3325" s="18"/>
      <c r="BK3325" s="18"/>
      <c r="BL3325" s="18"/>
      <c r="BM3325" s="18"/>
      <c r="BN3325" s="18"/>
      <c r="BO3325" s="18"/>
      <c r="BP3325" s="18"/>
      <c r="BQ3325" s="18"/>
      <c r="BR3325" s="18"/>
      <c r="BS3325" s="18"/>
      <c r="BT3325" s="18"/>
      <c r="BU3325" s="18"/>
      <c r="BV3325" s="18"/>
    </row>
    <row r="3326" spans="1:74">
      <c r="A3326" s="18"/>
      <c r="B3326" s="19"/>
      <c r="BG3326" s="18"/>
      <c r="BH3326" s="18"/>
      <c r="BI3326" s="18"/>
      <c r="BJ3326" s="18"/>
      <c r="BK3326" s="18"/>
      <c r="BL3326" s="18"/>
      <c r="BM3326" s="18"/>
      <c r="BN3326" s="18"/>
      <c r="BO3326" s="18"/>
      <c r="BP3326" s="18"/>
      <c r="BQ3326" s="18"/>
      <c r="BR3326" s="18"/>
      <c r="BS3326" s="18"/>
      <c r="BT3326" s="18"/>
      <c r="BU3326" s="18"/>
      <c r="BV3326" s="18"/>
    </row>
    <row r="3327" spans="1:74">
      <c r="A3327" s="18"/>
      <c r="B3327" s="19"/>
      <c r="BG3327" s="18"/>
      <c r="BH3327" s="18"/>
      <c r="BI3327" s="18"/>
      <c r="BJ3327" s="18"/>
      <c r="BK3327" s="18"/>
      <c r="BL3327" s="18"/>
      <c r="BM3327" s="18"/>
      <c r="BN3327" s="18"/>
      <c r="BO3327" s="18"/>
      <c r="BP3327" s="18"/>
      <c r="BQ3327" s="18"/>
      <c r="BR3327" s="18"/>
      <c r="BS3327" s="18"/>
      <c r="BT3327" s="18"/>
      <c r="BU3327" s="18"/>
      <c r="BV3327" s="18"/>
    </row>
    <row r="3328" spans="1:74">
      <c r="A3328" s="18"/>
      <c r="B3328" s="19"/>
      <c r="BG3328" s="18"/>
      <c r="BH3328" s="18"/>
      <c r="BI3328" s="18"/>
      <c r="BJ3328" s="18"/>
      <c r="BK3328" s="18"/>
      <c r="BL3328" s="18"/>
      <c r="BM3328" s="18"/>
      <c r="BN3328" s="18"/>
      <c r="BO3328" s="18"/>
      <c r="BP3328" s="18"/>
      <c r="BQ3328" s="18"/>
      <c r="BR3328" s="18"/>
      <c r="BS3328" s="18"/>
      <c r="BT3328" s="18"/>
      <c r="BU3328" s="18"/>
      <c r="BV3328" s="18"/>
    </row>
    <row r="3329" spans="1:74">
      <c r="A3329" s="18"/>
      <c r="B3329" s="19"/>
      <c r="BG3329" s="18"/>
      <c r="BH3329" s="18"/>
      <c r="BI3329" s="18"/>
      <c r="BJ3329" s="18"/>
      <c r="BK3329" s="18"/>
      <c r="BL3329" s="18"/>
      <c r="BM3329" s="18"/>
      <c r="BN3329" s="18"/>
      <c r="BO3329" s="18"/>
      <c r="BP3329" s="18"/>
      <c r="BQ3329" s="18"/>
      <c r="BR3329" s="18"/>
      <c r="BS3329" s="18"/>
      <c r="BT3329" s="18"/>
      <c r="BU3329" s="18"/>
      <c r="BV3329" s="18"/>
    </row>
    <row r="3330" spans="1:74">
      <c r="A3330" s="18"/>
      <c r="B3330" s="19"/>
      <c r="BG3330" s="18"/>
      <c r="BH3330" s="18"/>
      <c r="BI3330" s="18"/>
      <c r="BJ3330" s="18"/>
      <c r="BK3330" s="18"/>
      <c r="BL3330" s="18"/>
      <c r="BM3330" s="18"/>
      <c r="BN3330" s="18"/>
      <c r="BO3330" s="18"/>
      <c r="BP3330" s="18"/>
      <c r="BQ3330" s="18"/>
      <c r="BR3330" s="18"/>
      <c r="BS3330" s="18"/>
      <c r="BT3330" s="18"/>
      <c r="BU3330" s="18"/>
      <c r="BV3330" s="18"/>
    </row>
    <row r="3331" spans="1:74">
      <c r="A3331" s="18"/>
      <c r="B3331" s="19"/>
      <c r="BG3331" s="18"/>
      <c r="BH3331" s="18"/>
      <c r="BI3331" s="18"/>
      <c r="BJ3331" s="18"/>
      <c r="BK3331" s="18"/>
      <c r="BL3331" s="18"/>
      <c r="BM3331" s="18"/>
      <c r="BN3331" s="18"/>
      <c r="BO3331" s="18"/>
      <c r="BP3331" s="18"/>
      <c r="BQ3331" s="18"/>
      <c r="BR3331" s="18"/>
      <c r="BS3331" s="18"/>
      <c r="BT3331" s="18"/>
      <c r="BU3331" s="18"/>
      <c r="BV3331" s="18"/>
    </row>
    <row r="3332" spans="1:74">
      <c r="A3332" s="18"/>
      <c r="B3332" s="19"/>
      <c r="BG3332" s="18"/>
      <c r="BH3332" s="18"/>
      <c r="BI3332" s="18"/>
      <c r="BJ3332" s="18"/>
      <c r="BK3332" s="18"/>
      <c r="BL3332" s="18"/>
      <c r="BM3332" s="18"/>
      <c r="BN3332" s="18"/>
      <c r="BO3332" s="18"/>
      <c r="BP3332" s="18"/>
      <c r="BQ3332" s="18"/>
      <c r="BR3332" s="18"/>
      <c r="BS3332" s="18"/>
      <c r="BT3332" s="18"/>
      <c r="BU3332" s="18"/>
      <c r="BV3332" s="18"/>
    </row>
    <row r="3333" spans="1:74">
      <c r="A3333" s="18"/>
      <c r="B3333" s="19"/>
      <c r="BG3333" s="18"/>
      <c r="BH3333" s="18"/>
      <c r="BI3333" s="18"/>
      <c r="BJ3333" s="18"/>
      <c r="BK3333" s="18"/>
      <c r="BL3333" s="18"/>
      <c r="BM3333" s="18"/>
      <c r="BN3333" s="18"/>
      <c r="BO3333" s="18"/>
      <c r="BP3333" s="18"/>
      <c r="BQ3333" s="18"/>
      <c r="BR3333" s="18"/>
      <c r="BS3333" s="18"/>
      <c r="BT3333" s="18"/>
      <c r="BU3333" s="18"/>
      <c r="BV3333" s="18"/>
    </row>
    <row r="3334" spans="1:74">
      <c r="A3334" s="18"/>
      <c r="B3334" s="19"/>
      <c r="BG3334" s="18"/>
      <c r="BH3334" s="18"/>
      <c r="BI3334" s="18"/>
      <c r="BJ3334" s="18"/>
      <c r="BK3334" s="18"/>
      <c r="BL3334" s="18"/>
      <c r="BM3334" s="18"/>
      <c r="BN3334" s="18"/>
      <c r="BO3334" s="18"/>
      <c r="BP3334" s="18"/>
      <c r="BQ3334" s="18"/>
      <c r="BR3334" s="18"/>
      <c r="BS3334" s="18"/>
      <c r="BT3334" s="18"/>
      <c r="BU3334" s="18"/>
      <c r="BV3334" s="18"/>
    </row>
    <row r="3335" spans="1:74">
      <c r="A3335" s="18"/>
      <c r="B3335" s="19"/>
      <c r="BG3335" s="18"/>
      <c r="BH3335" s="18"/>
      <c r="BI3335" s="18"/>
      <c r="BJ3335" s="18"/>
      <c r="BK3335" s="18"/>
      <c r="BL3335" s="18"/>
      <c r="BM3335" s="18"/>
      <c r="BN3335" s="18"/>
      <c r="BO3335" s="18"/>
      <c r="BP3335" s="18"/>
      <c r="BQ3335" s="18"/>
      <c r="BR3335" s="18"/>
      <c r="BS3335" s="18"/>
      <c r="BT3335" s="18"/>
      <c r="BU3335" s="18"/>
      <c r="BV3335" s="18"/>
    </row>
    <row r="3336" spans="1:74">
      <c r="A3336" s="18"/>
      <c r="B3336" s="19"/>
      <c r="BG3336" s="18"/>
      <c r="BH3336" s="18"/>
      <c r="BI3336" s="18"/>
      <c r="BJ3336" s="18"/>
      <c r="BK3336" s="18"/>
      <c r="BL3336" s="18"/>
      <c r="BM3336" s="18"/>
      <c r="BN3336" s="18"/>
      <c r="BO3336" s="18"/>
      <c r="BP3336" s="18"/>
      <c r="BQ3336" s="18"/>
      <c r="BR3336" s="18"/>
      <c r="BS3336" s="18"/>
      <c r="BT3336" s="18"/>
      <c r="BU3336" s="18"/>
      <c r="BV3336" s="18"/>
    </row>
    <row r="3337" spans="1:74">
      <c r="A3337" s="18"/>
      <c r="B3337" s="19"/>
      <c r="BG3337" s="18"/>
      <c r="BH3337" s="18"/>
      <c r="BI3337" s="18"/>
      <c r="BJ3337" s="18"/>
      <c r="BK3337" s="18"/>
      <c r="BL3337" s="18"/>
      <c r="BM3337" s="18"/>
      <c r="BN3337" s="18"/>
      <c r="BO3337" s="18"/>
      <c r="BP3337" s="18"/>
      <c r="BQ3337" s="18"/>
      <c r="BR3337" s="18"/>
      <c r="BS3337" s="18"/>
      <c r="BT3337" s="18"/>
      <c r="BU3337" s="18"/>
      <c r="BV3337" s="18"/>
    </row>
    <row r="3338" spans="1:74">
      <c r="A3338" s="18"/>
      <c r="B3338" s="19"/>
      <c r="BG3338" s="18"/>
      <c r="BH3338" s="18"/>
      <c r="BI3338" s="18"/>
      <c r="BJ3338" s="18"/>
      <c r="BK3338" s="18"/>
      <c r="BL3338" s="18"/>
      <c r="BM3338" s="18"/>
      <c r="BN3338" s="18"/>
      <c r="BO3338" s="18"/>
      <c r="BP3338" s="18"/>
      <c r="BQ3338" s="18"/>
      <c r="BR3338" s="18"/>
      <c r="BS3338" s="18"/>
      <c r="BT3338" s="18"/>
      <c r="BU3338" s="18"/>
      <c r="BV3338" s="18"/>
    </row>
    <row r="3339" spans="1:74">
      <c r="A3339" s="18"/>
      <c r="B3339" s="19"/>
      <c r="BG3339" s="18"/>
      <c r="BH3339" s="18"/>
      <c r="BI3339" s="18"/>
      <c r="BJ3339" s="18"/>
      <c r="BK3339" s="18"/>
      <c r="BL3339" s="18"/>
      <c r="BM3339" s="18"/>
      <c r="BN3339" s="18"/>
      <c r="BO3339" s="18"/>
      <c r="BP3339" s="18"/>
      <c r="BQ3339" s="18"/>
      <c r="BR3339" s="18"/>
      <c r="BS3339" s="18"/>
      <c r="BT3339" s="18"/>
      <c r="BU3339" s="18"/>
      <c r="BV3339" s="18"/>
    </row>
    <row r="3340" spans="1:74">
      <c r="A3340" s="18"/>
      <c r="B3340" s="19"/>
      <c r="BG3340" s="18"/>
      <c r="BH3340" s="18"/>
      <c r="BI3340" s="18"/>
      <c r="BJ3340" s="18"/>
      <c r="BK3340" s="18"/>
      <c r="BL3340" s="18"/>
      <c r="BM3340" s="18"/>
      <c r="BN3340" s="18"/>
      <c r="BO3340" s="18"/>
      <c r="BP3340" s="18"/>
      <c r="BQ3340" s="18"/>
      <c r="BR3340" s="18"/>
      <c r="BS3340" s="18"/>
      <c r="BT3340" s="18"/>
      <c r="BU3340" s="18"/>
      <c r="BV3340" s="18"/>
    </row>
    <row r="3341" spans="1:74">
      <c r="A3341" s="18"/>
      <c r="B3341" s="19"/>
      <c r="BG3341" s="18"/>
      <c r="BH3341" s="18"/>
      <c r="BI3341" s="18"/>
      <c r="BJ3341" s="18"/>
      <c r="BK3341" s="18"/>
      <c r="BL3341" s="18"/>
      <c r="BM3341" s="18"/>
      <c r="BN3341" s="18"/>
      <c r="BO3341" s="18"/>
      <c r="BP3341" s="18"/>
      <c r="BQ3341" s="18"/>
      <c r="BR3341" s="18"/>
      <c r="BS3341" s="18"/>
      <c r="BT3341" s="18"/>
      <c r="BU3341" s="18"/>
      <c r="BV3341" s="18"/>
    </row>
    <row r="3342" spans="1:74">
      <c r="A3342" s="18"/>
      <c r="B3342" s="19"/>
      <c r="BG3342" s="18"/>
      <c r="BH3342" s="18"/>
      <c r="BI3342" s="18"/>
      <c r="BJ3342" s="18"/>
      <c r="BK3342" s="18"/>
      <c r="BL3342" s="18"/>
      <c r="BM3342" s="18"/>
      <c r="BN3342" s="18"/>
      <c r="BO3342" s="18"/>
      <c r="BP3342" s="18"/>
      <c r="BQ3342" s="18"/>
      <c r="BR3342" s="18"/>
      <c r="BS3342" s="18"/>
      <c r="BT3342" s="18"/>
      <c r="BU3342" s="18"/>
      <c r="BV3342" s="18"/>
    </row>
    <row r="3343" spans="1:74">
      <c r="A3343" s="18"/>
      <c r="B3343" s="19"/>
      <c r="BG3343" s="18"/>
      <c r="BH3343" s="18"/>
      <c r="BI3343" s="18"/>
      <c r="BJ3343" s="18"/>
      <c r="BK3343" s="18"/>
      <c r="BL3343" s="18"/>
      <c r="BM3343" s="18"/>
      <c r="BN3343" s="18"/>
      <c r="BO3343" s="18"/>
      <c r="BP3343" s="18"/>
      <c r="BQ3343" s="18"/>
      <c r="BR3343" s="18"/>
      <c r="BS3343" s="18"/>
      <c r="BT3343" s="18"/>
      <c r="BU3343" s="18"/>
      <c r="BV3343" s="18"/>
    </row>
    <row r="3344" spans="1:74">
      <c r="A3344" s="18"/>
      <c r="B3344" s="19"/>
      <c r="BG3344" s="18"/>
      <c r="BH3344" s="18"/>
      <c r="BI3344" s="18"/>
      <c r="BJ3344" s="18"/>
      <c r="BK3344" s="18"/>
      <c r="BL3344" s="18"/>
      <c r="BM3344" s="18"/>
      <c r="BN3344" s="18"/>
      <c r="BO3344" s="18"/>
      <c r="BP3344" s="18"/>
      <c r="BQ3344" s="18"/>
      <c r="BR3344" s="18"/>
      <c r="BS3344" s="18"/>
      <c r="BT3344" s="18"/>
      <c r="BU3344" s="18"/>
      <c r="BV3344" s="18"/>
    </row>
    <row r="3345" spans="1:74">
      <c r="A3345" s="18"/>
      <c r="B3345" s="19"/>
      <c r="BG3345" s="18"/>
      <c r="BH3345" s="18"/>
      <c r="BI3345" s="18"/>
      <c r="BJ3345" s="18"/>
      <c r="BK3345" s="18"/>
      <c r="BL3345" s="18"/>
      <c r="BM3345" s="18"/>
      <c r="BN3345" s="18"/>
      <c r="BO3345" s="18"/>
      <c r="BP3345" s="18"/>
      <c r="BQ3345" s="18"/>
      <c r="BR3345" s="18"/>
      <c r="BS3345" s="18"/>
      <c r="BT3345" s="18"/>
      <c r="BU3345" s="18"/>
      <c r="BV3345" s="18"/>
    </row>
    <row r="3346" spans="1:74">
      <c r="A3346" s="18"/>
      <c r="B3346" s="19"/>
      <c r="BG3346" s="18"/>
      <c r="BH3346" s="18"/>
      <c r="BI3346" s="18"/>
      <c r="BJ3346" s="18"/>
      <c r="BK3346" s="18"/>
      <c r="BL3346" s="18"/>
      <c r="BM3346" s="18"/>
      <c r="BN3346" s="18"/>
      <c r="BO3346" s="18"/>
      <c r="BP3346" s="18"/>
      <c r="BQ3346" s="18"/>
      <c r="BR3346" s="18"/>
      <c r="BS3346" s="18"/>
      <c r="BT3346" s="18"/>
      <c r="BU3346" s="18"/>
      <c r="BV3346" s="18"/>
    </row>
    <row r="3347" spans="1:74">
      <c r="A3347" s="18"/>
      <c r="B3347" s="19"/>
      <c r="BG3347" s="18"/>
      <c r="BH3347" s="18"/>
      <c r="BI3347" s="18"/>
      <c r="BJ3347" s="18"/>
      <c r="BK3347" s="18"/>
      <c r="BL3347" s="18"/>
      <c r="BM3347" s="18"/>
      <c r="BN3347" s="18"/>
      <c r="BO3347" s="18"/>
      <c r="BP3347" s="18"/>
      <c r="BQ3347" s="18"/>
      <c r="BR3347" s="18"/>
      <c r="BS3347" s="18"/>
      <c r="BT3347" s="18"/>
      <c r="BU3347" s="18"/>
      <c r="BV3347" s="18"/>
    </row>
    <row r="3348" spans="1:74">
      <c r="A3348" s="18"/>
      <c r="B3348" s="19"/>
      <c r="BG3348" s="18"/>
      <c r="BH3348" s="18"/>
      <c r="BI3348" s="18"/>
      <c r="BJ3348" s="18"/>
      <c r="BK3348" s="18"/>
      <c r="BL3348" s="18"/>
      <c r="BM3348" s="18"/>
      <c r="BN3348" s="18"/>
      <c r="BO3348" s="18"/>
      <c r="BP3348" s="18"/>
      <c r="BQ3348" s="18"/>
      <c r="BR3348" s="18"/>
      <c r="BS3348" s="18"/>
      <c r="BT3348" s="18"/>
      <c r="BU3348" s="18"/>
      <c r="BV3348" s="18"/>
    </row>
    <row r="3349" spans="1:74">
      <c r="A3349" s="18"/>
      <c r="B3349" s="19"/>
      <c r="BG3349" s="18"/>
      <c r="BH3349" s="18"/>
      <c r="BI3349" s="18"/>
      <c r="BJ3349" s="18"/>
      <c r="BK3349" s="18"/>
      <c r="BL3349" s="18"/>
      <c r="BM3349" s="18"/>
      <c r="BN3349" s="18"/>
      <c r="BO3349" s="18"/>
      <c r="BP3349" s="18"/>
      <c r="BQ3349" s="18"/>
      <c r="BR3349" s="18"/>
      <c r="BS3349" s="18"/>
      <c r="BT3349" s="18"/>
      <c r="BU3349" s="18"/>
      <c r="BV3349" s="18"/>
    </row>
    <row r="3350" spans="1:74">
      <c r="A3350" s="18"/>
      <c r="B3350" s="19"/>
      <c r="BG3350" s="18"/>
      <c r="BH3350" s="18"/>
      <c r="BI3350" s="18"/>
      <c r="BJ3350" s="18"/>
      <c r="BK3350" s="18"/>
      <c r="BL3350" s="18"/>
      <c r="BM3350" s="18"/>
      <c r="BN3350" s="18"/>
      <c r="BO3350" s="18"/>
      <c r="BP3350" s="18"/>
      <c r="BQ3350" s="18"/>
      <c r="BR3350" s="18"/>
      <c r="BS3350" s="18"/>
      <c r="BT3350" s="18"/>
      <c r="BU3350" s="18"/>
      <c r="BV3350" s="18"/>
    </row>
    <row r="3351" spans="1:74">
      <c r="A3351" s="18"/>
      <c r="B3351" s="19"/>
      <c r="BG3351" s="18"/>
      <c r="BH3351" s="18"/>
      <c r="BI3351" s="18"/>
      <c r="BJ3351" s="18"/>
      <c r="BK3351" s="18"/>
      <c r="BL3351" s="18"/>
      <c r="BM3351" s="18"/>
      <c r="BN3351" s="18"/>
      <c r="BO3351" s="18"/>
      <c r="BP3351" s="18"/>
      <c r="BQ3351" s="18"/>
      <c r="BR3351" s="18"/>
      <c r="BS3351" s="18"/>
      <c r="BT3351" s="18"/>
      <c r="BU3351" s="18"/>
      <c r="BV3351" s="18"/>
    </row>
    <row r="3352" spans="1:74">
      <c r="A3352" s="18"/>
      <c r="B3352" s="19"/>
      <c r="BG3352" s="18"/>
      <c r="BH3352" s="18"/>
      <c r="BI3352" s="18"/>
      <c r="BJ3352" s="18"/>
      <c r="BK3352" s="18"/>
      <c r="BL3352" s="18"/>
      <c r="BM3352" s="18"/>
      <c r="BN3352" s="18"/>
      <c r="BO3352" s="18"/>
      <c r="BP3352" s="18"/>
      <c r="BQ3352" s="18"/>
      <c r="BR3352" s="18"/>
      <c r="BS3352" s="18"/>
      <c r="BT3352" s="18"/>
      <c r="BU3352" s="18"/>
      <c r="BV3352" s="18"/>
    </row>
    <row r="3353" spans="1:74">
      <c r="A3353" s="18"/>
      <c r="B3353" s="19"/>
      <c r="BG3353" s="18"/>
      <c r="BH3353" s="18"/>
      <c r="BI3353" s="18"/>
      <c r="BJ3353" s="18"/>
      <c r="BK3353" s="18"/>
      <c r="BL3353" s="18"/>
      <c r="BM3353" s="18"/>
      <c r="BN3353" s="18"/>
      <c r="BO3353" s="18"/>
      <c r="BP3353" s="18"/>
      <c r="BQ3353" s="18"/>
      <c r="BR3353" s="18"/>
      <c r="BS3353" s="18"/>
      <c r="BT3353" s="18"/>
      <c r="BU3353" s="18"/>
      <c r="BV3353" s="18"/>
    </row>
    <row r="3354" spans="1:74">
      <c r="A3354" s="18"/>
      <c r="B3354" s="19"/>
      <c r="BG3354" s="18"/>
      <c r="BH3354" s="18"/>
      <c r="BI3354" s="18"/>
      <c r="BJ3354" s="18"/>
      <c r="BK3354" s="18"/>
      <c r="BL3354" s="18"/>
      <c r="BM3354" s="18"/>
      <c r="BN3354" s="18"/>
      <c r="BO3354" s="18"/>
      <c r="BP3354" s="18"/>
      <c r="BQ3354" s="18"/>
      <c r="BR3354" s="18"/>
      <c r="BS3354" s="18"/>
      <c r="BT3354" s="18"/>
      <c r="BU3354" s="18"/>
      <c r="BV3354" s="18"/>
    </row>
    <row r="3355" spans="1:74">
      <c r="A3355" s="18"/>
      <c r="B3355" s="19"/>
      <c r="BG3355" s="18"/>
      <c r="BH3355" s="18"/>
      <c r="BI3355" s="18"/>
      <c r="BJ3355" s="18"/>
      <c r="BK3355" s="18"/>
      <c r="BL3355" s="18"/>
      <c r="BM3355" s="18"/>
      <c r="BN3355" s="18"/>
      <c r="BO3355" s="18"/>
      <c r="BP3355" s="18"/>
      <c r="BQ3355" s="18"/>
      <c r="BR3355" s="18"/>
      <c r="BS3355" s="18"/>
      <c r="BT3355" s="18"/>
      <c r="BU3355" s="18"/>
      <c r="BV3355" s="18"/>
    </row>
    <row r="3356" spans="1:74">
      <c r="A3356" s="18"/>
      <c r="B3356" s="19"/>
      <c r="BG3356" s="18"/>
      <c r="BH3356" s="18"/>
      <c r="BI3356" s="18"/>
      <c r="BJ3356" s="18"/>
      <c r="BK3356" s="18"/>
      <c r="BL3356" s="18"/>
      <c r="BM3356" s="18"/>
      <c r="BN3356" s="18"/>
      <c r="BO3356" s="18"/>
      <c r="BP3356" s="18"/>
      <c r="BQ3356" s="18"/>
      <c r="BR3356" s="18"/>
      <c r="BS3356" s="18"/>
      <c r="BT3356" s="18"/>
      <c r="BU3356" s="18"/>
      <c r="BV3356" s="18"/>
    </row>
    <row r="3357" spans="1:74">
      <c r="A3357" s="18"/>
      <c r="B3357" s="19"/>
      <c r="BG3357" s="18"/>
      <c r="BH3357" s="18"/>
      <c r="BI3357" s="18"/>
      <c r="BJ3357" s="18"/>
      <c r="BK3357" s="18"/>
      <c r="BL3357" s="18"/>
      <c r="BM3357" s="18"/>
      <c r="BN3357" s="18"/>
      <c r="BO3357" s="18"/>
      <c r="BP3357" s="18"/>
      <c r="BQ3357" s="18"/>
      <c r="BR3357" s="18"/>
      <c r="BS3357" s="18"/>
      <c r="BT3357" s="18"/>
      <c r="BU3357" s="18"/>
      <c r="BV3357" s="18"/>
    </row>
    <row r="3358" spans="1:74">
      <c r="A3358" s="18"/>
      <c r="B3358" s="19"/>
      <c r="BG3358" s="18"/>
      <c r="BH3358" s="18"/>
      <c r="BI3358" s="18"/>
      <c r="BJ3358" s="18"/>
      <c r="BK3358" s="18"/>
      <c r="BL3358" s="18"/>
      <c r="BM3358" s="18"/>
      <c r="BN3358" s="18"/>
      <c r="BO3358" s="18"/>
      <c r="BP3358" s="18"/>
      <c r="BQ3358" s="18"/>
      <c r="BR3358" s="18"/>
      <c r="BS3358" s="18"/>
      <c r="BT3358" s="18"/>
      <c r="BU3358" s="18"/>
      <c r="BV3358" s="18"/>
    </row>
    <row r="3359" spans="1:74">
      <c r="A3359" s="18"/>
      <c r="B3359" s="19"/>
      <c r="BG3359" s="18"/>
      <c r="BH3359" s="18"/>
      <c r="BI3359" s="18"/>
      <c r="BJ3359" s="18"/>
      <c r="BK3359" s="18"/>
      <c r="BL3359" s="18"/>
      <c r="BM3359" s="18"/>
      <c r="BN3359" s="18"/>
      <c r="BO3359" s="18"/>
      <c r="BP3359" s="18"/>
      <c r="BQ3359" s="18"/>
      <c r="BR3359" s="18"/>
      <c r="BS3359" s="18"/>
      <c r="BT3359" s="18"/>
      <c r="BU3359" s="18"/>
      <c r="BV3359" s="18"/>
    </row>
    <row r="3360" spans="1:74">
      <c r="A3360" s="18"/>
      <c r="B3360" s="19"/>
      <c r="BG3360" s="18"/>
      <c r="BH3360" s="18"/>
      <c r="BI3360" s="18"/>
      <c r="BJ3360" s="18"/>
      <c r="BK3360" s="18"/>
      <c r="BL3360" s="18"/>
      <c r="BM3360" s="18"/>
      <c r="BN3360" s="18"/>
      <c r="BO3360" s="18"/>
      <c r="BP3360" s="18"/>
      <c r="BQ3360" s="18"/>
      <c r="BR3360" s="18"/>
      <c r="BS3360" s="18"/>
      <c r="BT3360" s="18"/>
      <c r="BU3360" s="18"/>
      <c r="BV3360" s="18"/>
    </row>
    <row r="3361" spans="1:74">
      <c r="A3361" s="18"/>
      <c r="B3361" s="19"/>
      <c r="BG3361" s="18"/>
      <c r="BH3361" s="18"/>
      <c r="BI3361" s="18"/>
      <c r="BJ3361" s="18"/>
      <c r="BK3361" s="18"/>
      <c r="BL3361" s="18"/>
      <c r="BM3361" s="18"/>
      <c r="BN3361" s="18"/>
      <c r="BO3361" s="18"/>
      <c r="BP3361" s="18"/>
      <c r="BQ3361" s="18"/>
      <c r="BR3361" s="18"/>
      <c r="BS3361" s="18"/>
      <c r="BT3361" s="18"/>
      <c r="BU3361" s="18"/>
      <c r="BV3361" s="18"/>
    </row>
    <row r="3362" spans="1:74">
      <c r="A3362" s="18"/>
      <c r="B3362" s="19"/>
      <c r="BG3362" s="18"/>
      <c r="BH3362" s="18"/>
      <c r="BI3362" s="18"/>
      <c r="BJ3362" s="18"/>
      <c r="BK3362" s="18"/>
      <c r="BL3362" s="18"/>
      <c r="BM3362" s="18"/>
      <c r="BN3362" s="18"/>
      <c r="BO3362" s="18"/>
      <c r="BP3362" s="18"/>
      <c r="BQ3362" s="18"/>
      <c r="BR3362" s="18"/>
      <c r="BS3362" s="18"/>
      <c r="BT3362" s="18"/>
      <c r="BU3362" s="18"/>
      <c r="BV3362" s="18"/>
    </row>
    <row r="3363" spans="1:74">
      <c r="A3363" s="18"/>
      <c r="B3363" s="19"/>
      <c r="BG3363" s="18"/>
      <c r="BH3363" s="18"/>
      <c r="BI3363" s="18"/>
      <c r="BJ3363" s="18"/>
      <c r="BK3363" s="18"/>
      <c r="BL3363" s="18"/>
      <c r="BM3363" s="18"/>
      <c r="BN3363" s="18"/>
      <c r="BO3363" s="18"/>
      <c r="BP3363" s="18"/>
      <c r="BQ3363" s="18"/>
      <c r="BR3363" s="18"/>
      <c r="BS3363" s="18"/>
      <c r="BT3363" s="18"/>
      <c r="BU3363" s="18"/>
      <c r="BV3363" s="18"/>
    </row>
    <row r="3364" spans="1:74">
      <c r="A3364" s="18"/>
      <c r="B3364" s="19"/>
      <c r="BG3364" s="18"/>
      <c r="BH3364" s="18"/>
      <c r="BI3364" s="18"/>
      <c r="BJ3364" s="18"/>
      <c r="BK3364" s="18"/>
      <c r="BL3364" s="18"/>
      <c r="BM3364" s="18"/>
      <c r="BN3364" s="18"/>
      <c r="BO3364" s="18"/>
      <c r="BP3364" s="18"/>
      <c r="BQ3364" s="18"/>
      <c r="BR3364" s="18"/>
      <c r="BS3364" s="18"/>
      <c r="BT3364" s="18"/>
      <c r="BU3364" s="18"/>
      <c r="BV3364" s="18"/>
    </row>
    <row r="3365" spans="1:74">
      <c r="A3365" s="18"/>
      <c r="B3365" s="19"/>
      <c r="BG3365" s="18"/>
      <c r="BH3365" s="18"/>
      <c r="BI3365" s="18"/>
      <c r="BJ3365" s="18"/>
      <c r="BK3365" s="18"/>
      <c r="BL3365" s="18"/>
      <c r="BM3365" s="18"/>
      <c r="BN3365" s="18"/>
      <c r="BO3365" s="18"/>
      <c r="BP3365" s="18"/>
      <c r="BQ3365" s="18"/>
      <c r="BR3365" s="18"/>
      <c r="BS3365" s="18"/>
      <c r="BT3365" s="18"/>
      <c r="BU3365" s="18"/>
      <c r="BV3365" s="18"/>
    </row>
    <row r="3366" spans="1:74">
      <c r="A3366" s="18"/>
      <c r="B3366" s="19"/>
      <c r="BG3366" s="18"/>
      <c r="BH3366" s="18"/>
      <c r="BI3366" s="18"/>
      <c r="BJ3366" s="18"/>
      <c r="BK3366" s="18"/>
      <c r="BL3366" s="18"/>
      <c r="BM3366" s="18"/>
      <c r="BN3366" s="18"/>
      <c r="BO3366" s="18"/>
      <c r="BP3366" s="18"/>
      <c r="BQ3366" s="18"/>
      <c r="BR3366" s="18"/>
      <c r="BS3366" s="18"/>
      <c r="BT3366" s="18"/>
      <c r="BU3366" s="18"/>
      <c r="BV3366" s="18"/>
    </row>
    <row r="3367" spans="1:74">
      <c r="A3367" s="18"/>
      <c r="B3367" s="19"/>
      <c r="BG3367" s="18"/>
      <c r="BH3367" s="18"/>
      <c r="BI3367" s="18"/>
      <c r="BJ3367" s="18"/>
      <c r="BK3367" s="18"/>
      <c r="BL3367" s="18"/>
      <c r="BM3367" s="18"/>
      <c r="BN3367" s="18"/>
      <c r="BO3367" s="18"/>
      <c r="BP3367" s="18"/>
      <c r="BQ3367" s="18"/>
      <c r="BR3367" s="18"/>
      <c r="BS3367" s="18"/>
      <c r="BT3367" s="18"/>
      <c r="BU3367" s="18"/>
      <c r="BV3367" s="18"/>
    </row>
    <row r="3368" spans="1:74">
      <c r="A3368" s="18"/>
      <c r="B3368" s="19"/>
      <c r="BG3368" s="18"/>
      <c r="BH3368" s="18"/>
      <c r="BI3368" s="18"/>
      <c r="BJ3368" s="18"/>
      <c r="BK3368" s="18"/>
      <c r="BL3368" s="18"/>
      <c r="BM3368" s="18"/>
      <c r="BN3368" s="18"/>
      <c r="BO3368" s="18"/>
      <c r="BP3368" s="18"/>
      <c r="BQ3368" s="18"/>
      <c r="BR3368" s="18"/>
      <c r="BS3368" s="18"/>
      <c r="BT3368" s="18"/>
      <c r="BU3368" s="18"/>
      <c r="BV3368" s="18"/>
    </row>
    <row r="3369" spans="1:74">
      <c r="A3369" s="18"/>
      <c r="B3369" s="19"/>
      <c r="BG3369" s="18"/>
      <c r="BH3369" s="18"/>
      <c r="BI3369" s="18"/>
      <c r="BJ3369" s="18"/>
      <c r="BK3369" s="18"/>
      <c r="BL3369" s="18"/>
      <c r="BM3369" s="18"/>
      <c r="BN3369" s="18"/>
      <c r="BO3369" s="18"/>
      <c r="BP3369" s="18"/>
      <c r="BQ3369" s="18"/>
      <c r="BR3369" s="18"/>
      <c r="BS3369" s="18"/>
      <c r="BT3369" s="18"/>
      <c r="BU3369" s="18"/>
      <c r="BV3369" s="18"/>
    </row>
    <row r="3370" spans="1:74">
      <c r="A3370" s="18"/>
      <c r="B3370" s="19"/>
      <c r="BG3370" s="18"/>
      <c r="BH3370" s="18"/>
      <c r="BI3370" s="18"/>
      <c r="BJ3370" s="18"/>
      <c r="BK3370" s="18"/>
      <c r="BL3370" s="18"/>
      <c r="BM3370" s="18"/>
      <c r="BN3370" s="18"/>
      <c r="BO3370" s="18"/>
      <c r="BP3370" s="18"/>
      <c r="BQ3370" s="18"/>
      <c r="BR3370" s="18"/>
      <c r="BS3370" s="18"/>
      <c r="BT3370" s="18"/>
      <c r="BU3370" s="18"/>
      <c r="BV3370" s="18"/>
    </row>
    <row r="3371" spans="1:74">
      <c r="A3371" s="18"/>
      <c r="B3371" s="19"/>
      <c r="BG3371" s="18"/>
      <c r="BH3371" s="18"/>
      <c r="BI3371" s="18"/>
      <c r="BJ3371" s="18"/>
      <c r="BK3371" s="18"/>
      <c r="BL3371" s="18"/>
      <c r="BM3371" s="18"/>
      <c r="BN3371" s="18"/>
      <c r="BO3371" s="18"/>
      <c r="BP3371" s="18"/>
      <c r="BQ3371" s="18"/>
      <c r="BR3371" s="18"/>
      <c r="BS3371" s="18"/>
      <c r="BT3371" s="18"/>
      <c r="BU3371" s="18"/>
      <c r="BV3371" s="18"/>
    </row>
    <row r="3372" spans="1:74">
      <c r="A3372" s="18"/>
      <c r="B3372" s="19"/>
      <c r="BG3372" s="18"/>
      <c r="BH3372" s="18"/>
      <c r="BI3372" s="18"/>
      <c r="BJ3372" s="18"/>
      <c r="BK3372" s="18"/>
      <c r="BL3372" s="18"/>
      <c r="BM3372" s="18"/>
      <c r="BN3372" s="18"/>
      <c r="BO3372" s="18"/>
      <c r="BP3372" s="18"/>
      <c r="BQ3372" s="18"/>
      <c r="BR3372" s="18"/>
      <c r="BS3372" s="18"/>
      <c r="BT3372" s="18"/>
      <c r="BU3372" s="18"/>
      <c r="BV3372" s="18"/>
    </row>
    <row r="3373" spans="1:74">
      <c r="A3373" s="18"/>
      <c r="B3373" s="19"/>
      <c r="BG3373" s="18"/>
      <c r="BH3373" s="18"/>
      <c r="BI3373" s="18"/>
      <c r="BJ3373" s="18"/>
      <c r="BK3373" s="18"/>
      <c r="BL3373" s="18"/>
      <c r="BM3373" s="18"/>
      <c r="BN3373" s="18"/>
      <c r="BO3373" s="18"/>
      <c r="BP3373" s="18"/>
      <c r="BQ3373" s="18"/>
      <c r="BR3373" s="18"/>
      <c r="BS3373" s="18"/>
      <c r="BT3373" s="18"/>
      <c r="BU3373" s="18"/>
      <c r="BV3373" s="18"/>
    </row>
    <row r="3374" spans="1:74">
      <c r="A3374" s="18"/>
      <c r="B3374" s="19"/>
      <c r="BG3374" s="18"/>
      <c r="BH3374" s="18"/>
      <c r="BI3374" s="18"/>
      <c r="BJ3374" s="18"/>
      <c r="BK3374" s="18"/>
      <c r="BL3374" s="18"/>
      <c r="BM3374" s="18"/>
      <c r="BN3374" s="18"/>
      <c r="BO3374" s="18"/>
      <c r="BP3374" s="18"/>
      <c r="BQ3374" s="18"/>
      <c r="BR3374" s="18"/>
      <c r="BS3374" s="18"/>
      <c r="BT3374" s="18"/>
      <c r="BU3374" s="18"/>
      <c r="BV3374" s="18"/>
    </row>
    <row r="3375" spans="1:74">
      <c r="A3375" s="18"/>
      <c r="B3375" s="19"/>
      <c r="BG3375" s="18"/>
      <c r="BH3375" s="18"/>
      <c r="BI3375" s="18"/>
      <c r="BJ3375" s="18"/>
      <c r="BK3375" s="18"/>
      <c r="BL3375" s="18"/>
      <c r="BM3375" s="18"/>
      <c r="BN3375" s="18"/>
      <c r="BO3375" s="18"/>
      <c r="BP3375" s="18"/>
      <c r="BQ3375" s="18"/>
      <c r="BR3375" s="18"/>
      <c r="BS3375" s="18"/>
      <c r="BT3375" s="18"/>
      <c r="BU3375" s="18"/>
      <c r="BV3375" s="18"/>
    </row>
    <row r="3376" spans="1:74">
      <c r="A3376" s="18"/>
      <c r="B3376" s="19"/>
      <c r="BG3376" s="18"/>
      <c r="BH3376" s="18"/>
      <c r="BI3376" s="18"/>
      <c r="BJ3376" s="18"/>
      <c r="BK3376" s="18"/>
      <c r="BL3376" s="18"/>
      <c r="BM3376" s="18"/>
      <c r="BN3376" s="18"/>
      <c r="BO3376" s="18"/>
      <c r="BP3376" s="18"/>
      <c r="BQ3376" s="18"/>
      <c r="BR3376" s="18"/>
      <c r="BS3376" s="18"/>
      <c r="BT3376" s="18"/>
      <c r="BU3376" s="18"/>
      <c r="BV3376" s="18"/>
    </row>
    <row r="3377" spans="1:74">
      <c r="A3377" s="18"/>
      <c r="B3377" s="19"/>
      <c r="BG3377" s="18"/>
      <c r="BH3377" s="18"/>
      <c r="BI3377" s="18"/>
      <c r="BJ3377" s="18"/>
      <c r="BK3377" s="18"/>
      <c r="BL3377" s="18"/>
      <c r="BM3377" s="18"/>
      <c r="BN3377" s="18"/>
      <c r="BO3377" s="18"/>
      <c r="BP3377" s="18"/>
      <c r="BQ3377" s="18"/>
      <c r="BR3377" s="18"/>
      <c r="BS3377" s="18"/>
      <c r="BT3377" s="18"/>
      <c r="BU3377" s="18"/>
      <c r="BV3377" s="18"/>
    </row>
    <row r="3378" spans="1:74">
      <c r="A3378" s="18"/>
      <c r="B3378" s="19"/>
      <c r="BG3378" s="18"/>
      <c r="BH3378" s="18"/>
      <c r="BI3378" s="18"/>
      <c r="BJ3378" s="18"/>
      <c r="BK3378" s="18"/>
      <c r="BL3378" s="18"/>
      <c r="BM3378" s="18"/>
      <c r="BN3378" s="18"/>
      <c r="BO3378" s="18"/>
      <c r="BP3378" s="18"/>
      <c r="BQ3378" s="18"/>
      <c r="BR3378" s="18"/>
      <c r="BS3378" s="18"/>
      <c r="BT3378" s="18"/>
      <c r="BU3378" s="18"/>
      <c r="BV3378" s="18"/>
    </row>
    <row r="3379" spans="1:74">
      <c r="A3379" s="18"/>
      <c r="B3379" s="19"/>
      <c r="BG3379" s="18"/>
      <c r="BH3379" s="18"/>
      <c r="BI3379" s="18"/>
      <c r="BJ3379" s="18"/>
      <c r="BK3379" s="18"/>
      <c r="BL3379" s="18"/>
      <c r="BM3379" s="18"/>
      <c r="BN3379" s="18"/>
      <c r="BO3379" s="18"/>
      <c r="BP3379" s="18"/>
      <c r="BQ3379" s="18"/>
      <c r="BR3379" s="18"/>
      <c r="BS3379" s="18"/>
      <c r="BT3379" s="18"/>
      <c r="BU3379" s="18"/>
      <c r="BV3379" s="18"/>
    </row>
    <row r="3380" spans="1:74">
      <c r="A3380" s="18"/>
      <c r="B3380" s="19"/>
      <c r="BG3380" s="18"/>
      <c r="BH3380" s="18"/>
      <c r="BI3380" s="18"/>
      <c r="BJ3380" s="18"/>
      <c r="BK3380" s="18"/>
      <c r="BL3380" s="18"/>
      <c r="BM3380" s="18"/>
      <c r="BN3380" s="18"/>
      <c r="BO3380" s="18"/>
      <c r="BP3380" s="18"/>
      <c r="BQ3380" s="18"/>
      <c r="BR3380" s="18"/>
      <c r="BS3380" s="18"/>
      <c r="BT3380" s="18"/>
      <c r="BU3380" s="18"/>
      <c r="BV3380" s="18"/>
    </row>
    <row r="3381" spans="1:74">
      <c r="A3381" s="18"/>
      <c r="B3381" s="19"/>
      <c r="BG3381" s="18"/>
      <c r="BH3381" s="18"/>
      <c r="BI3381" s="18"/>
      <c r="BJ3381" s="18"/>
      <c r="BK3381" s="18"/>
      <c r="BL3381" s="18"/>
      <c r="BM3381" s="18"/>
      <c r="BN3381" s="18"/>
      <c r="BO3381" s="18"/>
      <c r="BP3381" s="18"/>
      <c r="BQ3381" s="18"/>
      <c r="BR3381" s="18"/>
      <c r="BS3381" s="18"/>
      <c r="BT3381" s="18"/>
      <c r="BU3381" s="18"/>
      <c r="BV3381" s="18"/>
    </row>
    <row r="3382" spans="1:74">
      <c r="A3382" s="18"/>
      <c r="B3382" s="19"/>
      <c r="BG3382" s="18"/>
      <c r="BH3382" s="18"/>
      <c r="BI3382" s="18"/>
      <c r="BJ3382" s="18"/>
      <c r="BK3382" s="18"/>
      <c r="BL3382" s="18"/>
      <c r="BM3382" s="18"/>
      <c r="BN3382" s="18"/>
      <c r="BO3382" s="18"/>
      <c r="BP3382" s="18"/>
      <c r="BQ3382" s="18"/>
      <c r="BR3382" s="18"/>
      <c r="BS3382" s="18"/>
      <c r="BT3382" s="18"/>
      <c r="BU3382" s="18"/>
      <c r="BV3382" s="18"/>
    </row>
    <row r="3383" spans="1:74">
      <c r="A3383" s="18"/>
      <c r="B3383" s="19"/>
      <c r="BG3383" s="18"/>
      <c r="BH3383" s="18"/>
      <c r="BI3383" s="18"/>
      <c r="BJ3383" s="18"/>
      <c r="BK3383" s="18"/>
      <c r="BL3383" s="18"/>
      <c r="BM3383" s="18"/>
      <c r="BN3383" s="18"/>
      <c r="BO3383" s="18"/>
      <c r="BP3383" s="18"/>
      <c r="BQ3383" s="18"/>
      <c r="BR3383" s="18"/>
      <c r="BS3383" s="18"/>
      <c r="BT3383" s="18"/>
      <c r="BU3383" s="18"/>
      <c r="BV3383" s="18"/>
    </row>
    <row r="3384" spans="1:74">
      <c r="A3384" s="18"/>
      <c r="B3384" s="19"/>
      <c r="BG3384" s="18"/>
      <c r="BH3384" s="18"/>
      <c r="BI3384" s="18"/>
      <c r="BJ3384" s="18"/>
      <c r="BK3384" s="18"/>
      <c r="BL3384" s="18"/>
      <c r="BM3384" s="18"/>
      <c r="BN3384" s="18"/>
      <c r="BO3384" s="18"/>
      <c r="BP3384" s="18"/>
      <c r="BQ3384" s="18"/>
      <c r="BR3384" s="18"/>
      <c r="BS3384" s="18"/>
      <c r="BT3384" s="18"/>
      <c r="BU3384" s="18"/>
      <c r="BV3384" s="18"/>
    </row>
    <row r="3385" spans="1:74">
      <c r="A3385" s="18"/>
      <c r="B3385" s="19"/>
      <c r="BG3385" s="18"/>
      <c r="BH3385" s="18"/>
      <c r="BI3385" s="18"/>
      <c r="BJ3385" s="18"/>
      <c r="BK3385" s="18"/>
      <c r="BL3385" s="18"/>
      <c r="BM3385" s="18"/>
      <c r="BN3385" s="18"/>
      <c r="BO3385" s="18"/>
      <c r="BP3385" s="18"/>
      <c r="BQ3385" s="18"/>
      <c r="BR3385" s="18"/>
      <c r="BS3385" s="18"/>
      <c r="BT3385" s="18"/>
      <c r="BU3385" s="18"/>
      <c r="BV3385" s="18"/>
    </row>
    <row r="3386" spans="1:74">
      <c r="A3386" s="18"/>
      <c r="B3386" s="19"/>
      <c r="BG3386" s="18"/>
      <c r="BH3386" s="18"/>
      <c r="BI3386" s="18"/>
      <c r="BJ3386" s="18"/>
      <c r="BK3386" s="18"/>
      <c r="BL3386" s="18"/>
      <c r="BM3386" s="18"/>
      <c r="BN3386" s="18"/>
      <c r="BO3386" s="18"/>
      <c r="BP3386" s="18"/>
      <c r="BQ3386" s="18"/>
      <c r="BR3386" s="18"/>
      <c r="BS3386" s="18"/>
      <c r="BT3386" s="18"/>
      <c r="BU3386" s="18"/>
      <c r="BV3386" s="18"/>
    </row>
    <row r="3387" spans="1:74">
      <c r="A3387" s="18"/>
      <c r="B3387" s="19"/>
      <c r="BG3387" s="18"/>
      <c r="BH3387" s="18"/>
      <c r="BI3387" s="18"/>
      <c r="BJ3387" s="18"/>
      <c r="BK3387" s="18"/>
      <c r="BL3387" s="18"/>
      <c r="BM3387" s="18"/>
      <c r="BN3387" s="18"/>
      <c r="BO3387" s="18"/>
      <c r="BP3387" s="18"/>
      <c r="BQ3387" s="18"/>
      <c r="BR3387" s="18"/>
      <c r="BS3387" s="18"/>
      <c r="BT3387" s="18"/>
      <c r="BU3387" s="18"/>
      <c r="BV3387" s="18"/>
    </row>
    <row r="3388" spans="1:74">
      <c r="A3388" s="18"/>
      <c r="B3388" s="19"/>
      <c r="BG3388" s="18"/>
      <c r="BH3388" s="18"/>
      <c r="BI3388" s="18"/>
      <c r="BJ3388" s="18"/>
      <c r="BK3388" s="18"/>
      <c r="BL3388" s="18"/>
      <c r="BM3388" s="18"/>
      <c r="BN3388" s="18"/>
      <c r="BO3388" s="18"/>
      <c r="BP3388" s="18"/>
      <c r="BQ3388" s="18"/>
      <c r="BR3388" s="18"/>
      <c r="BS3388" s="18"/>
      <c r="BT3388" s="18"/>
      <c r="BU3388" s="18"/>
      <c r="BV3388" s="18"/>
    </row>
    <row r="3389" spans="1:74">
      <c r="A3389" s="18"/>
      <c r="B3389" s="19"/>
      <c r="BG3389" s="18"/>
      <c r="BH3389" s="18"/>
      <c r="BI3389" s="18"/>
      <c r="BJ3389" s="18"/>
      <c r="BK3389" s="18"/>
      <c r="BL3389" s="18"/>
      <c r="BM3389" s="18"/>
      <c r="BN3389" s="18"/>
      <c r="BO3389" s="18"/>
      <c r="BP3389" s="18"/>
      <c r="BQ3389" s="18"/>
      <c r="BR3389" s="18"/>
      <c r="BS3389" s="18"/>
      <c r="BT3389" s="18"/>
      <c r="BU3389" s="18"/>
      <c r="BV3389" s="18"/>
    </row>
    <row r="3390" spans="1:74">
      <c r="A3390" s="18"/>
      <c r="B3390" s="19"/>
      <c r="BG3390" s="18"/>
      <c r="BH3390" s="18"/>
      <c r="BI3390" s="18"/>
      <c r="BJ3390" s="18"/>
      <c r="BK3390" s="18"/>
      <c r="BL3390" s="18"/>
      <c r="BM3390" s="18"/>
      <c r="BN3390" s="18"/>
      <c r="BO3390" s="18"/>
      <c r="BP3390" s="18"/>
      <c r="BQ3390" s="18"/>
      <c r="BR3390" s="18"/>
      <c r="BS3390" s="18"/>
      <c r="BT3390" s="18"/>
      <c r="BU3390" s="18"/>
      <c r="BV3390" s="18"/>
    </row>
    <row r="3391" spans="1:74">
      <c r="A3391" s="18"/>
      <c r="B3391" s="19"/>
      <c r="BG3391" s="18"/>
      <c r="BH3391" s="18"/>
      <c r="BI3391" s="18"/>
      <c r="BJ3391" s="18"/>
      <c r="BK3391" s="18"/>
      <c r="BL3391" s="18"/>
      <c r="BM3391" s="18"/>
      <c r="BN3391" s="18"/>
      <c r="BO3391" s="18"/>
      <c r="BP3391" s="18"/>
      <c r="BQ3391" s="18"/>
      <c r="BR3391" s="18"/>
      <c r="BS3391" s="18"/>
      <c r="BT3391" s="18"/>
      <c r="BU3391" s="18"/>
      <c r="BV3391" s="18"/>
    </row>
    <row r="3392" spans="1:74">
      <c r="A3392" s="18"/>
      <c r="B3392" s="19"/>
      <c r="BG3392" s="18"/>
      <c r="BH3392" s="18"/>
      <c r="BI3392" s="18"/>
      <c r="BJ3392" s="18"/>
      <c r="BK3392" s="18"/>
      <c r="BL3392" s="18"/>
      <c r="BM3392" s="18"/>
      <c r="BN3392" s="18"/>
      <c r="BO3392" s="18"/>
      <c r="BP3392" s="18"/>
      <c r="BQ3392" s="18"/>
      <c r="BR3392" s="18"/>
      <c r="BS3392" s="18"/>
      <c r="BT3392" s="18"/>
      <c r="BU3392" s="18"/>
      <c r="BV3392" s="18"/>
    </row>
    <row r="3393" spans="1:74">
      <c r="A3393" s="18"/>
      <c r="B3393" s="19"/>
      <c r="BG3393" s="18"/>
      <c r="BH3393" s="18"/>
      <c r="BI3393" s="18"/>
      <c r="BJ3393" s="18"/>
      <c r="BK3393" s="18"/>
      <c r="BL3393" s="18"/>
      <c r="BM3393" s="18"/>
      <c r="BN3393" s="18"/>
      <c r="BO3393" s="18"/>
      <c r="BP3393" s="18"/>
      <c r="BQ3393" s="18"/>
      <c r="BR3393" s="18"/>
      <c r="BS3393" s="18"/>
      <c r="BT3393" s="18"/>
      <c r="BU3393" s="18"/>
      <c r="BV3393" s="18"/>
    </row>
    <row r="3394" spans="1:74">
      <c r="A3394" s="18"/>
      <c r="B3394" s="19"/>
      <c r="BG3394" s="18"/>
      <c r="BH3394" s="18"/>
      <c r="BI3394" s="18"/>
      <c r="BJ3394" s="18"/>
      <c r="BK3394" s="18"/>
      <c r="BL3394" s="18"/>
      <c r="BM3394" s="18"/>
      <c r="BN3394" s="18"/>
      <c r="BO3394" s="18"/>
      <c r="BP3394" s="18"/>
      <c r="BQ3394" s="18"/>
      <c r="BR3394" s="18"/>
      <c r="BS3394" s="18"/>
      <c r="BT3394" s="18"/>
      <c r="BU3394" s="18"/>
      <c r="BV3394" s="18"/>
    </row>
    <row r="3395" spans="1:74">
      <c r="A3395" s="18"/>
      <c r="B3395" s="19"/>
      <c r="BG3395" s="18"/>
      <c r="BH3395" s="18"/>
      <c r="BI3395" s="18"/>
      <c r="BJ3395" s="18"/>
      <c r="BK3395" s="18"/>
      <c r="BL3395" s="18"/>
      <c r="BM3395" s="18"/>
      <c r="BN3395" s="18"/>
      <c r="BO3395" s="18"/>
      <c r="BP3395" s="18"/>
      <c r="BQ3395" s="18"/>
      <c r="BR3395" s="18"/>
      <c r="BS3395" s="18"/>
      <c r="BT3395" s="18"/>
      <c r="BU3395" s="18"/>
      <c r="BV3395" s="18"/>
    </row>
    <row r="3396" spans="1:74">
      <c r="A3396" s="18"/>
      <c r="B3396" s="19"/>
      <c r="BG3396" s="18"/>
      <c r="BH3396" s="18"/>
      <c r="BI3396" s="18"/>
      <c r="BJ3396" s="18"/>
      <c r="BK3396" s="18"/>
      <c r="BL3396" s="18"/>
      <c r="BM3396" s="18"/>
      <c r="BN3396" s="18"/>
      <c r="BO3396" s="18"/>
      <c r="BP3396" s="18"/>
      <c r="BQ3396" s="18"/>
      <c r="BR3396" s="18"/>
      <c r="BS3396" s="18"/>
      <c r="BT3396" s="18"/>
      <c r="BU3396" s="18"/>
      <c r="BV3396" s="18"/>
    </row>
    <row r="3397" spans="1:74">
      <c r="A3397" s="18"/>
      <c r="B3397" s="19"/>
      <c r="BG3397" s="18"/>
      <c r="BH3397" s="18"/>
      <c r="BI3397" s="18"/>
      <c r="BJ3397" s="18"/>
      <c r="BK3397" s="18"/>
      <c r="BL3397" s="18"/>
      <c r="BM3397" s="18"/>
      <c r="BN3397" s="18"/>
      <c r="BO3397" s="18"/>
      <c r="BP3397" s="18"/>
      <c r="BQ3397" s="18"/>
      <c r="BR3397" s="18"/>
      <c r="BS3397" s="18"/>
      <c r="BT3397" s="18"/>
      <c r="BU3397" s="18"/>
      <c r="BV3397" s="18"/>
    </row>
    <row r="3398" spans="1:74">
      <c r="A3398" s="18"/>
      <c r="B3398" s="19"/>
      <c r="BG3398" s="18"/>
      <c r="BH3398" s="18"/>
      <c r="BI3398" s="18"/>
      <c r="BJ3398" s="18"/>
      <c r="BK3398" s="18"/>
      <c r="BL3398" s="18"/>
      <c r="BM3398" s="18"/>
      <c r="BN3398" s="18"/>
      <c r="BO3398" s="18"/>
      <c r="BP3398" s="18"/>
      <c r="BQ3398" s="18"/>
      <c r="BR3398" s="18"/>
      <c r="BS3398" s="18"/>
      <c r="BT3398" s="18"/>
      <c r="BU3398" s="18"/>
      <c r="BV3398" s="18"/>
    </row>
    <row r="3399" spans="1:74">
      <c r="A3399" s="18"/>
      <c r="B3399" s="19"/>
      <c r="BG3399" s="18"/>
      <c r="BH3399" s="18"/>
      <c r="BI3399" s="18"/>
      <c r="BJ3399" s="18"/>
      <c r="BK3399" s="18"/>
      <c r="BL3399" s="18"/>
      <c r="BM3399" s="18"/>
      <c r="BN3399" s="18"/>
      <c r="BO3399" s="18"/>
      <c r="BP3399" s="18"/>
      <c r="BQ3399" s="18"/>
      <c r="BR3399" s="18"/>
      <c r="BS3399" s="18"/>
      <c r="BT3399" s="18"/>
      <c r="BU3399" s="18"/>
      <c r="BV3399" s="18"/>
    </row>
    <row r="3400" spans="1:74">
      <c r="A3400" s="18"/>
      <c r="B3400" s="19"/>
      <c r="BG3400" s="18"/>
      <c r="BH3400" s="18"/>
      <c r="BI3400" s="18"/>
      <c r="BJ3400" s="18"/>
      <c r="BK3400" s="18"/>
      <c r="BL3400" s="18"/>
      <c r="BM3400" s="18"/>
      <c r="BN3400" s="18"/>
      <c r="BO3400" s="18"/>
      <c r="BP3400" s="18"/>
      <c r="BQ3400" s="18"/>
      <c r="BR3400" s="18"/>
      <c r="BS3400" s="18"/>
      <c r="BT3400" s="18"/>
      <c r="BU3400" s="18"/>
      <c r="BV3400" s="18"/>
    </row>
    <row r="3401" spans="1:74">
      <c r="A3401" s="18"/>
      <c r="B3401" s="19"/>
      <c r="BG3401" s="18"/>
      <c r="BH3401" s="18"/>
      <c r="BI3401" s="18"/>
      <c r="BJ3401" s="18"/>
      <c r="BK3401" s="18"/>
      <c r="BL3401" s="18"/>
      <c r="BM3401" s="18"/>
      <c r="BN3401" s="18"/>
      <c r="BO3401" s="18"/>
      <c r="BP3401" s="18"/>
      <c r="BQ3401" s="18"/>
      <c r="BR3401" s="18"/>
      <c r="BS3401" s="18"/>
      <c r="BT3401" s="18"/>
      <c r="BU3401" s="18"/>
      <c r="BV3401" s="18"/>
    </row>
    <row r="3402" spans="1:74">
      <c r="A3402" s="18"/>
      <c r="B3402" s="19"/>
      <c r="BG3402" s="18"/>
      <c r="BH3402" s="18"/>
      <c r="BI3402" s="18"/>
      <c r="BJ3402" s="18"/>
      <c r="BK3402" s="18"/>
      <c r="BL3402" s="18"/>
      <c r="BM3402" s="18"/>
      <c r="BN3402" s="18"/>
      <c r="BO3402" s="18"/>
      <c r="BP3402" s="18"/>
      <c r="BQ3402" s="18"/>
      <c r="BR3402" s="18"/>
      <c r="BS3402" s="18"/>
      <c r="BT3402" s="18"/>
      <c r="BU3402" s="18"/>
      <c r="BV3402" s="18"/>
    </row>
    <row r="3403" spans="1:74">
      <c r="A3403" s="18"/>
      <c r="B3403" s="19"/>
      <c r="BG3403" s="18"/>
      <c r="BH3403" s="18"/>
      <c r="BI3403" s="18"/>
      <c r="BJ3403" s="18"/>
      <c r="BK3403" s="18"/>
      <c r="BL3403" s="18"/>
      <c r="BM3403" s="18"/>
      <c r="BN3403" s="18"/>
      <c r="BO3403" s="18"/>
      <c r="BP3403" s="18"/>
      <c r="BQ3403" s="18"/>
      <c r="BR3403" s="18"/>
      <c r="BS3403" s="18"/>
      <c r="BT3403" s="18"/>
      <c r="BU3403" s="18"/>
      <c r="BV3403" s="18"/>
    </row>
    <row r="3404" spans="1:74">
      <c r="A3404" s="18"/>
      <c r="B3404" s="19"/>
      <c r="BG3404" s="18"/>
      <c r="BH3404" s="18"/>
      <c r="BI3404" s="18"/>
      <c r="BJ3404" s="18"/>
      <c r="BK3404" s="18"/>
      <c r="BL3404" s="18"/>
      <c r="BM3404" s="18"/>
      <c r="BN3404" s="18"/>
      <c r="BO3404" s="18"/>
      <c r="BP3404" s="18"/>
      <c r="BQ3404" s="18"/>
      <c r="BR3404" s="18"/>
      <c r="BS3404" s="18"/>
      <c r="BT3404" s="18"/>
      <c r="BU3404" s="18"/>
      <c r="BV3404" s="18"/>
    </row>
    <row r="3405" spans="1:74">
      <c r="A3405" s="18"/>
      <c r="B3405" s="19"/>
      <c r="BG3405" s="18"/>
      <c r="BH3405" s="18"/>
      <c r="BI3405" s="18"/>
      <c r="BJ3405" s="18"/>
      <c r="BK3405" s="18"/>
      <c r="BL3405" s="18"/>
      <c r="BM3405" s="18"/>
      <c r="BN3405" s="18"/>
      <c r="BO3405" s="18"/>
      <c r="BP3405" s="18"/>
      <c r="BQ3405" s="18"/>
      <c r="BR3405" s="18"/>
      <c r="BS3405" s="18"/>
      <c r="BT3405" s="18"/>
      <c r="BU3405" s="18"/>
      <c r="BV3405" s="18"/>
    </row>
    <row r="3406" spans="1:74">
      <c r="A3406" s="18"/>
      <c r="B3406" s="19"/>
      <c r="BG3406" s="18"/>
      <c r="BH3406" s="18"/>
      <c r="BI3406" s="18"/>
      <c r="BJ3406" s="18"/>
      <c r="BK3406" s="18"/>
      <c r="BL3406" s="18"/>
      <c r="BM3406" s="18"/>
      <c r="BN3406" s="18"/>
      <c r="BO3406" s="18"/>
      <c r="BP3406" s="18"/>
      <c r="BQ3406" s="18"/>
      <c r="BR3406" s="18"/>
      <c r="BS3406" s="18"/>
      <c r="BT3406" s="18"/>
      <c r="BU3406" s="18"/>
      <c r="BV3406" s="18"/>
    </row>
    <row r="3407" spans="1:74">
      <c r="A3407" s="18"/>
      <c r="B3407" s="19"/>
      <c r="BG3407" s="18"/>
      <c r="BH3407" s="18"/>
      <c r="BI3407" s="18"/>
      <c r="BJ3407" s="18"/>
      <c r="BK3407" s="18"/>
      <c r="BL3407" s="18"/>
      <c r="BM3407" s="18"/>
      <c r="BN3407" s="18"/>
      <c r="BO3407" s="18"/>
      <c r="BP3407" s="18"/>
      <c r="BQ3407" s="18"/>
      <c r="BR3407" s="18"/>
      <c r="BS3407" s="18"/>
      <c r="BT3407" s="18"/>
      <c r="BU3407" s="18"/>
      <c r="BV3407" s="18"/>
    </row>
    <row r="3408" spans="1:74">
      <c r="A3408" s="18"/>
      <c r="B3408" s="19"/>
      <c r="BG3408" s="18"/>
      <c r="BH3408" s="18"/>
      <c r="BI3408" s="18"/>
      <c r="BJ3408" s="18"/>
      <c r="BK3408" s="18"/>
      <c r="BL3408" s="18"/>
      <c r="BM3408" s="18"/>
      <c r="BN3408" s="18"/>
      <c r="BO3408" s="18"/>
      <c r="BP3408" s="18"/>
      <c r="BQ3408" s="18"/>
      <c r="BR3408" s="18"/>
      <c r="BS3408" s="18"/>
      <c r="BT3408" s="18"/>
      <c r="BU3408" s="18"/>
      <c r="BV3408" s="18"/>
    </row>
    <row r="3409" spans="1:74">
      <c r="A3409" s="18"/>
      <c r="B3409" s="19"/>
      <c r="BG3409" s="18"/>
      <c r="BH3409" s="18"/>
      <c r="BI3409" s="18"/>
      <c r="BJ3409" s="18"/>
      <c r="BK3409" s="18"/>
      <c r="BL3409" s="18"/>
      <c r="BM3409" s="18"/>
      <c r="BN3409" s="18"/>
      <c r="BO3409" s="18"/>
      <c r="BP3409" s="18"/>
      <c r="BQ3409" s="18"/>
      <c r="BR3409" s="18"/>
      <c r="BS3409" s="18"/>
      <c r="BT3409" s="18"/>
      <c r="BU3409" s="18"/>
      <c r="BV3409" s="18"/>
    </row>
    <row r="3410" spans="1:74">
      <c r="A3410" s="18"/>
      <c r="B3410" s="19"/>
      <c r="BG3410" s="18"/>
      <c r="BH3410" s="18"/>
      <c r="BI3410" s="18"/>
      <c r="BJ3410" s="18"/>
      <c r="BK3410" s="18"/>
      <c r="BL3410" s="18"/>
      <c r="BM3410" s="18"/>
      <c r="BN3410" s="18"/>
      <c r="BO3410" s="18"/>
      <c r="BP3410" s="18"/>
      <c r="BQ3410" s="18"/>
      <c r="BR3410" s="18"/>
      <c r="BS3410" s="18"/>
      <c r="BT3410" s="18"/>
      <c r="BU3410" s="18"/>
      <c r="BV3410" s="18"/>
    </row>
    <row r="3411" spans="1:74">
      <c r="A3411" s="18"/>
      <c r="B3411" s="19"/>
      <c r="BG3411" s="18"/>
      <c r="BH3411" s="18"/>
      <c r="BI3411" s="18"/>
      <c r="BJ3411" s="18"/>
      <c r="BK3411" s="18"/>
      <c r="BL3411" s="18"/>
      <c r="BM3411" s="18"/>
      <c r="BN3411" s="18"/>
      <c r="BO3411" s="18"/>
      <c r="BP3411" s="18"/>
      <c r="BQ3411" s="18"/>
      <c r="BR3411" s="18"/>
      <c r="BS3411" s="18"/>
      <c r="BT3411" s="18"/>
      <c r="BU3411" s="18"/>
      <c r="BV3411" s="18"/>
    </row>
    <row r="3412" spans="1:74">
      <c r="A3412" s="18"/>
      <c r="B3412" s="19"/>
      <c r="BG3412" s="18"/>
      <c r="BH3412" s="18"/>
      <c r="BI3412" s="18"/>
      <c r="BJ3412" s="18"/>
      <c r="BK3412" s="18"/>
      <c r="BL3412" s="18"/>
      <c r="BM3412" s="18"/>
      <c r="BN3412" s="18"/>
      <c r="BO3412" s="18"/>
      <c r="BP3412" s="18"/>
      <c r="BQ3412" s="18"/>
      <c r="BR3412" s="18"/>
      <c r="BS3412" s="18"/>
      <c r="BT3412" s="18"/>
      <c r="BU3412" s="18"/>
      <c r="BV3412" s="18"/>
    </row>
    <row r="3413" spans="1:74">
      <c r="A3413" s="18"/>
      <c r="B3413" s="19"/>
      <c r="BG3413" s="18"/>
      <c r="BH3413" s="18"/>
      <c r="BI3413" s="18"/>
      <c r="BJ3413" s="18"/>
      <c r="BK3413" s="18"/>
      <c r="BL3413" s="18"/>
      <c r="BM3413" s="18"/>
      <c r="BN3413" s="18"/>
      <c r="BO3413" s="18"/>
      <c r="BP3413" s="18"/>
      <c r="BQ3413" s="18"/>
      <c r="BR3413" s="18"/>
      <c r="BS3413" s="18"/>
      <c r="BT3413" s="18"/>
      <c r="BU3413" s="18"/>
      <c r="BV3413" s="18"/>
    </row>
    <row r="3414" spans="1:74">
      <c r="A3414" s="18"/>
      <c r="B3414" s="19"/>
      <c r="BG3414" s="18"/>
      <c r="BH3414" s="18"/>
      <c r="BI3414" s="18"/>
      <c r="BJ3414" s="18"/>
      <c r="BK3414" s="18"/>
      <c r="BL3414" s="18"/>
      <c r="BM3414" s="18"/>
      <c r="BN3414" s="18"/>
      <c r="BO3414" s="18"/>
      <c r="BP3414" s="18"/>
      <c r="BQ3414" s="18"/>
      <c r="BR3414" s="18"/>
      <c r="BS3414" s="18"/>
      <c r="BT3414" s="18"/>
      <c r="BU3414" s="18"/>
      <c r="BV3414" s="18"/>
    </row>
    <row r="3415" spans="1:74">
      <c r="A3415" s="18"/>
      <c r="B3415" s="19"/>
      <c r="BG3415" s="18"/>
      <c r="BH3415" s="18"/>
      <c r="BI3415" s="18"/>
      <c r="BJ3415" s="18"/>
      <c r="BK3415" s="18"/>
      <c r="BL3415" s="18"/>
      <c r="BM3415" s="18"/>
      <c r="BN3415" s="18"/>
      <c r="BO3415" s="18"/>
      <c r="BP3415" s="18"/>
      <c r="BQ3415" s="18"/>
      <c r="BR3415" s="18"/>
      <c r="BS3415" s="18"/>
      <c r="BT3415" s="18"/>
      <c r="BU3415" s="18"/>
      <c r="BV3415" s="18"/>
    </row>
    <row r="3416" spans="1:74">
      <c r="A3416" s="18"/>
      <c r="B3416" s="19"/>
      <c r="BG3416" s="18"/>
      <c r="BH3416" s="18"/>
      <c r="BI3416" s="18"/>
      <c r="BJ3416" s="18"/>
      <c r="BK3416" s="18"/>
      <c r="BL3416" s="18"/>
      <c r="BM3416" s="18"/>
      <c r="BN3416" s="18"/>
      <c r="BO3416" s="18"/>
      <c r="BP3416" s="18"/>
      <c r="BQ3416" s="18"/>
      <c r="BR3416" s="18"/>
      <c r="BS3416" s="18"/>
      <c r="BT3416" s="18"/>
      <c r="BU3416" s="18"/>
      <c r="BV3416" s="18"/>
    </row>
    <row r="3417" spans="1:74">
      <c r="A3417" s="18"/>
      <c r="B3417" s="19"/>
      <c r="BG3417" s="18"/>
      <c r="BH3417" s="18"/>
      <c r="BI3417" s="18"/>
      <c r="BJ3417" s="18"/>
      <c r="BK3417" s="18"/>
      <c r="BL3417" s="18"/>
      <c r="BM3417" s="18"/>
      <c r="BN3417" s="18"/>
      <c r="BO3417" s="18"/>
      <c r="BP3417" s="18"/>
      <c r="BQ3417" s="18"/>
      <c r="BR3417" s="18"/>
      <c r="BS3417" s="18"/>
      <c r="BT3417" s="18"/>
      <c r="BU3417" s="18"/>
      <c r="BV3417" s="18"/>
    </row>
    <row r="3418" spans="1:74">
      <c r="A3418" s="18"/>
      <c r="B3418" s="19"/>
      <c r="BG3418" s="18"/>
      <c r="BH3418" s="18"/>
      <c r="BI3418" s="18"/>
      <c r="BJ3418" s="18"/>
      <c r="BK3418" s="18"/>
      <c r="BL3418" s="18"/>
      <c r="BM3418" s="18"/>
      <c r="BN3418" s="18"/>
      <c r="BO3418" s="18"/>
      <c r="BP3418" s="18"/>
      <c r="BQ3418" s="18"/>
      <c r="BR3418" s="18"/>
      <c r="BS3418" s="18"/>
      <c r="BT3418" s="18"/>
      <c r="BU3418" s="18"/>
      <c r="BV3418" s="18"/>
    </row>
    <row r="3419" spans="1:74">
      <c r="A3419" s="18"/>
      <c r="B3419" s="19"/>
      <c r="BG3419" s="18"/>
      <c r="BH3419" s="18"/>
      <c r="BI3419" s="18"/>
      <c r="BJ3419" s="18"/>
      <c r="BK3419" s="18"/>
      <c r="BL3419" s="18"/>
      <c r="BM3419" s="18"/>
      <c r="BN3419" s="18"/>
      <c r="BO3419" s="18"/>
      <c r="BP3419" s="18"/>
      <c r="BQ3419" s="18"/>
      <c r="BR3419" s="18"/>
      <c r="BS3419" s="18"/>
      <c r="BT3419" s="18"/>
      <c r="BU3419" s="18"/>
      <c r="BV3419" s="18"/>
    </row>
    <row r="3420" spans="1:74">
      <c r="A3420" s="18"/>
      <c r="B3420" s="19"/>
      <c r="BG3420" s="18"/>
      <c r="BH3420" s="18"/>
      <c r="BI3420" s="18"/>
      <c r="BJ3420" s="18"/>
      <c r="BK3420" s="18"/>
      <c r="BL3420" s="18"/>
      <c r="BM3420" s="18"/>
      <c r="BN3420" s="18"/>
      <c r="BO3420" s="18"/>
      <c r="BP3420" s="18"/>
      <c r="BQ3420" s="18"/>
      <c r="BR3420" s="18"/>
      <c r="BS3420" s="18"/>
      <c r="BT3420" s="18"/>
      <c r="BU3420" s="18"/>
      <c r="BV3420" s="18"/>
    </row>
    <row r="3421" spans="1:74">
      <c r="A3421" s="18"/>
      <c r="B3421" s="19"/>
      <c r="BG3421" s="18"/>
      <c r="BH3421" s="18"/>
      <c r="BI3421" s="18"/>
      <c r="BJ3421" s="18"/>
      <c r="BK3421" s="18"/>
      <c r="BL3421" s="18"/>
      <c r="BM3421" s="18"/>
      <c r="BN3421" s="18"/>
      <c r="BO3421" s="18"/>
      <c r="BP3421" s="18"/>
      <c r="BQ3421" s="18"/>
      <c r="BR3421" s="18"/>
      <c r="BS3421" s="18"/>
      <c r="BT3421" s="18"/>
      <c r="BU3421" s="18"/>
      <c r="BV3421" s="18"/>
    </row>
    <row r="3422" spans="1:74">
      <c r="A3422" s="18"/>
      <c r="B3422" s="19"/>
      <c r="BG3422" s="18"/>
      <c r="BH3422" s="18"/>
      <c r="BI3422" s="18"/>
      <c r="BJ3422" s="18"/>
      <c r="BK3422" s="18"/>
      <c r="BL3422" s="18"/>
      <c r="BM3422" s="18"/>
      <c r="BN3422" s="18"/>
      <c r="BO3422" s="18"/>
      <c r="BP3422" s="18"/>
      <c r="BQ3422" s="18"/>
      <c r="BR3422" s="18"/>
      <c r="BS3422" s="18"/>
      <c r="BT3422" s="18"/>
      <c r="BU3422" s="18"/>
      <c r="BV3422" s="18"/>
    </row>
    <row r="3423" spans="1:74">
      <c r="A3423" s="18"/>
      <c r="B3423" s="19"/>
      <c r="BG3423" s="18"/>
      <c r="BH3423" s="18"/>
      <c r="BI3423" s="18"/>
      <c r="BJ3423" s="18"/>
      <c r="BK3423" s="18"/>
      <c r="BL3423" s="18"/>
      <c r="BM3423" s="18"/>
      <c r="BN3423" s="18"/>
      <c r="BO3423" s="18"/>
      <c r="BP3423" s="18"/>
      <c r="BQ3423" s="18"/>
      <c r="BR3423" s="18"/>
      <c r="BS3423" s="18"/>
      <c r="BT3423" s="18"/>
      <c r="BU3423" s="18"/>
      <c r="BV3423" s="18"/>
    </row>
    <row r="3424" spans="1:74">
      <c r="A3424" s="18"/>
      <c r="B3424" s="19"/>
      <c r="BG3424" s="18"/>
      <c r="BH3424" s="18"/>
      <c r="BI3424" s="18"/>
      <c r="BJ3424" s="18"/>
      <c r="BK3424" s="18"/>
      <c r="BL3424" s="18"/>
      <c r="BM3424" s="18"/>
      <c r="BN3424" s="18"/>
      <c r="BO3424" s="18"/>
      <c r="BP3424" s="18"/>
      <c r="BQ3424" s="18"/>
      <c r="BR3424" s="18"/>
      <c r="BS3424" s="18"/>
      <c r="BT3424" s="18"/>
      <c r="BU3424" s="18"/>
      <c r="BV3424" s="18"/>
    </row>
    <row r="3425" spans="1:74">
      <c r="A3425" s="18"/>
      <c r="B3425" s="19"/>
      <c r="BG3425" s="18"/>
      <c r="BH3425" s="18"/>
      <c r="BI3425" s="18"/>
      <c r="BJ3425" s="18"/>
      <c r="BK3425" s="18"/>
      <c r="BL3425" s="18"/>
      <c r="BM3425" s="18"/>
      <c r="BN3425" s="18"/>
      <c r="BO3425" s="18"/>
      <c r="BP3425" s="18"/>
      <c r="BQ3425" s="18"/>
      <c r="BR3425" s="18"/>
      <c r="BS3425" s="18"/>
      <c r="BT3425" s="18"/>
      <c r="BU3425" s="18"/>
      <c r="BV3425" s="18"/>
    </row>
    <row r="3426" spans="1:74">
      <c r="A3426" s="18"/>
      <c r="B3426" s="19"/>
      <c r="BG3426" s="18"/>
      <c r="BH3426" s="18"/>
      <c r="BI3426" s="18"/>
      <c r="BJ3426" s="18"/>
      <c r="BK3426" s="18"/>
      <c r="BL3426" s="18"/>
      <c r="BM3426" s="18"/>
      <c r="BN3426" s="18"/>
      <c r="BO3426" s="18"/>
      <c r="BP3426" s="18"/>
      <c r="BQ3426" s="18"/>
      <c r="BR3426" s="18"/>
      <c r="BS3426" s="18"/>
      <c r="BT3426" s="18"/>
      <c r="BU3426" s="18"/>
      <c r="BV3426" s="18"/>
    </row>
    <row r="3427" spans="1:74">
      <c r="A3427" s="18"/>
      <c r="B3427" s="19"/>
      <c r="BG3427" s="18"/>
      <c r="BH3427" s="18"/>
      <c r="BI3427" s="18"/>
      <c r="BJ3427" s="18"/>
      <c r="BK3427" s="18"/>
      <c r="BL3427" s="18"/>
      <c r="BM3427" s="18"/>
      <c r="BN3427" s="18"/>
      <c r="BO3427" s="18"/>
      <c r="BP3427" s="18"/>
      <c r="BQ3427" s="18"/>
      <c r="BR3427" s="18"/>
      <c r="BS3427" s="18"/>
      <c r="BT3427" s="18"/>
      <c r="BU3427" s="18"/>
      <c r="BV3427" s="18"/>
    </row>
    <row r="3428" spans="1:74">
      <c r="A3428" s="18"/>
      <c r="B3428" s="19"/>
      <c r="BG3428" s="18"/>
      <c r="BH3428" s="18"/>
      <c r="BI3428" s="18"/>
      <c r="BJ3428" s="18"/>
      <c r="BK3428" s="18"/>
      <c r="BL3428" s="18"/>
      <c r="BM3428" s="18"/>
      <c r="BN3428" s="18"/>
      <c r="BO3428" s="18"/>
      <c r="BP3428" s="18"/>
      <c r="BQ3428" s="18"/>
      <c r="BR3428" s="18"/>
      <c r="BS3428" s="18"/>
      <c r="BT3428" s="18"/>
      <c r="BU3428" s="18"/>
      <c r="BV3428" s="18"/>
    </row>
    <row r="3429" spans="1:74">
      <c r="A3429" s="18"/>
      <c r="B3429" s="19"/>
      <c r="BG3429" s="18"/>
      <c r="BH3429" s="18"/>
      <c r="BI3429" s="18"/>
      <c r="BJ3429" s="18"/>
      <c r="BK3429" s="18"/>
      <c r="BL3429" s="18"/>
      <c r="BM3429" s="18"/>
      <c r="BN3429" s="18"/>
      <c r="BO3429" s="18"/>
      <c r="BP3429" s="18"/>
      <c r="BQ3429" s="18"/>
      <c r="BR3429" s="18"/>
      <c r="BS3429" s="18"/>
      <c r="BT3429" s="18"/>
      <c r="BU3429" s="18"/>
      <c r="BV3429" s="18"/>
    </row>
    <row r="3430" spans="1:74">
      <c r="A3430" s="18"/>
      <c r="B3430" s="19"/>
      <c r="BG3430" s="18"/>
      <c r="BH3430" s="18"/>
      <c r="BI3430" s="18"/>
      <c r="BJ3430" s="18"/>
      <c r="BK3430" s="18"/>
      <c r="BL3430" s="18"/>
      <c r="BM3430" s="18"/>
      <c r="BN3430" s="18"/>
      <c r="BO3430" s="18"/>
      <c r="BP3430" s="18"/>
      <c r="BQ3430" s="18"/>
      <c r="BR3430" s="18"/>
      <c r="BS3430" s="18"/>
      <c r="BT3430" s="18"/>
      <c r="BU3430" s="18"/>
      <c r="BV3430" s="18"/>
    </row>
    <row r="3431" spans="1:74">
      <c r="A3431" s="18"/>
      <c r="B3431" s="19"/>
      <c r="BG3431" s="18"/>
      <c r="BH3431" s="18"/>
      <c r="BI3431" s="18"/>
      <c r="BJ3431" s="18"/>
      <c r="BK3431" s="18"/>
      <c r="BL3431" s="18"/>
      <c r="BM3431" s="18"/>
      <c r="BN3431" s="18"/>
      <c r="BO3431" s="18"/>
      <c r="BP3431" s="18"/>
      <c r="BQ3431" s="18"/>
      <c r="BR3431" s="18"/>
      <c r="BS3431" s="18"/>
      <c r="BT3431" s="18"/>
      <c r="BU3431" s="18"/>
      <c r="BV3431" s="18"/>
    </row>
    <row r="3432" spans="1:74">
      <c r="A3432" s="18"/>
      <c r="B3432" s="19"/>
      <c r="BG3432" s="18"/>
      <c r="BH3432" s="18"/>
      <c r="BI3432" s="18"/>
      <c r="BJ3432" s="18"/>
      <c r="BK3432" s="18"/>
      <c r="BL3432" s="18"/>
      <c r="BM3432" s="18"/>
      <c r="BN3432" s="18"/>
      <c r="BO3432" s="18"/>
      <c r="BP3432" s="18"/>
      <c r="BQ3432" s="18"/>
      <c r="BR3432" s="18"/>
      <c r="BS3432" s="18"/>
      <c r="BT3432" s="18"/>
      <c r="BU3432" s="18"/>
      <c r="BV3432" s="18"/>
    </row>
    <row r="3433" spans="1:74">
      <c r="A3433" s="18"/>
      <c r="B3433" s="19"/>
      <c r="BG3433" s="18"/>
      <c r="BH3433" s="18"/>
      <c r="BI3433" s="18"/>
      <c r="BJ3433" s="18"/>
      <c r="BK3433" s="18"/>
      <c r="BL3433" s="18"/>
      <c r="BM3433" s="18"/>
      <c r="BN3433" s="18"/>
      <c r="BO3433" s="18"/>
      <c r="BP3433" s="18"/>
      <c r="BQ3433" s="18"/>
      <c r="BR3433" s="18"/>
      <c r="BS3433" s="18"/>
      <c r="BT3433" s="18"/>
      <c r="BU3433" s="18"/>
      <c r="BV3433" s="18"/>
    </row>
    <row r="3434" spans="1:74">
      <c r="A3434" s="18"/>
      <c r="B3434" s="19"/>
      <c r="BG3434" s="18"/>
      <c r="BH3434" s="18"/>
      <c r="BI3434" s="18"/>
      <c r="BJ3434" s="18"/>
      <c r="BK3434" s="18"/>
      <c r="BL3434" s="18"/>
      <c r="BM3434" s="18"/>
      <c r="BN3434" s="18"/>
      <c r="BO3434" s="18"/>
      <c r="BP3434" s="18"/>
      <c r="BQ3434" s="18"/>
      <c r="BR3434" s="18"/>
      <c r="BS3434" s="18"/>
      <c r="BT3434" s="18"/>
      <c r="BU3434" s="18"/>
      <c r="BV3434" s="18"/>
    </row>
    <row r="3435" spans="1:74">
      <c r="A3435" s="18"/>
      <c r="B3435" s="19"/>
      <c r="BG3435" s="18"/>
      <c r="BH3435" s="18"/>
      <c r="BI3435" s="18"/>
      <c r="BJ3435" s="18"/>
      <c r="BK3435" s="18"/>
      <c r="BL3435" s="18"/>
      <c r="BM3435" s="18"/>
      <c r="BN3435" s="18"/>
      <c r="BO3435" s="18"/>
      <c r="BP3435" s="18"/>
      <c r="BQ3435" s="18"/>
      <c r="BR3435" s="18"/>
      <c r="BS3435" s="18"/>
      <c r="BT3435" s="18"/>
      <c r="BU3435" s="18"/>
      <c r="BV3435" s="18"/>
    </row>
    <row r="3436" spans="1:74">
      <c r="A3436" s="18"/>
      <c r="B3436" s="19"/>
      <c r="BG3436" s="18"/>
      <c r="BH3436" s="18"/>
      <c r="BI3436" s="18"/>
      <c r="BJ3436" s="18"/>
      <c r="BK3436" s="18"/>
      <c r="BL3436" s="18"/>
      <c r="BM3436" s="18"/>
      <c r="BN3436" s="18"/>
      <c r="BO3436" s="18"/>
      <c r="BP3436" s="18"/>
      <c r="BQ3436" s="18"/>
      <c r="BR3436" s="18"/>
      <c r="BS3436" s="18"/>
      <c r="BT3436" s="18"/>
      <c r="BU3436" s="18"/>
      <c r="BV3436" s="18"/>
    </row>
    <row r="3437" spans="1:74">
      <c r="A3437" s="18"/>
      <c r="B3437" s="19"/>
      <c r="BG3437" s="18"/>
      <c r="BH3437" s="18"/>
      <c r="BI3437" s="18"/>
      <c r="BJ3437" s="18"/>
      <c r="BK3437" s="18"/>
      <c r="BL3437" s="18"/>
      <c r="BM3437" s="18"/>
      <c r="BN3437" s="18"/>
      <c r="BO3437" s="18"/>
      <c r="BP3437" s="18"/>
      <c r="BQ3437" s="18"/>
      <c r="BR3437" s="18"/>
      <c r="BS3437" s="18"/>
      <c r="BT3437" s="18"/>
      <c r="BU3437" s="18"/>
      <c r="BV3437" s="18"/>
    </row>
    <row r="3438" spans="1:74">
      <c r="A3438" s="18"/>
      <c r="B3438" s="19"/>
      <c r="BG3438" s="18"/>
      <c r="BH3438" s="18"/>
      <c r="BI3438" s="18"/>
      <c r="BJ3438" s="18"/>
      <c r="BK3438" s="18"/>
      <c r="BL3438" s="18"/>
      <c r="BM3438" s="18"/>
      <c r="BN3438" s="18"/>
      <c r="BO3438" s="18"/>
      <c r="BP3438" s="18"/>
      <c r="BQ3438" s="18"/>
      <c r="BR3438" s="18"/>
      <c r="BS3438" s="18"/>
      <c r="BT3438" s="18"/>
      <c r="BU3438" s="18"/>
      <c r="BV3438" s="18"/>
    </row>
    <row r="3439" spans="1:74">
      <c r="A3439" s="18"/>
      <c r="B3439" s="19"/>
      <c r="BG3439" s="18"/>
      <c r="BH3439" s="18"/>
      <c r="BI3439" s="18"/>
      <c r="BJ3439" s="18"/>
      <c r="BK3439" s="18"/>
      <c r="BL3439" s="18"/>
      <c r="BM3439" s="18"/>
      <c r="BN3439" s="18"/>
      <c r="BO3439" s="18"/>
      <c r="BP3439" s="18"/>
      <c r="BQ3439" s="18"/>
      <c r="BR3439" s="18"/>
      <c r="BS3439" s="18"/>
      <c r="BT3439" s="18"/>
      <c r="BU3439" s="18"/>
      <c r="BV3439" s="18"/>
    </row>
    <row r="3440" spans="1:74">
      <c r="A3440" s="18"/>
      <c r="B3440" s="19"/>
      <c r="BG3440" s="18"/>
      <c r="BH3440" s="18"/>
      <c r="BI3440" s="18"/>
      <c r="BJ3440" s="18"/>
      <c r="BK3440" s="18"/>
      <c r="BL3440" s="18"/>
      <c r="BM3440" s="18"/>
      <c r="BN3440" s="18"/>
      <c r="BO3440" s="18"/>
      <c r="BP3440" s="18"/>
      <c r="BQ3440" s="18"/>
      <c r="BR3440" s="18"/>
      <c r="BS3440" s="18"/>
      <c r="BT3440" s="18"/>
      <c r="BU3440" s="18"/>
      <c r="BV3440" s="18"/>
    </row>
    <row r="3441" spans="1:74">
      <c r="A3441" s="18"/>
      <c r="B3441" s="19"/>
      <c r="BG3441" s="18"/>
      <c r="BH3441" s="18"/>
      <c r="BI3441" s="18"/>
      <c r="BJ3441" s="18"/>
      <c r="BK3441" s="18"/>
      <c r="BL3441" s="18"/>
      <c r="BM3441" s="18"/>
      <c r="BN3441" s="18"/>
      <c r="BO3441" s="18"/>
      <c r="BP3441" s="18"/>
      <c r="BQ3441" s="18"/>
      <c r="BR3441" s="18"/>
      <c r="BS3441" s="18"/>
      <c r="BT3441" s="18"/>
      <c r="BU3441" s="18"/>
      <c r="BV3441" s="18"/>
    </row>
    <row r="3442" spans="1:74">
      <c r="A3442" s="18"/>
      <c r="B3442" s="19"/>
      <c r="BG3442" s="18"/>
      <c r="BH3442" s="18"/>
      <c r="BI3442" s="18"/>
      <c r="BJ3442" s="18"/>
      <c r="BK3442" s="18"/>
      <c r="BL3442" s="18"/>
      <c r="BM3442" s="18"/>
      <c r="BN3442" s="18"/>
      <c r="BO3442" s="18"/>
      <c r="BP3442" s="18"/>
      <c r="BQ3442" s="18"/>
      <c r="BR3442" s="18"/>
      <c r="BS3442" s="18"/>
      <c r="BT3442" s="18"/>
      <c r="BU3442" s="18"/>
      <c r="BV3442" s="18"/>
    </row>
    <row r="3443" spans="1:74">
      <c r="A3443" s="18"/>
      <c r="B3443" s="19"/>
      <c r="BG3443" s="18"/>
      <c r="BH3443" s="18"/>
      <c r="BI3443" s="18"/>
      <c r="BJ3443" s="18"/>
      <c r="BK3443" s="18"/>
      <c r="BL3443" s="18"/>
      <c r="BM3443" s="18"/>
      <c r="BN3443" s="18"/>
      <c r="BO3443" s="18"/>
      <c r="BP3443" s="18"/>
      <c r="BQ3443" s="18"/>
      <c r="BR3443" s="18"/>
      <c r="BS3443" s="18"/>
      <c r="BT3443" s="18"/>
      <c r="BU3443" s="18"/>
      <c r="BV3443" s="18"/>
    </row>
    <row r="3444" spans="1:74">
      <c r="A3444" s="18"/>
      <c r="B3444" s="19"/>
      <c r="BG3444" s="18"/>
      <c r="BH3444" s="18"/>
      <c r="BI3444" s="18"/>
      <c r="BJ3444" s="18"/>
      <c r="BK3444" s="18"/>
      <c r="BL3444" s="18"/>
      <c r="BM3444" s="18"/>
      <c r="BN3444" s="18"/>
      <c r="BO3444" s="18"/>
      <c r="BP3444" s="18"/>
      <c r="BQ3444" s="18"/>
      <c r="BR3444" s="18"/>
      <c r="BS3444" s="18"/>
      <c r="BT3444" s="18"/>
      <c r="BU3444" s="18"/>
      <c r="BV3444" s="18"/>
    </row>
    <row r="3445" spans="1:74">
      <c r="A3445" s="18"/>
      <c r="B3445" s="19"/>
      <c r="BG3445" s="18"/>
      <c r="BH3445" s="18"/>
      <c r="BI3445" s="18"/>
      <c r="BJ3445" s="18"/>
      <c r="BK3445" s="18"/>
      <c r="BL3445" s="18"/>
      <c r="BM3445" s="18"/>
      <c r="BN3445" s="18"/>
      <c r="BO3445" s="18"/>
      <c r="BP3445" s="18"/>
      <c r="BQ3445" s="18"/>
      <c r="BR3445" s="18"/>
      <c r="BS3445" s="18"/>
      <c r="BT3445" s="18"/>
      <c r="BU3445" s="18"/>
      <c r="BV3445" s="18"/>
    </row>
    <row r="3446" spans="1:74">
      <c r="A3446" s="18"/>
      <c r="B3446" s="19"/>
      <c r="BG3446" s="18"/>
      <c r="BH3446" s="18"/>
      <c r="BI3446" s="18"/>
      <c r="BJ3446" s="18"/>
      <c r="BK3446" s="18"/>
      <c r="BL3446" s="18"/>
      <c r="BM3446" s="18"/>
      <c r="BN3446" s="18"/>
      <c r="BO3446" s="18"/>
      <c r="BP3446" s="18"/>
      <c r="BQ3446" s="18"/>
      <c r="BR3446" s="18"/>
      <c r="BS3446" s="18"/>
      <c r="BT3446" s="18"/>
      <c r="BU3446" s="18"/>
      <c r="BV3446" s="18"/>
    </row>
    <row r="3447" spans="1:74">
      <c r="A3447" s="18"/>
      <c r="B3447" s="19"/>
      <c r="BG3447" s="18"/>
      <c r="BH3447" s="18"/>
      <c r="BI3447" s="18"/>
      <c r="BJ3447" s="18"/>
      <c r="BK3447" s="18"/>
      <c r="BL3447" s="18"/>
      <c r="BM3447" s="18"/>
      <c r="BN3447" s="18"/>
      <c r="BO3447" s="18"/>
      <c r="BP3447" s="18"/>
      <c r="BQ3447" s="18"/>
      <c r="BR3447" s="18"/>
      <c r="BS3447" s="18"/>
      <c r="BT3447" s="18"/>
      <c r="BU3447" s="18"/>
      <c r="BV3447" s="18"/>
    </row>
    <row r="3448" spans="1:74">
      <c r="A3448" s="18"/>
      <c r="B3448" s="19"/>
      <c r="BG3448" s="18"/>
      <c r="BH3448" s="18"/>
      <c r="BI3448" s="18"/>
      <c r="BJ3448" s="18"/>
      <c r="BK3448" s="18"/>
      <c r="BL3448" s="18"/>
      <c r="BM3448" s="18"/>
      <c r="BN3448" s="18"/>
      <c r="BO3448" s="18"/>
      <c r="BP3448" s="18"/>
      <c r="BQ3448" s="18"/>
      <c r="BR3448" s="18"/>
      <c r="BS3448" s="18"/>
      <c r="BT3448" s="18"/>
      <c r="BU3448" s="18"/>
      <c r="BV3448" s="18"/>
    </row>
    <row r="3449" spans="1:74">
      <c r="A3449" s="18"/>
      <c r="B3449" s="19"/>
      <c r="BG3449" s="18"/>
      <c r="BH3449" s="18"/>
      <c r="BI3449" s="18"/>
      <c r="BJ3449" s="18"/>
      <c r="BK3449" s="18"/>
      <c r="BL3449" s="18"/>
      <c r="BM3449" s="18"/>
      <c r="BN3449" s="18"/>
      <c r="BO3449" s="18"/>
      <c r="BP3449" s="18"/>
      <c r="BQ3449" s="18"/>
      <c r="BR3449" s="18"/>
      <c r="BS3449" s="18"/>
      <c r="BT3449" s="18"/>
      <c r="BU3449" s="18"/>
      <c r="BV3449" s="18"/>
    </row>
    <row r="3450" spans="1:74">
      <c r="A3450" s="18"/>
      <c r="B3450" s="19"/>
      <c r="BG3450" s="18"/>
      <c r="BH3450" s="18"/>
      <c r="BI3450" s="18"/>
      <c r="BJ3450" s="18"/>
      <c r="BK3450" s="18"/>
      <c r="BL3450" s="18"/>
      <c r="BM3450" s="18"/>
      <c r="BN3450" s="18"/>
      <c r="BO3450" s="18"/>
      <c r="BP3450" s="18"/>
      <c r="BQ3450" s="18"/>
      <c r="BR3450" s="18"/>
      <c r="BS3450" s="18"/>
      <c r="BT3450" s="18"/>
      <c r="BU3450" s="18"/>
      <c r="BV3450" s="18"/>
    </row>
    <row r="3451" spans="1:74">
      <c r="A3451" s="18"/>
      <c r="B3451" s="19"/>
      <c r="BG3451" s="18"/>
      <c r="BH3451" s="18"/>
      <c r="BI3451" s="18"/>
      <c r="BJ3451" s="18"/>
      <c r="BK3451" s="18"/>
      <c r="BL3451" s="18"/>
      <c r="BM3451" s="18"/>
      <c r="BN3451" s="18"/>
      <c r="BO3451" s="18"/>
      <c r="BP3451" s="18"/>
      <c r="BQ3451" s="18"/>
      <c r="BR3451" s="18"/>
      <c r="BS3451" s="18"/>
      <c r="BT3451" s="18"/>
      <c r="BU3451" s="18"/>
      <c r="BV3451" s="18"/>
    </row>
    <row r="3452" spans="1:74">
      <c r="A3452" s="18"/>
      <c r="B3452" s="19"/>
      <c r="BG3452" s="18"/>
      <c r="BH3452" s="18"/>
      <c r="BI3452" s="18"/>
      <c r="BJ3452" s="18"/>
      <c r="BK3452" s="18"/>
      <c r="BL3452" s="18"/>
      <c r="BM3452" s="18"/>
      <c r="BN3452" s="18"/>
      <c r="BO3452" s="18"/>
      <c r="BP3452" s="18"/>
      <c r="BQ3452" s="18"/>
      <c r="BR3452" s="18"/>
      <c r="BS3452" s="18"/>
      <c r="BT3452" s="18"/>
      <c r="BU3452" s="18"/>
      <c r="BV3452" s="18"/>
    </row>
    <row r="3453" spans="1:74">
      <c r="A3453" s="18"/>
      <c r="B3453" s="19"/>
      <c r="BG3453" s="18"/>
      <c r="BH3453" s="18"/>
      <c r="BI3453" s="18"/>
      <c r="BJ3453" s="18"/>
      <c r="BK3453" s="18"/>
      <c r="BL3453" s="18"/>
      <c r="BM3453" s="18"/>
      <c r="BN3453" s="18"/>
      <c r="BO3453" s="18"/>
      <c r="BP3453" s="18"/>
      <c r="BQ3453" s="18"/>
      <c r="BR3453" s="18"/>
      <c r="BS3453" s="18"/>
      <c r="BT3453" s="18"/>
      <c r="BU3453" s="18"/>
      <c r="BV3453" s="18"/>
    </row>
    <row r="3454" spans="1:74">
      <c r="A3454" s="18"/>
      <c r="B3454" s="19"/>
      <c r="BG3454" s="18"/>
      <c r="BH3454" s="18"/>
      <c r="BI3454" s="18"/>
      <c r="BJ3454" s="18"/>
      <c r="BK3454" s="18"/>
      <c r="BL3454" s="18"/>
      <c r="BM3454" s="18"/>
      <c r="BN3454" s="18"/>
      <c r="BO3454" s="18"/>
      <c r="BP3454" s="18"/>
      <c r="BQ3454" s="18"/>
      <c r="BR3454" s="18"/>
      <c r="BS3454" s="18"/>
      <c r="BT3454" s="18"/>
      <c r="BU3454" s="18"/>
      <c r="BV3454" s="18"/>
    </row>
    <row r="3455" spans="1:74">
      <c r="A3455" s="18"/>
      <c r="B3455" s="19"/>
      <c r="BG3455" s="18"/>
      <c r="BH3455" s="18"/>
      <c r="BI3455" s="18"/>
      <c r="BJ3455" s="18"/>
      <c r="BK3455" s="18"/>
      <c r="BL3455" s="18"/>
      <c r="BM3455" s="18"/>
      <c r="BN3455" s="18"/>
      <c r="BO3455" s="18"/>
      <c r="BP3455" s="18"/>
      <c r="BQ3455" s="18"/>
      <c r="BR3455" s="18"/>
      <c r="BS3455" s="18"/>
      <c r="BT3455" s="18"/>
      <c r="BU3455" s="18"/>
      <c r="BV3455" s="18"/>
    </row>
    <row r="3456" spans="1:74">
      <c r="A3456" s="18"/>
      <c r="B3456" s="19"/>
      <c r="BG3456" s="18"/>
      <c r="BH3456" s="18"/>
      <c r="BI3456" s="18"/>
      <c r="BJ3456" s="18"/>
      <c r="BK3456" s="18"/>
      <c r="BL3456" s="18"/>
      <c r="BM3456" s="18"/>
      <c r="BN3456" s="18"/>
      <c r="BO3456" s="18"/>
      <c r="BP3456" s="18"/>
      <c r="BQ3456" s="18"/>
      <c r="BR3456" s="18"/>
      <c r="BS3456" s="18"/>
      <c r="BT3456" s="18"/>
      <c r="BU3456" s="18"/>
      <c r="BV3456" s="18"/>
    </row>
    <row r="3457" spans="1:74">
      <c r="A3457" s="18"/>
      <c r="B3457" s="19"/>
      <c r="BG3457" s="18"/>
      <c r="BH3457" s="18"/>
      <c r="BI3457" s="18"/>
      <c r="BJ3457" s="18"/>
      <c r="BK3457" s="18"/>
      <c r="BL3457" s="18"/>
      <c r="BM3457" s="18"/>
      <c r="BN3457" s="18"/>
      <c r="BO3457" s="18"/>
      <c r="BP3457" s="18"/>
      <c r="BQ3457" s="18"/>
      <c r="BR3457" s="18"/>
      <c r="BS3457" s="18"/>
      <c r="BT3457" s="18"/>
      <c r="BU3457" s="18"/>
      <c r="BV3457" s="18"/>
    </row>
    <row r="3458" spans="1:74">
      <c r="A3458" s="18"/>
      <c r="B3458" s="19"/>
      <c r="BG3458" s="18"/>
      <c r="BH3458" s="18"/>
      <c r="BI3458" s="18"/>
      <c r="BJ3458" s="18"/>
      <c r="BK3458" s="18"/>
      <c r="BL3458" s="18"/>
      <c r="BM3458" s="18"/>
      <c r="BN3458" s="18"/>
      <c r="BO3458" s="18"/>
      <c r="BP3458" s="18"/>
      <c r="BQ3458" s="18"/>
      <c r="BR3458" s="18"/>
      <c r="BS3458" s="18"/>
      <c r="BT3458" s="18"/>
      <c r="BU3458" s="18"/>
      <c r="BV3458" s="18"/>
    </row>
    <row r="3459" spans="1:74">
      <c r="A3459" s="18"/>
      <c r="B3459" s="19"/>
      <c r="BG3459" s="18"/>
      <c r="BH3459" s="18"/>
      <c r="BI3459" s="18"/>
      <c r="BJ3459" s="18"/>
      <c r="BK3459" s="18"/>
      <c r="BL3459" s="18"/>
      <c r="BM3459" s="18"/>
      <c r="BN3459" s="18"/>
      <c r="BO3459" s="18"/>
      <c r="BP3459" s="18"/>
      <c r="BQ3459" s="18"/>
      <c r="BR3459" s="18"/>
      <c r="BS3459" s="18"/>
      <c r="BT3459" s="18"/>
      <c r="BU3459" s="18"/>
      <c r="BV3459" s="18"/>
    </row>
    <row r="3460" spans="1:74">
      <c r="A3460" s="18"/>
      <c r="B3460" s="19"/>
      <c r="BG3460" s="18"/>
      <c r="BH3460" s="18"/>
      <c r="BI3460" s="18"/>
      <c r="BJ3460" s="18"/>
      <c r="BK3460" s="18"/>
      <c r="BL3460" s="18"/>
      <c r="BM3460" s="18"/>
      <c r="BN3460" s="18"/>
      <c r="BO3460" s="18"/>
      <c r="BP3460" s="18"/>
      <c r="BQ3460" s="18"/>
      <c r="BR3460" s="18"/>
      <c r="BS3460" s="18"/>
      <c r="BT3460" s="18"/>
      <c r="BU3460" s="18"/>
      <c r="BV3460" s="18"/>
    </row>
    <row r="3461" spans="1:74">
      <c r="A3461" s="18"/>
      <c r="B3461" s="19"/>
      <c r="BG3461" s="18"/>
      <c r="BH3461" s="18"/>
      <c r="BI3461" s="18"/>
      <c r="BJ3461" s="18"/>
      <c r="BK3461" s="18"/>
      <c r="BL3461" s="18"/>
      <c r="BM3461" s="18"/>
      <c r="BN3461" s="18"/>
      <c r="BO3461" s="18"/>
      <c r="BP3461" s="18"/>
      <c r="BQ3461" s="18"/>
      <c r="BR3461" s="18"/>
      <c r="BS3461" s="18"/>
      <c r="BT3461" s="18"/>
      <c r="BU3461" s="18"/>
      <c r="BV3461" s="18"/>
    </row>
    <row r="3462" spans="1:74">
      <c r="A3462" s="18"/>
      <c r="B3462" s="19"/>
      <c r="BG3462" s="18"/>
      <c r="BH3462" s="18"/>
      <c r="BI3462" s="18"/>
      <c r="BJ3462" s="18"/>
      <c r="BK3462" s="18"/>
      <c r="BL3462" s="18"/>
      <c r="BM3462" s="18"/>
      <c r="BN3462" s="18"/>
      <c r="BO3462" s="18"/>
      <c r="BP3462" s="18"/>
      <c r="BQ3462" s="18"/>
      <c r="BR3462" s="18"/>
      <c r="BS3462" s="18"/>
      <c r="BT3462" s="18"/>
      <c r="BU3462" s="18"/>
      <c r="BV3462" s="18"/>
    </row>
    <row r="3463" spans="1:74">
      <c r="A3463" s="18"/>
      <c r="B3463" s="19"/>
      <c r="BG3463" s="18"/>
      <c r="BH3463" s="18"/>
      <c r="BI3463" s="18"/>
      <c r="BJ3463" s="18"/>
      <c r="BK3463" s="18"/>
      <c r="BL3463" s="18"/>
      <c r="BM3463" s="18"/>
      <c r="BN3463" s="18"/>
      <c r="BO3463" s="18"/>
      <c r="BP3463" s="18"/>
      <c r="BQ3463" s="18"/>
      <c r="BR3463" s="18"/>
      <c r="BS3463" s="18"/>
      <c r="BT3463" s="18"/>
      <c r="BU3463" s="18"/>
      <c r="BV3463" s="18"/>
    </row>
    <row r="3464" spans="1:74">
      <c r="A3464" s="18"/>
      <c r="B3464" s="19"/>
      <c r="BG3464" s="18"/>
      <c r="BH3464" s="18"/>
      <c r="BI3464" s="18"/>
      <c r="BJ3464" s="18"/>
      <c r="BK3464" s="18"/>
      <c r="BL3464" s="18"/>
      <c r="BM3464" s="18"/>
      <c r="BN3464" s="18"/>
      <c r="BO3464" s="18"/>
      <c r="BP3464" s="18"/>
      <c r="BQ3464" s="18"/>
      <c r="BR3464" s="18"/>
      <c r="BS3464" s="18"/>
      <c r="BT3464" s="18"/>
      <c r="BU3464" s="18"/>
      <c r="BV3464" s="18"/>
    </row>
    <row r="3465" spans="1:74">
      <c r="A3465" s="18"/>
      <c r="B3465" s="19"/>
      <c r="BG3465" s="18"/>
      <c r="BH3465" s="18"/>
      <c r="BI3465" s="18"/>
      <c r="BJ3465" s="18"/>
      <c r="BK3465" s="18"/>
      <c r="BL3465" s="18"/>
      <c r="BM3465" s="18"/>
      <c r="BN3465" s="18"/>
      <c r="BO3465" s="18"/>
      <c r="BP3465" s="18"/>
      <c r="BQ3465" s="18"/>
      <c r="BR3465" s="18"/>
      <c r="BS3465" s="18"/>
      <c r="BT3465" s="18"/>
      <c r="BU3465" s="18"/>
      <c r="BV3465" s="18"/>
    </row>
    <row r="3466" spans="1:74">
      <c r="A3466" s="18"/>
      <c r="B3466" s="19"/>
      <c r="BG3466" s="18"/>
      <c r="BH3466" s="18"/>
      <c r="BI3466" s="18"/>
      <c r="BJ3466" s="18"/>
      <c r="BK3466" s="18"/>
      <c r="BL3466" s="18"/>
      <c r="BM3466" s="18"/>
      <c r="BN3466" s="18"/>
      <c r="BO3466" s="18"/>
      <c r="BP3466" s="18"/>
      <c r="BQ3466" s="18"/>
      <c r="BR3466" s="18"/>
      <c r="BS3466" s="18"/>
      <c r="BT3466" s="18"/>
      <c r="BU3466" s="18"/>
      <c r="BV3466" s="18"/>
    </row>
    <row r="3467" spans="1:74">
      <c r="A3467" s="18"/>
      <c r="B3467" s="19"/>
      <c r="BG3467" s="18"/>
      <c r="BH3467" s="18"/>
      <c r="BI3467" s="18"/>
      <c r="BJ3467" s="18"/>
      <c r="BK3467" s="18"/>
      <c r="BL3467" s="18"/>
      <c r="BM3467" s="18"/>
      <c r="BN3467" s="18"/>
      <c r="BO3467" s="18"/>
      <c r="BP3467" s="18"/>
      <c r="BQ3467" s="18"/>
      <c r="BR3467" s="18"/>
      <c r="BS3467" s="18"/>
      <c r="BT3467" s="18"/>
      <c r="BU3467" s="18"/>
      <c r="BV3467" s="18"/>
    </row>
    <row r="3468" spans="1:74">
      <c r="A3468" s="18"/>
      <c r="B3468" s="19"/>
      <c r="BG3468" s="18"/>
      <c r="BH3468" s="18"/>
      <c r="BI3468" s="18"/>
      <c r="BJ3468" s="18"/>
      <c r="BK3468" s="18"/>
      <c r="BL3468" s="18"/>
      <c r="BM3468" s="18"/>
      <c r="BN3468" s="18"/>
      <c r="BO3468" s="18"/>
      <c r="BP3468" s="18"/>
      <c r="BQ3468" s="18"/>
      <c r="BR3468" s="18"/>
      <c r="BS3468" s="18"/>
      <c r="BT3468" s="18"/>
      <c r="BU3468" s="18"/>
      <c r="BV3468" s="18"/>
    </row>
    <row r="3469" spans="1:74">
      <c r="A3469" s="18"/>
      <c r="B3469" s="19"/>
      <c r="BG3469" s="18"/>
      <c r="BH3469" s="18"/>
      <c r="BI3469" s="18"/>
      <c r="BJ3469" s="18"/>
      <c r="BK3469" s="18"/>
      <c r="BL3469" s="18"/>
      <c r="BM3469" s="18"/>
      <c r="BN3469" s="18"/>
      <c r="BO3469" s="18"/>
      <c r="BP3469" s="18"/>
      <c r="BQ3469" s="18"/>
      <c r="BR3469" s="18"/>
      <c r="BS3469" s="18"/>
      <c r="BT3469" s="18"/>
      <c r="BU3469" s="18"/>
      <c r="BV3469" s="18"/>
    </row>
    <row r="3470" spans="1:74">
      <c r="A3470" s="18"/>
      <c r="B3470" s="19"/>
      <c r="BG3470" s="18"/>
      <c r="BH3470" s="18"/>
      <c r="BI3470" s="18"/>
      <c r="BJ3470" s="18"/>
      <c r="BK3470" s="18"/>
      <c r="BL3470" s="18"/>
      <c r="BM3470" s="18"/>
      <c r="BN3470" s="18"/>
      <c r="BO3470" s="18"/>
      <c r="BP3470" s="18"/>
      <c r="BQ3470" s="18"/>
      <c r="BR3470" s="18"/>
      <c r="BS3470" s="18"/>
      <c r="BT3470" s="18"/>
      <c r="BU3470" s="18"/>
      <c r="BV3470" s="18"/>
    </row>
    <row r="3471" spans="1:74">
      <c r="A3471" s="18"/>
      <c r="B3471" s="19"/>
      <c r="BG3471" s="18"/>
      <c r="BH3471" s="18"/>
      <c r="BI3471" s="18"/>
      <c r="BJ3471" s="18"/>
      <c r="BK3471" s="18"/>
      <c r="BL3471" s="18"/>
      <c r="BM3471" s="18"/>
      <c r="BN3471" s="18"/>
      <c r="BO3471" s="18"/>
      <c r="BP3471" s="18"/>
      <c r="BQ3471" s="18"/>
      <c r="BR3471" s="18"/>
      <c r="BS3471" s="18"/>
      <c r="BT3471" s="18"/>
      <c r="BU3471" s="18"/>
      <c r="BV3471" s="18"/>
    </row>
    <row r="3472" spans="1:74">
      <c r="A3472" s="18"/>
      <c r="B3472" s="19"/>
      <c r="BG3472" s="18"/>
      <c r="BH3472" s="18"/>
      <c r="BI3472" s="18"/>
      <c r="BJ3472" s="18"/>
      <c r="BK3472" s="18"/>
      <c r="BL3472" s="18"/>
      <c r="BM3472" s="18"/>
      <c r="BN3472" s="18"/>
      <c r="BO3472" s="18"/>
      <c r="BP3472" s="18"/>
      <c r="BQ3472" s="18"/>
      <c r="BR3472" s="18"/>
      <c r="BS3472" s="18"/>
      <c r="BT3472" s="18"/>
      <c r="BU3472" s="18"/>
      <c r="BV3472" s="18"/>
    </row>
    <row r="3473" spans="1:74">
      <c r="A3473" s="18"/>
      <c r="B3473" s="19"/>
      <c r="BG3473" s="18"/>
      <c r="BH3473" s="18"/>
      <c r="BI3473" s="18"/>
      <c r="BJ3473" s="18"/>
      <c r="BK3473" s="18"/>
      <c r="BL3473" s="18"/>
      <c r="BM3473" s="18"/>
      <c r="BN3473" s="18"/>
      <c r="BO3473" s="18"/>
      <c r="BP3473" s="18"/>
      <c r="BQ3473" s="18"/>
      <c r="BR3473" s="18"/>
      <c r="BS3473" s="18"/>
      <c r="BT3473" s="18"/>
      <c r="BU3473" s="18"/>
      <c r="BV3473" s="18"/>
    </row>
    <row r="3474" spans="1:74">
      <c r="A3474" s="18"/>
      <c r="B3474" s="19"/>
      <c r="BG3474" s="18"/>
      <c r="BH3474" s="18"/>
      <c r="BI3474" s="18"/>
      <c r="BJ3474" s="18"/>
      <c r="BK3474" s="18"/>
      <c r="BL3474" s="18"/>
      <c r="BM3474" s="18"/>
      <c r="BN3474" s="18"/>
      <c r="BO3474" s="18"/>
      <c r="BP3474" s="18"/>
      <c r="BQ3474" s="18"/>
      <c r="BR3474" s="18"/>
      <c r="BS3474" s="18"/>
      <c r="BT3474" s="18"/>
      <c r="BU3474" s="18"/>
      <c r="BV3474" s="18"/>
    </row>
    <row r="3475" spans="1:74">
      <c r="A3475" s="18"/>
      <c r="B3475" s="19"/>
      <c r="BG3475" s="18"/>
      <c r="BH3475" s="18"/>
      <c r="BI3475" s="18"/>
      <c r="BJ3475" s="18"/>
      <c r="BK3475" s="18"/>
      <c r="BL3475" s="18"/>
      <c r="BM3475" s="18"/>
      <c r="BN3475" s="18"/>
      <c r="BO3475" s="18"/>
      <c r="BP3475" s="18"/>
      <c r="BQ3475" s="18"/>
      <c r="BR3475" s="18"/>
      <c r="BS3475" s="18"/>
      <c r="BT3475" s="18"/>
      <c r="BU3475" s="18"/>
      <c r="BV3475" s="18"/>
    </row>
    <row r="3476" spans="1:74">
      <c r="A3476" s="18"/>
      <c r="B3476" s="19"/>
      <c r="BG3476" s="18"/>
      <c r="BH3476" s="18"/>
      <c r="BI3476" s="18"/>
      <c r="BJ3476" s="18"/>
      <c r="BK3476" s="18"/>
      <c r="BL3476" s="18"/>
      <c r="BM3476" s="18"/>
      <c r="BN3476" s="18"/>
      <c r="BO3476" s="18"/>
      <c r="BP3476" s="18"/>
      <c r="BQ3476" s="18"/>
      <c r="BR3476" s="18"/>
      <c r="BS3476" s="18"/>
      <c r="BT3476" s="18"/>
      <c r="BU3476" s="18"/>
      <c r="BV3476" s="18"/>
    </row>
    <row r="3477" spans="1:74">
      <c r="A3477" s="18"/>
      <c r="B3477" s="19"/>
      <c r="BG3477" s="18"/>
      <c r="BH3477" s="18"/>
      <c r="BI3477" s="18"/>
      <c r="BJ3477" s="18"/>
      <c r="BK3477" s="18"/>
      <c r="BL3477" s="18"/>
      <c r="BM3477" s="18"/>
      <c r="BN3477" s="18"/>
      <c r="BO3477" s="18"/>
      <c r="BP3477" s="18"/>
      <c r="BQ3477" s="18"/>
      <c r="BR3477" s="18"/>
      <c r="BS3477" s="18"/>
      <c r="BT3477" s="18"/>
      <c r="BU3477" s="18"/>
      <c r="BV3477" s="18"/>
    </row>
    <row r="3478" spans="1:74">
      <c r="A3478" s="18"/>
      <c r="B3478" s="19"/>
      <c r="BG3478" s="18"/>
      <c r="BH3478" s="18"/>
      <c r="BI3478" s="18"/>
      <c r="BJ3478" s="18"/>
      <c r="BK3478" s="18"/>
      <c r="BL3478" s="18"/>
      <c r="BM3478" s="18"/>
      <c r="BN3478" s="18"/>
      <c r="BO3478" s="18"/>
      <c r="BP3478" s="18"/>
      <c r="BQ3478" s="18"/>
      <c r="BR3478" s="18"/>
      <c r="BS3478" s="18"/>
      <c r="BT3478" s="18"/>
      <c r="BU3478" s="18"/>
      <c r="BV3478" s="18"/>
    </row>
    <row r="3479" spans="1:74">
      <c r="A3479" s="18"/>
      <c r="B3479" s="19"/>
      <c r="BG3479" s="18"/>
      <c r="BH3479" s="18"/>
      <c r="BI3479" s="18"/>
      <c r="BJ3479" s="18"/>
      <c r="BK3479" s="18"/>
      <c r="BL3479" s="18"/>
      <c r="BM3479" s="18"/>
      <c r="BN3479" s="18"/>
      <c r="BO3479" s="18"/>
      <c r="BP3479" s="18"/>
      <c r="BQ3479" s="18"/>
      <c r="BR3479" s="18"/>
      <c r="BS3479" s="18"/>
      <c r="BT3479" s="18"/>
      <c r="BU3479" s="18"/>
      <c r="BV3479" s="18"/>
    </row>
    <row r="3480" spans="1:74">
      <c r="A3480" s="18"/>
      <c r="B3480" s="19"/>
      <c r="BG3480" s="18"/>
      <c r="BH3480" s="18"/>
      <c r="BI3480" s="18"/>
      <c r="BJ3480" s="18"/>
      <c r="BK3480" s="18"/>
      <c r="BL3480" s="18"/>
      <c r="BM3480" s="18"/>
      <c r="BN3480" s="18"/>
      <c r="BO3480" s="18"/>
      <c r="BP3480" s="18"/>
      <c r="BQ3480" s="18"/>
      <c r="BR3480" s="18"/>
      <c r="BS3480" s="18"/>
      <c r="BT3480" s="18"/>
      <c r="BU3480" s="18"/>
      <c r="BV3480" s="18"/>
    </row>
    <row r="3481" spans="1:74">
      <c r="A3481" s="18"/>
      <c r="B3481" s="19"/>
      <c r="BG3481" s="18"/>
      <c r="BH3481" s="18"/>
      <c r="BI3481" s="18"/>
      <c r="BJ3481" s="18"/>
      <c r="BK3481" s="18"/>
      <c r="BL3481" s="18"/>
      <c r="BM3481" s="18"/>
      <c r="BN3481" s="18"/>
      <c r="BO3481" s="18"/>
      <c r="BP3481" s="18"/>
      <c r="BQ3481" s="18"/>
      <c r="BR3481" s="18"/>
      <c r="BS3481" s="18"/>
      <c r="BT3481" s="18"/>
      <c r="BU3481" s="18"/>
      <c r="BV3481" s="18"/>
    </row>
    <row r="3482" spans="1:74">
      <c r="A3482" s="18"/>
      <c r="B3482" s="19"/>
      <c r="BG3482" s="18"/>
      <c r="BH3482" s="18"/>
      <c r="BI3482" s="18"/>
      <c r="BJ3482" s="18"/>
      <c r="BK3482" s="18"/>
      <c r="BL3482" s="18"/>
      <c r="BM3482" s="18"/>
      <c r="BN3482" s="18"/>
      <c r="BO3482" s="18"/>
      <c r="BP3482" s="18"/>
      <c r="BQ3482" s="18"/>
      <c r="BR3482" s="18"/>
      <c r="BS3482" s="18"/>
      <c r="BT3482" s="18"/>
      <c r="BU3482" s="18"/>
      <c r="BV3482" s="18"/>
    </row>
    <row r="3483" spans="1:74">
      <c r="A3483" s="18"/>
      <c r="B3483" s="19"/>
      <c r="BG3483" s="18"/>
      <c r="BH3483" s="18"/>
      <c r="BI3483" s="18"/>
      <c r="BJ3483" s="18"/>
      <c r="BK3483" s="18"/>
      <c r="BL3483" s="18"/>
      <c r="BM3483" s="18"/>
      <c r="BN3483" s="18"/>
      <c r="BO3483" s="18"/>
      <c r="BP3483" s="18"/>
      <c r="BQ3483" s="18"/>
      <c r="BR3483" s="18"/>
      <c r="BS3483" s="18"/>
      <c r="BT3483" s="18"/>
      <c r="BU3483" s="18"/>
      <c r="BV3483" s="18"/>
    </row>
    <row r="3484" spans="1:74">
      <c r="A3484" s="18"/>
      <c r="B3484" s="19"/>
      <c r="BG3484" s="18"/>
      <c r="BH3484" s="18"/>
      <c r="BI3484" s="18"/>
      <c r="BJ3484" s="18"/>
      <c r="BK3484" s="18"/>
      <c r="BL3484" s="18"/>
      <c r="BM3484" s="18"/>
      <c r="BN3484" s="18"/>
      <c r="BO3484" s="18"/>
      <c r="BP3484" s="18"/>
      <c r="BQ3484" s="18"/>
      <c r="BR3484" s="18"/>
      <c r="BS3484" s="18"/>
      <c r="BT3484" s="18"/>
      <c r="BU3484" s="18"/>
      <c r="BV3484" s="18"/>
    </row>
    <row r="3485" spans="1:74">
      <c r="A3485" s="18"/>
      <c r="B3485" s="19"/>
      <c r="BG3485" s="18"/>
      <c r="BH3485" s="18"/>
      <c r="BI3485" s="18"/>
      <c r="BJ3485" s="18"/>
      <c r="BK3485" s="18"/>
      <c r="BL3485" s="18"/>
      <c r="BM3485" s="18"/>
      <c r="BN3485" s="18"/>
      <c r="BO3485" s="18"/>
      <c r="BP3485" s="18"/>
      <c r="BQ3485" s="18"/>
      <c r="BR3485" s="18"/>
      <c r="BS3485" s="18"/>
      <c r="BT3485" s="18"/>
      <c r="BU3485" s="18"/>
      <c r="BV3485" s="18"/>
    </row>
    <row r="3486" spans="1:74">
      <c r="A3486" s="18"/>
      <c r="B3486" s="19"/>
      <c r="BG3486" s="18"/>
      <c r="BH3486" s="18"/>
      <c r="BI3486" s="18"/>
      <c r="BJ3486" s="18"/>
      <c r="BK3486" s="18"/>
      <c r="BL3486" s="18"/>
      <c r="BM3486" s="18"/>
      <c r="BN3486" s="18"/>
      <c r="BO3486" s="18"/>
      <c r="BP3486" s="18"/>
      <c r="BQ3486" s="18"/>
      <c r="BR3486" s="18"/>
      <c r="BS3486" s="18"/>
      <c r="BT3486" s="18"/>
      <c r="BU3486" s="18"/>
      <c r="BV3486" s="18"/>
    </row>
    <row r="3487" spans="1:74">
      <c r="A3487" s="18"/>
      <c r="B3487" s="19"/>
      <c r="BG3487" s="18"/>
      <c r="BH3487" s="18"/>
      <c r="BI3487" s="18"/>
      <c r="BJ3487" s="18"/>
      <c r="BK3487" s="18"/>
      <c r="BL3487" s="18"/>
      <c r="BM3487" s="18"/>
      <c r="BN3487" s="18"/>
      <c r="BO3487" s="18"/>
      <c r="BP3487" s="18"/>
      <c r="BQ3487" s="18"/>
      <c r="BR3487" s="18"/>
      <c r="BS3487" s="18"/>
      <c r="BT3487" s="18"/>
      <c r="BU3487" s="18"/>
      <c r="BV3487" s="18"/>
    </row>
    <row r="3488" spans="1:74">
      <c r="A3488" s="18"/>
      <c r="B3488" s="19"/>
      <c r="BG3488" s="18"/>
      <c r="BH3488" s="18"/>
      <c r="BI3488" s="18"/>
      <c r="BJ3488" s="18"/>
      <c r="BK3488" s="18"/>
      <c r="BL3488" s="18"/>
      <c r="BM3488" s="18"/>
      <c r="BN3488" s="18"/>
      <c r="BO3488" s="18"/>
      <c r="BP3488" s="18"/>
      <c r="BQ3488" s="18"/>
      <c r="BR3488" s="18"/>
      <c r="BS3488" s="18"/>
      <c r="BT3488" s="18"/>
      <c r="BU3488" s="18"/>
      <c r="BV3488" s="18"/>
    </row>
    <row r="3489" spans="1:74">
      <c r="A3489" s="18"/>
      <c r="B3489" s="19"/>
      <c r="BG3489" s="18"/>
      <c r="BH3489" s="18"/>
      <c r="BI3489" s="18"/>
      <c r="BJ3489" s="18"/>
      <c r="BK3489" s="18"/>
      <c r="BL3489" s="18"/>
      <c r="BM3489" s="18"/>
      <c r="BN3489" s="18"/>
      <c r="BO3489" s="18"/>
      <c r="BP3489" s="18"/>
      <c r="BQ3489" s="18"/>
      <c r="BR3489" s="18"/>
      <c r="BS3489" s="18"/>
      <c r="BT3489" s="18"/>
      <c r="BU3489" s="18"/>
      <c r="BV3489" s="18"/>
    </row>
    <row r="3490" spans="1:74">
      <c r="A3490" s="18"/>
      <c r="B3490" s="19"/>
      <c r="BG3490" s="18"/>
      <c r="BH3490" s="18"/>
      <c r="BI3490" s="18"/>
      <c r="BJ3490" s="18"/>
      <c r="BK3490" s="18"/>
      <c r="BL3490" s="18"/>
      <c r="BM3490" s="18"/>
      <c r="BN3490" s="18"/>
      <c r="BO3490" s="18"/>
      <c r="BP3490" s="18"/>
      <c r="BQ3490" s="18"/>
      <c r="BR3490" s="18"/>
      <c r="BS3490" s="18"/>
      <c r="BT3490" s="18"/>
      <c r="BU3490" s="18"/>
      <c r="BV3490" s="18"/>
    </row>
    <row r="3491" spans="1:74">
      <c r="A3491" s="18"/>
      <c r="B3491" s="19"/>
      <c r="BG3491" s="18"/>
      <c r="BH3491" s="18"/>
      <c r="BI3491" s="18"/>
      <c r="BJ3491" s="18"/>
      <c r="BK3491" s="18"/>
      <c r="BL3491" s="18"/>
      <c r="BM3491" s="18"/>
      <c r="BN3491" s="18"/>
      <c r="BO3491" s="18"/>
      <c r="BP3491" s="18"/>
      <c r="BQ3491" s="18"/>
      <c r="BR3491" s="18"/>
      <c r="BS3491" s="18"/>
      <c r="BT3491" s="18"/>
      <c r="BU3491" s="18"/>
      <c r="BV3491" s="18"/>
    </row>
    <row r="3492" spans="1:74">
      <c r="A3492" s="18"/>
      <c r="B3492" s="19"/>
      <c r="BG3492" s="18"/>
      <c r="BH3492" s="18"/>
      <c r="BI3492" s="18"/>
      <c r="BJ3492" s="18"/>
      <c r="BK3492" s="18"/>
      <c r="BL3492" s="18"/>
      <c r="BM3492" s="18"/>
      <c r="BN3492" s="18"/>
      <c r="BO3492" s="18"/>
      <c r="BP3492" s="18"/>
      <c r="BQ3492" s="18"/>
      <c r="BR3492" s="18"/>
      <c r="BS3492" s="18"/>
      <c r="BT3492" s="18"/>
      <c r="BU3492" s="18"/>
      <c r="BV3492" s="18"/>
    </row>
    <row r="3493" spans="1:74">
      <c r="A3493" s="18"/>
      <c r="B3493" s="19"/>
      <c r="BG3493" s="18"/>
      <c r="BH3493" s="18"/>
      <c r="BI3493" s="18"/>
      <c r="BJ3493" s="18"/>
      <c r="BK3493" s="18"/>
      <c r="BL3493" s="18"/>
      <c r="BM3493" s="18"/>
      <c r="BN3493" s="18"/>
      <c r="BO3493" s="18"/>
      <c r="BP3493" s="18"/>
      <c r="BQ3493" s="18"/>
      <c r="BR3493" s="18"/>
      <c r="BS3493" s="18"/>
      <c r="BT3493" s="18"/>
      <c r="BU3493" s="18"/>
      <c r="BV3493" s="18"/>
    </row>
    <row r="3494" spans="1:74">
      <c r="A3494" s="18"/>
      <c r="B3494" s="19"/>
      <c r="BG3494" s="18"/>
      <c r="BH3494" s="18"/>
      <c r="BI3494" s="18"/>
      <c r="BJ3494" s="18"/>
      <c r="BK3494" s="18"/>
      <c r="BL3494" s="18"/>
      <c r="BM3494" s="18"/>
      <c r="BN3494" s="18"/>
      <c r="BO3494" s="18"/>
      <c r="BP3494" s="18"/>
      <c r="BQ3494" s="18"/>
      <c r="BR3494" s="18"/>
      <c r="BS3494" s="18"/>
      <c r="BT3494" s="18"/>
      <c r="BU3494" s="18"/>
      <c r="BV3494" s="18"/>
    </row>
    <row r="3495" spans="1:74">
      <c r="A3495" s="18"/>
      <c r="B3495" s="19"/>
      <c r="BG3495" s="18"/>
      <c r="BH3495" s="18"/>
      <c r="BI3495" s="18"/>
      <c r="BJ3495" s="18"/>
      <c r="BK3495" s="18"/>
      <c r="BL3495" s="18"/>
      <c r="BM3495" s="18"/>
      <c r="BN3495" s="18"/>
      <c r="BO3495" s="18"/>
      <c r="BP3495" s="18"/>
      <c r="BQ3495" s="18"/>
      <c r="BR3495" s="18"/>
      <c r="BS3495" s="18"/>
      <c r="BT3495" s="18"/>
      <c r="BU3495" s="18"/>
      <c r="BV3495" s="18"/>
    </row>
    <row r="3496" spans="1:74">
      <c r="A3496" s="18"/>
      <c r="B3496" s="19"/>
      <c r="BG3496" s="18"/>
      <c r="BH3496" s="18"/>
      <c r="BI3496" s="18"/>
      <c r="BJ3496" s="18"/>
      <c r="BK3496" s="18"/>
      <c r="BL3496" s="18"/>
      <c r="BM3496" s="18"/>
      <c r="BN3496" s="18"/>
      <c r="BO3496" s="18"/>
      <c r="BP3496" s="18"/>
      <c r="BQ3496" s="18"/>
      <c r="BR3496" s="18"/>
      <c r="BS3496" s="18"/>
      <c r="BT3496" s="18"/>
      <c r="BU3496" s="18"/>
      <c r="BV3496" s="18"/>
    </row>
    <row r="3497" spans="1:74">
      <c r="A3497" s="18"/>
      <c r="B3497" s="19"/>
      <c r="BG3497" s="18"/>
      <c r="BH3497" s="18"/>
      <c r="BI3497" s="18"/>
      <c r="BJ3497" s="18"/>
      <c r="BK3497" s="18"/>
      <c r="BL3497" s="18"/>
      <c r="BM3497" s="18"/>
      <c r="BN3497" s="18"/>
      <c r="BO3497" s="18"/>
      <c r="BP3497" s="18"/>
      <c r="BQ3497" s="18"/>
      <c r="BR3497" s="18"/>
      <c r="BS3497" s="18"/>
      <c r="BT3497" s="18"/>
      <c r="BU3497" s="18"/>
      <c r="BV3497" s="18"/>
    </row>
    <row r="3498" spans="1:74">
      <c r="A3498" s="18"/>
      <c r="B3498" s="19"/>
      <c r="BG3498" s="18"/>
      <c r="BH3498" s="18"/>
      <c r="BI3498" s="18"/>
      <c r="BJ3498" s="18"/>
      <c r="BK3498" s="18"/>
      <c r="BL3498" s="18"/>
      <c r="BM3498" s="18"/>
      <c r="BN3498" s="18"/>
      <c r="BO3498" s="18"/>
      <c r="BP3498" s="18"/>
      <c r="BQ3498" s="18"/>
      <c r="BR3498" s="18"/>
      <c r="BS3498" s="18"/>
      <c r="BT3498" s="18"/>
      <c r="BU3498" s="18"/>
      <c r="BV3498" s="18"/>
    </row>
    <row r="3499" spans="1:74">
      <c r="A3499" s="18"/>
      <c r="B3499" s="19"/>
      <c r="BG3499" s="18"/>
      <c r="BH3499" s="18"/>
      <c r="BI3499" s="18"/>
      <c r="BJ3499" s="18"/>
      <c r="BK3499" s="18"/>
      <c r="BL3499" s="18"/>
      <c r="BM3499" s="18"/>
      <c r="BN3499" s="18"/>
      <c r="BO3499" s="18"/>
      <c r="BP3499" s="18"/>
      <c r="BQ3499" s="18"/>
      <c r="BR3499" s="18"/>
      <c r="BS3499" s="18"/>
      <c r="BT3499" s="18"/>
      <c r="BU3499" s="18"/>
      <c r="BV3499" s="18"/>
    </row>
    <row r="3500" spans="1:74">
      <c r="A3500" s="18"/>
      <c r="B3500" s="19"/>
      <c r="BG3500" s="18"/>
      <c r="BH3500" s="18"/>
      <c r="BI3500" s="18"/>
      <c r="BJ3500" s="18"/>
      <c r="BK3500" s="18"/>
      <c r="BL3500" s="18"/>
      <c r="BM3500" s="18"/>
      <c r="BN3500" s="18"/>
      <c r="BO3500" s="18"/>
      <c r="BP3500" s="18"/>
      <c r="BQ3500" s="18"/>
      <c r="BR3500" s="18"/>
      <c r="BS3500" s="18"/>
      <c r="BT3500" s="18"/>
      <c r="BU3500" s="18"/>
      <c r="BV3500" s="18"/>
    </row>
    <row r="3501" spans="1:74">
      <c r="A3501" s="18"/>
      <c r="B3501" s="19"/>
      <c r="BG3501" s="18"/>
      <c r="BH3501" s="18"/>
      <c r="BI3501" s="18"/>
      <c r="BJ3501" s="18"/>
      <c r="BK3501" s="18"/>
      <c r="BL3501" s="18"/>
      <c r="BM3501" s="18"/>
      <c r="BN3501" s="18"/>
      <c r="BO3501" s="18"/>
      <c r="BP3501" s="18"/>
      <c r="BQ3501" s="18"/>
      <c r="BR3501" s="18"/>
      <c r="BS3501" s="18"/>
      <c r="BT3501" s="18"/>
      <c r="BU3501" s="18"/>
      <c r="BV3501" s="18"/>
    </row>
    <row r="3502" spans="1:74">
      <c r="A3502" s="18"/>
      <c r="B3502" s="19"/>
      <c r="BG3502" s="18"/>
      <c r="BH3502" s="18"/>
      <c r="BI3502" s="18"/>
      <c r="BJ3502" s="18"/>
      <c r="BK3502" s="18"/>
      <c r="BL3502" s="18"/>
      <c r="BM3502" s="18"/>
      <c r="BN3502" s="18"/>
      <c r="BO3502" s="18"/>
      <c r="BP3502" s="18"/>
      <c r="BQ3502" s="18"/>
      <c r="BR3502" s="18"/>
      <c r="BS3502" s="18"/>
      <c r="BT3502" s="18"/>
      <c r="BU3502" s="18"/>
      <c r="BV3502" s="18"/>
    </row>
    <row r="3503" spans="1:74">
      <c r="A3503" s="18"/>
      <c r="B3503" s="19"/>
      <c r="BG3503" s="18"/>
      <c r="BH3503" s="18"/>
      <c r="BI3503" s="18"/>
      <c r="BJ3503" s="18"/>
      <c r="BK3503" s="18"/>
      <c r="BL3503" s="18"/>
      <c r="BM3503" s="18"/>
      <c r="BN3503" s="18"/>
      <c r="BO3503" s="18"/>
      <c r="BP3503" s="18"/>
      <c r="BQ3503" s="18"/>
      <c r="BR3503" s="18"/>
      <c r="BS3503" s="18"/>
      <c r="BT3503" s="18"/>
      <c r="BU3503" s="18"/>
      <c r="BV3503" s="18"/>
    </row>
    <row r="3504" spans="1:74">
      <c r="A3504" s="18"/>
      <c r="B3504" s="19"/>
      <c r="BG3504" s="18"/>
      <c r="BH3504" s="18"/>
      <c r="BI3504" s="18"/>
      <c r="BJ3504" s="18"/>
      <c r="BK3504" s="18"/>
      <c r="BL3504" s="18"/>
      <c r="BM3504" s="18"/>
      <c r="BN3504" s="18"/>
      <c r="BO3504" s="18"/>
      <c r="BP3504" s="18"/>
      <c r="BQ3504" s="18"/>
      <c r="BR3504" s="18"/>
      <c r="BS3504" s="18"/>
      <c r="BT3504" s="18"/>
      <c r="BU3504" s="18"/>
      <c r="BV3504" s="18"/>
    </row>
    <row r="3505" spans="1:74">
      <c r="A3505" s="18"/>
      <c r="B3505" s="19"/>
      <c r="BG3505" s="18"/>
      <c r="BH3505" s="18"/>
      <c r="BI3505" s="18"/>
      <c r="BJ3505" s="18"/>
      <c r="BK3505" s="18"/>
      <c r="BL3505" s="18"/>
      <c r="BM3505" s="18"/>
      <c r="BN3505" s="18"/>
      <c r="BO3505" s="18"/>
      <c r="BP3505" s="18"/>
      <c r="BQ3505" s="18"/>
      <c r="BR3505" s="18"/>
      <c r="BS3505" s="18"/>
      <c r="BT3505" s="18"/>
      <c r="BU3505" s="18"/>
      <c r="BV3505" s="18"/>
    </row>
    <row r="3506" spans="1:74">
      <c r="A3506" s="18"/>
      <c r="B3506" s="19"/>
      <c r="BG3506" s="18"/>
      <c r="BH3506" s="18"/>
      <c r="BI3506" s="18"/>
      <c r="BJ3506" s="18"/>
      <c r="BK3506" s="18"/>
      <c r="BL3506" s="18"/>
      <c r="BM3506" s="18"/>
      <c r="BN3506" s="18"/>
      <c r="BO3506" s="18"/>
      <c r="BP3506" s="18"/>
      <c r="BQ3506" s="18"/>
      <c r="BR3506" s="18"/>
      <c r="BS3506" s="18"/>
      <c r="BT3506" s="18"/>
      <c r="BU3506" s="18"/>
      <c r="BV3506" s="18"/>
    </row>
    <row r="3507" spans="1:74">
      <c r="A3507" s="18"/>
      <c r="B3507" s="19"/>
      <c r="BG3507" s="18"/>
      <c r="BH3507" s="18"/>
      <c r="BI3507" s="18"/>
      <c r="BJ3507" s="18"/>
      <c r="BK3507" s="18"/>
      <c r="BL3507" s="18"/>
      <c r="BM3507" s="18"/>
      <c r="BN3507" s="18"/>
      <c r="BO3507" s="18"/>
      <c r="BP3507" s="18"/>
      <c r="BQ3507" s="18"/>
      <c r="BR3507" s="18"/>
      <c r="BS3507" s="18"/>
      <c r="BT3507" s="18"/>
      <c r="BU3507" s="18"/>
      <c r="BV3507" s="18"/>
    </row>
    <row r="3508" spans="1:74">
      <c r="A3508" s="18"/>
      <c r="B3508" s="19"/>
      <c r="BG3508" s="18"/>
      <c r="BH3508" s="18"/>
      <c r="BI3508" s="18"/>
      <c r="BJ3508" s="18"/>
      <c r="BK3508" s="18"/>
      <c r="BL3508" s="18"/>
      <c r="BM3508" s="18"/>
      <c r="BN3508" s="18"/>
      <c r="BO3508" s="18"/>
      <c r="BP3508" s="18"/>
      <c r="BQ3508" s="18"/>
      <c r="BR3508" s="18"/>
      <c r="BS3508" s="18"/>
      <c r="BT3508" s="18"/>
      <c r="BU3508" s="18"/>
      <c r="BV3508" s="18"/>
    </row>
    <row r="3509" spans="1:74">
      <c r="A3509" s="18"/>
      <c r="B3509" s="19"/>
      <c r="BG3509" s="18"/>
      <c r="BH3509" s="18"/>
      <c r="BI3509" s="18"/>
      <c r="BJ3509" s="18"/>
      <c r="BK3509" s="18"/>
      <c r="BL3509" s="18"/>
      <c r="BM3509" s="18"/>
      <c r="BN3509" s="18"/>
      <c r="BO3509" s="18"/>
      <c r="BP3509" s="18"/>
      <c r="BQ3509" s="18"/>
      <c r="BR3509" s="18"/>
      <c r="BS3509" s="18"/>
      <c r="BT3509" s="18"/>
      <c r="BU3509" s="18"/>
      <c r="BV3509" s="18"/>
    </row>
    <row r="3510" spans="1:74">
      <c r="A3510" s="18"/>
      <c r="B3510" s="19"/>
      <c r="BG3510" s="18"/>
      <c r="BH3510" s="18"/>
      <c r="BI3510" s="18"/>
      <c r="BJ3510" s="18"/>
      <c r="BK3510" s="18"/>
      <c r="BL3510" s="18"/>
      <c r="BM3510" s="18"/>
      <c r="BN3510" s="18"/>
      <c r="BO3510" s="18"/>
      <c r="BP3510" s="18"/>
      <c r="BQ3510" s="18"/>
      <c r="BR3510" s="18"/>
      <c r="BS3510" s="18"/>
      <c r="BT3510" s="18"/>
      <c r="BU3510" s="18"/>
      <c r="BV3510" s="18"/>
    </row>
    <row r="3511" spans="1:74">
      <c r="A3511" s="18"/>
      <c r="B3511" s="19"/>
      <c r="BG3511" s="18"/>
      <c r="BH3511" s="18"/>
      <c r="BI3511" s="18"/>
      <c r="BJ3511" s="18"/>
      <c r="BK3511" s="18"/>
      <c r="BL3511" s="18"/>
      <c r="BM3511" s="18"/>
      <c r="BN3511" s="18"/>
      <c r="BO3511" s="18"/>
      <c r="BP3511" s="18"/>
      <c r="BQ3511" s="18"/>
      <c r="BR3511" s="18"/>
      <c r="BS3511" s="18"/>
      <c r="BT3511" s="18"/>
      <c r="BU3511" s="18"/>
      <c r="BV3511" s="18"/>
    </row>
    <row r="3512" spans="1:74">
      <c r="A3512" s="18"/>
      <c r="B3512" s="19"/>
      <c r="BG3512" s="18"/>
      <c r="BH3512" s="18"/>
      <c r="BI3512" s="18"/>
      <c r="BJ3512" s="18"/>
      <c r="BK3512" s="18"/>
      <c r="BL3512" s="18"/>
      <c r="BM3512" s="18"/>
      <c r="BN3512" s="18"/>
      <c r="BO3512" s="18"/>
      <c r="BP3512" s="18"/>
      <c r="BQ3512" s="18"/>
      <c r="BR3512" s="18"/>
      <c r="BS3512" s="18"/>
      <c r="BT3512" s="18"/>
      <c r="BU3512" s="18"/>
      <c r="BV3512" s="18"/>
    </row>
    <row r="3513" spans="1:74">
      <c r="A3513" s="18"/>
      <c r="B3513" s="19"/>
      <c r="BG3513" s="18"/>
      <c r="BH3513" s="18"/>
      <c r="BI3513" s="18"/>
      <c r="BJ3513" s="18"/>
      <c r="BK3513" s="18"/>
      <c r="BL3513" s="18"/>
      <c r="BM3513" s="18"/>
      <c r="BN3513" s="18"/>
      <c r="BO3513" s="18"/>
      <c r="BP3513" s="18"/>
      <c r="BQ3513" s="18"/>
      <c r="BR3513" s="18"/>
      <c r="BS3513" s="18"/>
      <c r="BT3513" s="18"/>
      <c r="BU3513" s="18"/>
      <c r="BV3513" s="18"/>
    </row>
    <row r="3514" spans="1:74">
      <c r="A3514" s="18"/>
      <c r="B3514" s="19"/>
      <c r="BG3514" s="18"/>
      <c r="BH3514" s="18"/>
      <c r="BI3514" s="18"/>
      <c r="BJ3514" s="18"/>
      <c r="BK3514" s="18"/>
      <c r="BL3514" s="18"/>
      <c r="BM3514" s="18"/>
      <c r="BN3514" s="18"/>
      <c r="BO3514" s="18"/>
      <c r="BP3514" s="18"/>
      <c r="BQ3514" s="18"/>
      <c r="BR3514" s="18"/>
      <c r="BS3514" s="18"/>
      <c r="BT3514" s="18"/>
      <c r="BU3514" s="18"/>
      <c r="BV3514" s="18"/>
    </row>
    <row r="3515" spans="1:74">
      <c r="A3515" s="18"/>
      <c r="B3515" s="19"/>
      <c r="BG3515" s="18"/>
      <c r="BH3515" s="18"/>
      <c r="BI3515" s="18"/>
      <c r="BJ3515" s="18"/>
      <c r="BK3515" s="18"/>
      <c r="BL3515" s="18"/>
      <c r="BM3515" s="18"/>
      <c r="BN3515" s="18"/>
      <c r="BO3515" s="18"/>
      <c r="BP3515" s="18"/>
      <c r="BQ3515" s="18"/>
      <c r="BR3515" s="18"/>
      <c r="BS3515" s="18"/>
      <c r="BT3515" s="18"/>
      <c r="BU3515" s="18"/>
      <c r="BV3515" s="18"/>
    </row>
    <row r="3516" spans="1:74">
      <c r="A3516" s="18"/>
      <c r="B3516" s="19"/>
      <c r="BG3516" s="18"/>
      <c r="BH3516" s="18"/>
      <c r="BI3516" s="18"/>
      <c r="BJ3516" s="18"/>
      <c r="BK3516" s="18"/>
      <c r="BL3516" s="18"/>
      <c r="BM3516" s="18"/>
      <c r="BN3516" s="18"/>
      <c r="BO3516" s="18"/>
      <c r="BP3516" s="18"/>
      <c r="BQ3516" s="18"/>
      <c r="BR3516" s="18"/>
      <c r="BS3516" s="18"/>
      <c r="BT3516" s="18"/>
      <c r="BU3516" s="18"/>
      <c r="BV3516" s="18"/>
    </row>
    <row r="3517" spans="1:74">
      <c r="A3517" s="18"/>
      <c r="B3517" s="19"/>
      <c r="BG3517" s="18"/>
      <c r="BH3517" s="18"/>
      <c r="BI3517" s="18"/>
      <c r="BJ3517" s="18"/>
      <c r="BK3517" s="18"/>
      <c r="BL3517" s="18"/>
      <c r="BM3517" s="18"/>
      <c r="BN3517" s="18"/>
      <c r="BO3517" s="18"/>
      <c r="BP3517" s="18"/>
      <c r="BQ3517" s="18"/>
      <c r="BR3517" s="18"/>
      <c r="BS3517" s="18"/>
      <c r="BT3517" s="18"/>
      <c r="BU3517" s="18"/>
      <c r="BV3517" s="18"/>
    </row>
    <row r="3518" spans="1:74">
      <c r="A3518" s="18"/>
      <c r="B3518" s="19"/>
      <c r="BG3518" s="18"/>
      <c r="BH3518" s="18"/>
      <c r="BI3518" s="18"/>
      <c r="BJ3518" s="18"/>
      <c r="BK3518" s="18"/>
      <c r="BL3518" s="18"/>
      <c r="BM3518" s="18"/>
      <c r="BN3518" s="18"/>
      <c r="BO3518" s="18"/>
      <c r="BP3518" s="18"/>
      <c r="BQ3518" s="18"/>
      <c r="BR3518" s="18"/>
      <c r="BS3518" s="18"/>
      <c r="BT3518" s="18"/>
      <c r="BU3518" s="18"/>
      <c r="BV3518" s="18"/>
    </row>
    <row r="3519" spans="1:74">
      <c r="A3519" s="18"/>
      <c r="B3519" s="19"/>
      <c r="BG3519" s="18"/>
      <c r="BH3519" s="18"/>
      <c r="BI3519" s="18"/>
      <c r="BJ3519" s="18"/>
      <c r="BK3519" s="18"/>
      <c r="BL3519" s="18"/>
      <c r="BM3519" s="18"/>
      <c r="BN3519" s="18"/>
      <c r="BO3519" s="18"/>
      <c r="BP3519" s="18"/>
      <c r="BQ3519" s="18"/>
      <c r="BR3519" s="18"/>
      <c r="BS3519" s="18"/>
      <c r="BT3519" s="18"/>
      <c r="BU3519" s="18"/>
      <c r="BV3519" s="18"/>
    </row>
    <row r="3520" spans="1:74">
      <c r="A3520" s="18"/>
      <c r="B3520" s="19"/>
      <c r="BG3520" s="18"/>
      <c r="BH3520" s="18"/>
      <c r="BI3520" s="18"/>
      <c r="BJ3520" s="18"/>
      <c r="BK3520" s="18"/>
      <c r="BL3520" s="18"/>
      <c r="BM3520" s="18"/>
      <c r="BN3520" s="18"/>
      <c r="BO3520" s="18"/>
      <c r="BP3520" s="18"/>
      <c r="BQ3520" s="18"/>
      <c r="BR3520" s="18"/>
      <c r="BS3520" s="18"/>
      <c r="BT3520" s="18"/>
      <c r="BU3520" s="18"/>
      <c r="BV3520" s="18"/>
    </row>
    <row r="3521" spans="1:74">
      <c r="A3521" s="18"/>
      <c r="B3521" s="19"/>
      <c r="BG3521" s="18"/>
      <c r="BH3521" s="18"/>
      <c r="BI3521" s="18"/>
      <c r="BJ3521" s="18"/>
      <c r="BK3521" s="18"/>
      <c r="BL3521" s="18"/>
      <c r="BM3521" s="18"/>
      <c r="BN3521" s="18"/>
      <c r="BO3521" s="18"/>
      <c r="BP3521" s="18"/>
      <c r="BQ3521" s="18"/>
      <c r="BR3521" s="18"/>
      <c r="BS3521" s="18"/>
      <c r="BT3521" s="18"/>
      <c r="BU3521" s="18"/>
      <c r="BV3521" s="18"/>
    </row>
    <row r="3522" spans="1:74">
      <c r="A3522" s="18"/>
      <c r="B3522" s="19"/>
      <c r="BG3522" s="18"/>
      <c r="BH3522" s="18"/>
      <c r="BI3522" s="18"/>
      <c r="BJ3522" s="18"/>
      <c r="BK3522" s="18"/>
      <c r="BL3522" s="18"/>
      <c r="BM3522" s="18"/>
      <c r="BN3522" s="18"/>
      <c r="BO3522" s="18"/>
      <c r="BP3522" s="18"/>
      <c r="BQ3522" s="18"/>
      <c r="BR3522" s="18"/>
      <c r="BS3522" s="18"/>
      <c r="BT3522" s="18"/>
      <c r="BU3522" s="18"/>
      <c r="BV3522" s="18"/>
    </row>
    <row r="3523" spans="1:74">
      <c r="A3523" s="18"/>
      <c r="B3523" s="19"/>
      <c r="BG3523" s="18"/>
      <c r="BH3523" s="18"/>
      <c r="BI3523" s="18"/>
      <c r="BJ3523" s="18"/>
      <c r="BK3523" s="18"/>
      <c r="BL3523" s="18"/>
      <c r="BM3523" s="18"/>
      <c r="BN3523" s="18"/>
      <c r="BO3523" s="18"/>
      <c r="BP3523" s="18"/>
      <c r="BQ3523" s="18"/>
      <c r="BR3523" s="18"/>
      <c r="BS3523" s="18"/>
      <c r="BT3523" s="18"/>
      <c r="BU3523" s="18"/>
      <c r="BV3523" s="18"/>
    </row>
    <row r="3524" spans="1:74">
      <c r="A3524" s="18"/>
      <c r="B3524" s="19"/>
      <c r="BG3524" s="18"/>
      <c r="BH3524" s="18"/>
      <c r="BI3524" s="18"/>
      <c r="BJ3524" s="18"/>
      <c r="BK3524" s="18"/>
      <c r="BL3524" s="18"/>
      <c r="BM3524" s="18"/>
      <c r="BN3524" s="18"/>
      <c r="BO3524" s="18"/>
      <c r="BP3524" s="18"/>
      <c r="BQ3524" s="18"/>
      <c r="BR3524" s="18"/>
      <c r="BS3524" s="18"/>
      <c r="BT3524" s="18"/>
      <c r="BU3524" s="18"/>
      <c r="BV3524" s="18"/>
    </row>
    <row r="3525" spans="1:74">
      <c r="A3525" s="18"/>
      <c r="B3525" s="19"/>
      <c r="BG3525" s="18"/>
      <c r="BH3525" s="18"/>
      <c r="BI3525" s="18"/>
      <c r="BJ3525" s="18"/>
      <c r="BK3525" s="18"/>
      <c r="BL3525" s="18"/>
      <c r="BM3525" s="18"/>
      <c r="BN3525" s="18"/>
      <c r="BO3525" s="18"/>
      <c r="BP3525" s="18"/>
      <c r="BQ3525" s="18"/>
      <c r="BR3525" s="18"/>
      <c r="BS3525" s="18"/>
      <c r="BT3525" s="18"/>
      <c r="BU3525" s="18"/>
      <c r="BV3525" s="18"/>
    </row>
    <row r="3526" spans="1:74">
      <c r="A3526" s="18"/>
      <c r="B3526" s="19"/>
      <c r="BG3526" s="18"/>
      <c r="BH3526" s="18"/>
      <c r="BI3526" s="18"/>
      <c r="BJ3526" s="18"/>
      <c r="BK3526" s="18"/>
      <c r="BL3526" s="18"/>
      <c r="BM3526" s="18"/>
      <c r="BN3526" s="18"/>
      <c r="BO3526" s="18"/>
      <c r="BP3526" s="18"/>
      <c r="BQ3526" s="18"/>
      <c r="BR3526" s="18"/>
      <c r="BS3526" s="18"/>
      <c r="BT3526" s="18"/>
      <c r="BU3526" s="18"/>
      <c r="BV3526" s="18"/>
    </row>
    <row r="3527" spans="1:74">
      <c r="A3527" s="18"/>
      <c r="B3527" s="19"/>
      <c r="BG3527" s="18"/>
      <c r="BH3527" s="18"/>
      <c r="BI3527" s="18"/>
      <c r="BJ3527" s="18"/>
      <c r="BK3527" s="18"/>
      <c r="BL3527" s="18"/>
      <c r="BM3527" s="18"/>
      <c r="BN3527" s="18"/>
      <c r="BO3527" s="18"/>
      <c r="BP3527" s="18"/>
      <c r="BQ3527" s="18"/>
      <c r="BR3527" s="18"/>
      <c r="BS3527" s="18"/>
      <c r="BT3527" s="18"/>
      <c r="BU3527" s="18"/>
      <c r="BV3527" s="18"/>
    </row>
    <row r="3528" spans="1:74">
      <c r="A3528" s="18"/>
      <c r="B3528" s="19"/>
      <c r="BG3528" s="18"/>
      <c r="BH3528" s="18"/>
      <c r="BI3528" s="18"/>
      <c r="BJ3528" s="18"/>
      <c r="BK3528" s="18"/>
      <c r="BL3528" s="18"/>
      <c r="BM3528" s="18"/>
      <c r="BN3528" s="18"/>
      <c r="BO3528" s="18"/>
      <c r="BP3528" s="18"/>
      <c r="BQ3528" s="18"/>
      <c r="BR3528" s="18"/>
      <c r="BS3528" s="18"/>
      <c r="BT3528" s="18"/>
      <c r="BU3528" s="18"/>
      <c r="BV3528" s="18"/>
    </row>
    <row r="3529" spans="1:74">
      <c r="A3529" s="18"/>
      <c r="B3529" s="19"/>
      <c r="BG3529" s="18"/>
      <c r="BH3529" s="18"/>
      <c r="BI3529" s="18"/>
      <c r="BJ3529" s="18"/>
      <c r="BK3529" s="18"/>
      <c r="BL3529" s="18"/>
      <c r="BM3529" s="18"/>
      <c r="BN3529" s="18"/>
      <c r="BO3529" s="18"/>
      <c r="BP3529" s="18"/>
      <c r="BQ3529" s="18"/>
      <c r="BR3529" s="18"/>
      <c r="BS3529" s="18"/>
      <c r="BT3529" s="18"/>
      <c r="BU3529" s="18"/>
      <c r="BV3529" s="18"/>
    </row>
    <row r="3530" spans="1:74">
      <c r="A3530" s="18"/>
      <c r="B3530" s="19"/>
      <c r="BG3530" s="18"/>
      <c r="BH3530" s="18"/>
      <c r="BI3530" s="18"/>
      <c r="BJ3530" s="18"/>
      <c r="BK3530" s="18"/>
      <c r="BL3530" s="18"/>
      <c r="BM3530" s="18"/>
      <c r="BN3530" s="18"/>
      <c r="BO3530" s="18"/>
      <c r="BP3530" s="18"/>
      <c r="BQ3530" s="18"/>
      <c r="BR3530" s="18"/>
      <c r="BS3530" s="18"/>
      <c r="BT3530" s="18"/>
      <c r="BU3530" s="18"/>
      <c r="BV3530" s="18"/>
    </row>
    <row r="3531" spans="1:74">
      <c r="A3531" s="18"/>
      <c r="B3531" s="19"/>
      <c r="BG3531" s="18"/>
      <c r="BH3531" s="18"/>
      <c r="BI3531" s="18"/>
      <c r="BJ3531" s="18"/>
      <c r="BK3531" s="18"/>
      <c r="BL3531" s="18"/>
      <c r="BM3531" s="18"/>
      <c r="BN3531" s="18"/>
      <c r="BO3531" s="18"/>
      <c r="BP3531" s="18"/>
      <c r="BQ3531" s="18"/>
      <c r="BR3531" s="18"/>
      <c r="BS3531" s="18"/>
      <c r="BT3531" s="18"/>
      <c r="BU3531" s="18"/>
      <c r="BV3531" s="18"/>
    </row>
    <row r="3532" spans="1:74">
      <c r="A3532" s="18"/>
      <c r="B3532" s="19"/>
      <c r="BG3532" s="18"/>
      <c r="BH3532" s="18"/>
      <c r="BI3532" s="18"/>
      <c r="BJ3532" s="18"/>
      <c r="BK3532" s="18"/>
      <c r="BL3532" s="18"/>
      <c r="BM3532" s="18"/>
      <c r="BN3532" s="18"/>
      <c r="BO3532" s="18"/>
      <c r="BP3532" s="18"/>
      <c r="BQ3532" s="18"/>
      <c r="BR3532" s="18"/>
      <c r="BS3532" s="18"/>
      <c r="BT3532" s="18"/>
      <c r="BU3532" s="18"/>
      <c r="BV3532" s="18"/>
    </row>
    <row r="3533" spans="1:74">
      <c r="A3533" s="18"/>
      <c r="B3533" s="19"/>
      <c r="BG3533" s="18"/>
      <c r="BH3533" s="18"/>
      <c r="BI3533" s="18"/>
      <c r="BJ3533" s="18"/>
      <c r="BK3533" s="18"/>
      <c r="BL3533" s="18"/>
      <c r="BM3533" s="18"/>
      <c r="BN3533" s="18"/>
      <c r="BO3533" s="18"/>
      <c r="BP3533" s="18"/>
      <c r="BQ3533" s="18"/>
      <c r="BR3533" s="18"/>
      <c r="BS3533" s="18"/>
      <c r="BT3533" s="18"/>
      <c r="BU3533" s="18"/>
      <c r="BV3533" s="18"/>
    </row>
    <row r="3534" spans="1:74">
      <c r="A3534" s="18"/>
      <c r="B3534" s="19"/>
      <c r="BG3534" s="18"/>
      <c r="BH3534" s="18"/>
      <c r="BI3534" s="18"/>
      <c r="BJ3534" s="18"/>
      <c r="BK3534" s="18"/>
      <c r="BL3534" s="18"/>
      <c r="BM3534" s="18"/>
      <c r="BN3534" s="18"/>
      <c r="BO3534" s="18"/>
      <c r="BP3534" s="18"/>
      <c r="BQ3534" s="18"/>
      <c r="BR3534" s="18"/>
      <c r="BS3534" s="18"/>
      <c r="BT3534" s="18"/>
      <c r="BU3534" s="18"/>
      <c r="BV3534" s="18"/>
    </row>
    <row r="3535" spans="1:74">
      <c r="A3535" s="18"/>
      <c r="B3535" s="19"/>
      <c r="BG3535" s="18"/>
      <c r="BH3535" s="18"/>
      <c r="BI3535" s="18"/>
      <c r="BJ3535" s="18"/>
      <c r="BK3535" s="18"/>
      <c r="BL3535" s="18"/>
      <c r="BM3535" s="18"/>
      <c r="BN3535" s="18"/>
      <c r="BO3535" s="18"/>
      <c r="BP3535" s="18"/>
      <c r="BQ3535" s="18"/>
      <c r="BR3535" s="18"/>
      <c r="BS3535" s="18"/>
      <c r="BT3535" s="18"/>
      <c r="BU3535" s="18"/>
      <c r="BV3535" s="18"/>
    </row>
    <row r="3536" spans="1:74">
      <c r="A3536" s="18"/>
      <c r="B3536" s="19"/>
      <c r="BG3536" s="18"/>
      <c r="BH3536" s="18"/>
      <c r="BI3536" s="18"/>
      <c r="BJ3536" s="18"/>
      <c r="BK3536" s="18"/>
      <c r="BL3536" s="18"/>
      <c r="BM3536" s="18"/>
      <c r="BN3536" s="18"/>
      <c r="BO3536" s="18"/>
      <c r="BP3536" s="18"/>
      <c r="BQ3536" s="18"/>
      <c r="BR3536" s="18"/>
      <c r="BS3536" s="18"/>
      <c r="BT3536" s="18"/>
      <c r="BU3536" s="18"/>
      <c r="BV3536" s="18"/>
    </row>
    <row r="3537" spans="1:74">
      <c r="A3537" s="18"/>
      <c r="B3537" s="19"/>
      <c r="BG3537" s="18"/>
      <c r="BH3537" s="18"/>
      <c r="BI3537" s="18"/>
      <c r="BJ3537" s="18"/>
      <c r="BK3537" s="18"/>
      <c r="BL3537" s="18"/>
      <c r="BM3537" s="18"/>
      <c r="BN3537" s="18"/>
      <c r="BO3537" s="18"/>
      <c r="BP3537" s="18"/>
      <c r="BQ3537" s="18"/>
      <c r="BR3537" s="18"/>
      <c r="BS3537" s="18"/>
      <c r="BT3537" s="18"/>
      <c r="BU3537" s="18"/>
      <c r="BV3537" s="18"/>
    </row>
    <row r="3538" spans="1:74">
      <c r="A3538" s="18"/>
      <c r="B3538" s="19"/>
      <c r="BG3538" s="18"/>
      <c r="BH3538" s="18"/>
      <c r="BI3538" s="18"/>
      <c r="BJ3538" s="18"/>
      <c r="BK3538" s="18"/>
      <c r="BL3538" s="18"/>
      <c r="BM3538" s="18"/>
      <c r="BN3538" s="18"/>
      <c r="BO3538" s="18"/>
      <c r="BP3538" s="18"/>
      <c r="BQ3538" s="18"/>
      <c r="BR3538" s="18"/>
      <c r="BS3538" s="18"/>
      <c r="BT3538" s="18"/>
      <c r="BU3538" s="18"/>
      <c r="BV3538" s="18"/>
    </row>
    <row r="3539" spans="1:74">
      <c r="A3539" s="18"/>
      <c r="B3539" s="19"/>
      <c r="BG3539" s="18"/>
      <c r="BH3539" s="18"/>
      <c r="BI3539" s="18"/>
      <c r="BJ3539" s="18"/>
      <c r="BK3539" s="18"/>
      <c r="BL3539" s="18"/>
      <c r="BM3539" s="18"/>
      <c r="BN3539" s="18"/>
      <c r="BO3539" s="18"/>
      <c r="BP3539" s="18"/>
      <c r="BQ3539" s="18"/>
      <c r="BR3539" s="18"/>
      <c r="BS3539" s="18"/>
      <c r="BT3539" s="18"/>
      <c r="BU3539" s="18"/>
      <c r="BV3539" s="18"/>
    </row>
    <row r="3540" spans="1:74">
      <c r="A3540" s="18"/>
      <c r="B3540" s="19"/>
      <c r="BG3540" s="18"/>
      <c r="BH3540" s="18"/>
      <c r="BI3540" s="18"/>
      <c r="BJ3540" s="18"/>
      <c r="BK3540" s="18"/>
      <c r="BL3540" s="18"/>
      <c r="BM3540" s="18"/>
      <c r="BN3540" s="18"/>
      <c r="BO3540" s="18"/>
      <c r="BP3540" s="18"/>
      <c r="BQ3540" s="18"/>
      <c r="BR3540" s="18"/>
      <c r="BS3540" s="18"/>
      <c r="BT3540" s="18"/>
      <c r="BU3540" s="18"/>
      <c r="BV3540" s="18"/>
    </row>
    <row r="3541" spans="1:74">
      <c r="A3541" s="18"/>
      <c r="B3541" s="19"/>
      <c r="BG3541" s="18"/>
      <c r="BH3541" s="18"/>
      <c r="BI3541" s="18"/>
      <c r="BJ3541" s="18"/>
      <c r="BK3541" s="18"/>
      <c r="BL3541" s="18"/>
      <c r="BM3541" s="18"/>
      <c r="BN3541" s="18"/>
      <c r="BO3541" s="18"/>
      <c r="BP3541" s="18"/>
      <c r="BQ3541" s="18"/>
      <c r="BR3541" s="18"/>
      <c r="BS3541" s="18"/>
      <c r="BT3541" s="18"/>
      <c r="BU3541" s="18"/>
      <c r="BV3541" s="18"/>
    </row>
    <row r="3542" spans="1:74">
      <c r="A3542" s="18"/>
      <c r="B3542" s="19"/>
      <c r="BG3542" s="18"/>
      <c r="BH3542" s="18"/>
      <c r="BI3542" s="18"/>
      <c r="BJ3542" s="18"/>
      <c r="BK3542" s="18"/>
      <c r="BL3542" s="18"/>
      <c r="BM3542" s="18"/>
      <c r="BN3542" s="18"/>
      <c r="BO3542" s="18"/>
      <c r="BP3542" s="18"/>
      <c r="BQ3542" s="18"/>
      <c r="BR3542" s="18"/>
      <c r="BS3542" s="18"/>
      <c r="BT3542" s="18"/>
      <c r="BU3542" s="18"/>
      <c r="BV3542" s="18"/>
    </row>
    <row r="3543" spans="1:74">
      <c r="A3543" s="18"/>
      <c r="B3543" s="19"/>
      <c r="BG3543" s="18"/>
      <c r="BH3543" s="18"/>
      <c r="BI3543" s="18"/>
      <c r="BJ3543" s="18"/>
      <c r="BK3543" s="18"/>
      <c r="BL3543" s="18"/>
      <c r="BM3543" s="18"/>
      <c r="BN3543" s="18"/>
      <c r="BO3543" s="18"/>
      <c r="BP3543" s="18"/>
      <c r="BQ3543" s="18"/>
      <c r="BR3543" s="18"/>
      <c r="BS3543" s="18"/>
      <c r="BT3543" s="18"/>
      <c r="BU3543" s="18"/>
      <c r="BV3543" s="18"/>
    </row>
    <row r="3544" spans="1:74">
      <c r="A3544" s="18"/>
      <c r="B3544" s="19"/>
      <c r="BG3544" s="18"/>
      <c r="BH3544" s="18"/>
      <c r="BI3544" s="18"/>
      <c r="BJ3544" s="18"/>
      <c r="BK3544" s="18"/>
      <c r="BL3544" s="18"/>
      <c r="BM3544" s="18"/>
      <c r="BN3544" s="18"/>
      <c r="BO3544" s="18"/>
      <c r="BP3544" s="18"/>
      <c r="BQ3544" s="18"/>
      <c r="BR3544" s="18"/>
      <c r="BS3544" s="18"/>
      <c r="BT3544" s="18"/>
      <c r="BU3544" s="18"/>
      <c r="BV3544" s="18"/>
    </row>
    <row r="3545" spans="1:74">
      <c r="A3545" s="18"/>
      <c r="B3545" s="19"/>
      <c r="BG3545" s="18"/>
      <c r="BH3545" s="18"/>
      <c r="BI3545" s="18"/>
      <c r="BJ3545" s="18"/>
      <c r="BK3545" s="18"/>
      <c r="BL3545" s="18"/>
      <c r="BM3545" s="18"/>
      <c r="BN3545" s="18"/>
      <c r="BO3545" s="18"/>
      <c r="BP3545" s="18"/>
      <c r="BQ3545" s="18"/>
      <c r="BR3545" s="18"/>
      <c r="BS3545" s="18"/>
      <c r="BT3545" s="18"/>
      <c r="BU3545" s="18"/>
      <c r="BV3545" s="18"/>
    </row>
    <row r="3546" spans="1:74">
      <c r="A3546" s="18"/>
      <c r="B3546" s="19"/>
      <c r="BG3546" s="18"/>
      <c r="BH3546" s="18"/>
      <c r="BI3546" s="18"/>
      <c r="BJ3546" s="18"/>
      <c r="BK3546" s="18"/>
      <c r="BL3546" s="18"/>
      <c r="BM3546" s="18"/>
      <c r="BN3546" s="18"/>
      <c r="BO3546" s="18"/>
      <c r="BP3546" s="18"/>
      <c r="BQ3546" s="18"/>
      <c r="BR3546" s="18"/>
      <c r="BS3546" s="18"/>
      <c r="BT3546" s="18"/>
      <c r="BU3546" s="18"/>
      <c r="BV3546" s="18"/>
    </row>
    <row r="3547" spans="1:74">
      <c r="A3547" s="18"/>
      <c r="B3547" s="19"/>
      <c r="BG3547" s="18"/>
      <c r="BH3547" s="18"/>
      <c r="BI3547" s="18"/>
      <c r="BJ3547" s="18"/>
      <c r="BK3547" s="18"/>
      <c r="BL3547" s="18"/>
      <c r="BM3547" s="18"/>
      <c r="BN3547" s="18"/>
      <c r="BO3547" s="18"/>
      <c r="BP3547" s="18"/>
      <c r="BQ3547" s="18"/>
      <c r="BR3547" s="18"/>
      <c r="BS3547" s="18"/>
      <c r="BT3547" s="18"/>
      <c r="BU3547" s="18"/>
      <c r="BV3547" s="18"/>
    </row>
    <row r="3548" spans="1:74">
      <c r="A3548" s="18"/>
      <c r="B3548" s="19"/>
      <c r="BG3548" s="18"/>
      <c r="BH3548" s="18"/>
      <c r="BI3548" s="18"/>
      <c r="BJ3548" s="18"/>
      <c r="BK3548" s="18"/>
      <c r="BL3548" s="18"/>
      <c r="BM3548" s="18"/>
      <c r="BN3548" s="18"/>
      <c r="BO3548" s="18"/>
      <c r="BP3548" s="18"/>
      <c r="BQ3548" s="18"/>
      <c r="BR3548" s="18"/>
      <c r="BS3548" s="18"/>
      <c r="BT3548" s="18"/>
      <c r="BU3548" s="18"/>
      <c r="BV3548" s="18"/>
    </row>
    <row r="3549" spans="1:74">
      <c r="A3549" s="18"/>
      <c r="B3549" s="19"/>
      <c r="BG3549" s="18"/>
      <c r="BH3549" s="18"/>
      <c r="BI3549" s="18"/>
      <c r="BJ3549" s="18"/>
      <c r="BK3549" s="18"/>
      <c r="BL3549" s="18"/>
      <c r="BM3549" s="18"/>
      <c r="BN3549" s="18"/>
      <c r="BO3549" s="18"/>
      <c r="BP3549" s="18"/>
      <c r="BQ3549" s="18"/>
      <c r="BR3549" s="18"/>
      <c r="BS3549" s="18"/>
      <c r="BT3549" s="18"/>
      <c r="BU3549" s="18"/>
      <c r="BV3549" s="18"/>
    </row>
    <row r="3550" spans="1:74">
      <c r="A3550" s="18"/>
      <c r="B3550" s="19"/>
      <c r="BG3550" s="18"/>
      <c r="BH3550" s="18"/>
      <c r="BI3550" s="18"/>
      <c r="BJ3550" s="18"/>
      <c r="BK3550" s="18"/>
      <c r="BL3550" s="18"/>
      <c r="BM3550" s="18"/>
      <c r="BN3550" s="18"/>
      <c r="BO3550" s="18"/>
      <c r="BP3550" s="18"/>
      <c r="BQ3550" s="18"/>
      <c r="BR3550" s="18"/>
      <c r="BS3550" s="18"/>
      <c r="BT3550" s="18"/>
      <c r="BU3550" s="18"/>
      <c r="BV3550" s="18"/>
    </row>
    <row r="3551" spans="1:74">
      <c r="A3551" s="18"/>
      <c r="B3551" s="19"/>
      <c r="BG3551" s="18"/>
      <c r="BH3551" s="18"/>
      <c r="BI3551" s="18"/>
      <c r="BJ3551" s="18"/>
      <c r="BK3551" s="18"/>
      <c r="BL3551" s="18"/>
      <c r="BM3551" s="18"/>
      <c r="BN3551" s="18"/>
      <c r="BO3551" s="18"/>
      <c r="BP3551" s="18"/>
      <c r="BQ3551" s="18"/>
      <c r="BR3551" s="18"/>
      <c r="BS3551" s="18"/>
      <c r="BT3551" s="18"/>
      <c r="BU3551" s="18"/>
      <c r="BV3551" s="18"/>
    </row>
    <row r="3552" spans="1:74">
      <c r="A3552" s="18"/>
      <c r="B3552" s="19"/>
      <c r="BG3552" s="18"/>
      <c r="BH3552" s="18"/>
      <c r="BI3552" s="18"/>
      <c r="BJ3552" s="18"/>
      <c r="BK3552" s="18"/>
      <c r="BL3552" s="18"/>
      <c r="BM3552" s="18"/>
      <c r="BN3552" s="18"/>
      <c r="BO3552" s="18"/>
      <c r="BP3552" s="18"/>
      <c r="BQ3552" s="18"/>
      <c r="BR3552" s="18"/>
      <c r="BS3552" s="18"/>
      <c r="BT3552" s="18"/>
      <c r="BU3552" s="18"/>
      <c r="BV3552" s="18"/>
    </row>
    <row r="3553" spans="1:74">
      <c r="A3553" s="18"/>
      <c r="B3553" s="19"/>
      <c r="BG3553" s="18"/>
      <c r="BH3553" s="18"/>
      <c r="BI3553" s="18"/>
      <c r="BJ3553" s="18"/>
      <c r="BK3553" s="18"/>
      <c r="BL3553" s="18"/>
      <c r="BM3553" s="18"/>
      <c r="BN3553" s="18"/>
      <c r="BO3553" s="18"/>
      <c r="BP3553" s="18"/>
      <c r="BQ3553" s="18"/>
      <c r="BR3553" s="18"/>
      <c r="BS3553" s="18"/>
      <c r="BT3553" s="18"/>
      <c r="BU3553" s="18"/>
      <c r="BV3553" s="18"/>
    </row>
    <row r="3554" spans="1:74">
      <c r="A3554" s="18"/>
      <c r="B3554" s="19"/>
      <c r="BG3554" s="18"/>
      <c r="BH3554" s="18"/>
      <c r="BI3554" s="18"/>
      <c r="BJ3554" s="18"/>
      <c r="BK3554" s="18"/>
      <c r="BL3554" s="18"/>
      <c r="BM3554" s="18"/>
      <c r="BN3554" s="18"/>
      <c r="BO3554" s="18"/>
      <c r="BP3554" s="18"/>
      <c r="BQ3554" s="18"/>
      <c r="BR3554" s="18"/>
      <c r="BS3554" s="18"/>
      <c r="BT3554" s="18"/>
      <c r="BU3554" s="18"/>
      <c r="BV3554" s="18"/>
    </row>
    <row r="3555" spans="1:74">
      <c r="A3555" s="18"/>
      <c r="B3555" s="19"/>
      <c r="BG3555" s="18"/>
      <c r="BH3555" s="18"/>
      <c r="BI3555" s="18"/>
      <c r="BJ3555" s="18"/>
      <c r="BK3555" s="18"/>
      <c r="BL3555" s="18"/>
      <c r="BM3555" s="18"/>
      <c r="BN3555" s="18"/>
      <c r="BO3555" s="18"/>
      <c r="BP3555" s="18"/>
      <c r="BQ3555" s="18"/>
      <c r="BR3555" s="18"/>
      <c r="BS3555" s="18"/>
      <c r="BT3555" s="18"/>
      <c r="BU3555" s="18"/>
      <c r="BV3555" s="18"/>
    </row>
    <row r="3556" spans="1:74">
      <c r="A3556" s="18"/>
      <c r="B3556" s="19"/>
      <c r="BG3556" s="18"/>
      <c r="BH3556" s="18"/>
      <c r="BI3556" s="18"/>
      <c r="BJ3556" s="18"/>
      <c r="BK3556" s="18"/>
      <c r="BL3556" s="18"/>
      <c r="BM3556" s="18"/>
      <c r="BN3556" s="18"/>
      <c r="BO3556" s="18"/>
      <c r="BP3556" s="18"/>
      <c r="BQ3556" s="18"/>
      <c r="BR3556" s="18"/>
      <c r="BS3556" s="18"/>
      <c r="BT3556" s="18"/>
      <c r="BU3556" s="18"/>
      <c r="BV3556" s="18"/>
    </row>
    <row r="3557" spans="1:74">
      <c r="A3557" s="18"/>
      <c r="B3557" s="19"/>
      <c r="BG3557" s="18"/>
      <c r="BH3557" s="18"/>
      <c r="BI3557" s="18"/>
      <c r="BJ3557" s="18"/>
      <c r="BK3557" s="18"/>
      <c r="BL3557" s="18"/>
      <c r="BM3557" s="18"/>
      <c r="BN3557" s="18"/>
      <c r="BO3557" s="18"/>
      <c r="BP3557" s="18"/>
      <c r="BQ3557" s="18"/>
      <c r="BR3557" s="18"/>
      <c r="BS3557" s="18"/>
      <c r="BT3557" s="18"/>
      <c r="BU3557" s="18"/>
      <c r="BV3557" s="18"/>
    </row>
    <row r="3558" spans="1:74">
      <c r="A3558" s="18"/>
      <c r="B3558" s="19"/>
      <c r="BG3558" s="18"/>
      <c r="BH3558" s="18"/>
      <c r="BI3558" s="18"/>
      <c r="BJ3558" s="18"/>
      <c r="BK3558" s="18"/>
      <c r="BL3558" s="18"/>
      <c r="BM3558" s="18"/>
      <c r="BN3558" s="18"/>
      <c r="BO3558" s="18"/>
      <c r="BP3558" s="18"/>
      <c r="BQ3558" s="18"/>
      <c r="BR3558" s="18"/>
      <c r="BS3558" s="18"/>
      <c r="BT3558" s="18"/>
      <c r="BU3558" s="18"/>
      <c r="BV3558" s="18"/>
    </row>
    <row r="3559" spans="1:74">
      <c r="A3559" s="18"/>
      <c r="B3559" s="19"/>
      <c r="BG3559" s="18"/>
      <c r="BH3559" s="18"/>
      <c r="BI3559" s="18"/>
      <c r="BJ3559" s="18"/>
      <c r="BK3559" s="18"/>
      <c r="BL3559" s="18"/>
      <c r="BM3559" s="18"/>
      <c r="BN3559" s="18"/>
      <c r="BO3559" s="18"/>
      <c r="BP3559" s="18"/>
      <c r="BQ3559" s="18"/>
      <c r="BR3559" s="18"/>
      <c r="BS3559" s="18"/>
      <c r="BT3559" s="18"/>
      <c r="BU3559" s="18"/>
      <c r="BV3559" s="18"/>
    </row>
    <row r="3560" spans="1:74">
      <c r="A3560" s="18"/>
      <c r="B3560" s="19"/>
      <c r="BG3560" s="18"/>
      <c r="BH3560" s="18"/>
      <c r="BI3560" s="18"/>
      <c r="BJ3560" s="18"/>
      <c r="BK3560" s="18"/>
      <c r="BL3560" s="18"/>
      <c r="BM3560" s="18"/>
      <c r="BN3560" s="18"/>
      <c r="BO3560" s="18"/>
      <c r="BP3560" s="18"/>
      <c r="BQ3560" s="18"/>
      <c r="BR3560" s="18"/>
      <c r="BS3560" s="18"/>
      <c r="BT3560" s="18"/>
      <c r="BU3560" s="18"/>
      <c r="BV3560" s="18"/>
    </row>
    <row r="3561" spans="1:74">
      <c r="A3561" s="18"/>
      <c r="B3561" s="19"/>
      <c r="BG3561" s="18"/>
      <c r="BH3561" s="18"/>
      <c r="BI3561" s="18"/>
      <c r="BJ3561" s="18"/>
      <c r="BK3561" s="18"/>
      <c r="BL3561" s="18"/>
      <c r="BM3561" s="18"/>
      <c r="BN3561" s="18"/>
      <c r="BO3561" s="18"/>
      <c r="BP3561" s="18"/>
      <c r="BQ3561" s="18"/>
      <c r="BR3561" s="18"/>
      <c r="BS3561" s="18"/>
      <c r="BT3561" s="18"/>
      <c r="BU3561" s="18"/>
      <c r="BV3561" s="18"/>
    </row>
    <row r="3562" spans="1:74">
      <c r="A3562" s="18"/>
      <c r="B3562" s="19"/>
      <c r="BG3562" s="18"/>
      <c r="BH3562" s="18"/>
      <c r="BI3562" s="18"/>
      <c r="BJ3562" s="18"/>
      <c r="BK3562" s="18"/>
      <c r="BL3562" s="18"/>
      <c r="BM3562" s="18"/>
      <c r="BN3562" s="18"/>
      <c r="BO3562" s="18"/>
      <c r="BP3562" s="18"/>
      <c r="BQ3562" s="18"/>
      <c r="BR3562" s="18"/>
      <c r="BS3562" s="18"/>
      <c r="BT3562" s="18"/>
      <c r="BU3562" s="18"/>
      <c r="BV3562" s="18"/>
    </row>
    <row r="3563" spans="1:74">
      <c r="A3563" s="18"/>
      <c r="B3563" s="19"/>
      <c r="BG3563" s="18"/>
      <c r="BH3563" s="18"/>
      <c r="BI3563" s="18"/>
      <c r="BJ3563" s="18"/>
      <c r="BK3563" s="18"/>
      <c r="BL3563" s="18"/>
      <c r="BM3563" s="18"/>
      <c r="BN3563" s="18"/>
      <c r="BO3563" s="18"/>
      <c r="BP3563" s="18"/>
      <c r="BQ3563" s="18"/>
      <c r="BR3563" s="18"/>
      <c r="BS3563" s="18"/>
      <c r="BT3563" s="18"/>
      <c r="BU3563" s="18"/>
      <c r="BV3563" s="18"/>
    </row>
    <row r="3564" spans="1:74">
      <c r="A3564" s="18"/>
      <c r="B3564" s="19"/>
      <c r="BG3564" s="18"/>
      <c r="BH3564" s="18"/>
      <c r="BI3564" s="18"/>
      <c r="BJ3564" s="18"/>
      <c r="BK3564" s="18"/>
      <c r="BL3564" s="18"/>
      <c r="BM3564" s="18"/>
      <c r="BN3564" s="18"/>
      <c r="BO3564" s="18"/>
      <c r="BP3564" s="18"/>
      <c r="BQ3564" s="18"/>
      <c r="BR3564" s="18"/>
      <c r="BS3564" s="18"/>
      <c r="BT3564" s="18"/>
      <c r="BU3564" s="18"/>
      <c r="BV3564" s="18"/>
    </row>
    <row r="3565" spans="1:74">
      <c r="A3565" s="18"/>
      <c r="B3565" s="19"/>
      <c r="BG3565" s="18"/>
      <c r="BH3565" s="18"/>
      <c r="BI3565" s="18"/>
      <c r="BJ3565" s="18"/>
      <c r="BK3565" s="18"/>
      <c r="BL3565" s="18"/>
      <c r="BM3565" s="18"/>
      <c r="BN3565" s="18"/>
      <c r="BO3565" s="18"/>
      <c r="BP3565" s="18"/>
      <c r="BQ3565" s="18"/>
      <c r="BR3565" s="18"/>
      <c r="BS3565" s="18"/>
      <c r="BT3565" s="18"/>
      <c r="BU3565" s="18"/>
      <c r="BV3565" s="18"/>
    </row>
    <row r="3566" spans="1:74">
      <c r="A3566" s="18"/>
      <c r="B3566" s="19"/>
      <c r="BG3566" s="18"/>
      <c r="BH3566" s="18"/>
      <c r="BI3566" s="18"/>
      <c r="BJ3566" s="18"/>
      <c r="BK3566" s="18"/>
      <c r="BL3566" s="18"/>
      <c r="BM3566" s="18"/>
      <c r="BN3566" s="18"/>
      <c r="BO3566" s="18"/>
      <c r="BP3566" s="18"/>
      <c r="BQ3566" s="18"/>
      <c r="BR3566" s="18"/>
      <c r="BS3566" s="18"/>
      <c r="BT3566" s="18"/>
      <c r="BU3566" s="18"/>
      <c r="BV3566" s="18"/>
    </row>
    <row r="3567" spans="1:74">
      <c r="A3567" s="18"/>
      <c r="B3567" s="19"/>
      <c r="BG3567" s="18"/>
      <c r="BH3567" s="18"/>
      <c r="BI3567" s="18"/>
      <c r="BJ3567" s="18"/>
      <c r="BK3567" s="18"/>
      <c r="BL3567" s="18"/>
      <c r="BM3567" s="18"/>
      <c r="BN3567" s="18"/>
      <c r="BO3567" s="18"/>
      <c r="BP3567" s="18"/>
      <c r="BQ3567" s="18"/>
      <c r="BR3567" s="18"/>
      <c r="BS3567" s="18"/>
      <c r="BT3567" s="18"/>
      <c r="BU3567" s="18"/>
      <c r="BV3567" s="18"/>
    </row>
    <row r="3568" spans="1:74">
      <c r="A3568" s="18"/>
      <c r="B3568" s="19"/>
      <c r="BG3568" s="18"/>
      <c r="BH3568" s="18"/>
      <c r="BI3568" s="18"/>
      <c r="BJ3568" s="18"/>
      <c r="BK3568" s="18"/>
      <c r="BL3568" s="18"/>
      <c r="BM3568" s="18"/>
      <c r="BN3568" s="18"/>
      <c r="BO3568" s="18"/>
      <c r="BP3568" s="18"/>
      <c r="BQ3568" s="18"/>
      <c r="BR3568" s="18"/>
      <c r="BS3568" s="18"/>
      <c r="BT3568" s="18"/>
      <c r="BU3568" s="18"/>
      <c r="BV3568" s="18"/>
    </row>
    <row r="3569" spans="1:74">
      <c r="A3569" s="18"/>
      <c r="B3569" s="19"/>
      <c r="BG3569" s="18"/>
      <c r="BH3569" s="18"/>
      <c r="BI3569" s="18"/>
      <c r="BJ3569" s="18"/>
      <c r="BK3569" s="18"/>
      <c r="BL3569" s="18"/>
      <c r="BM3569" s="18"/>
      <c r="BN3569" s="18"/>
      <c r="BO3569" s="18"/>
      <c r="BP3569" s="18"/>
      <c r="BQ3569" s="18"/>
      <c r="BR3569" s="18"/>
      <c r="BS3569" s="18"/>
      <c r="BT3569" s="18"/>
      <c r="BU3569" s="18"/>
      <c r="BV3569" s="18"/>
    </row>
    <row r="3570" spans="1:74">
      <c r="A3570" s="18"/>
      <c r="B3570" s="19"/>
      <c r="BG3570" s="18"/>
      <c r="BH3570" s="18"/>
      <c r="BI3570" s="18"/>
      <c r="BJ3570" s="18"/>
      <c r="BK3570" s="18"/>
      <c r="BL3570" s="18"/>
      <c r="BM3570" s="18"/>
      <c r="BN3570" s="18"/>
      <c r="BO3570" s="18"/>
      <c r="BP3570" s="18"/>
      <c r="BQ3570" s="18"/>
      <c r="BR3570" s="18"/>
      <c r="BS3570" s="18"/>
      <c r="BT3570" s="18"/>
      <c r="BU3570" s="18"/>
      <c r="BV3570" s="18"/>
    </row>
    <row r="3571" spans="1:74">
      <c r="A3571" s="18"/>
      <c r="B3571" s="19"/>
      <c r="BG3571" s="18"/>
      <c r="BH3571" s="18"/>
      <c r="BI3571" s="18"/>
      <c r="BJ3571" s="18"/>
      <c r="BK3571" s="18"/>
      <c r="BL3571" s="18"/>
      <c r="BM3571" s="18"/>
      <c r="BN3571" s="18"/>
      <c r="BO3571" s="18"/>
      <c r="BP3571" s="18"/>
      <c r="BQ3571" s="18"/>
      <c r="BR3571" s="18"/>
      <c r="BS3571" s="18"/>
      <c r="BT3571" s="18"/>
      <c r="BU3571" s="18"/>
      <c r="BV3571" s="18"/>
    </row>
    <row r="3572" spans="1:74">
      <c r="A3572" s="18"/>
      <c r="B3572" s="19"/>
      <c r="BG3572" s="18"/>
      <c r="BH3572" s="18"/>
      <c r="BI3572" s="18"/>
      <c r="BJ3572" s="18"/>
      <c r="BK3572" s="18"/>
      <c r="BL3572" s="18"/>
      <c r="BM3572" s="18"/>
      <c r="BN3572" s="18"/>
      <c r="BO3572" s="18"/>
      <c r="BP3572" s="18"/>
      <c r="BQ3572" s="18"/>
      <c r="BR3572" s="18"/>
      <c r="BS3572" s="18"/>
      <c r="BT3572" s="18"/>
      <c r="BU3572" s="18"/>
      <c r="BV3572" s="18"/>
    </row>
    <row r="3573" spans="1:74">
      <c r="A3573" s="18"/>
      <c r="B3573" s="19"/>
      <c r="BG3573" s="18"/>
      <c r="BH3573" s="18"/>
      <c r="BI3573" s="18"/>
      <c r="BJ3573" s="18"/>
      <c r="BK3573" s="18"/>
      <c r="BL3573" s="18"/>
      <c r="BM3573" s="18"/>
      <c r="BN3573" s="18"/>
      <c r="BO3573" s="18"/>
      <c r="BP3573" s="18"/>
      <c r="BQ3573" s="18"/>
      <c r="BR3573" s="18"/>
      <c r="BS3573" s="18"/>
      <c r="BT3573" s="18"/>
      <c r="BU3573" s="18"/>
      <c r="BV3573" s="18"/>
    </row>
    <row r="3574" spans="1:74">
      <c r="A3574" s="18"/>
      <c r="B3574" s="19"/>
      <c r="BG3574" s="18"/>
      <c r="BH3574" s="18"/>
      <c r="BI3574" s="18"/>
      <c r="BJ3574" s="18"/>
      <c r="BK3574" s="18"/>
      <c r="BL3574" s="18"/>
      <c r="BM3574" s="18"/>
      <c r="BN3574" s="18"/>
      <c r="BO3574" s="18"/>
      <c r="BP3574" s="18"/>
      <c r="BQ3574" s="18"/>
      <c r="BR3574" s="18"/>
      <c r="BS3574" s="18"/>
      <c r="BT3574" s="18"/>
      <c r="BU3574" s="18"/>
      <c r="BV3574" s="18"/>
    </row>
    <row r="3575" spans="1:74">
      <c r="A3575" s="18"/>
      <c r="B3575" s="19"/>
      <c r="BG3575" s="18"/>
      <c r="BH3575" s="18"/>
      <c r="BI3575" s="18"/>
      <c r="BJ3575" s="18"/>
      <c r="BK3575" s="18"/>
      <c r="BL3575" s="18"/>
      <c r="BM3575" s="18"/>
      <c r="BN3575" s="18"/>
      <c r="BO3575" s="18"/>
      <c r="BP3575" s="18"/>
      <c r="BQ3575" s="18"/>
      <c r="BR3575" s="18"/>
      <c r="BS3575" s="18"/>
      <c r="BT3575" s="18"/>
      <c r="BU3575" s="18"/>
      <c r="BV3575" s="18"/>
    </row>
    <row r="3576" spans="1:74">
      <c r="A3576" s="18"/>
      <c r="B3576" s="19"/>
      <c r="BG3576" s="18"/>
      <c r="BH3576" s="18"/>
      <c r="BI3576" s="18"/>
      <c r="BJ3576" s="18"/>
      <c r="BK3576" s="18"/>
      <c r="BL3576" s="18"/>
      <c r="BM3576" s="18"/>
      <c r="BN3576" s="18"/>
      <c r="BO3576" s="18"/>
      <c r="BP3576" s="18"/>
      <c r="BQ3576" s="18"/>
      <c r="BR3576" s="18"/>
      <c r="BS3576" s="18"/>
      <c r="BT3576" s="18"/>
      <c r="BU3576" s="18"/>
      <c r="BV3576" s="18"/>
    </row>
    <row r="3577" spans="1:74">
      <c r="A3577" s="18"/>
      <c r="B3577" s="19"/>
      <c r="BG3577" s="18"/>
      <c r="BH3577" s="18"/>
      <c r="BI3577" s="18"/>
      <c r="BJ3577" s="18"/>
      <c r="BK3577" s="18"/>
      <c r="BL3577" s="18"/>
      <c r="BM3577" s="18"/>
      <c r="BN3577" s="18"/>
      <c r="BO3577" s="18"/>
      <c r="BP3577" s="18"/>
      <c r="BQ3577" s="18"/>
      <c r="BR3577" s="18"/>
      <c r="BS3577" s="18"/>
      <c r="BT3577" s="18"/>
      <c r="BU3577" s="18"/>
      <c r="BV3577" s="18"/>
    </row>
    <row r="3578" spans="1:74">
      <c r="A3578" s="18"/>
      <c r="B3578" s="19"/>
      <c r="BG3578" s="18"/>
      <c r="BH3578" s="18"/>
      <c r="BI3578" s="18"/>
      <c r="BJ3578" s="18"/>
      <c r="BK3578" s="18"/>
      <c r="BL3578" s="18"/>
      <c r="BM3578" s="18"/>
      <c r="BN3578" s="18"/>
      <c r="BO3578" s="18"/>
      <c r="BP3578" s="18"/>
      <c r="BQ3578" s="18"/>
      <c r="BR3578" s="18"/>
      <c r="BS3578" s="18"/>
      <c r="BT3578" s="18"/>
      <c r="BU3578" s="18"/>
      <c r="BV3578" s="18"/>
    </row>
    <row r="3579" spans="1:74">
      <c r="A3579" s="18"/>
      <c r="B3579" s="19"/>
      <c r="BG3579" s="18"/>
      <c r="BH3579" s="18"/>
      <c r="BI3579" s="18"/>
      <c r="BJ3579" s="18"/>
      <c r="BK3579" s="18"/>
      <c r="BL3579" s="18"/>
      <c r="BM3579" s="18"/>
      <c r="BN3579" s="18"/>
      <c r="BO3579" s="18"/>
      <c r="BP3579" s="18"/>
      <c r="BQ3579" s="18"/>
      <c r="BR3579" s="18"/>
      <c r="BS3579" s="18"/>
      <c r="BT3579" s="18"/>
      <c r="BU3579" s="18"/>
      <c r="BV3579" s="18"/>
    </row>
    <row r="3580" spans="1:74">
      <c r="A3580" s="18"/>
      <c r="B3580" s="19"/>
      <c r="BG3580" s="18"/>
      <c r="BH3580" s="18"/>
      <c r="BI3580" s="18"/>
      <c r="BJ3580" s="18"/>
      <c r="BK3580" s="18"/>
      <c r="BL3580" s="18"/>
      <c r="BM3580" s="18"/>
      <c r="BN3580" s="18"/>
      <c r="BO3580" s="18"/>
      <c r="BP3580" s="18"/>
      <c r="BQ3580" s="18"/>
      <c r="BR3580" s="18"/>
      <c r="BS3580" s="18"/>
      <c r="BT3580" s="18"/>
      <c r="BU3580" s="18"/>
      <c r="BV3580" s="18"/>
    </row>
    <row r="3581" spans="1:74">
      <c r="A3581" s="18"/>
      <c r="B3581" s="19"/>
      <c r="BG3581" s="18"/>
      <c r="BH3581" s="18"/>
      <c r="BI3581" s="18"/>
      <c r="BJ3581" s="18"/>
      <c r="BK3581" s="18"/>
      <c r="BL3581" s="18"/>
      <c r="BM3581" s="18"/>
      <c r="BN3581" s="18"/>
      <c r="BO3581" s="18"/>
      <c r="BP3581" s="18"/>
      <c r="BQ3581" s="18"/>
      <c r="BR3581" s="18"/>
      <c r="BS3581" s="18"/>
      <c r="BT3581" s="18"/>
      <c r="BU3581" s="18"/>
      <c r="BV3581" s="18"/>
    </row>
    <row r="3582" spans="1:74">
      <c r="A3582" s="18"/>
      <c r="B3582" s="19"/>
      <c r="BG3582" s="18"/>
      <c r="BH3582" s="18"/>
      <c r="BI3582" s="18"/>
      <c r="BJ3582" s="18"/>
      <c r="BK3582" s="18"/>
      <c r="BL3582" s="18"/>
      <c r="BM3582" s="18"/>
      <c r="BN3582" s="18"/>
      <c r="BO3582" s="18"/>
      <c r="BP3582" s="18"/>
      <c r="BQ3582" s="18"/>
      <c r="BR3582" s="18"/>
      <c r="BS3582" s="18"/>
      <c r="BT3582" s="18"/>
      <c r="BU3582" s="18"/>
      <c r="BV3582" s="18"/>
    </row>
    <row r="3583" spans="1:74">
      <c r="A3583" s="18"/>
      <c r="B3583" s="19"/>
      <c r="BG3583" s="18"/>
      <c r="BH3583" s="18"/>
      <c r="BI3583" s="18"/>
      <c r="BJ3583" s="18"/>
      <c r="BK3583" s="18"/>
      <c r="BL3583" s="18"/>
      <c r="BM3583" s="18"/>
      <c r="BN3583" s="18"/>
      <c r="BO3583" s="18"/>
      <c r="BP3583" s="18"/>
      <c r="BQ3583" s="18"/>
      <c r="BR3583" s="18"/>
      <c r="BS3583" s="18"/>
      <c r="BT3583" s="18"/>
      <c r="BU3583" s="18"/>
      <c r="BV3583" s="18"/>
    </row>
    <row r="3584" spans="1:74">
      <c r="A3584" s="18"/>
      <c r="B3584" s="19"/>
      <c r="BG3584" s="18"/>
      <c r="BH3584" s="18"/>
      <c r="BI3584" s="18"/>
      <c r="BJ3584" s="18"/>
      <c r="BK3584" s="18"/>
      <c r="BL3584" s="18"/>
      <c r="BM3584" s="18"/>
      <c r="BN3584" s="18"/>
      <c r="BO3584" s="18"/>
      <c r="BP3584" s="18"/>
      <c r="BQ3584" s="18"/>
      <c r="BR3584" s="18"/>
      <c r="BS3584" s="18"/>
      <c r="BT3584" s="18"/>
      <c r="BU3584" s="18"/>
      <c r="BV3584" s="18"/>
    </row>
    <row r="3585" spans="1:74">
      <c r="A3585" s="18"/>
      <c r="B3585" s="19"/>
      <c r="BG3585" s="18"/>
      <c r="BH3585" s="18"/>
      <c r="BI3585" s="18"/>
      <c r="BJ3585" s="18"/>
      <c r="BK3585" s="18"/>
      <c r="BL3585" s="18"/>
      <c r="BM3585" s="18"/>
      <c r="BN3585" s="18"/>
      <c r="BO3585" s="18"/>
      <c r="BP3585" s="18"/>
      <c r="BQ3585" s="18"/>
      <c r="BR3585" s="18"/>
      <c r="BS3585" s="18"/>
      <c r="BT3585" s="18"/>
      <c r="BU3585" s="18"/>
      <c r="BV3585" s="18"/>
    </row>
    <row r="3586" spans="1:74">
      <c r="A3586" s="18"/>
      <c r="B3586" s="19"/>
      <c r="BG3586" s="18"/>
      <c r="BH3586" s="18"/>
      <c r="BI3586" s="18"/>
      <c r="BJ3586" s="18"/>
      <c r="BK3586" s="18"/>
      <c r="BL3586" s="18"/>
      <c r="BM3586" s="18"/>
      <c r="BN3586" s="18"/>
      <c r="BO3586" s="18"/>
      <c r="BP3586" s="18"/>
      <c r="BQ3586" s="18"/>
      <c r="BR3586" s="18"/>
      <c r="BS3586" s="18"/>
      <c r="BT3586" s="18"/>
      <c r="BU3586" s="18"/>
      <c r="BV3586" s="18"/>
    </row>
    <row r="3587" spans="1:74">
      <c r="A3587" s="18"/>
      <c r="B3587" s="19"/>
      <c r="BG3587" s="18"/>
      <c r="BH3587" s="18"/>
      <c r="BI3587" s="18"/>
      <c r="BJ3587" s="18"/>
      <c r="BK3587" s="18"/>
      <c r="BL3587" s="18"/>
      <c r="BM3587" s="18"/>
      <c r="BN3587" s="18"/>
      <c r="BO3587" s="18"/>
      <c r="BP3587" s="18"/>
      <c r="BQ3587" s="18"/>
      <c r="BR3587" s="18"/>
      <c r="BS3587" s="18"/>
      <c r="BT3587" s="18"/>
      <c r="BU3587" s="18"/>
      <c r="BV3587" s="18"/>
    </row>
    <row r="3588" spans="1:74">
      <c r="A3588" s="18"/>
      <c r="B3588" s="19"/>
      <c r="BG3588" s="18"/>
      <c r="BH3588" s="18"/>
      <c r="BI3588" s="18"/>
      <c r="BJ3588" s="18"/>
      <c r="BK3588" s="18"/>
      <c r="BL3588" s="18"/>
      <c r="BM3588" s="18"/>
      <c r="BN3588" s="18"/>
      <c r="BO3588" s="18"/>
      <c r="BP3588" s="18"/>
      <c r="BQ3588" s="18"/>
      <c r="BR3588" s="18"/>
      <c r="BS3588" s="18"/>
      <c r="BT3588" s="18"/>
      <c r="BU3588" s="18"/>
      <c r="BV3588" s="18"/>
    </row>
    <row r="3589" spans="1:74">
      <c r="A3589" s="18"/>
      <c r="B3589" s="19"/>
      <c r="BG3589" s="18"/>
      <c r="BH3589" s="18"/>
      <c r="BI3589" s="18"/>
      <c r="BJ3589" s="18"/>
      <c r="BK3589" s="18"/>
      <c r="BL3589" s="18"/>
      <c r="BM3589" s="18"/>
      <c r="BN3589" s="18"/>
      <c r="BO3589" s="18"/>
      <c r="BP3589" s="18"/>
      <c r="BQ3589" s="18"/>
      <c r="BR3589" s="18"/>
      <c r="BS3589" s="18"/>
      <c r="BT3589" s="18"/>
      <c r="BU3589" s="18"/>
      <c r="BV3589" s="18"/>
    </row>
    <row r="3590" spans="1:74">
      <c r="A3590" s="18"/>
      <c r="B3590" s="19"/>
      <c r="BG3590" s="18"/>
      <c r="BH3590" s="18"/>
      <c r="BI3590" s="18"/>
      <c r="BJ3590" s="18"/>
      <c r="BK3590" s="18"/>
      <c r="BL3590" s="18"/>
      <c r="BM3590" s="18"/>
      <c r="BN3590" s="18"/>
      <c r="BO3590" s="18"/>
      <c r="BP3590" s="18"/>
      <c r="BQ3590" s="18"/>
      <c r="BR3590" s="18"/>
      <c r="BS3590" s="18"/>
      <c r="BT3590" s="18"/>
      <c r="BU3590" s="18"/>
      <c r="BV3590" s="18"/>
    </row>
    <row r="3591" spans="1:74">
      <c r="A3591" s="18"/>
      <c r="B3591" s="19"/>
      <c r="BG3591" s="18"/>
      <c r="BH3591" s="18"/>
      <c r="BI3591" s="18"/>
      <c r="BJ3591" s="18"/>
      <c r="BK3591" s="18"/>
      <c r="BL3591" s="18"/>
      <c r="BM3591" s="18"/>
      <c r="BN3591" s="18"/>
      <c r="BO3591" s="18"/>
      <c r="BP3591" s="18"/>
      <c r="BQ3591" s="18"/>
      <c r="BR3591" s="18"/>
      <c r="BS3591" s="18"/>
      <c r="BT3591" s="18"/>
      <c r="BU3591" s="18"/>
      <c r="BV3591" s="18"/>
    </row>
    <row r="3592" spans="1:74">
      <c r="A3592" s="18"/>
      <c r="B3592" s="19"/>
      <c r="BG3592" s="18"/>
      <c r="BH3592" s="18"/>
      <c r="BI3592" s="18"/>
      <c r="BJ3592" s="18"/>
      <c r="BK3592" s="18"/>
      <c r="BL3592" s="18"/>
      <c r="BM3592" s="18"/>
      <c r="BN3592" s="18"/>
      <c r="BO3592" s="18"/>
      <c r="BP3592" s="18"/>
      <c r="BQ3592" s="18"/>
      <c r="BR3592" s="18"/>
      <c r="BS3592" s="18"/>
      <c r="BT3592" s="18"/>
      <c r="BU3592" s="18"/>
      <c r="BV3592" s="18"/>
    </row>
    <row r="3593" spans="1:74">
      <c r="A3593" s="18"/>
      <c r="B3593" s="19"/>
      <c r="BG3593" s="18"/>
      <c r="BH3593" s="18"/>
      <c r="BI3593" s="18"/>
      <c r="BJ3593" s="18"/>
      <c r="BK3593" s="18"/>
      <c r="BL3593" s="18"/>
      <c r="BM3593" s="18"/>
      <c r="BN3593" s="18"/>
      <c r="BO3593" s="18"/>
      <c r="BP3593" s="18"/>
      <c r="BQ3593" s="18"/>
      <c r="BR3593" s="18"/>
      <c r="BS3593" s="18"/>
      <c r="BT3593" s="18"/>
      <c r="BU3593" s="18"/>
      <c r="BV3593" s="18"/>
    </row>
    <row r="3594" spans="1:74">
      <c r="A3594" s="18"/>
      <c r="B3594" s="19"/>
      <c r="BG3594" s="18"/>
      <c r="BH3594" s="18"/>
      <c r="BI3594" s="18"/>
      <c r="BJ3594" s="18"/>
      <c r="BK3594" s="18"/>
      <c r="BL3594" s="18"/>
      <c r="BM3594" s="18"/>
      <c r="BN3594" s="18"/>
      <c r="BO3594" s="18"/>
      <c r="BP3594" s="18"/>
      <c r="BQ3594" s="18"/>
      <c r="BR3594" s="18"/>
      <c r="BS3594" s="18"/>
      <c r="BT3594" s="18"/>
      <c r="BU3594" s="18"/>
      <c r="BV3594" s="18"/>
    </row>
    <row r="3595" spans="1:74">
      <c r="A3595" s="18"/>
      <c r="B3595" s="19"/>
      <c r="BG3595" s="18"/>
      <c r="BH3595" s="18"/>
      <c r="BI3595" s="18"/>
      <c r="BJ3595" s="18"/>
      <c r="BK3595" s="18"/>
      <c r="BL3595" s="18"/>
      <c r="BM3595" s="18"/>
      <c r="BN3595" s="18"/>
      <c r="BO3595" s="18"/>
      <c r="BP3595" s="18"/>
      <c r="BQ3595" s="18"/>
      <c r="BR3595" s="18"/>
      <c r="BS3595" s="18"/>
      <c r="BT3595" s="18"/>
      <c r="BU3595" s="18"/>
      <c r="BV3595" s="18"/>
    </row>
    <row r="3596" spans="1:74">
      <c r="A3596" s="18"/>
      <c r="B3596" s="19"/>
      <c r="BG3596" s="18"/>
      <c r="BH3596" s="18"/>
      <c r="BI3596" s="18"/>
      <c r="BJ3596" s="18"/>
      <c r="BK3596" s="18"/>
      <c r="BL3596" s="18"/>
      <c r="BM3596" s="18"/>
      <c r="BN3596" s="18"/>
      <c r="BO3596" s="18"/>
      <c r="BP3596" s="18"/>
      <c r="BQ3596" s="18"/>
      <c r="BR3596" s="18"/>
      <c r="BS3596" s="18"/>
      <c r="BT3596" s="18"/>
      <c r="BU3596" s="18"/>
      <c r="BV3596" s="18"/>
    </row>
    <row r="3597" spans="1:74">
      <c r="A3597" s="18"/>
      <c r="B3597" s="19"/>
      <c r="BG3597" s="18"/>
      <c r="BH3597" s="18"/>
      <c r="BI3597" s="18"/>
      <c r="BJ3597" s="18"/>
      <c r="BK3597" s="18"/>
      <c r="BL3597" s="18"/>
      <c r="BM3597" s="18"/>
      <c r="BN3597" s="18"/>
      <c r="BO3597" s="18"/>
      <c r="BP3597" s="18"/>
      <c r="BQ3597" s="18"/>
      <c r="BR3597" s="18"/>
      <c r="BS3597" s="18"/>
      <c r="BT3597" s="18"/>
      <c r="BU3597" s="18"/>
      <c r="BV3597" s="18"/>
    </row>
    <row r="3598" spans="1:74">
      <c r="A3598" s="18"/>
      <c r="B3598" s="19"/>
      <c r="BG3598" s="18"/>
      <c r="BH3598" s="18"/>
      <c r="BI3598" s="18"/>
      <c r="BJ3598" s="18"/>
      <c r="BK3598" s="18"/>
      <c r="BL3598" s="18"/>
      <c r="BM3598" s="18"/>
      <c r="BN3598" s="18"/>
      <c r="BO3598" s="18"/>
      <c r="BP3598" s="18"/>
      <c r="BQ3598" s="18"/>
      <c r="BR3598" s="18"/>
      <c r="BS3598" s="18"/>
      <c r="BT3598" s="18"/>
      <c r="BU3598" s="18"/>
      <c r="BV3598" s="18"/>
    </row>
    <row r="3599" spans="1:74">
      <c r="A3599" s="18"/>
      <c r="B3599" s="19"/>
      <c r="BG3599" s="18"/>
      <c r="BH3599" s="18"/>
      <c r="BI3599" s="18"/>
      <c r="BJ3599" s="18"/>
      <c r="BK3599" s="18"/>
      <c r="BL3599" s="18"/>
      <c r="BM3599" s="18"/>
      <c r="BN3599" s="18"/>
      <c r="BO3599" s="18"/>
      <c r="BP3599" s="18"/>
      <c r="BQ3599" s="18"/>
      <c r="BR3599" s="18"/>
      <c r="BS3599" s="18"/>
      <c r="BT3599" s="18"/>
      <c r="BU3599" s="18"/>
      <c r="BV3599" s="18"/>
    </row>
    <row r="3600" spans="1:74">
      <c r="A3600" s="18"/>
      <c r="B3600" s="19"/>
      <c r="BG3600" s="18"/>
      <c r="BH3600" s="18"/>
      <c r="BI3600" s="18"/>
      <c r="BJ3600" s="18"/>
      <c r="BK3600" s="18"/>
      <c r="BL3600" s="18"/>
      <c r="BM3600" s="18"/>
      <c r="BN3600" s="18"/>
      <c r="BO3600" s="18"/>
      <c r="BP3600" s="18"/>
      <c r="BQ3600" s="18"/>
      <c r="BR3600" s="18"/>
      <c r="BS3600" s="18"/>
      <c r="BT3600" s="18"/>
      <c r="BU3600" s="18"/>
      <c r="BV3600" s="18"/>
    </row>
    <row r="3601" spans="1:74">
      <c r="A3601" s="18"/>
      <c r="B3601" s="19"/>
      <c r="BG3601" s="18"/>
      <c r="BH3601" s="18"/>
      <c r="BI3601" s="18"/>
      <c r="BJ3601" s="18"/>
      <c r="BK3601" s="18"/>
      <c r="BL3601" s="18"/>
      <c r="BM3601" s="18"/>
      <c r="BN3601" s="18"/>
      <c r="BO3601" s="18"/>
      <c r="BP3601" s="18"/>
      <c r="BQ3601" s="18"/>
      <c r="BR3601" s="18"/>
      <c r="BS3601" s="18"/>
      <c r="BT3601" s="18"/>
      <c r="BU3601" s="18"/>
      <c r="BV3601" s="18"/>
    </row>
    <row r="3602" spans="1:74">
      <c r="A3602" s="18"/>
      <c r="B3602" s="19"/>
      <c r="BG3602" s="18"/>
      <c r="BH3602" s="18"/>
      <c r="BI3602" s="18"/>
      <c r="BJ3602" s="18"/>
      <c r="BK3602" s="18"/>
      <c r="BL3602" s="18"/>
      <c r="BM3602" s="18"/>
      <c r="BN3602" s="18"/>
      <c r="BO3602" s="18"/>
      <c r="BP3602" s="18"/>
      <c r="BQ3602" s="18"/>
      <c r="BR3602" s="18"/>
      <c r="BS3602" s="18"/>
      <c r="BT3602" s="18"/>
      <c r="BU3602" s="18"/>
      <c r="BV3602" s="18"/>
    </row>
    <row r="3603" spans="1:74">
      <c r="A3603" s="18"/>
      <c r="B3603" s="19"/>
      <c r="BG3603" s="18"/>
      <c r="BH3603" s="18"/>
      <c r="BI3603" s="18"/>
      <c r="BJ3603" s="18"/>
      <c r="BK3603" s="18"/>
      <c r="BL3603" s="18"/>
      <c r="BM3603" s="18"/>
      <c r="BN3603" s="18"/>
      <c r="BO3603" s="18"/>
      <c r="BP3603" s="18"/>
      <c r="BQ3603" s="18"/>
      <c r="BR3603" s="18"/>
      <c r="BS3603" s="18"/>
      <c r="BT3603" s="18"/>
      <c r="BU3603" s="18"/>
      <c r="BV3603" s="18"/>
    </row>
    <row r="3604" spans="1:74">
      <c r="A3604" s="18"/>
      <c r="B3604" s="19"/>
      <c r="BG3604" s="18"/>
      <c r="BH3604" s="18"/>
      <c r="BI3604" s="18"/>
      <c r="BJ3604" s="18"/>
      <c r="BK3604" s="18"/>
      <c r="BL3604" s="18"/>
      <c r="BM3604" s="18"/>
      <c r="BN3604" s="18"/>
      <c r="BO3604" s="18"/>
      <c r="BP3604" s="18"/>
      <c r="BQ3604" s="18"/>
      <c r="BR3604" s="18"/>
      <c r="BS3604" s="18"/>
      <c r="BT3604" s="18"/>
      <c r="BU3604" s="18"/>
      <c r="BV3604" s="18"/>
    </row>
    <row r="3605" spans="1:74">
      <c r="A3605" s="18"/>
      <c r="B3605" s="19"/>
      <c r="BG3605" s="18"/>
      <c r="BH3605" s="18"/>
      <c r="BI3605" s="18"/>
      <c r="BJ3605" s="18"/>
      <c r="BK3605" s="18"/>
      <c r="BL3605" s="18"/>
      <c r="BM3605" s="18"/>
      <c r="BN3605" s="18"/>
      <c r="BO3605" s="18"/>
      <c r="BP3605" s="18"/>
      <c r="BQ3605" s="18"/>
      <c r="BR3605" s="18"/>
      <c r="BS3605" s="18"/>
      <c r="BT3605" s="18"/>
      <c r="BU3605" s="18"/>
      <c r="BV3605" s="18"/>
    </row>
    <row r="3606" spans="1:74">
      <c r="A3606" s="18"/>
      <c r="B3606" s="19"/>
      <c r="BG3606" s="18"/>
      <c r="BH3606" s="18"/>
      <c r="BI3606" s="18"/>
      <c r="BJ3606" s="18"/>
      <c r="BK3606" s="18"/>
      <c r="BL3606" s="18"/>
      <c r="BM3606" s="18"/>
      <c r="BN3606" s="18"/>
      <c r="BO3606" s="18"/>
      <c r="BP3606" s="18"/>
      <c r="BQ3606" s="18"/>
      <c r="BR3606" s="18"/>
      <c r="BS3606" s="18"/>
      <c r="BT3606" s="18"/>
      <c r="BU3606" s="18"/>
      <c r="BV3606" s="18"/>
    </row>
    <row r="3607" spans="1:74">
      <c r="A3607" s="18"/>
      <c r="B3607" s="19"/>
      <c r="BG3607" s="18"/>
      <c r="BH3607" s="18"/>
      <c r="BI3607" s="18"/>
      <c r="BJ3607" s="18"/>
      <c r="BK3607" s="18"/>
      <c r="BL3607" s="18"/>
      <c r="BM3607" s="18"/>
      <c r="BN3607" s="18"/>
      <c r="BO3607" s="18"/>
      <c r="BP3607" s="18"/>
      <c r="BQ3607" s="18"/>
      <c r="BR3607" s="18"/>
      <c r="BS3607" s="18"/>
      <c r="BT3607" s="18"/>
      <c r="BU3607" s="18"/>
      <c r="BV3607" s="18"/>
    </row>
    <row r="3608" spans="1:74">
      <c r="A3608" s="18"/>
      <c r="B3608" s="19"/>
      <c r="BG3608" s="18"/>
      <c r="BH3608" s="18"/>
      <c r="BI3608" s="18"/>
      <c r="BJ3608" s="18"/>
      <c r="BK3608" s="18"/>
      <c r="BL3608" s="18"/>
      <c r="BM3608" s="18"/>
      <c r="BN3608" s="18"/>
      <c r="BO3608" s="18"/>
      <c r="BP3608" s="18"/>
      <c r="BQ3608" s="18"/>
      <c r="BR3608" s="18"/>
      <c r="BS3608" s="18"/>
      <c r="BT3608" s="18"/>
      <c r="BU3608" s="18"/>
      <c r="BV3608" s="18"/>
    </row>
    <row r="3609" spans="1:74">
      <c r="A3609" s="18"/>
      <c r="B3609" s="19"/>
      <c r="BG3609" s="18"/>
      <c r="BH3609" s="18"/>
      <c r="BI3609" s="18"/>
      <c r="BJ3609" s="18"/>
      <c r="BK3609" s="18"/>
      <c r="BL3609" s="18"/>
      <c r="BM3609" s="18"/>
      <c r="BN3609" s="18"/>
      <c r="BO3609" s="18"/>
      <c r="BP3609" s="18"/>
      <c r="BQ3609" s="18"/>
      <c r="BR3609" s="18"/>
      <c r="BS3609" s="18"/>
      <c r="BT3609" s="18"/>
      <c r="BU3609" s="18"/>
      <c r="BV3609" s="18"/>
    </row>
    <row r="3610" spans="1:74">
      <c r="A3610" s="18"/>
      <c r="B3610" s="19"/>
      <c r="BG3610" s="18"/>
      <c r="BH3610" s="18"/>
      <c r="BI3610" s="18"/>
      <c r="BJ3610" s="18"/>
      <c r="BK3610" s="18"/>
      <c r="BL3610" s="18"/>
      <c r="BM3610" s="18"/>
      <c r="BN3610" s="18"/>
      <c r="BO3610" s="18"/>
      <c r="BP3610" s="18"/>
      <c r="BQ3610" s="18"/>
      <c r="BR3610" s="18"/>
      <c r="BS3610" s="18"/>
      <c r="BT3610" s="18"/>
      <c r="BU3610" s="18"/>
      <c r="BV3610" s="18"/>
    </row>
    <row r="3611" spans="1:74">
      <c r="A3611" s="18"/>
      <c r="B3611" s="19"/>
      <c r="BG3611" s="18"/>
      <c r="BH3611" s="18"/>
      <c r="BI3611" s="18"/>
      <c r="BJ3611" s="18"/>
      <c r="BK3611" s="18"/>
      <c r="BL3611" s="18"/>
      <c r="BM3611" s="18"/>
      <c r="BN3611" s="18"/>
      <c r="BO3611" s="18"/>
      <c r="BP3611" s="18"/>
      <c r="BQ3611" s="18"/>
      <c r="BR3611" s="18"/>
      <c r="BS3611" s="18"/>
      <c r="BT3611" s="18"/>
      <c r="BU3611" s="18"/>
      <c r="BV3611" s="18"/>
    </row>
    <row r="3612" spans="1:74">
      <c r="A3612" s="18"/>
      <c r="B3612" s="19"/>
      <c r="BG3612" s="18"/>
      <c r="BH3612" s="18"/>
      <c r="BI3612" s="18"/>
      <c r="BJ3612" s="18"/>
      <c r="BK3612" s="18"/>
      <c r="BL3612" s="18"/>
      <c r="BM3612" s="18"/>
      <c r="BN3612" s="18"/>
      <c r="BO3612" s="18"/>
      <c r="BP3612" s="18"/>
      <c r="BQ3612" s="18"/>
      <c r="BR3612" s="18"/>
      <c r="BS3612" s="18"/>
      <c r="BT3612" s="18"/>
      <c r="BU3612" s="18"/>
      <c r="BV3612" s="18"/>
    </row>
    <row r="3613" spans="1:74">
      <c r="A3613" s="18"/>
      <c r="B3613" s="19"/>
      <c r="BG3613" s="18"/>
      <c r="BH3613" s="18"/>
      <c r="BI3613" s="18"/>
      <c r="BJ3613" s="18"/>
      <c r="BK3613" s="18"/>
      <c r="BL3613" s="18"/>
      <c r="BM3613" s="18"/>
      <c r="BN3613" s="18"/>
      <c r="BO3613" s="18"/>
      <c r="BP3613" s="18"/>
      <c r="BQ3613" s="18"/>
      <c r="BR3613" s="18"/>
      <c r="BS3613" s="18"/>
      <c r="BT3613" s="18"/>
      <c r="BU3613" s="18"/>
      <c r="BV3613" s="18"/>
    </row>
    <row r="3614" spans="1:74">
      <c r="A3614" s="18"/>
      <c r="B3614" s="19"/>
      <c r="BG3614" s="18"/>
      <c r="BH3614" s="18"/>
      <c r="BI3614" s="18"/>
      <c r="BJ3614" s="18"/>
      <c r="BK3614" s="18"/>
      <c r="BL3614" s="18"/>
      <c r="BM3614" s="18"/>
      <c r="BN3614" s="18"/>
      <c r="BO3614" s="18"/>
      <c r="BP3614" s="18"/>
      <c r="BQ3614" s="18"/>
      <c r="BR3614" s="18"/>
      <c r="BS3614" s="18"/>
      <c r="BT3614" s="18"/>
      <c r="BU3614" s="18"/>
      <c r="BV3614" s="18"/>
    </row>
    <row r="3615" spans="1:74">
      <c r="A3615" s="18"/>
      <c r="B3615" s="19"/>
      <c r="BG3615" s="18"/>
      <c r="BH3615" s="18"/>
      <c r="BI3615" s="18"/>
      <c r="BJ3615" s="18"/>
      <c r="BK3615" s="18"/>
      <c r="BL3615" s="18"/>
      <c r="BM3615" s="18"/>
      <c r="BN3615" s="18"/>
      <c r="BO3615" s="18"/>
      <c r="BP3615" s="18"/>
      <c r="BQ3615" s="18"/>
      <c r="BR3615" s="18"/>
      <c r="BS3615" s="18"/>
      <c r="BT3615" s="18"/>
      <c r="BU3615" s="18"/>
      <c r="BV3615" s="18"/>
    </row>
    <row r="3616" spans="1:74">
      <c r="A3616" s="18"/>
      <c r="B3616" s="19"/>
      <c r="BG3616" s="18"/>
      <c r="BH3616" s="18"/>
      <c r="BI3616" s="18"/>
      <c r="BJ3616" s="18"/>
      <c r="BK3616" s="18"/>
      <c r="BL3616" s="18"/>
      <c r="BM3616" s="18"/>
      <c r="BN3616" s="18"/>
      <c r="BO3616" s="18"/>
      <c r="BP3616" s="18"/>
      <c r="BQ3616" s="18"/>
      <c r="BR3616" s="18"/>
      <c r="BS3616" s="18"/>
      <c r="BT3616" s="18"/>
      <c r="BU3616" s="18"/>
      <c r="BV3616" s="18"/>
    </row>
    <row r="3617" spans="1:74">
      <c r="A3617" s="18"/>
      <c r="B3617" s="19"/>
      <c r="BG3617" s="18"/>
      <c r="BH3617" s="18"/>
      <c r="BI3617" s="18"/>
      <c r="BJ3617" s="18"/>
      <c r="BK3617" s="18"/>
      <c r="BL3617" s="18"/>
      <c r="BM3617" s="18"/>
      <c r="BN3617" s="18"/>
      <c r="BO3617" s="18"/>
      <c r="BP3617" s="18"/>
      <c r="BQ3617" s="18"/>
      <c r="BR3617" s="18"/>
      <c r="BS3617" s="18"/>
      <c r="BT3617" s="18"/>
      <c r="BU3617" s="18"/>
      <c r="BV3617" s="18"/>
    </row>
    <row r="3618" spans="1:74">
      <c r="A3618" s="18"/>
      <c r="B3618" s="19"/>
      <c r="BG3618" s="18"/>
      <c r="BH3618" s="18"/>
      <c r="BI3618" s="18"/>
      <c r="BJ3618" s="18"/>
      <c r="BK3618" s="18"/>
      <c r="BL3618" s="18"/>
      <c r="BM3618" s="18"/>
      <c r="BN3618" s="18"/>
      <c r="BO3618" s="18"/>
      <c r="BP3618" s="18"/>
      <c r="BQ3618" s="18"/>
      <c r="BR3618" s="18"/>
      <c r="BS3618" s="18"/>
      <c r="BT3618" s="18"/>
      <c r="BU3618" s="18"/>
      <c r="BV3618" s="18"/>
    </row>
    <row r="3619" spans="1:74">
      <c r="A3619" s="18"/>
      <c r="B3619" s="19"/>
      <c r="BG3619" s="18"/>
      <c r="BH3619" s="18"/>
      <c r="BI3619" s="18"/>
      <c r="BJ3619" s="18"/>
      <c r="BK3619" s="18"/>
      <c r="BL3619" s="18"/>
      <c r="BM3619" s="18"/>
      <c r="BN3619" s="18"/>
      <c r="BO3619" s="18"/>
      <c r="BP3619" s="18"/>
      <c r="BQ3619" s="18"/>
      <c r="BR3619" s="18"/>
      <c r="BS3619" s="18"/>
      <c r="BT3619" s="18"/>
      <c r="BU3619" s="18"/>
      <c r="BV3619" s="18"/>
    </row>
    <row r="3620" spans="1:74">
      <c r="A3620" s="18"/>
      <c r="B3620" s="19"/>
      <c r="BG3620" s="18"/>
      <c r="BH3620" s="18"/>
      <c r="BI3620" s="18"/>
      <c r="BJ3620" s="18"/>
      <c r="BK3620" s="18"/>
      <c r="BL3620" s="18"/>
      <c r="BM3620" s="18"/>
      <c r="BN3620" s="18"/>
      <c r="BO3620" s="18"/>
      <c r="BP3620" s="18"/>
      <c r="BQ3620" s="18"/>
      <c r="BR3620" s="18"/>
      <c r="BS3620" s="18"/>
      <c r="BT3620" s="18"/>
      <c r="BU3620" s="18"/>
      <c r="BV3620" s="18"/>
    </row>
    <row r="3621" spans="1:74">
      <c r="A3621" s="18"/>
      <c r="B3621" s="19"/>
      <c r="BG3621" s="18"/>
      <c r="BH3621" s="18"/>
      <c r="BI3621" s="18"/>
      <c r="BJ3621" s="18"/>
      <c r="BK3621" s="18"/>
      <c r="BL3621" s="18"/>
      <c r="BM3621" s="18"/>
      <c r="BN3621" s="18"/>
      <c r="BO3621" s="18"/>
      <c r="BP3621" s="18"/>
      <c r="BQ3621" s="18"/>
      <c r="BR3621" s="18"/>
      <c r="BS3621" s="18"/>
      <c r="BT3621" s="18"/>
      <c r="BU3621" s="18"/>
      <c r="BV3621" s="18"/>
    </row>
    <row r="3622" spans="1:74">
      <c r="A3622" s="18"/>
      <c r="B3622" s="19"/>
      <c r="BG3622" s="18"/>
      <c r="BH3622" s="18"/>
      <c r="BI3622" s="18"/>
      <c r="BJ3622" s="18"/>
      <c r="BK3622" s="18"/>
      <c r="BL3622" s="18"/>
      <c r="BM3622" s="18"/>
      <c r="BN3622" s="18"/>
      <c r="BO3622" s="18"/>
      <c r="BP3622" s="18"/>
      <c r="BQ3622" s="18"/>
      <c r="BR3622" s="18"/>
      <c r="BS3622" s="18"/>
      <c r="BT3622" s="18"/>
      <c r="BU3622" s="18"/>
      <c r="BV3622" s="18"/>
    </row>
    <row r="3623" spans="1:74">
      <c r="A3623" s="18"/>
      <c r="B3623" s="19"/>
      <c r="BG3623" s="18"/>
      <c r="BH3623" s="18"/>
      <c r="BI3623" s="18"/>
      <c r="BJ3623" s="18"/>
      <c r="BK3623" s="18"/>
      <c r="BL3623" s="18"/>
      <c r="BM3623" s="18"/>
      <c r="BN3623" s="18"/>
      <c r="BO3623" s="18"/>
      <c r="BP3623" s="18"/>
      <c r="BQ3623" s="18"/>
      <c r="BR3623" s="18"/>
      <c r="BS3623" s="18"/>
      <c r="BT3623" s="18"/>
      <c r="BU3623" s="18"/>
      <c r="BV3623" s="18"/>
    </row>
    <row r="3624" spans="1:74">
      <c r="A3624" s="18"/>
      <c r="B3624" s="19"/>
      <c r="BG3624" s="18"/>
      <c r="BH3624" s="18"/>
      <c r="BI3624" s="18"/>
      <c r="BJ3624" s="18"/>
      <c r="BK3624" s="18"/>
      <c r="BL3624" s="18"/>
      <c r="BM3624" s="18"/>
      <c r="BN3624" s="18"/>
      <c r="BO3624" s="18"/>
      <c r="BP3624" s="18"/>
      <c r="BQ3624" s="18"/>
      <c r="BR3624" s="18"/>
      <c r="BS3624" s="18"/>
      <c r="BT3624" s="18"/>
      <c r="BU3624" s="18"/>
      <c r="BV3624" s="18"/>
    </row>
    <row r="3625" spans="1:74">
      <c r="A3625" s="18"/>
      <c r="B3625" s="19"/>
      <c r="BG3625" s="18"/>
      <c r="BH3625" s="18"/>
      <c r="BI3625" s="18"/>
      <c r="BJ3625" s="18"/>
      <c r="BK3625" s="18"/>
      <c r="BL3625" s="18"/>
      <c r="BM3625" s="18"/>
      <c r="BN3625" s="18"/>
      <c r="BO3625" s="18"/>
      <c r="BP3625" s="18"/>
      <c r="BQ3625" s="18"/>
      <c r="BR3625" s="18"/>
      <c r="BS3625" s="18"/>
      <c r="BT3625" s="18"/>
      <c r="BU3625" s="18"/>
      <c r="BV3625" s="18"/>
    </row>
    <row r="3626" spans="1:74">
      <c r="A3626" s="18"/>
      <c r="B3626" s="19"/>
      <c r="BG3626" s="18"/>
      <c r="BH3626" s="18"/>
      <c r="BI3626" s="18"/>
      <c r="BJ3626" s="18"/>
      <c r="BK3626" s="18"/>
      <c r="BL3626" s="18"/>
      <c r="BM3626" s="18"/>
      <c r="BN3626" s="18"/>
      <c r="BO3626" s="18"/>
      <c r="BP3626" s="18"/>
      <c r="BQ3626" s="18"/>
      <c r="BR3626" s="18"/>
      <c r="BS3626" s="18"/>
      <c r="BT3626" s="18"/>
      <c r="BU3626" s="18"/>
      <c r="BV3626" s="18"/>
    </row>
    <row r="3627" spans="1:74">
      <c r="A3627" s="18"/>
      <c r="B3627" s="19"/>
      <c r="BG3627" s="18"/>
      <c r="BH3627" s="18"/>
      <c r="BI3627" s="18"/>
      <c r="BJ3627" s="18"/>
      <c r="BK3627" s="18"/>
      <c r="BL3627" s="18"/>
      <c r="BM3627" s="18"/>
      <c r="BN3627" s="18"/>
      <c r="BO3627" s="18"/>
      <c r="BP3627" s="18"/>
      <c r="BQ3627" s="18"/>
      <c r="BR3627" s="18"/>
      <c r="BS3627" s="18"/>
      <c r="BT3627" s="18"/>
      <c r="BU3627" s="18"/>
      <c r="BV3627" s="18"/>
    </row>
    <row r="3628" spans="1:74">
      <c r="A3628" s="18"/>
      <c r="B3628" s="19"/>
      <c r="BG3628" s="18"/>
      <c r="BH3628" s="18"/>
      <c r="BI3628" s="18"/>
      <c r="BJ3628" s="18"/>
      <c r="BK3628" s="18"/>
      <c r="BL3628" s="18"/>
      <c r="BM3628" s="18"/>
      <c r="BN3628" s="18"/>
      <c r="BO3628" s="18"/>
      <c r="BP3628" s="18"/>
      <c r="BQ3628" s="18"/>
      <c r="BR3628" s="18"/>
      <c r="BS3628" s="18"/>
      <c r="BT3628" s="18"/>
      <c r="BU3628" s="18"/>
      <c r="BV3628" s="18"/>
    </row>
    <row r="3629" spans="1:74">
      <c r="A3629" s="18"/>
      <c r="B3629" s="19"/>
      <c r="BG3629" s="18"/>
      <c r="BH3629" s="18"/>
      <c r="BI3629" s="18"/>
      <c r="BJ3629" s="18"/>
      <c r="BK3629" s="18"/>
      <c r="BL3629" s="18"/>
      <c r="BM3629" s="18"/>
      <c r="BN3629" s="18"/>
      <c r="BO3629" s="18"/>
      <c r="BP3629" s="18"/>
      <c r="BQ3629" s="18"/>
      <c r="BR3629" s="18"/>
      <c r="BS3629" s="18"/>
      <c r="BT3629" s="18"/>
      <c r="BU3629" s="18"/>
      <c r="BV3629" s="18"/>
    </row>
    <row r="3630" spans="1:74">
      <c r="A3630" s="18"/>
      <c r="B3630" s="19"/>
      <c r="BG3630" s="18"/>
      <c r="BH3630" s="18"/>
      <c r="BI3630" s="18"/>
      <c r="BJ3630" s="18"/>
      <c r="BK3630" s="18"/>
      <c r="BL3630" s="18"/>
      <c r="BM3630" s="18"/>
      <c r="BN3630" s="18"/>
      <c r="BO3630" s="18"/>
      <c r="BP3630" s="18"/>
      <c r="BQ3630" s="18"/>
      <c r="BR3630" s="18"/>
      <c r="BS3630" s="18"/>
      <c r="BT3630" s="18"/>
      <c r="BU3630" s="18"/>
      <c r="BV3630" s="18"/>
    </row>
    <row r="3631" spans="1:74">
      <c r="A3631" s="18"/>
      <c r="B3631" s="19"/>
      <c r="BG3631" s="18"/>
      <c r="BH3631" s="18"/>
      <c r="BI3631" s="18"/>
      <c r="BJ3631" s="18"/>
      <c r="BK3631" s="18"/>
      <c r="BL3631" s="18"/>
      <c r="BM3631" s="18"/>
      <c r="BN3631" s="18"/>
      <c r="BO3631" s="18"/>
      <c r="BP3631" s="18"/>
      <c r="BQ3631" s="18"/>
      <c r="BR3631" s="18"/>
      <c r="BS3631" s="18"/>
      <c r="BT3631" s="18"/>
      <c r="BU3631" s="18"/>
      <c r="BV3631" s="18"/>
    </row>
    <row r="3632" spans="1:74">
      <c r="A3632" s="18"/>
      <c r="B3632" s="19"/>
      <c r="BG3632" s="18"/>
      <c r="BH3632" s="18"/>
      <c r="BI3632" s="18"/>
      <c r="BJ3632" s="18"/>
      <c r="BK3632" s="18"/>
      <c r="BL3632" s="18"/>
      <c r="BM3632" s="18"/>
      <c r="BN3632" s="18"/>
      <c r="BO3632" s="18"/>
      <c r="BP3632" s="18"/>
      <c r="BQ3632" s="18"/>
      <c r="BR3632" s="18"/>
      <c r="BS3632" s="18"/>
      <c r="BT3632" s="18"/>
      <c r="BU3632" s="18"/>
      <c r="BV3632" s="18"/>
    </row>
    <row r="3633" spans="1:74">
      <c r="A3633" s="18"/>
      <c r="B3633" s="19"/>
      <c r="BG3633" s="18"/>
      <c r="BH3633" s="18"/>
      <c r="BI3633" s="18"/>
      <c r="BJ3633" s="18"/>
      <c r="BK3633" s="18"/>
      <c r="BL3633" s="18"/>
      <c r="BM3633" s="18"/>
      <c r="BN3633" s="18"/>
      <c r="BO3633" s="18"/>
      <c r="BP3633" s="18"/>
      <c r="BQ3633" s="18"/>
      <c r="BR3633" s="18"/>
      <c r="BS3633" s="18"/>
      <c r="BT3633" s="18"/>
      <c r="BU3633" s="18"/>
      <c r="BV3633" s="18"/>
    </row>
    <row r="3634" spans="1:74">
      <c r="A3634" s="18"/>
      <c r="B3634" s="19"/>
      <c r="BG3634" s="18"/>
      <c r="BH3634" s="18"/>
      <c r="BI3634" s="18"/>
      <c r="BJ3634" s="18"/>
      <c r="BK3634" s="18"/>
      <c r="BL3634" s="18"/>
      <c r="BM3634" s="18"/>
      <c r="BN3634" s="18"/>
      <c r="BO3634" s="18"/>
      <c r="BP3634" s="18"/>
      <c r="BQ3634" s="18"/>
      <c r="BR3634" s="18"/>
      <c r="BS3634" s="18"/>
      <c r="BT3634" s="18"/>
      <c r="BU3634" s="18"/>
      <c r="BV3634" s="18"/>
    </row>
    <row r="3635" spans="1:74">
      <c r="A3635" s="18"/>
      <c r="B3635" s="19"/>
      <c r="BG3635" s="18"/>
      <c r="BH3635" s="18"/>
      <c r="BI3635" s="18"/>
      <c r="BJ3635" s="18"/>
      <c r="BK3635" s="18"/>
      <c r="BL3635" s="18"/>
      <c r="BM3635" s="18"/>
      <c r="BN3635" s="18"/>
      <c r="BO3635" s="18"/>
      <c r="BP3635" s="18"/>
      <c r="BQ3635" s="18"/>
      <c r="BR3635" s="18"/>
      <c r="BS3635" s="18"/>
      <c r="BT3635" s="18"/>
      <c r="BU3635" s="18"/>
      <c r="BV3635" s="18"/>
    </row>
    <row r="3636" spans="1:74">
      <c r="A3636" s="18"/>
      <c r="B3636" s="19"/>
      <c r="BG3636" s="18"/>
      <c r="BH3636" s="18"/>
      <c r="BI3636" s="18"/>
      <c r="BJ3636" s="18"/>
      <c r="BK3636" s="18"/>
      <c r="BL3636" s="18"/>
      <c r="BM3636" s="18"/>
      <c r="BN3636" s="18"/>
      <c r="BO3636" s="18"/>
      <c r="BP3636" s="18"/>
      <c r="BQ3636" s="18"/>
      <c r="BR3636" s="18"/>
      <c r="BS3636" s="18"/>
      <c r="BT3636" s="18"/>
      <c r="BU3636" s="18"/>
      <c r="BV3636" s="18"/>
    </row>
    <row r="3637" spans="1:74">
      <c r="A3637" s="18"/>
      <c r="B3637" s="19"/>
      <c r="BG3637" s="18"/>
      <c r="BH3637" s="18"/>
      <c r="BI3637" s="18"/>
      <c r="BJ3637" s="18"/>
      <c r="BK3637" s="18"/>
      <c r="BL3637" s="18"/>
      <c r="BM3637" s="18"/>
      <c r="BN3637" s="18"/>
      <c r="BO3637" s="18"/>
      <c r="BP3637" s="18"/>
      <c r="BQ3637" s="18"/>
      <c r="BR3637" s="18"/>
      <c r="BS3637" s="18"/>
      <c r="BT3637" s="18"/>
      <c r="BU3637" s="18"/>
      <c r="BV3637" s="18"/>
    </row>
    <row r="3638" spans="1:74">
      <c r="A3638" s="18"/>
      <c r="B3638" s="19"/>
      <c r="BG3638" s="18"/>
      <c r="BH3638" s="18"/>
      <c r="BI3638" s="18"/>
      <c r="BJ3638" s="18"/>
      <c r="BK3638" s="18"/>
      <c r="BL3638" s="18"/>
      <c r="BM3638" s="18"/>
      <c r="BN3638" s="18"/>
      <c r="BO3638" s="18"/>
      <c r="BP3638" s="18"/>
      <c r="BQ3638" s="18"/>
      <c r="BR3638" s="18"/>
      <c r="BS3638" s="18"/>
      <c r="BT3638" s="18"/>
      <c r="BU3638" s="18"/>
      <c r="BV3638" s="18"/>
    </row>
    <row r="3639" spans="1:74">
      <c r="A3639" s="18"/>
      <c r="B3639" s="19"/>
      <c r="BG3639" s="18"/>
      <c r="BH3639" s="18"/>
      <c r="BI3639" s="18"/>
      <c r="BJ3639" s="18"/>
      <c r="BK3639" s="18"/>
      <c r="BL3639" s="18"/>
      <c r="BM3639" s="18"/>
      <c r="BN3639" s="18"/>
      <c r="BO3639" s="18"/>
      <c r="BP3639" s="18"/>
      <c r="BQ3639" s="18"/>
      <c r="BR3639" s="18"/>
      <c r="BS3639" s="18"/>
      <c r="BT3639" s="18"/>
      <c r="BU3639" s="18"/>
      <c r="BV3639" s="18"/>
    </row>
    <row r="3640" spans="1:74">
      <c r="A3640" s="18"/>
      <c r="B3640" s="19"/>
      <c r="BG3640" s="18"/>
      <c r="BH3640" s="18"/>
      <c r="BI3640" s="18"/>
      <c r="BJ3640" s="18"/>
      <c r="BK3640" s="18"/>
      <c r="BL3640" s="18"/>
      <c r="BM3640" s="18"/>
      <c r="BN3640" s="18"/>
      <c r="BO3640" s="18"/>
      <c r="BP3640" s="18"/>
      <c r="BQ3640" s="18"/>
      <c r="BR3640" s="18"/>
      <c r="BS3640" s="18"/>
      <c r="BT3640" s="18"/>
      <c r="BU3640" s="18"/>
      <c r="BV3640" s="18"/>
    </row>
    <row r="3641" spans="1:74">
      <c r="A3641" s="18"/>
      <c r="B3641" s="19"/>
      <c r="BG3641" s="18"/>
      <c r="BH3641" s="18"/>
      <c r="BI3641" s="18"/>
      <c r="BJ3641" s="18"/>
      <c r="BK3641" s="18"/>
      <c r="BL3641" s="18"/>
      <c r="BM3641" s="18"/>
      <c r="BN3641" s="18"/>
      <c r="BO3641" s="18"/>
      <c r="BP3641" s="18"/>
      <c r="BQ3641" s="18"/>
      <c r="BR3641" s="18"/>
      <c r="BS3641" s="18"/>
      <c r="BT3641" s="18"/>
      <c r="BU3641" s="18"/>
      <c r="BV3641" s="18"/>
    </row>
    <row r="3642" spans="1:74">
      <c r="A3642" s="18"/>
      <c r="B3642" s="19"/>
      <c r="BG3642" s="18"/>
      <c r="BH3642" s="18"/>
      <c r="BI3642" s="18"/>
      <c r="BJ3642" s="18"/>
      <c r="BK3642" s="18"/>
      <c r="BL3642" s="18"/>
      <c r="BM3642" s="18"/>
      <c r="BN3642" s="18"/>
      <c r="BO3642" s="18"/>
      <c r="BP3642" s="18"/>
      <c r="BQ3642" s="18"/>
      <c r="BR3642" s="18"/>
      <c r="BS3642" s="18"/>
      <c r="BT3642" s="18"/>
      <c r="BU3642" s="18"/>
      <c r="BV3642" s="18"/>
    </row>
    <row r="3643" spans="1:74">
      <c r="A3643" s="18"/>
      <c r="B3643" s="19"/>
      <c r="BG3643" s="18"/>
      <c r="BH3643" s="18"/>
      <c r="BI3643" s="18"/>
      <c r="BJ3643" s="18"/>
      <c r="BK3643" s="18"/>
      <c r="BL3643" s="18"/>
      <c r="BM3643" s="18"/>
      <c r="BN3643" s="18"/>
      <c r="BO3643" s="18"/>
      <c r="BP3643" s="18"/>
      <c r="BQ3643" s="18"/>
      <c r="BR3643" s="18"/>
      <c r="BS3643" s="18"/>
      <c r="BT3643" s="18"/>
      <c r="BU3643" s="18"/>
      <c r="BV3643" s="18"/>
    </row>
    <row r="3644" spans="1:74">
      <c r="A3644" s="18"/>
      <c r="B3644" s="19"/>
      <c r="BG3644" s="18"/>
      <c r="BH3644" s="18"/>
      <c r="BI3644" s="18"/>
      <c r="BJ3644" s="18"/>
      <c r="BK3644" s="18"/>
      <c r="BL3644" s="18"/>
      <c r="BM3644" s="18"/>
      <c r="BN3644" s="18"/>
      <c r="BO3644" s="18"/>
      <c r="BP3644" s="18"/>
      <c r="BQ3644" s="18"/>
      <c r="BR3644" s="18"/>
      <c r="BS3644" s="18"/>
      <c r="BT3644" s="18"/>
      <c r="BU3644" s="18"/>
      <c r="BV3644" s="18"/>
    </row>
    <row r="3645" spans="1:74">
      <c r="A3645" s="18"/>
      <c r="B3645" s="19"/>
      <c r="BG3645" s="18"/>
      <c r="BH3645" s="18"/>
      <c r="BI3645" s="18"/>
      <c r="BJ3645" s="18"/>
      <c r="BK3645" s="18"/>
      <c r="BL3645" s="18"/>
      <c r="BM3645" s="18"/>
      <c r="BN3645" s="18"/>
      <c r="BO3645" s="18"/>
      <c r="BP3645" s="18"/>
      <c r="BQ3645" s="18"/>
      <c r="BR3645" s="18"/>
      <c r="BS3645" s="18"/>
      <c r="BT3645" s="18"/>
      <c r="BU3645" s="18"/>
      <c r="BV3645" s="18"/>
    </row>
    <row r="3646" spans="1:74">
      <c r="A3646" s="18"/>
      <c r="B3646" s="19"/>
      <c r="BG3646" s="18"/>
      <c r="BH3646" s="18"/>
      <c r="BI3646" s="18"/>
      <c r="BJ3646" s="18"/>
      <c r="BK3646" s="18"/>
      <c r="BL3646" s="18"/>
      <c r="BM3646" s="18"/>
      <c r="BN3646" s="18"/>
      <c r="BO3646" s="18"/>
      <c r="BP3646" s="18"/>
      <c r="BQ3646" s="18"/>
      <c r="BR3646" s="18"/>
      <c r="BS3646" s="18"/>
      <c r="BT3646" s="18"/>
      <c r="BU3646" s="18"/>
      <c r="BV3646" s="18"/>
    </row>
    <row r="3647" spans="1:74">
      <c r="A3647" s="18"/>
      <c r="B3647" s="19"/>
      <c r="BG3647" s="18"/>
      <c r="BH3647" s="18"/>
      <c r="BI3647" s="18"/>
      <c r="BJ3647" s="18"/>
      <c r="BK3647" s="18"/>
      <c r="BL3647" s="18"/>
      <c r="BM3647" s="18"/>
      <c r="BN3647" s="18"/>
      <c r="BO3647" s="18"/>
      <c r="BP3647" s="18"/>
      <c r="BQ3647" s="18"/>
      <c r="BR3647" s="18"/>
      <c r="BS3647" s="18"/>
      <c r="BT3647" s="18"/>
      <c r="BU3647" s="18"/>
      <c r="BV3647" s="18"/>
    </row>
    <row r="3648" spans="1:74">
      <c r="A3648" s="18"/>
      <c r="B3648" s="19"/>
      <c r="BG3648" s="18"/>
      <c r="BH3648" s="18"/>
      <c r="BI3648" s="18"/>
      <c r="BJ3648" s="18"/>
      <c r="BK3648" s="18"/>
      <c r="BL3648" s="18"/>
      <c r="BM3648" s="18"/>
      <c r="BN3648" s="18"/>
      <c r="BO3648" s="18"/>
      <c r="BP3648" s="18"/>
      <c r="BQ3648" s="18"/>
      <c r="BR3648" s="18"/>
      <c r="BS3648" s="18"/>
      <c r="BT3648" s="18"/>
      <c r="BU3648" s="18"/>
      <c r="BV3648" s="18"/>
    </row>
    <row r="3649" spans="1:74">
      <c r="A3649" s="18"/>
      <c r="B3649" s="19"/>
      <c r="BG3649" s="18"/>
      <c r="BH3649" s="18"/>
      <c r="BI3649" s="18"/>
      <c r="BJ3649" s="18"/>
      <c r="BK3649" s="18"/>
      <c r="BL3649" s="18"/>
      <c r="BM3649" s="18"/>
      <c r="BN3649" s="18"/>
      <c r="BO3649" s="18"/>
      <c r="BP3649" s="18"/>
      <c r="BQ3649" s="18"/>
      <c r="BR3649" s="18"/>
      <c r="BS3649" s="18"/>
      <c r="BT3649" s="18"/>
      <c r="BU3649" s="18"/>
      <c r="BV3649" s="18"/>
    </row>
    <row r="3650" spans="1:74">
      <c r="A3650" s="18"/>
      <c r="B3650" s="19"/>
      <c r="BG3650" s="18"/>
      <c r="BH3650" s="18"/>
      <c r="BI3650" s="18"/>
      <c r="BJ3650" s="18"/>
      <c r="BK3650" s="18"/>
      <c r="BL3650" s="18"/>
      <c r="BM3650" s="18"/>
      <c r="BN3650" s="18"/>
      <c r="BO3650" s="18"/>
      <c r="BP3650" s="18"/>
      <c r="BQ3650" s="18"/>
      <c r="BR3650" s="18"/>
      <c r="BS3650" s="18"/>
      <c r="BT3650" s="18"/>
      <c r="BU3650" s="18"/>
      <c r="BV3650" s="18"/>
    </row>
    <row r="3651" spans="1:74">
      <c r="A3651" s="18"/>
      <c r="B3651" s="19"/>
      <c r="BG3651" s="18"/>
      <c r="BH3651" s="18"/>
      <c r="BI3651" s="18"/>
      <c r="BJ3651" s="18"/>
      <c r="BK3651" s="18"/>
      <c r="BL3651" s="18"/>
      <c r="BM3651" s="18"/>
      <c r="BN3651" s="18"/>
      <c r="BO3651" s="18"/>
      <c r="BP3651" s="18"/>
      <c r="BQ3651" s="18"/>
      <c r="BR3651" s="18"/>
      <c r="BS3651" s="18"/>
      <c r="BT3651" s="18"/>
      <c r="BU3651" s="18"/>
      <c r="BV3651" s="18"/>
    </row>
    <row r="3652" spans="1:74">
      <c r="A3652" s="18"/>
      <c r="B3652" s="19"/>
      <c r="BG3652" s="18"/>
      <c r="BH3652" s="18"/>
      <c r="BI3652" s="18"/>
      <c r="BJ3652" s="18"/>
      <c r="BK3652" s="18"/>
      <c r="BL3652" s="18"/>
      <c r="BM3652" s="18"/>
      <c r="BN3652" s="18"/>
      <c r="BO3652" s="18"/>
      <c r="BP3652" s="18"/>
      <c r="BQ3652" s="18"/>
      <c r="BR3652" s="18"/>
      <c r="BS3652" s="18"/>
      <c r="BT3652" s="18"/>
      <c r="BU3652" s="18"/>
      <c r="BV3652" s="18"/>
    </row>
    <row r="3653" spans="1:74">
      <c r="A3653" s="18"/>
      <c r="B3653" s="19"/>
      <c r="BG3653" s="18"/>
      <c r="BH3653" s="18"/>
      <c r="BI3653" s="18"/>
      <c r="BJ3653" s="18"/>
      <c r="BK3653" s="18"/>
      <c r="BL3653" s="18"/>
      <c r="BM3653" s="18"/>
      <c r="BN3653" s="18"/>
      <c r="BO3653" s="18"/>
      <c r="BP3653" s="18"/>
      <c r="BQ3653" s="18"/>
      <c r="BR3653" s="18"/>
      <c r="BS3653" s="18"/>
      <c r="BT3653" s="18"/>
      <c r="BU3653" s="18"/>
      <c r="BV3653" s="18"/>
    </row>
    <row r="3654" spans="1:74">
      <c r="A3654" s="18"/>
      <c r="B3654" s="19"/>
      <c r="BG3654" s="18"/>
      <c r="BH3654" s="18"/>
      <c r="BI3654" s="18"/>
      <c r="BJ3654" s="18"/>
      <c r="BK3654" s="18"/>
      <c r="BL3654" s="18"/>
      <c r="BM3654" s="18"/>
      <c r="BN3654" s="18"/>
      <c r="BO3654" s="18"/>
      <c r="BP3654" s="18"/>
      <c r="BQ3654" s="18"/>
      <c r="BR3654" s="18"/>
      <c r="BS3654" s="18"/>
      <c r="BT3654" s="18"/>
      <c r="BU3654" s="18"/>
      <c r="BV3654" s="18"/>
    </row>
    <row r="3655" spans="1:74">
      <c r="A3655" s="18"/>
      <c r="B3655" s="19"/>
      <c r="BG3655" s="18"/>
      <c r="BH3655" s="18"/>
      <c r="BI3655" s="18"/>
      <c r="BJ3655" s="18"/>
      <c r="BK3655" s="18"/>
      <c r="BL3655" s="18"/>
      <c r="BM3655" s="18"/>
      <c r="BN3655" s="18"/>
      <c r="BO3655" s="18"/>
      <c r="BP3655" s="18"/>
      <c r="BQ3655" s="18"/>
      <c r="BR3655" s="18"/>
      <c r="BS3655" s="18"/>
      <c r="BT3655" s="18"/>
      <c r="BU3655" s="18"/>
      <c r="BV3655" s="18"/>
    </row>
    <row r="3656" spans="1:74">
      <c r="A3656" s="18"/>
      <c r="B3656" s="19"/>
      <c r="BG3656" s="18"/>
      <c r="BH3656" s="18"/>
      <c r="BI3656" s="18"/>
      <c r="BJ3656" s="18"/>
      <c r="BK3656" s="18"/>
      <c r="BL3656" s="18"/>
      <c r="BM3656" s="18"/>
      <c r="BN3656" s="18"/>
      <c r="BO3656" s="18"/>
      <c r="BP3656" s="18"/>
      <c r="BQ3656" s="18"/>
      <c r="BR3656" s="18"/>
      <c r="BS3656" s="18"/>
      <c r="BT3656" s="18"/>
      <c r="BU3656" s="18"/>
      <c r="BV3656" s="18"/>
    </row>
    <row r="3657" spans="1:74">
      <c r="A3657" s="18"/>
      <c r="B3657" s="19"/>
      <c r="BG3657" s="18"/>
      <c r="BH3657" s="18"/>
      <c r="BI3657" s="18"/>
      <c r="BJ3657" s="18"/>
      <c r="BK3657" s="18"/>
      <c r="BL3657" s="18"/>
      <c r="BM3657" s="18"/>
      <c r="BN3657" s="18"/>
      <c r="BO3657" s="18"/>
      <c r="BP3657" s="18"/>
      <c r="BQ3657" s="18"/>
      <c r="BR3657" s="18"/>
      <c r="BS3657" s="18"/>
      <c r="BT3657" s="18"/>
      <c r="BU3657" s="18"/>
      <c r="BV3657" s="18"/>
    </row>
    <row r="3658" spans="1:74">
      <c r="A3658" s="18"/>
      <c r="B3658" s="19"/>
      <c r="BG3658" s="18"/>
      <c r="BH3658" s="18"/>
      <c r="BI3658" s="18"/>
      <c r="BJ3658" s="18"/>
      <c r="BK3658" s="18"/>
      <c r="BL3658" s="18"/>
      <c r="BM3658" s="18"/>
      <c r="BN3658" s="18"/>
      <c r="BO3658" s="18"/>
      <c r="BP3658" s="18"/>
      <c r="BQ3658" s="18"/>
      <c r="BR3658" s="18"/>
      <c r="BS3658" s="18"/>
      <c r="BT3658" s="18"/>
      <c r="BU3658" s="18"/>
      <c r="BV3658" s="18"/>
    </row>
    <row r="3659" spans="1:74">
      <c r="A3659" s="18"/>
      <c r="B3659" s="19"/>
      <c r="BG3659" s="18"/>
      <c r="BH3659" s="18"/>
      <c r="BI3659" s="18"/>
      <c r="BJ3659" s="18"/>
      <c r="BK3659" s="18"/>
      <c r="BL3659" s="18"/>
      <c r="BM3659" s="18"/>
      <c r="BN3659" s="18"/>
      <c r="BO3659" s="18"/>
      <c r="BP3659" s="18"/>
      <c r="BQ3659" s="18"/>
      <c r="BR3659" s="18"/>
      <c r="BS3659" s="18"/>
      <c r="BT3659" s="18"/>
      <c r="BU3659" s="18"/>
      <c r="BV3659" s="18"/>
    </row>
    <row r="3660" spans="1:74">
      <c r="A3660" s="18"/>
      <c r="B3660" s="19"/>
      <c r="BG3660" s="18"/>
      <c r="BH3660" s="18"/>
      <c r="BI3660" s="18"/>
      <c r="BJ3660" s="18"/>
      <c r="BK3660" s="18"/>
      <c r="BL3660" s="18"/>
      <c r="BM3660" s="18"/>
      <c r="BN3660" s="18"/>
      <c r="BO3660" s="18"/>
      <c r="BP3660" s="18"/>
      <c r="BQ3660" s="18"/>
      <c r="BR3660" s="18"/>
      <c r="BS3660" s="18"/>
      <c r="BT3660" s="18"/>
      <c r="BU3660" s="18"/>
      <c r="BV3660" s="18"/>
    </row>
    <row r="3661" spans="1:74">
      <c r="A3661" s="18"/>
      <c r="B3661" s="19"/>
      <c r="BG3661" s="18"/>
      <c r="BH3661" s="18"/>
      <c r="BI3661" s="18"/>
      <c r="BJ3661" s="18"/>
      <c r="BK3661" s="18"/>
      <c r="BL3661" s="18"/>
      <c r="BM3661" s="18"/>
      <c r="BN3661" s="18"/>
      <c r="BO3661" s="18"/>
      <c r="BP3661" s="18"/>
      <c r="BQ3661" s="18"/>
      <c r="BR3661" s="18"/>
      <c r="BS3661" s="18"/>
      <c r="BT3661" s="18"/>
      <c r="BU3661" s="18"/>
      <c r="BV3661" s="18"/>
    </row>
    <row r="3662" spans="1:74">
      <c r="A3662" s="18"/>
      <c r="B3662" s="19"/>
      <c r="BG3662" s="18"/>
      <c r="BH3662" s="18"/>
      <c r="BI3662" s="18"/>
      <c r="BJ3662" s="18"/>
      <c r="BK3662" s="18"/>
      <c r="BL3662" s="18"/>
      <c r="BM3662" s="18"/>
      <c r="BN3662" s="18"/>
      <c r="BO3662" s="18"/>
      <c r="BP3662" s="18"/>
      <c r="BQ3662" s="18"/>
      <c r="BR3662" s="18"/>
      <c r="BS3662" s="18"/>
      <c r="BT3662" s="18"/>
      <c r="BU3662" s="18"/>
      <c r="BV3662" s="18"/>
    </row>
    <row r="3663" spans="1:74">
      <c r="A3663" s="18"/>
      <c r="B3663" s="19"/>
      <c r="BG3663" s="18"/>
      <c r="BH3663" s="18"/>
      <c r="BI3663" s="18"/>
      <c r="BJ3663" s="18"/>
      <c r="BK3663" s="18"/>
      <c r="BL3663" s="18"/>
      <c r="BM3663" s="18"/>
      <c r="BN3663" s="18"/>
      <c r="BO3663" s="18"/>
      <c r="BP3663" s="18"/>
      <c r="BQ3663" s="18"/>
      <c r="BR3663" s="18"/>
      <c r="BS3663" s="18"/>
      <c r="BT3663" s="18"/>
      <c r="BU3663" s="18"/>
      <c r="BV3663" s="18"/>
    </row>
    <row r="3664" spans="1:74">
      <c r="A3664" s="18"/>
      <c r="B3664" s="19"/>
      <c r="BG3664" s="18"/>
      <c r="BH3664" s="18"/>
      <c r="BI3664" s="18"/>
      <c r="BJ3664" s="18"/>
      <c r="BK3664" s="18"/>
      <c r="BL3664" s="18"/>
      <c r="BM3664" s="18"/>
      <c r="BN3664" s="18"/>
      <c r="BO3664" s="18"/>
      <c r="BP3664" s="18"/>
      <c r="BQ3664" s="18"/>
      <c r="BR3664" s="18"/>
      <c r="BS3664" s="18"/>
      <c r="BT3664" s="18"/>
      <c r="BU3664" s="18"/>
      <c r="BV3664" s="18"/>
    </row>
    <row r="3665" spans="1:74">
      <c r="A3665" s="18"/>
      <c r="B3665" s="19"/>
      <c r="BG3665" s="18"/>
      <c r="BH3665" s="18"/>
      <c r="BI3665" s="18"/>
      <c r="BJ3665" s="18"/>
      <c r="BK3665" s="18"/>
      <c r="BL3665" s="18"/>
      <c r="BM3665" s="18"/>
      <c r="BN3665" s="18"/>
      <c r="BO3665" s="18"/>
      <c r="BP3665" s="18"/>
      <c r="BQ3665" s="18"/>
      <c r="BR3665" s="18"/>
      <c r="BS3665" s="18"/>
      <c r="BT3665" s="18"/>
      <c r="BU3665" s="18"/>
      <c r="BV3665" s="18"/>
    </row>
    <row r="3666" spans="1:74">
      <c r="A3666" s="18"/>
      <c r="B3666" s="19"/>
      <c r="BG3666" s="18"/>
      <c r="BH3666" s="18"/>
      <c r="BI3666" s="18"/>
      <c r="BJ3666" s="18"/>
      <c r="BK3666" s="18"/>
      <c r="BL3666" s="18"/>
      <c r="BM3666" s="18"/>
      <c r="BN3666" s="18"/>
      <c r="BO3666" s="18"/>
      <c r="BP3666" s="18"/>
      <c r="BQ3666" s="18"/>
      <c r="BR3666" s="18"/>
      <c r="BS3666" s="18"/>
      <c r="BT3666" s="18"/>
      <c r="BU3666" s="18"/>
      <c r="BV3666" s="18"/>
    </row>
    <row r="3667" spans="1:74">
      <c r="A3667" s="18"/>
      <c r="B3667" s="19"/>
      <c r="BG3667" s="18"/>
      <c r="BH3667" s="18"/>
      <c r="BI3667" s="18"/>
      <c r="BJ3667" s="18"/>
      <c r="BK3667" s="18"/>
      <c r="BL3667" s="18"/>
      <c r="BM3667" s="18"/>
      <c r="BN3667" s="18"/>
      <c r="BO3667" s="18"/>
      <c r="BP3667" s="18"/>
      <c r="BQ3667" s="18"/>
      <c r="BR3667" s="18"/>
      <c r="BS3667" s="18"/>
      <c r="BT3667" s="18"/>
      <c r="BU3667" s="18"/>
      <c r="BV3667" s="18"/>
    </row>
    <row r="3668" spans="1:74">
      <c r="A3668" s="18"/>
      <c r="B3668" s="19"/>
      <c r="BG3668" s="18"/>
      <c r="BH3668" s="18"/>
      <c r="BI3668" s="18"/>
      <c r="BJ3668" s="18"/>
      <c r="BK3668" s="18"/>
      <c r="BL3668" s="18"/>
      <c r="BM3668" s="18"/>
      <c r="BN3668" s="18"/>
      <c r="BO3668" s="18"/>
      <c r="BP3668" s="18"/>
      <c r="BQ3668" s="18"/>
      <c r="BR3668" s="18"/>
      <c r="BS3668" s="18"/>
      <c r="BT3668" s="18"/>
      <c r="BU3668" s="18"/>
      <c r="BV3668" s="18"/>
    </row>
    <row r="3669" spans="1:74">
      <c r="A3669" s="18"/>
      <c r="B3669" s="19"/>
      <c r="BG3669" s="18"/>
      <c r="BH3669" s="18"/>
      <c r="BI3669" s="18"/>
      <c r="BJ3669" s="18"/>
      <c r="BK3669" s="18"/>
      <c r="BL3669" s="18"/>
      <c r="BM3669" s="18"/>
      <c r="BN3669" s="18"/>
      <c r="BO3669" s="18"/>
      <c r="BP3669" s="18"/>
      <c r="BQ3669" s="18"/>
      <c r="BR3669" s="18"/>
      <c r="BS3669" s="18"/>
      <c r="BT3669" s="18"/>
      <c r="BU3669" s="18"/>
      <c r="BV3669" s="18"/>
    </row>
    <row r="3670" spans="1:74">
      <c r="A3670" s="18"/>
      <c r="B3670" s="19"/>
      <c r="BG3670" s="18"/>
      <c r="BH3670" s="18"/>
      <c r="BI3670" s="18"/>
      <c r="BJ3670" s="18"/>
      <c r="BK3670" s="18"/>
      <c r="BL3670" s="18"/>
      <c r="BM3670" s="18"/>
      <c r="BN3670" s="18"/>
      <c r="BO3670" s="18"/>
      <c r="BP3670" s="18"/>
      <c r="BQ3670" s="18"/>
      <c r="BR3670" s="18"/>
      <c r="BS3670" s="18"/>
      <c r="BT3670" s="18"/>
      <c r="BU3670" s="18"/>
      <c r="BV3670" s="18"/>
    </row>
    <row r="3671" spans="1:74">
      <c r="A3671" s="18"/>
      <c r="B3671" s="19"/>
      <c r="BG3671" s="18"/>
      <c r="BH3671" s="18"/>
      <c r="BI3671" s="18"/>
      <c r="BJ3671" s="18"/>
      <c r="BK3671" s="18"/>
      <c r="BL3671" s="18"/>
      <c r="BM3671" s="18"/>
      <c r="BN3671" s="18"/>
      <c r="BO3671" s="18"/>
      <c r="BP3671" s="18"/>
      <c r="BQ3671" s="18"/>
      <c r="BR3671" s="18"/>
      <c r="BS3671" s="18"/>
      <c r="BT3671" s="18"/>
      <c r="BU3671" s="18"/>
      <c r="BV3671" s="18"/>
    </row>
    <row r="3672" spans="1:74">
      <c r="A3672" s="18"/>
      <c r="B3672" s="19"/>
      <c r="BG3672" s="18"/>
      <c r="BH3672" s="18"/>
      <c r="BI3672" s="18"/>
      <c r="BJ3672" s="18"/>
      <c r="BK3672" s="18"/>
      <c r="BL3672" s="18"/>
      <c r="BM3672" s="18"/>
      <c r="BN3672" s="18"/>
      <c r="BO3672" s="18"/>
      <c r="BP3672" s="18"/>
      <c r="BQ3672" s="18"/>
      <c r="BR3672" s="18"/>
      <c r="BS3672" s="18"/>
      <c r="BT3672" s="18"/>
      <c r="BU3672" s="18"/>
      <c r="BV3672" s="18"/>
    </row>
    <row r="3673" spans="1:74">
      <c r="A3673" s="18"/>
      <c r="B3673" s="19"/>
      <c r="BG3673" s="18"/>
      <c r="BH3673" s="18"/>
      <c r="BI3673" s="18"/>
      <c r="BJ3673" s="18"/>
      <c r="BK3673" s="18"/>
      <c r="BL3673" s="18"/>
      <c r="BM3673" s="18"/>
      <c r="BN3673" s="18"/>
      <c r="BO3673" s="18"/>
      <c r="BP3673" s="18"/>
      <c r="BQ3673" s="18"/>
      <c r="BR3673" s="18"/>
      <c r="BS3673" s="18"/>
      <c r="BT3673" s="18"/>
      <c r="BU3673" s="18"/>
      <c r="BV3673" s="18"/>
    </row>
    <row r="3674" spans="1:74">
      <c r="A3674" s="18"/>
      <c r="B3674" s="19"/>
      <c r="BG3674" s="18"/>
      <c r="BH3674" s="18"/>
      <c r="BI3674" s="18"/>
      <c r="BJ3674" s="18"/>
      <c r="BK3674" s="18"/>
      <c r="BL3674" s="18"/>
      <c r="BM3674" s="18"/>
      <c r="BN3674" s="18"/>
      <c r="BO3674" s="18"/>
      <c r="BP3674" s="18"/>
      <c r="BQ3674" s="18"/>
      <c r="BR3674" s="18"/>
      <c r="BS3674" s="18"/>
      <c r="BT3674" s="18"/>
      <c r="BU3674" s="18"/>
      <c r="BV3674" s="18"/>
    </row>
    <row r="3675" spans="1:74">
      <c r="A3675" s="18"/>
      <c r="B3675" s="19"/>
      <c r="BG3675" s="18"/>
      <c r="BH3675" s="18"/>
      <c r="BI3675" s="18"/>
      <c r="BJ3675" s="18"/>
      <c r="BK3675" s="18"/>
      <c r="BL3675" s="18"/>
      <c r="BM3675" s="18"/>
      <c r="BN3675" s="18"/>
      <c r="BO3675" s="18"/>
      <c r="BP3675" s="18"/>
      <c r="BQ3675" s="18"/>
      <c r="BR3675" s="18"/>
      <c r="BS3675" s="18"/>
      <c r="BT3675" s="18"/>
      <c r="BU3675" s="18"/>
      <c r="BV3675" s="18"/>
    </row>
    <row r="3676" spans="1:74">
      <c r="A3676" s="18"/>
      <c r="B3676" s="19"/>
      <c r="BG3676" s="18"/>
      <c r="BH3676" s="18"/>
      <c r="BI3676" s="18"/>
      <c r="BJ3676" s="18"/>
      <c r="BK3676" s="18"/>
      <c r="BL3676" s="18"/>
      <c r="BM3676" s="18"/>
      <c r="BN3676" s="18"/>
      <c r="BO3676" s="18"/>
      <c r="BP3676" s="18"/>
      <c r="BQ3676" s="18"/>
      <c r="BR3676" s="18"/>
      <c r="BS3676" s="18"/>
      <c r="BT3676" s="18"/>
      <c r="BU3676" s="18"/>
      <c r="BV3676" s="18"/>
    </row>
    <row r="3677" spans="1:74">
      <c r="A3677" s="18"/>
      <c r="B3677" s="19"/>
      <c r="BG3677" s="18"/>
      <c r="BH3677" s="18"/>
      <c r="BI3677" s="18"/>
      <c r="BJ3677" s="18"/>
      <c r="BK3677" s="18"/>
      <c r="BL3677" s="18"/>
      <c r="BM3677" s="18"/>
      <c r="BN3677" s="18"/>
      <c r="BO3677" s="18"/>
      <c r="BP3677" s="18"/>
      <c r="BQ3677" s="18"/>
      <c r="BR3677" s="18"/>
      <c r="BS3677" s="18"/>
      <c r="BT3677" s="18"/>
      <c r="BU3677" s="18"/>
      <c r="BV3677" s="18"/>
    </row>
    <row r="3678" spans="1:74">
      <c r="A3678" s="18"/>
      <c r="B3678" s="19"/>
      <c r="BG3678" s="18"/>
      <c r="BH3678" s="18"/>
      <c r="BI3678" s="18"/>
      <c r="BJ3678" s="18"/>
      <c r="BK3678" s="18"/>
      <c r="BL3678" s="18"/>
      <c r="BM3678" s="18"/>
      <c r="BN3678" s="18"/>
      <c r="BO3678" s="18"/>
      <c r="BP3678" s="18"/>
      <c r="BQ3678" s="18"/>
      <c r="BR3678" s="18"/>
      <c r="BS3678" s="18"/>
      <c r="BT3678" s="18"/>
      <c r="BU3678" s="18"/>
      <c r="BV3678" s="18"/>
    </row>
    <row r="3679" spans="1:74">
      <c r="A3679" s="18"/>
      <c r="B3679" s="19"/>
      <c r="BG3679" s="18"/>
      <c r="BH3679" s="18"/>
      <c r="BI3679" s="18"/>
      <c r="BJ3679" s="18"/>
      <c r="BK3679" s="18"/>
      <c r="BL3679" s="18"/>
      <c r="BM3679" s="18"/>
      <c r="BN3679" s="18"/>
      <c r="BO3679" s="18"/>
      <c r="BP3679" s="18"/>
      <c r="BQ3679" s="18"/>
      <c r="BR3679" s="18"/>
      <c r="BS3679" s="18"/>
      <c r="BT3679" s="18"/>
      <c r="BU3679" s="18"/>
      <c r="BV3679" s="18"/>
    </row>
    <row r="3680" spans="1:74">
      <c r="A3680" s="18"/>
      <c r="B3680" s="19"/>
      <c r="BG3680" s="18"/>
      <c r="BH3680" s="18"/>
      <c r="BI3680" s="18"/>
      <c r="BJ3680" s="18"/>
      <c r="BK3680" s="18"/>
      <c r="BL3680" s="18"/>
      <c r="BM3680" s="18"/>
      <c r="BN3680" s="18"/>
      <c r="BO3680" s="18"/>
      <c r="BP3680" s="18"/>
      <c r="BQ3680" s="18"/>
      <c r="BR3680" s="18"/>
      <c r="BS3680" s="18"/>
      <c r="BT3680" s="18"/>
      <c r="BU3680" s="18"/>
      <c r="BV3680" s="18"/>
    </row>
    <row r="3681" spans="1:74">
      <c r="A3681" s="18"/>
      <c r="B3681" s="19"/>
      <c r="BG3681" s="18"/>
      <c r="BH3681" s="18"/>
      <c r="BI3681" s="18"/>
      <c r="BJ3681" s="18"/>
      <c r="BK3681" s="18"/>
      <c r="BL3681" s="18"/>
      <c r="BM3681" s="18"/>
      <c r="BN3681" s="18"/>
      <c r="BO3681" s="18"/>
      <c r="BP3681" s="18"/>
      <c r="BQ3681" s="18"/>
      <c r="BR3681" s="18"/>
      <c r="BS3681" s="18"/>
      <c r="BT3681" s="18"/>
      <c r="BU3681" s="18"/>
      <c r="BV3681" s="18"/>
    </row>
    <row r="3682" spans="1:74">
      <c r="A3682" s="18"/>
      <c r="B3682" s="19"/>
      <c r="BG3682" s="18"/>
      <c r="BH3682" s="18"/>
      <c r="BI3682" s="18"/>
      <c r="BJ3682" s="18"/>
      <c r="BK3682" s="18"/>
      <c r="BL3682" s="18"/>
      <c r="BM3682" s="18"/>
      <c r="BN3682" s="18"/>
      <c r="BO3682" s="18"/>
      <c r="BP3682" s="18"/>
      <c r="BQ3682" s="18"/>
      <c r="BR3682" s="18"/>
      <c r="BS3682" s="18"/>
      <c r="BT3682" s="18"/>
      <c r="BU3682" s="18"/>
      <c r="BV3682" s="18"/>
    </row>
    <row r="3683" spans="1:74">
      <c r="A3683" s="18"/>
      <c r="B3683" s="19"/>
      <c r="BG3683" s="18"/>
      <c r="BH3683" s="18"/>
      <c r="BI3683" s="18"/>
      <c r="BJ3683" s="18"/>
      <c r="BK3683" s="18"/>
      <c r="BL3683" s="18"/>
      <c r="BM3683" s="18"/>
      <c r="BN3683" s="18"/>
      <c r="BO3683" s="18"/>
      <c r="BP3683" s="18"/>
      <c r="BQ3683" s="18"/>
      <c r="BR3683" s="18"/>
      <c r="BS3683" s="18"/>
      <c r="BT3683" s="18"/>
      <c r="BU3683" s="18"/>
      <c r="BV3683" s="18"/>
    </row>
    <row r="3684" spans="1:74">
      <c r="A3684" s="18"/>
      <c r="B3684" s="19"/>
      <c r="BG3684" s="18"/>
      <c r="BH3684" s="18"/>
      <c r="BI3684" s="18"/>
      <c r="BJ3684" s="18"/>
      <c r="BK3684" s="18"/>
      <c r="BL3684" s="18"/>
      <c r="BM3684" s="18"/>
      <c r="BN3684" s="18"/>
      <c r="BO3684" s="18"/>
      <c r="BP3684" s="18"/>
      <c r="BQ3684" s="18"/>
      <c r="BR3684" s="18"/>
      <c r="BS3684" s="18"/>
      <c r="BT3684" s="18"/>
      <c r="BU3684" s="18"/>
      <c r="BV3684" s="18"/>
    </row>
    <row r="3685" spans="1:74">
      <c r="A3685" s="18"/>
      <c r="B3685" s="19"/>
      <c r="BG3685" s="18"/>
      <c r="BH3685" s="18"/>
      <c r="BI3685" s="18"/>
      <c r="BJ3685" s="18"/>
      <c r="BK3685" s="18"/>
      <c r="BL3685" s="18"/>
      <c r="BM3685" s="18"/>
      <c r="BN3685" s="18"/>
      <c r="BO3685" s="18"/>
      <c r="BP3685" s="18"/>
      <c r="BQ3685" s="18"/>
      <c r="BR3685" s="18"/>
      <c r="BS3685" s="18"/>
      <c r="BT3685" s="18"/>
      <c r="BU3685" s="18"/>
      <c r="BV3685" s="18"/>
    </row>
    <row r="3686" spans="1:74">
      <c r="A3686" s="18"/>
      <c r="B3686" s="19"/>
      <c r="BG3686" s="18"/>
      <c r="BH3686" s="18"/>
      <c r="BI3686" s="18"/>
      <c r="BJ3686" s="18"/>
      <c r="BK3686" s="18"/>
      <c r="BL3686" s="18"/>
      <c r="BM3686" s="18"/>
      <c r="BN3686" s="18"/>
      <c r="BO3686" s="18"/>
      <c r="BP3686" s="18"/>
      <c r="BQ3686" s="18"/>
      <c r="BR3686" s="18"/>
      <c r="BS3686" s="18"/>
      <c r="BT3686" s="18"/>
      <c r="BU3686" s="18"/>
      <c r="BV3686" s="18"/>
    </row>
    <row r="3687" spans="1:74">
      <c r="A3687" s="18"/>
      <c r="B3687" s="19"/>
      <c r="BG3687" s="18"/>
      <c r="BH3687" s="18"/>
      <c r="BI3687" s="18"/>
      <c r="BJ3687" s="18"/>
      <c r="BK3687" s="18"/>
      <c r="BL3687" s="18"/>
      <c r="BM3687" s="18"/>
      <c r="BN3687" s="18"/>
      <c r="BO3687" s="18"/>
      <c r="BP3687" s="18"/>
      <c r="BQ3687" s="18"/>
      <c r="BR3687" s="18"/>
      <c r="BS3687" s="18"/>
      <c r="BT3687" s="18"/>
      <c r="BU3687" s="18"/>
      <c r="BV3687" s="18"/>
    </row>
    <row r="3688" spans="1:74">
      <c r="A3688" s="18"/>
      <c r="B3688" s="19"/>
      <c r="BG3688" s="18"/>
      <c r="BH3688" s="18"/>
      <c r="BI3688" s="18"/>
      <c r="BJ3688" s="18"/>
      <c r="BK3688" s="18"/>
      <c r="BL3688" s="18"/>
      <c r="BM3688" s="18"/>
      <c r="BN3688" s="18"/>
      <c r="BO3688" s="18"/>
      <c r="BP3688" s="18"/>
      <c r="BQ3688" s="18"/>
      <c r="BR3688" s="18"/>
      <c r="BS3688" s="18"/>
      <c r="BT3688" s="18"/>
      <c r="BU3688" s="18"/>
      <c r="BV3688" s="18"/>
    </row>
    <row r="3689" spans="1:74">
      <c r="A3689" s="18"/>
      <c r="B3689" s="19"/>
      <c r="BG3689" s="18"/>
      <c r="BH3689" s="18"/>
      <c r="BI3689" s="18"/>
      <c r="BJ3689" s="18"/>
      <c r="BK3689" s="18"/>
      <c r="BL3689" s="18"/>
      <c r="BM3689" s="18"/>
      <c r="BN3689" s="18"/>
      <c r="BO3689" s="18"/>
      <c r="BP3689" s="18"/>
      <c r="BQ3689" s="18"/>
      <c r="BR3689" s="18"/>
      <c r="BS3689" s="18"/>
      <c r="BT3689" s="18"/>
      <c r="BU3689" s="18"/>
      <c r="BV3689" s="18"/>
    </row>
    <row r="3690" spans="1:74">
      <c r="A3690" s="18"/>
      <c r="B3690" s="19"/>
      <c r="BG3690" s="18"/>
      <c r="BH3690" s="18"/>
      <c r="BI3690" s="18"/>
      <c r="BJ3690" s="18"/>
      <c r="BK3690" s="18"/>
      <c r="BL3690" s="18"/>
      <c r="BM3690" s="18"/>
      <c r="BN3690" s="18"/>
      <c r="BO3690" s="18"/>
      <c r="BP3690" s="18"/>
      <c r="BQ3690" s="18"/>
      <c r="BR3690" s="18"/>
      <c r="BS3690" s="18"/>
      <c r="BT3690" s="18"/>
      <c r="BU3690" s="18"/>
      <c r="BV3690" s="18"/>
    </row>
    <row r="3691" spans="1:74">
      <c r="A3691" s="18"/>
      <c r="B3691" s="19"/>
      <c r="BG3691" s="18"/>
      <c r="BH3691" s="18"/>
      <c r="BI3691" s="18"/>
      <c r="BJ3691" s="18"/>
      <c r="BK3691" s="18"/>
      <c r="BL3691" s="18"/>
      <c r="BM3691" s="18"/>
      <c r="BN3691" s="18"/>
      <c r="BO3691" s="18"/>
      <c r="BP3691" s="18"/>
      <c r="BQ3691" s="18"/>
      <c r="BR3691" s="18"/>
      <c r="BS3691" s="18"/>
      <c r="BT3691" s="18"/>
      <c r="BU3691" s="18"/>
      <c r="BV3691" s="18"/>
    </row>
    <row r="3692" spans="1:74">
      <c r="A3692" s="18"/>
      <c r="B3692" s="19"/>
      <c r="BG3692" s="18"/>
      <c r="BH3692" s="18"/>
      <c r="BI3692" s="18"/>
      <c r="BJ3692" s="18"/>
      <c r="BK3692" s="18"/>
      <c r="BL3692" s="18"/>
      <c r="BM3692" s="18"/>
      <c r="BN3692" s="18"/>
      <c r="BO3692" s="18"/>
      <c r="BP3692" s="18"/>
      <c r="BQ3692" s="18"/>
      <c r="BR3692" s="18"/>
      <c r="BS3692" s="18"/>
      <c r="BT3692" s="18"/>
      <c r="BU3692" s="18"/>
      <c r="BV3692" s="18"/>
    </row>
    <row r="3693" spans="1:74">
      <c r="A3693" s="18"/>
      <c r="B3693" s="19"/>
      <c r="BG3693" s="18"/>
      <c r="BH3693" s="18"/>
      <c r="BI3693" s="18"/>
      <c r="BJ3693" s="18"/>
      <c r="BK3693" s="18"/>
      <c r="BL3693" s="18"/>
      <c r="BM3693" s="18"/>
      <c r="BN3693" s="18"/>
      <c r="BO3693" s="18"/>
      <c r="BP3693" s="18"/>
      <c r="BQ3693" s="18"/>
      <c r="BR3693" s="18"/>
      <c r="BS3693" s="18"/>
      <c r="BT3693" s="18"/>
      <c r="BU3693" s="18"/>
      <c r="BV3693" s="18"/>
    </row>
    <row r="3694" spans="1:74">
      <c r="A3694" s="18"/>
      <c r="B3694" s="19"/>
      <c r="BG3694" s="18"/>
      <c r="BH3694" s="18"/>
      <c r="BI3694" s="18"/>
      <c r="BJ3694" s="18"/>
      <c r="BK3694" s="18"/>
      <c r="BL3694" s="18"/>
      <c r="BM3694" s="18"/>
      <c r="BN3694" s="18"/>
      <c r="BO3694" s="18"/>
      <c r="BP3694" s="18"/>
      <c r="BQ3694" s="18"/>
      <c r="BR3694" s="18"/>
      <c r="BS3694" s="18"/>
      <c r="BT3694" s="18"/>
      <c r="BU3694" s="18"/>
      <c r="BV3694" s="18"/>
    </row>
    <row r="3695" spans="1:74">
      <c r="A3695" s="18"/>
      <c r="B3695" s="19"/>
      <c r="BG3695" s="18"/>
      <c r="BH3695" s="18"/>
      <c r="BI3695" s="18"/>
      <c r="BJ3695" s="18"/>
      <c r="BK3695" s="18"/>
      <c r="BL3695" s="18"/>
      <c r="BM3695" s="18"/>
      <c r="BN3695" s="18"/>
      <c r="BO3695" s="18"/>
      <c r="BP3695" s="18"/>
      <c r="BQ3695" s="18"/>
      <c r="BR3695" s="18"/>
      <c r="BS3695" s="18"/>
      <c r="BT3695" s="18"/>
      <c r="BU3695" s="18"/>
      <c r="BV3695" s="18"/>
    </row>
    <row r="3696" spans="1:74">
      <c r="A3696" s="18"/>
      <c r="B3696" s="19"/>
      <c r="BG3696" s="18"/>
      <c r="BH3696" s="18"/>
      <c r="BI3696" s="18"/>
      <c r="BJ3696" s="18"/>
      <c r="BK3696" s="18"/>
      <c r="BL3696" s="18"/>
      <c r="BM3696" s="18"/>
      <c r="BN3696" s="18"/>
      <c r="BO3696" s="18"/>
      <c r="BP3696" s="18"/>
      <c r="BQ3696" s="18"/>
      <c r="BR3696" s="18"/>
      <c r="BS3696" s="18"/>
      <c r="BT3696" s="18"/>
      <c r="BU3696" s="18"/>
      <c r="BV3696" s="18"/>
    </row>
    <row r="3697" spans="1:74">
      <c r="A3697" s="18"/>
      <c r="B3697" s="19"/>
      <c r="BG3697" s="18"/>
      <c r="BH3697" s="18"/>
      <c r="BI3697" s="18"/>
      <c r="BJ3697" s="18"/>
      <c r="BK3697" s="18"/>
      <c r="BL3697" s="18"/>
      <c r="BM3697" s="18"/>
      <c r="BN3697" s="18"/>
      <c r="BO3697" s="18"/>
      <c r="BP3697" s="18"/>
      <c r="BQ3697" s="18"/>
      <c r="BR3697" s="18"/>
      <c r="BS3697" s="18"/>
      <c r="BT3697" s="18"/>
      <c r="BU3697" s="18"/>
      <c r="BV3697" s="18"/>
    </row>
    <row r="3698" spans="1:74">
      <c r="A3698" s="18"/>
      <c r="B3698" s="19"/>
      <c r="BG3698" s="18"/>
      <c r="BH3698" s="18"/>
      <c r="BI3698" s="18"/>
      <c r="BJ3698" s="18"/>
      <c r="BK3698" s="18"/>
      <c r="BL3698" s="18"/>
      <c r="BM3698" s="18"/>
      <c r="BN3698" s="18"/>
      <c r="BO3698" s="18"/>
      <c r="BP3698" s="18"/>
      <c r="BQ3698" s="18"/>
      <c r="BR3698" s="18"/>
      <c r="BS3698" s="18"/>
      <c r="BT3698" s="18"/>
      <c r="BU3698" s="18"/>
      <c r="BV3698" s="18"/>
    </row>
    <row r="3699" spans="1:74">
      <c r="A3699" s="18"/>
      <c r="B3699" s="19"/>
      <c r="BG3699" s="18"/>
      <c r="BH3699" s="18"/>
      <c r="BI3699" s="18"/>
      <c r="BJ3699" s="18"/>
      <c r="BK3699" s="18"/>
      <c r="BL3699" s="18"/>
      <c r="BM3699" s="18"/>
      <c r="BN3699" s="18"/>
      <c r="BO3699" s="18"/>
      <c r="BP3699" s="18"/>
      <c r="BQ3699" s="18"/>
      <c r="BR3699" s="18"/>
      <c r="BS3699" s="18"/>
      <c r="BT3699" s="18"/>
      <c r="BU3699" s="18"/>
      <c r="BV3699" s="18"/>
    </row>
    <row r="3700" spans="1:74">
      <c r="A3700" s="18"/>
      <c r="B3700" s="19"/>
      <c r="BG3700" s="18"/>
      <c r="BH3700" s="18"/>
      <c r="BI3700" s="18"/>
      <c r="BJ3700" s="18"/>
      <c r="BK3700" s="18"/>
      <c r="BL3700" s="18"/>
      <c r="BM3700" s="18"/>
      <c r="BN3700" s="18"/>
      <c r="BO3700" s="18"/>
      <c r="BP3700" s="18"/>
      <c r="BQ3700" s="18"/>
      <c r="BR3700" s="18"/>
      <c r="BS3700" s="18"/>
      <c r="BT3700" s="18"/>
      <c r="BU3700" s="18"/>
      <c r="BV3700" s="18"/>
    </row>
    <row r="3701" spans="1:74">
      <c r="A3701" s="18"/>
      <c r="B3701" s="19"/>
      <c r="BG3701" s="18"/>
      <c r="BH3701" s="18"/>
      <c r="BI3701" s="18"/>
      <c r="BJ3701" s="18"/>
      <c r="BK3701" s="18"/>
      <c r="BL3701" s="18"/>
      <c r="BM3701" s="18"/>
      <c r="BN3701" s="18"/>
      <c r="BO3701" s="18"/>
      <c r="BP3701" s="18"/>
      <c r="BQ3701" s="18"/>
      <c r="BR3701" s="18"/>
      <c r="BS3701" s="18"/>
      <c r="BT3701" s="18"/>
      <c r="BU3701" s="18"/>
      <c r="BV3701" s="18"/>
    </row>
    <row r="3702" spans="1:74">
      <c r="A3702" s="18"/>
      <c r="B3702" s="19"/>
      <c r="BG3702" s="18"/>
      <c r="BH3702" s="18"/>
      <c r="BI3702" s="18"/>
      <c r="BJ3702" s="18"/>
      <c r="BK3702" s="18"/>
      <c r="BL3702" s="18"/>
      <c r="BM3702" s="18"/>
      <c r="BN3702" s="18"/>
      <c r="BO3702" s="18"/>
      <c r="BP3702" s="18"/>
      <c r="BQ3702" s="18"/>
      <c r="BR3702" s="18"/>
      <c r="BS3702" s="18"/>
      <c r="BT3702" s="18"/>
      <c r="BU3702" s="18"/>
      <c r="BV3702" s="18"/>
    </row>
    <row r="3703" spans="1:74">
      <c r="A3703" s="18"/>
      <c r="B3703" s="19"/>
      <c r="BG3703" s="18"/>
      <c r="BH3703" s="18"/>
      <c r="BI3703" s="18"/>
      <c r="BJ3703" s="18"/>
      <c r="BK3703" s="18"/>
      <c r="BL3703" s="18"/>
      <c r="BM3703" s="18"/>
      <c r="BN3703" s="18"/>
      <c r="BO3703" s="18"/>
      <c r="BP3703" s="18"/>
      <c r="BQ3703" s="18"/>
      <c r="BR3703" s="18"/>
      <c r="BS3703" s="18"/>
      <c r="BT3703" s="18"/>
      <c r="BU3703" s="18"/>
      <c r="BV3703" s="18"/>
    </row>
    <row r="3704" spans="1:74">
      <c r="A3704" s="18"/>
      <c r="B3704" s="19"/>
      <c r="BG3704" s="18"/>
      <c r="BH3704" s="18"/>
      <c r="BI3704" s="18"/>
      <c r="BJ3704" s="18"/>
      <c r="BK3704" s="18"/>
      <c r="BL3704" s="18"/>
      <c r="BM3704" s="18"/>
      <c r="BN3704" s="18"/>
      <c r="BO3704" s="18"/>
      <c r="BP3704" s="18"/>
      <c r="BQ3704" s="18"/>
      <c r="BR3704" s="18"/>
      <c r="BS3704" s="18"/>
      <c r="BT3704" s="18"/>
      <c r="BU3704" s="18"/>
      <c r="BV3704" s="18"/>
    </row>
    <row r="3705" spans="1:74">
      <c r="A3705" s="18"/>
      <c r="B3705" s="19"/>
      <c r="BG3705" s="18"/>
      <c r="BH3705" s="18"/>
      <c r="BI3705" s="18"/>
      <c r="BJ3705" s="18"/>
      <c r="BK3705" s="18"/>
      <c r="BL3705" s="18"/>
      <c r="BM3705" s="18"/>
      <c r="BN3705" s="18"/>
      <c r="BO3705" s="18"/>
      <c r="BP3705" s="18"/>
      <c r="BQ3705" s="18"/>
      <c r="BR3705" s="18"/>
      <c r="BS3705" s="18"/>
      <c r="BT3705" s="18"/>
      <c r="BU3705" s="18"/>
      <c r="BV3705" s="18"/>
    </row>
    <row r="3706" spans="1:74">
      <c r="A3706" s="18"/>
      <c r="B3706" s="19"/>
      <c r="BG3706" s="18"/>
      <c r="BH3706" s="18"/>
      <c r="BI3706" s="18"/>
      <c r="BJ3706" s="18"/>
      <c r="BK3706" s="18"/>
      <c r="BL3706" s="18"/>
      <c r="BM3706" s="18"/>
      <c r="BN3706" s="18"/>
      <c r="BO3706" s="18"/>
      <c r="BP3706" s="18"/>
      <c r="BQ3706" s="18"/>
      <c r="BR3706" s="18"/>
      <c r="BS3706" s="18"/>
      <c r="BT3706" s="18"/>
      <c r="BU3706" s="18"/>
      <c r="BV3706" s="18"/>
    </row>
    <row r="3707" spans="1:74">
      <c r="A3707" s="18"/>
      <c r="B3707" s="19"/>
      <c r="BG3707" s="18"/>
      <c r="BH3707" s="18"/>
      <c r="BI3707" s="18"/>
      <c r="BJ3707" s="18"/>
      <c r="BK3707" s="18"/>
      <c r="BL3707" s="18"/>
      <c r="BM3707" s="18"/>
      <c r="BN3707" s="18"/>
      <c r="BO3707" s="18"/>
      <c r="BP3707" s="18"/>
      <c r="BQ3707" s="18"/>
      <c r="BR3707" s="18"/>
      <c r="BS3707" s="18"/>
      <c r="BT3707" s="18"/>
      <c r="BU3707" s="18"/>
      <c r="BV3707" s="18"/>
    </row>
    <row r="3708" spans="1:74">
      <c r="A3708" s="18"/>
      <c r="B3708" s="19"/>
      <c r="BG3708" s="18"/>
      <c r="BH3708" s="18"/>
      <c r="BI3708" s="18"/>
      <c r="BJ3708" s="18"/>
      <c r="BK3708" s="18"/>
      <c r="BL3708" s="18"/>
      <c r="BM3708" s="18"/>
      <c r="BN3708" s="18"/>
      <c r="BO3708" s="18"/>
      <c r="BP3708" s="18"/>
      <c r="BQ3708" s="18"/>
      <c r="BR3708" s="18"/>
      <c r="BS3708" s="18"/>
      <c r="BT3708" s="18"/>
      <c r="BU3708" s="18"/>
      <c r="BV3708" s="18"/>
    </row>
    <row r="3709" spans="1:74">
      <c r="A3709" s="18"/>
      <c r="B3709" s="19"/>
      <c r="BG3709" s="18"/>
      <c r="BH3709" s="18"/>
      <c r="BI3709" s="18"/>
      <c r="BJ3709" s="18"/>
      <c r="BK3709" s="18"/>
      <c r="BL3709" s="18"/>
      <c r="BM3709" s="18"/>
      <c r="BN3709" s="18"/>
      <c r="BO3709" s="18"/>
      <c r="BP3709" s="18"/>
      <c r="BQ3709" s="18"/>
      <c r="BR3709" s="18"/>
      <c r="BS3709" s="18"/>
      <c r="BT3709" s="18"/>
      <c r="BU3709" s="18"/>
      <c r="BV3709" s="18"/>
    </row>
    <row r="3710" spans="1:74">
      <c r="A3710" s="18"/>
      <c r="B3710" s="19"/>
      <c r="BG3710" s="18"/>
      <c r="BH3710" s="18"/>
      <c r="BI3710" s="18"/>
      <c r="BJ3710" s="18"/>
      <c r="BK3710" s="18"/>
      <c r="BL3710" s="18"/>
      <c r="BM3710" s="18"/>
      <c r="BN3710" s="18"/>
      <c r="BO3710" s="18"/>
      <c r="BP3710" s="18"/>
      <c r="BQ3710" s="18"/>
      <c r="BR3710" s="18"/>
      <c r="BS3710" s="18"/>
      <c r="BT3710" s="18"/>
      <c r="BU3710" s="18"/>
      <c r="BV3710" s="18"/>
    </row>
    <row r="3711" spans="1:74">
      <c r="A3711" s="18"/>
      <c r="B3711" s="19"/>
      <c r="BG3711" s="18"/>
      <c r="BH3711" s="18"/>
      <c r="BI3711" s="18"/>
      <c r="BJ3711" s="18"/>
      <c r="BK3711" s="18"/>
      <c r="BL3711" s="18"/>
      <c r="BM3711" s="18"/>
      <c r="BN3711" s="18"/>
      <c r="BO3711" s="18"/>
      <c r="BP3711" s="18"/>
      <c r="BQ3711" s="18"/>
      <c r="BR3711" s="18"/>
      <c r="BS3711" s="18"/>
      <c r="BT3711" s="18"/>
      <c r="BU3711" s="18"/>
      <c r="BV3711" s="18"/>
    </row>
    <row r="3712" spans="1:74">
      <c r="A3712" s="18"/>
      <c r="B3712" s="19"/>
      <c r="BG3712" s="18"/>
      <c r="BH3712" s="18"/>
      <c r="BI3712" s="18"/>
      <c r="BJ3712" s="18"/>
      <c r="BK3712" s="18"/>
      <c r="BL3712" s="18"/>
      <c r="BM3712" s="18"/>
      <c r="BN3712" s="18"/>
      <c r="BO3712" s="18"/>
      <c r="BP3712" s="18"/>
      <c r="BQ3712" s="18"/>
      <c r="BR3712" s="18"/>
      <c r="BS3712" s="18"/>
      <c r="BT3712" s="18"/>
      <c r="BU3712" s="18"/>
      <c r="BV3712" s="18"/>
    </row>
    <row r="3713" spans="1:74">
      <c r="A3713" s="18"/>
      <c r="B3713" s="19"/>
      <c r="BG3713" s="18"/>
      <c r="BH3713" s="18"/>
      <c r="BI3713" s="18"/>
      <c r="BJ3713" s="18"/>
      <c r="BK3713" s="18"/>
      <c r="BL3713" s="18"/>
      <c r="BM3713" s="18"/>
      <c r="BN3713" s="18"/>
      <c r="BO3713" s="18"/>
      <c r="BP3713" s="18"/>
      <c r="BQ3713" s="18"/>
      <c r="BR3713" s="18"/>
      <c r="BS3713" s="18"/>
      <c r="BT3713" s="18"/>
      <c r="BU3713" s="18"/>
      <c r="BV3713" s="18"/>
    </row>
    <row r="3714" spans="1:74">
      <c r="A3714" s="18"/>
      <c r="B3714" s="19"/>
      <c r="BG3714" s="18"/>
      <c r="BH3714" s="18"/>
      <c r="BI3714" s="18"/>
      <c r="BJ3714" s="18"/>
      <c r="BK3714" s="18"/>
      <c r="BL3714" s="18"/>
      <c r="BM3714" s="18"/>
      <c r="BN3714" s="18"/>
      <c r="BO3714" s="18"/>
      <c r="BP3714" s="18"/>
      <c r="BQ3714" s="18"/>
      <c r="BR3714" s="18"/>
      <c r="BS3714" s="18"/>
      <c r="BT3714" s="18"/>
      <c r="BU3714" s="18"/>
      <c r="BV3714" s="18"/>
    </row>
    <row r="3715" spans="1:74">
      <c r="A3715" s="18"/>
      <c r="B3715" s="19"/>
      <c r="BG3715" s="18"/>
      <c r="BH3715" s="18"/>
      <c r="BI3715" s="18"/>
      <c r="BJ3715" s="18"/>
      <c r="BK3715" s="18"/>
      <c r="BL3715" s="18"/>
      <c r="BM3715" s="18"/>
      <c r="BN3715" s="18"/>
      <c r="BO3715" s="18"/>
      <c r="BP3715" s="18"/>
      <c r="BQ3715" s="18"/>
      <c r="BR3715" s="18"/>
      <c r="BS3715" s="18"/>
      <c r="BT3715" s="18"/>
      <c r="BU3715" s="18"/>
      <c r="BV3715" s="18"/>
    </row>
    <row r="3716" spans="1:74">
      <c r="A3716" s="18"/>
      <c r="B3716" s="19"/>
      <c r="BG3716" s="18"/>
      <c r="BH3716" s="18"/>
      <c r="BI3716" s="18"/>
      <c r="BJ3716" s="18"/>
      <c r="BK3716" s="18"/>
      <c r="BL3716" s="18"/>
      <c r="BM3716" s="18"/>
      <c r="BN3716" s="18"/>
      <c r="BO3716" s="18"/>
      <c r="BP3716" s="18"/>
      <c r="BQ3716" s="18"/>
      <c r="BR3716" s="18"/>
      <c r="BS3716" s="18"/>
      <c r="BT3716" s="18"/>
      <c r="BU3716" s="18"/>
      <c r="BV3716" s="18"/>
    </row>
    <row r="3717" spans="1:74">
      <c r="A3717" s="18"/>
      <c r="B3717" s="19"/>
      <c r="BG3717" s="18"/>
      <c r="BH3717" s="18"/>
      <c r="BI3717" s="18"/>
      <c r="BJ3717" s="18"/>
      <c r="BK3717" s="18"/>
      <c r="BL3717" s="18"/>
      <c r="BM3717" s="18"/>
      <c r="BN3717" s="18"/>
      <c r="BO3717" s="18"/>
      <c r="BP3717" s="18"/>
      <c r="BQ3717" s="18"/>
      <c r="BR3717" s="18"/>
      <c r="BS3717" s="18"/>
      <c r="BT3717" s="18"/>
      <c r="BU3717" s="18"/>
      <c r="BV3717" s="18"/>
    </row>
    <row r="3718" spans="1:74">
      <c r="A3718" s="18"/>
      <c r="B3718" s="19"/>
      <c r="BG3718" s="18"/>
      <c r="BH3718" s="18"/>
      <c r="BI3718" s="18"/>
      <c r="BJ3718" s="18"/>
      <c r="BK3718" s="18"/>
      <c r="BL3718" s="18"/>
      <c r="BM3718" s="18"/>
      <c r="BN3718" s="18"/>
      <c r="BO3718" s="18"/>
      <c r="BP3718" s="18"/>
      <c r="BQ3718" s="18"/>
      <c r="BR3718" s="18"/>
      <c r="BS3718" s="18"/>
      <c r="BT3718" s="18"/>
      <c r="BU3718" s="18"/>
      <c r="BV3718" s="18"/>
    </row>
    <row r="3719" spans="1:74">
      <c r="A3719" s="18"/>
      <c r="B3719" s="19"/>
      <c r="BG3719" s="18"/>
      <c r="BH3719" s="18"/>
      <c r="BI3719" s="18"/>
      <c r="BJ3719" s="18"/>
      <c r="BK3719" s="18"/>
      <c r="BL3719" s="18"/>
      <c r="BM3719" s="18"/>
      <c r="BN3719" s="18"/>
      <c r="BO3719" s="18"/>
      <c r="BP3719" s="18"/>
      <c r="BQ3719" s="18"/>
      <c r="BR3719" s="18"/>
      <c r="BS3719" s="18"/>
      <c r="BT3719" s="18"/>
      <c r="BU3719" s="18"/>
      <c r="BV3719" s="18"/>
    </row>
    <row r="3720" spans="1:74">
      <c r="A3720" s="18"/>
      <c r="B3720" s="19"/>
      <c r="BG3720" s="18"/>
      <c r="BH3720" s="18"/>
      <c r="BI3720" s="18"/>
      <c r="BJ3720" s="18"/>
      <c r="BK3720" s="18"/>
      <c r="BL3720" s="18"/>
      <c r="BM3720" s="18"/>
      <c r="BN3720" s="18"/>
      <c r="BO3720" s="18"/>
      <c r="BP3720" s="18"/>
      <c r="BQ3720" s="18"/>
      <c r="BR3720" s="18"/>
      <c r="BS3720" s="18"/>
      <c r="BT3720" s="18"/>
      <c r="BU3720" s="18"/>
      <c r="BV3720" s="18"/>
    </row>
    <row r="3721" spans="1:74">
      <c r="A3721" s="18"/>
      <c r="B3721" s="19"/>
      <c r="BG3721" s="18"/>
      <c r="BH3721" s="18"/>
      <c r="BI3721" s="18"/>
      <c r="BJ3721" s="18"/>
      <c r="BK3721" s="18"/>
      <c r="BL3721" s="18"/>
      <c r="BM3721" s="18"/>
      <c r="BN3721" s="18"/>
      <c r="BO3721" s="18"/>
      <c r="BP3721" s="18"/>
      <c r="BQ3721" s="18"/>
      <c r="BR3721" s="18"/>
      <c r="BS3721" s="18"/>
      <c r="BT3721" s="18"/>
      <c r="BU3721" s="18"/>
      <c r="BV3721" s="18"/>
    </row>
    <row r="3722" spans="1:74">
      <c r="A3722" s="18"/>
      <c r="B3722" s="19"/>
      <c r="BG3722" s="18"/>
      <c r="BH3722" s="18"/>
      <c r="BI3722" s="18"/>
      <c r="BJ3722" s="18"/>
      <c r="BK3722" s="18"/>
      <c r="BL3722" s="18"/>
      <c r="BM3722" s="18"/>
      <c r="BN3722" s="18"/>
      <c r="BO3722" s="18"/>
      <c r="BP3722" s="18"/>
      <c r="BQ3722" s="18"/>
      <c r="BR3722" s="18"/>
      <c r="BS3722" s="18"/>
      <c r="BT3722" s="18"/>
      <c r="BU3722" s="18"/>
      <c r="BV3722" s="18"/>
    </row>
    <row r="3723" spans="1:74">
      <c r="A3723" s="18"/>
      <c r="B3723" s="19"/>
      <c r="BG3723" s="18"/>
      <c r="BH3723" s="18"/>
      <c r="BI3723" s="18"/>
      <c r="BJ3723" s="18"/>
      <c r="BK3723" s="18"/>
      <c r="BL3723" s="18"/>
      <c r="BM3723" s="18"/>
      <c r="BN3723" s="18"/>
      <c r="BO3723" s="18"/>
      <c r="BP3723" s="18"/>
      <c r="BQ3723" s="18"/>
      <c r="BR3723" s="18"/>
      <c r="BS3723" s="18"/>
      <c r="BT3723" s="18"/>
      <c r="BU3723" s="18"/>
      <c r="BV3723" s="18"/>
    </row>
    <row r="3724" spans="1:74">
      <c r="A3724" s="18"/>
      <c r="B3724" s="19"/>
      <c r="BG3724" s="18"/>
      <c r="BH3724" s="18"/>
      <c r="BI3724" s="18"/>
      <c r="BJ3724" s="18"/>
      <c r="BK3724" s="18"/>
      <c r="BL3724" s="18"/>
      <c r="BM3724" s="18"/>
      <c r="BN3724" s="18"/>
      <c r="BO3724" s="18"/>
      <c r="BP3724" s="18"/>
      <c r="BQ3724" s="18"/>
      <c r="BR3724" s="18"/>
      <c r="BS3724" s="18"/>
      <c r="BT3724" s="18"/>
      <c r="BU3724" s="18"/>
      <c r="BV3724" s="18"/>
    </row>
    <row r="3725" spans="1:74">
      <c r="A3725" s="18"/>
      <c r="B3725" s="19"/>
      <c r="BG3725" s="18"/>
      <c r="BH3725" s="18"/>
      <c r="BI3725" s="18"/>
      <c r="BJ3725" s="18"/>
      <c r="BK3725" s="18"/>
      <c r="BL3725" s="18"/>
      <c r="BM3725" s="18"/>
      <c r="BN3725" s="18"/>
      <c r="BO3725" s="18"/>
      <c r="BP3725" s="18"/>
      <c r="BQ3725" s="18"/>
      <c r="BR3725" s="18"/>
      <c r="BS3725" s="18"/>
      <c r="BT3725" s="18"/>
      <c r="BU3725" s="18"/>
      <c r="BV3725" s="18"/>
    </row>
    <row r="3726" spans="1:74">
      <c r="A3726" s="18"/>
      <c r="B3726" s="19"/>
      <c r="BG3726" s="18"/>
      <c r="BH3726" s="18"/>
      <c r="BI3726" s="18"/>
      <c r="BJ3726" s="18"/>
      <c r="BK3726" s="18"/>
      <c r="BL3726" s="18"/>
      <c r="BM3726" s="18"/>
      <c r="BN3726" s="18"/>
      <c r="BO3726" s="18"/>
      <c r="BP3726" s="18"/>
      <c r="BQ3726" s="18"/>
      <c r="BR3726" s="18"/>
      <c r="BS3726" s="18"/>
      <c r="BT3726" s="18"/>
      <c r="BU3726" s="18"/>
      <c r="BV3726" s="18"/>
    </row>
    <row r="3727" spans="1:74">
      <c r="A3727" s="18"/>
      <c r="B3727" s="19"/>
      <c r="BG3727" s="18"/>
      <c r="BH3727" s="18"/>
      <c r="BI3727" s="18"/>
      <c r="BJ3727" s="18"/>
      <c r="BK3727" s="18"/>
      <c r="BL3727" s="18"/>
      <c r="BM3727" s="18"/>
      <c r="BN3727" s="18"/>
      <c r="BO3727" s="18"/>
      <c r="BP3727" s="18"/>
      <c r="BQ3727" s="18"/>
      <c r="BR3727" s="18"/>
      <c r="BS3727" s="18"/>
      <c r="BT3727" s="18"/>
      <c r="BU3727" s="18"/>
      <c r="BV3727" s="18"/>
    </row>
    <row r="3728" spans="1:74">
      <c r="A3728" s="18"/>
      <c r="B3728" s="19"/>
      <c r="BG3728" s="18"/>
      <c r="BH3728" s="18"/>
      <c r="BI3728" s="18"/>
      <c r="BJ3728" s="18"/>
      <c r="BK3728" s="18"/>
      <c r="BL3728" s="18"/>
      <c r="BM3728" s="18"/>
      <c r="BN3728" s="18"/>
      <c r="BO3728" s="18"/>
      <c r="BP3728" s="18"/>
      <c r="BQ3728" s="18"/>
      <c r="BR3728" s="18"/>
      <c r="BS3728" s="18"/>
      <c r="BT3728" s="18"/>
      <c r="BU3728" s="18"/>
      <c r="BV3728" s="18"/>
    </row>
    <row r="3729" spans="1:74">
      <c r="A3729" s="18"/>
      <c r="B3729" s="19"/>
      <c r="BG3729" s="18"/>
      <c r="BH3729" s="18"/>
      <c r="BI3729" s="18"/>
      <c r="BJ3729" s="18"/>
      <c r="BK3729" s="18"/>
      <c r="BL3729" s="18"/>
      <c r="BM3729" s="18"/>
      <c r="BN3729" s="18"/>
      <c r="BO3729" s="18"/>
      <c r="BP3729" s="18"/>
      <c r="BQ3729" s="18"/>
      <c r="BR3729" s="18"/>
      <c r="BS3729" s="18"/>
      <c r="BT3729" s="18"/>
      <c r="BU3729" s="18"/>
      <c r="BV3729" s="18"/>
    </row>
    <row r="3730" spans="1:74">
      <c r="A3730" s="18"/>
      <c r="B3730" s="19"/>
      <c r="BG3730" s="18"/>
      <c r="BH3730" s="18"/>
      <c r="BI3730" s="18"/>
      <c r="BJ3730" s="18"/>
      <c r="BK3730" s="18"/>
      <c r="BL3730" s="18"/>
      <c r="BM3730" s="18"/>
      <c r="BN3730" s="18"/>
      <c r="BO3730" s="18"/>
      <c r="BP3730" s="18"/>
      <c r="BQ3730" s="18"/>
      <c r="BR3730" s="18"/>
      <c r="BS3730" s="18"/>
      <c r="BT3730" s="18"/>
      <c r="BU3730" s="18"/>
      <c r="BV3730" s="18"/>
    </row>
    <row r="3731" spans="1:74">
      <c r="A3731" s="18"/>
      <c r="B3731" s="19"/>
      <c r="BG3731" s="18"/>
      <c r="BH3731" s="18"/>
      <c r="BI3731" s="18"/>
      <c r="BJ3731" s="18"/>
      <c r="BK3731" s="18"/>
      <c r="BL3731" s="18"/>
      <c r="BM3731" s="18"/>
      <c r="BN3731" s="18"/>
      <c r="BO3731" s="18"/>
      <c r="BP3731" s="18"/>
      <c r="BQ3731" s="18"/>
      <c r="BR3731" s="18"/>
      <c r="BS3731" s="18"/>
      <c r="BT3731" s="18"/>
      <c r="BU3731" s="18"/>
      <c r="BV3731" s="18"/>
    </row>
    <row r="3732" spans="1:74">
      <c r="A3732" s="18"/>
      <c r="B3732" s="19"/>
      <c r="BG3732" s="18"/>
      <c r="BH3732" s="18"/>
      <c r="BI3732" s="18"/>
      <c r="BJ3732" s="18"/>
      <c r="BK3732" s="18"/>
      <c r="BL3732" s="18"/>
      <c r="BM3732" s="18"/>
      <c r="BN3732" s="18"/>
      <c r="BO3732" s="18"/>
      <c r="BP3732" s="18"/>
      <c r="BQ3732" s="18"/>
      <c r="BR3732" s="18"/>
      <c r="BS3732" s="18"/>
      <c r="BT3732" s="18"/>
      <c r="BU3732" s="18"/>
      <c r="BV3732" s="18"/>
    </row>
    <row r="3733" spans="1:74">
      <c r="A3733" s="18"/>
      <c r="B3733" s="19"/>
      <c r="BG3733" s="18"/>
      <c r="BH3733" s="18"/>
      <c r="BI3733" s="18"/>
      <c r="BJ3733" s="18"/>
      <c r="BK3733" s="18"/>
      <c r="BL3733" s="18"/>
      <c r="BM3733" s="18"/>
      <c r="BN3733" s="18"/>
      <c r="BO3733" s="18"/>
      <c r="BP3733" s="18"/>
      <c r="BQ3733" s="18"/>
      <c r="BR3733" s="18"/>
      <c r="BS3733" s="18"/>
      <c r="BT3733" s="18"/>
      <c r="BU3733" s="18"/>
      <c r="BV3733" s="18"/>
    </row>
    <row r="3734" spans="1:74">
      <c r="A3734" s="18"/>
      <c r="B3734" s="19"/>
      <c r="BG3734" s="18"/>
      <c r="BH3734" s="18"/>
      <c r="BI3734" s="18"/>
      <c r="BJ3734" s="18"/>
      <c r="BK3734" s="18"/>
      <c r="BL3734" s="18"/>
      <c r="BM3734" s="18"/>
      <c r="BN3734" s="18"/>
      <c r="BO3734" s="18"/>
      <c r="BP3734" s="18"/>
      <c r="BQ3734" s="18"/>
      <c r="BR3734" s="18"/>
      <c r="BS3734" s="18"/>
      <c r="BT3734" s="18"/>
      <c r="BU3734" s="18"/>
      <c r="BV3734" s="18"/>
    </row>
    <row r="3735" spans="1:74">
      <c r="A3735" s="18"/>
      <c r="B3735" s="19"/>
      <c r="BG3735" s="18"/>
      <c r="BH3735" s="18"/>
      <c r="BI3735" s="18"/>
      <c r="BJ3735" s="18"/>
      <c r="BK3735" s="18"/>
      <c r="BL3735" s="18"/>
      <c r="BM3735" s="18"/>
      <c r="BN3735" s="18"/>
      <c r="BO3735" s="18"/>
      <c r="BP3735" s="18"/>
      <c r="BQ3735" s="18"/>
      <c r="BR3735" s="18"/>
      <c r="BS3735" s="18"/>
      <c r="BT3735" s="18"/>
      <c r="BU3735" s="18"/>
      <c r="BV3735" s="18"/>
    </row>
    <row r="3736" spans="1:74">
      <c r="A3736" s="18"/>
      <c r="B3736" s="19"/>
      <c r="BG3736" s="18"/>
      <c r="BH3736" s="18"/>
      <c r="BI3736" s="18"/>
      <c r="BJ3736" s="18"/>
      <c r="BK3736" s="18"/>
      <c r="BL3736" s="18"/>
      <c r="BM3736" s="18"/>
      <c r="BN3736" s="18"/>
      <c r="BO3736" s="18"/>
      <c r="BP3736" s="18"/>
      <c r="BQ3736" s="18"/>
      <c r="BR3736" s="18"/>
      <c r="BS3736" s="18"/>
      <c r="BT3736" s="18"/>
      <c r="BU3736" s="18"/>
      <c r="BV3736" s="18"/>
    </row>
    <row r="3737" spans="1:74">
      <c r="A3737" s="18"/>
      <c r="B3737" s="19"/>
      <c r="BG3737" s="18"/>
      <c r="BH3737" s="18"/>
      <c r="BI3737" s="18"/>
      <c r="BJ3737" s="18"/>
      <c r="BK3737" s="18"/>
      <c r="BL3737" s="18"/>
      <c r="BM3737" s="18"/>
      <c r="BN3737" s="18"/>
      <c r="BO3737" s="18"/>
      <c r="BP3737" s="18"/>
      <c r="BQ3737" s="18"/>
      <c r="BR3737" s="18"/>
      <c r="BS3737" s="18"/>
      <c r="BT3737" s="18"/>
      <c r="BU3737" s="18"/>
      <c r="BV3737" s="18"/>
    </row>
    <row r="3738" spans="1:74">
      <c r="A3738" s="18"/>
      <c r="B3738" s="19"/>
      <c r="BG3738" s="18"/>
      <c r="BH3738" s="18"/>
      <c r="BI3738" s="18"/>
      <c r="BJ3738" s="18"/>
      <c r="BK3738" s="18"/>
      <c r="BL3738" s="18"/>
      <c r="BM3738" s="18"/>
      <c r="BN3738" s="18"/>
      <c r="BO3738" s="18"/>
      <c r="BP3738" s="18"/>
      <c r="BQ3738" s="18"/>
      <c r="BR3738" s="18"/>
      <c r="BS3738" s="18"/>
      <c r="BT3738" s="18"/>
      <c r="BU3738" s="18"/>
      <c r="BV3738" s="18"/>
    </row>
    <row r="3739" spans="1:74">
      <c r="A3739" s="18"/>
      <c r="B3739" s="19"/>
      <c r="BG3739" s="18"/>
      <c r="BH3739" s="18"/>
      <c r="BI3739" s="18"/>
      <c r="BJ3739" s="18"/>
      <c r="BK3739" s="18"/>
      <c r="BL3739" s="18"/>
      <c r="BM3739" s="18"/>
      <c r="BN3739" s="18"/>
      <c r="BO3739" s="18"/>
      <c r="BP3739" s="18"/>
      <c r="BQ3739" s="18"/>
      <c r="BR3739" s="18"/>
      <c r="BS3739" s="18"/>
      <c r="BT3739" s="18"/>
      <c r="BU3739" s="18"/>
      <c r="BV3739" s="18"/>
    </row>
    <row r="3740" spans="1:74">
      <c r="A3740" s="18"/>
      <c r="B3740" s="19"/>
      <c r="BG3740" s="18"/>
      <c r="BH3740" s="18"/>
      <c r="BI3740" s="18"/>
      <c r="BJ3740" s="18"/>
      <c r="BK3740" s="18"/>
      <c r="BL3740" s="18"/>
      <c r="BM3740" s="18"/>
      <c r="BN3740" s="18"/>
      <c r="BO3740" s="18"/>
      <c r="BP3740" s="18"/>
      <c r="BQ3740" s="18"/>
      <c r="BR3740" s="18"/>
      <c r="BS3740" s="18"/>
      <c r="BT3740" s="18"/>
      <c r="BU3740" s="18"/>
      <c r="BV3740" s="18"/>
    </row>
    <row r="3741" spans="1:74">
      <c r="A3741" s="18"/>
      <c r="B3741" s="19"/>
      <c r="BG3741" s="18"/>
      <c r="BH3741" s="18"/>
      <c r="BI3741" s="18"/>
      <c r="BJ3741" s="18"/>
      <c r="BK3741" s="18"/>
      <c r="BL3741" s="18"/>
      <c r="BM3741" s="18"/>
      <c r="BN3741" s="18"/>
      <c r="BO3741" s="18"/>
      <c r="BP3741" s="18"/>
      <c r="BQ3741" s="18"/>
      <c r="BR3741" s="18"/>
      <c r="BS3741" s="18"/>
      <c r="BT3741" s="18"/>
      <c r="BU3741" s="18"/>
      <c r="BV3741" s="18"/>
    </row>
    <row r="3742" spans="1:74">
      <c r="A3742" s="18"/>
      <c r="B3742" s="19"/>
      <c r="BG3742" s="18"/>
      <c r="BH3742" s="18"/>
      <c r="BI3742" s="18"/>
      <c r="BJ3742" s="18"/>
      <c r="BK3742" s="18"/>
      <c r="BL3742" s="18"/>
      <c r="BM3742" s="18"/>
      <c r="BN3742" s="18"/>
      <c r="BO3742" s="18"/>
      <c r="BP3742" s="18"/>
      <c r="BQ3742" s="18"/>
      <c r="BR3742" s="18"/>
      <c r="BS3742" s="18"/>
      <c r="BT3742" s="18"/>
      <c r="BU3742" s="18"/>
      <c r="BV3742" s="18"/>
    </row>
    <row r="3743" spans="1:74">
      <c r="A3743" s="18"/>
      <c r="B3743" s="19"/>
      <c r="BG3743" s="18"/>
      <c r="BH3743" s="18"/>
      <c r="BI3743" s="18"/>
      <c r="BJ3743" s="18"/>
      <c r="BK3743" s="18"/>
      <c r="BL3743" s="18"/>
      <c r="BM3743" s="18"/>
      <c r="BN3743" s="18"/>
      <c r="BO3743" s="18"/>
      <c r="BP3743" s="18"/>
      <c r="BQ3743" s="18"/>
      <c r="BR3743" s="18"/>
      <c r="BS3743" s="18"/>
      <c r="BT3743" s="18"/>
      <c r="BU3743" s="18"/>
      <c r="BV3743" s="18"/>
    </row>
    <row r="3744" spans="1:74">
      <c r="A3744" s="18"/>
      <c r="B3744" s="19"/>
      <c r="BG3744" s="18"/>
      <c r="BH3744" s="18"/>
      <c r="BI3744" s="18"/>
      <c r="BJ3744" s="18"/>
      <c r="BK3744" s="18"/>
      <c r="BL3744" s="18"/>
      <c r="BM3744" s="18"/>
      <c r="BN3744" s="18"/>
      <c r="BO3744" s="18"/>
      <c r="BP3744" s="18"/>
      <c r="BQ3744" s="18"/>
      <c r="BR3744" s="18"/>
      <c r="BS3744" s="18"/>
      <c r="BT3744" s="18"/>
      <c r="BU3744" s="18"/>
      <c r="BV3744" s="18"/>
    </row>
    <row r="3745" spans="1:74">
      <c r="A3745" s="18"/>
      <c r="B3745" s="19"/>
      <c r="BG3745" s="18"/>
      <c r="BH3745" s="18"/>
      <c r="BI3745" s="18"/>
      <c r="BJ3745" s="18"/>
      <c r="BK3745" s="18"/>
      <c r="BL3745" s="18"/>
      <c r="BM3745" s="18"/>
      <c r="BN3745" s="18"/>
      <c r="BO3745" s="18"/>
      <c r="BP3745" s="18"/>
      <c r="BQ3745" s="18"/>
      <c r="BR3745" s="18"/>
      <c r="BS3745" s="18"/>
      <c r="BT3745" s="18"/>
      <c r="BU3745" s="18"/>
      <c r="BV3745" s="18"/>
    </row>
    <row r="3746" spans="1:74">
      <c r="A3746" s="18"/>
      <c r="B3746" s="19"/>
      <c r="BG3746" s="18"/>
      <c r="BH3746" s="18"/>
      <c r="BI3746" s="18"/>
      <c r="BJ3746" s="18"/>
      <c r="BK3746" s="18"/>
      <c r="BL3746" s="18"/>
      <c r="BM3746" s="18"/>
      <c r="BN3746" s="18"/>
      <c r="BO3746" s="18"/>
      <c r="BP3746" s="18"/>
      <c r="BQ3746" s="18"/>
      <c r="BR3746" s="18"/>
      <c r="BS3746" s="18"/>
      <c r="BT3746" s="18"/>
      <c r="BU3746" s="18"/>
      <c r="BV3746" s="18"/>
    </row>
    <row r="3747" spans="1:74">
      <c r="A3747" s="18"/>
      <c r="B3747" s="19"/>
      <c r="BG3747" s="18"/>
      <c r="BH3747" s="18"/>
      <c r="BI3747" s="18"/>
      <c r="BJ3747" s="18"/>
      <c r="BK3747" s="18"/>
      <c r="BL3747" s="18"/>
      <c r="BM3747" s="18"/>
      <c r="BN3747" s="18"/>
      <c r="BO3747" s="18"/>
      <c r="BP3747" s="18"/>
      <c r="BQ3747" s="18"/>
      <c r="BR3747" s="18"/>
      <c r="BS3747" s="18"/>
      <c r="BT3747" s="18"/>
      <c r="BU3747" s="18"/>
      <c r="BV3747" s="18"/>
    </row>
    <row r="3748" spans="1:74">
      <c r="A3748" s="18"/>
      <c r="B3748" s="19"/>
      <c r="BG3748" s="18"/>
      <c r="BH3748" s="18"/>
      <c r="BI3748" s="18"/>
      <c r="BJ3748" s="18"/>
      <c r="BK3748" s="18"/>
      <c r="BL3748" s="18"/>
      <c r="BM3748" s="18"/>
      <c r="BN3748" s="18"/>
      <c r="BO3748" s="18"/>
      <c r="BP3748" s="18"/>
      <c r="BQ3748" s="18"/>
      <c r="BR3748" s="18"/>
      <c r="BS3748" s="18"/>
      <c r="BT3748" s="18"/>
      <c r="BU3748" s="18"/>
      <c r="BV3748" s="18"/>
    </row>
    <row r="3749" spans="1:74">
      <c r="A3749" s="18"/>
      <c r="B3749" s="19"/>
      <c r="BG3749" s="18"/>
      <c r="BH3749" s="18"/>
      <c r="BI3749" s="18"/>
      <c r="BJ3749" s="18"/>
      <c r="BK3749" s="18"/>
      <c r="BL3749" s="18"/>
      <c r="BM3749" s="18"/>
      <c r="BN3749" s="18"/>
      <c r="BO3749" s="18"/>
      <c r="BP3749" s="18"/>
      <c r="BQ3749" s="18"/>
      <c r="BR3749" s="18"/>
      <c r="BS3749" s="18"/>
      <c r="BT3749" s="18"/>
      <c r="BU3749" s="18"/>
      <c r="BV3749" s="18"/>
    </row>
    <row r="3750" spans="1:74">
      <c r="A3750" s="18"/>
      <c r="B3750" s="19"/>
      <c r="BG3750" s="18"/>
      <c r="BH3750" s="18"/>
      <c r="BI3750" s="18"/>
      <c r="BJ3750" s="18"/>
      <c r="BK3750" s="18"/>
      <c r="BL3750" s="18"/>
      <c r="BM3750" s="18"/>
      <c r="BN3750" s="18"/>
      <c r="BO3750" s="18"/>
      <c r="BP3750" s="18"/>
      <c r="BQ3750" s="18"/>
      <c r="BR3750" s="18"/>
      <c r="BS3750" s="18"/>
      <c r="BT3750" s="18"/>
      <c r="BU3750" s="18"/>
      <c r="BV3750" s="18"/>
    </row>
    <row r="3751" spans="1:74">
      <c r="A3751" s="18"/>
      <c r="B3751" s="19"/>
      <c r="BG3751" s="18"/>
      <c r="BH3751" s="18"/>
      <c r="BI3751" s="18"/>
      <c r="BJ3751" s="18"/>
      <c r="BK3751" s="18"/>
      <c r="BL3751" s="18"/>
      <c r="BM3751" s="18"/>
      <c r="BN3751" s="18"/>
      <c r="BO3751" s="18"/>
      <c r="BP3751" s="18"/>
      <c r="BQ3751" s="18"/>
      <c r="BR3751" s="18"/>
      <c r="BS3751" s="18"/>
      <c r="BT3751" s="18"/>
      <c r="BU3751" s="18"/>
      <c r="BV3751" s="18"/>
    </row>
    <row r="3752" spans="1:74">
      <c r="A3752" s="18"/>
      <c r="B3752" s="19"/>
      <c r="BG3752" s="18"/>
      <c r="BH3752" s="18"/>
      <c r="BI3752" s="18"/>
      <c r="BJ3752" s="18"/>
      <c r="BK3752" s="18"/>
      <c r="BL3752" s="18"/>
      <c r="BM3752" s="18"/>
      <c r="BN3752" s="18"/>
      <c r="BO3752" s="18"/>
      <c r="BP3752" s="18"/>
      <c r="BQ3752" s="18"/>
      <c r="BR3752" s="18"/>
      <c r="BS3752" s="18"/>
      <c r="BT3752" s="18"/>
      <c r="BU3752" s="18"/>
      <c r="BV3752" s="18"/>
    </row>
    <row r="3753" spans="1:74">
      <c r="A3753" s="18"/>
      <c r="B3753" s="19"/>
      <c r="BG3753" s="18"/>
      <c r="BH3753" s="18"/>
      <c r="BI3753" s="18"/>
      <c r="BJ3753" s="18"/>
      <c r="BK3753" s="18"/>
      <c r="BL3753" s="18"/>
      <c r="BM3753" s="18"/>
      <c r="BN3753" s="18"/>
      <c r="BO3753" s="18"/>
      <c r="BP3753" s="18"/>
      <c r="BQ3753" s="18"/>
      <c r="BR3753" s="18"/>
      <c r="BS3753" s="18"/>
      <c r="BT3753" s="18"/>
      <c r="BU3753" s="18"/>
      <c r="BV3753" s="18"/>
    </row>
    <row r="3754" spans="1:74">
      <c r="A3754" s="18"/>
      <c r="B3754" s="19"/>
      <c r="BG3754" s="18"/>
      <c r="BH3754" s="18"/>
      <c r="BI3754" s="18"/>
      <c r="BJ3754" s="18"/>
      <c r="BK3754" s="18"/>
      <c r="BL3754" s="18"/>
      <c r="BM3754" s="18"/>
      <c r="BN3754" s="18"/>
      <c r="BO3754" s="18"/>
      <c r="BP3754" s="18"/>
      <c r="BQ3754" s="18"/>
      <c r="BR3754" s="18"/>
      <c r="BS3754" s="18"/>
      <c r="BT3754" s="18"/>
      <c r="BU3754" s="18"/>
      <c r="BV3754" s="18"/>
    </row>
    <row r="3755" spans="1:74">
      <c r="A3755" s="18"/>
      <c r="B3755" s="19"/>
      <c r="BG3755" s="18"/>
      <c r="BH3755" s="18"/>
      <c r="BI3755" s="18"/>
      <c r="BJ3755" s="18"/>
      <c r="BK3755" s="18"/>
      <c r="BL3755" s="18"/>
      <c r="BM3755" s="18"/>
      <c r="BN3755" s="18"/>
      <c r="BO3755" s="18"/>
      <c r="BP3755" s="18"/>
      <c r="BQ3755" s="18"/>
      <c r="BR3755" s="18"/>
      <c r="BS3755" s="18"/>
      <c r="BT3755" s="18"/>
      <c r="BU3755" s="18"/>
      <c r="BV3755" s="18"/>
    </row>
    <row r="3756" spans="1:74">
      <c r="A3756" s="18"/>
      <c r="B3756" s="19"/>
      <c r="BG3756" s="18"/>
      <c r="BH3756" s="18"/>
      <c r="BI3756" s="18"/>
      <c r="BJ3756" s="18"/>
      <c r="BK3756" s="18"/>
      <c r="BL3756" s="18"/>
      <c r="BM3756" s="18"/>
      <c r="BN3756" s="18"/>
      <c r="BO3756" s="18"/>
      <c r="BP3756" s="18"/>
      <c r="BQ3756" s="18"/>
      <c r="BR3756" s="18"/>
      <c r="BS3756" s="18"/>
      <c r="BT3756" s="18"/>
      <c r="BU3756" s="18"/>
      <c r="BV3756" s="18"/>
    </row>
    <row r="3757" spans="1:74">
      <c r="A3757" s="18"/>
      <c r="B3757" s="19"/>
      <c r="BG3757" s="18"/>
      <c r="BH3757" s="18"/>
      <c r="BI3757" s="18"/>
      <c r="BJ3757" s="18"/>
      <c r="BK3757" s="18"/>
      <c r="BL3757" s="18"/>
      <c r="BM3757" s="18"/>
      <c r="BN3757" s="18"/>
      <c r="BO3757" s="18"/>
      <c r="BP3757" s="18"/>
      <c r="BQ3757" s="18"/>
      <c r="BR3757" s="18"/>
      <c r="BS3757" s="18"/>
      <c r="BT3757" s="18"/>
      <c r="BU3757" s="18"/>
      <c r="BV3757" s="18"/>
    </row>
    <row r="3758" spans="1:74">
      <c r="A3758" s="18"/>
      <c r="B3758" s="19"/>
      <c r="BG3758" s="18"/>
      <c r="BH3758" s="18"/>
      <c r="BI3758" s="18"/>
      <c r="BJ3758" s="18"/>
      <c r="BK3758" s="18"/>
      <c r="BL3758" s="18"/>
      <c r="BM3758" s="18"/>
      <c r="BN3758" s="18"/>
      <c r="BO3758" s="18"/>
      <c r="BP3758" s="18"/>
      <c r="BQ3758" s="18"/>
      <c r="BR3758" s="18"/>
      <c r="BS3758" s="18"/>
      <c r="BT3758" s="18"/>
      <c r="BU3758" s="18"/>
      <c r="BV3758" s="18"/>
    </row>
    <row r="3759" spans="1:74">
      <c r="A3759" s="18"/>
      <c r="B3759" s="19"/>
      <c r="BG3759" s="18"/>
      <c r="BH3759" s="18"/>
      <c r="BI3759" s="18"/>
      <c r="BJ3759" s="18"/>
      <c r="BK3759" s="18"/>
      <c r="BL3759" s="18"/>
      <c r="BM3759" s="18"/>
      <c r="BN3759" s="18"/>
      <c r="BO3759" s="18"/>
      <c r="BP3759" s="18"/>
      <c r="BQ3759" s="18"/>
      <c r="BR3759" s="18"/>
      <c r="BS3759" s="18"/>
      <c r="BT3759" s="18"/>
      <c r="BU3759" s="18"/>
      <c r="BV3759" s="18"/>
    </row>
    <row r="3760" spans="1:74">
      <c r="A3760" s="18"/>
      <c r="B3760" s="19"/>
      <c r="BG3760" s="18"/>
      <c r="BH3760" s="18"/>
      <c r="BI3760" s="18"/>
      <c r="BJ3760" s="18"/>
      <c r="BK3760" s="18"/>
      <c r="BL3760" s="18"/>
      <c r="BM3760" s="18"/>
      <c r="BN3760" s="18"/>
      <c r="BO3760" s="18"/>
      <c r="BP3760" s="18"/>
      <c r="BQ3760" s="18"/>
      <c r="BR3760" s="18"/>
      <c r="BS3760" s="18"/>
      <c r="BT3760" s="18"/>
      <c r="BU3760" s="18"/>
      <c r="BV3760" s="18"/>
    </row>
    <row r="3761" spans="1:74">
      <c r="A3761" s="18"/>
      <c r="B3761" s="19"/>
      <c r="BG3761" s="18"/>
      <c r="BH3761" s="18"/>
      <c r="BI3761" s="18"/>
      <c r="BJ3761" s="18"/>
      <c r="BK3761" s="18"/>
      <c r="BL3761" s="18"/>
      <c r="BM3761" s="18"/>
      <c r="BN3761" s="18"/>
      <c r="BO3761" s="18"/>
      <c r="BP3761" s="18"/>
      <c r="BQ3761" s="18"/>
      <c r="BR3761" s="18"/>
      <c r="BS3761" s="18"/>
      <c r="BT3761" s="18"/>
      <c r="BU3761" s="18"/>
      <c r="BV3761" s="18"/>
    </row>
    <row r="3762" spans="1:74">
      <c r="A3762" s="18"/>
      <c r="B3762" s="19"/>
      <c r="BG3762" s="18"/>
      <c r="BH3762" s="18"/>
      <c r="BI3762" s="18"/>
      <c r="BJ3762" s="18"/>
      <c r="BK3762" s="18"/>
      <c r="BL3762" s="18"/>
      <c r="BM3762" s="18"/>
      <c r="BN3762" s="18"/>
      <c r="BO3762" s="18"/>
      <c r="BP3762" s="18"/>
      <c r="BQ3762" s="18"/>
      <c r="BR3762" s="18"/>
      <c r="BS3762" s="18"/>
      <c r="BT3762" s="18"/>
      <c r="BU3762" s="18"/>
      <c r="BV3762" s="18"/>
    </row>
    <row r="3763" spans="1:74">
      <c r="A3763" s="18"/>
      <c r="B3763" s="19"/>
      <c r="BG3763" s="18"/>
      <c r="BH3763" s="18"/>
      <c r="BI3763" s="18"/>
      <c r="BJ3763" s="18"/>
      <c r="BK3763" s="18"/>
      <c r="BL3763" s="18"/>
      <c r="BM3763" s="18"/>
      <c r="BN3763" s="18"/>
      <c r="BO3763" s="18"/>
      <c r="BP3763" s="18"/>
      <c r="BQ3763" s="18"/>
      <c r="BR3763" s="18"/>
      <c r="BS3763" s="18"/>
      <c r="BT3763" s="18"/>
      <c r="BU3763" s="18"/>
      <c r="BV3763" s="18"/>
    </row>
    <row r="3764" spans="1:74">
      <c r="A3764" s="18"/>
      <c r="B3764" s="19"/>
      <c r="BG3764" s="18"/>
      <c r="BH3764" s="18"/>
      <c r="BI3764" s="18"/>
      <c r="BJ3764" s="18"/>
      <c r="BK3764" s="18"/>
      <c r="BL3764" s="18"/>
      <c r="BM3764" s="18"/>
      <c r="BN3764" s="18"/>
      <c r="BO3764" s="18"/>
      <c r="BP3764" s="18"/>
      <c r="BQ3764" s="18"/>
      <c r="BR3764" s="18"/>
      <c r="BS3764" s="18"/>
      <c r="BT3764" s="18"/>
      <c r="BU3764" s="18"/>
      <c r="BV3764" s="18"/>
    </row>
    <row r="3765" spans="1:74">
      <c r="A3765" s="18"/>
      <c r="B3765" s="19"/>
      <c r="BG3765" s="18"/>
      <c r="BH3765" s="18"/>
      <c r="BI3765" s="18"/>
      <c r="BJ3765" s="18"/>
      <c r="BK3765" s="18"/>
      <c r="BL3765" s="18"/>
      <c r="BM3765" s="18"/>
      <c r="BN3765" s="18"/>
      <c r="BO3765" s="18"/>
      <c r="BP3765" s="18"/>
      <c r="BQ3765" s="18"/>
      <c r="BR3765" s="18"/>
      <c r="BS3765" s="18"/>
      <c r="BT3765" s="18"/>
      <c r="BU3765" s="18"/>
      <c r="BV3765" s="18"/>
    </row>
    <row r="3766" spans="1:74">
      <c r="A3766" s="18"/>
      <c r="B3766" s="19"/>
      <c r="BG3766" s="18"/>
      <c r="BH3766" s="18"/>
      <c r="BI3766" s="18"/>
      <c r="BJ3766" s="18"/>
      <c r="BK3766" s="18"/>
      <c r="BL3766" s="18"/>
      <c r="BM3766" s="18"/>
      <c r="BN3766" s="18"/>
      <c r="BO3766" s="18"/>
      <c r="BP3766" s="18"/>
      <c r="BQ3766" s="18"/>
      <c r="BR3766" s="18"/>
      <c r="BS3766" s="18"/>
      <c r="BT3766" s="18"/>
      <c r="BU3766" s="18"/>
      <c r="BV3766" s="18"/>
    </row>
    <row r="3767" spans="1:74">
      <c r="A3767" s="18"/>
      <c r="B3767" s="19"/>
      <c r="BG3767" s="18"/>
      <c r="BH3767" s="18"/>
      <c r="BI3767" s="18"/>
      <c r="BJ3767" s="18"/>
      <c r="BK3767" s="18"/>
      <c r="BL3767" s="18"/>
      <c r="BM3767" s="18"/>
      <c r="BN3767" s="18"/>
      <c r="BO3767" s="18"/>
      <c r="BP3767" s="18"/>
      <c r="BQ3767" s="18"/>
      <c r="BR3767" s="18"/>
      <c r="BS3767" s="18"/>
      <c r="BT3767" s="18"/>
      <c r="BU3767" s="18"/>
      <c r="BV3767" s="18"/>
    </row>
    <row r="3768" spans="1:74">
      <c r="A3768" s="18"/>
      <c r="B3768" s="19"/>
      <c r="BG3768" s="18"/>
      <c r="BH3768" s="18"/>
      <c r="BI3768" s="18"/>
      <c r="BJ3768" s="18"/>
      <c r="BK3768" s="18"/>
      <c r="BL3768" s="18"/>
      <c r="BM3768" s="18"/>
      <c r="BN3768" s="18"/>
      <c r="BO3768" s="18"/>
      <c r="BP3768" s="18"/>
      <c r="BQ3768" s="18"/>
      <c r="BR3768" s="18"/>
      <c r="BS3768" s="18"/>
      <c r="BT3768" s="18"/>
      <c r="BU3768" s="18"/>
      <c r="BV3768" s="18"/>
    </row>
    <row r="3769" spans="1:74">
      <c r="A3769" s="18"/>
      <c r="B3769" s="19"/>
      <c r="BG3769" s="18"/>
      <c r="BH3769" s="18"/>
      <c r="BI3769" s="18"/>
      <c r="BJ3769" s="18"/>
      <c r="BK3769" s="18"/>
      <c r="BL3769" s="18"/>
      <c r="BM3769" s="18"/>
      <c r="BN3769" s="18"/>
      <c r="BO3769" s="18"/>
      <c r="BP3769" s="18"/>
      <c r="BQ3769" s="18"/>
      <c r="BR3769" s="18"/>
      <c r="BS3769" s="18"/>
      <c r="BT3769" s="18"/>
      <c r="BU3769" s="18"/>
      <c r="BV3769" s="18"/>
    </row>
    <row r="3770" spans="1:74">
      <c r="A3770" s="18"/>
      <c r="B3770" s="19"/>
      <c r="BG3770" s="18"/>
      <c r="BH3770" s="18"/>
      <c r="BI3770" s="18"/>
      <c r="BJ3770" s="18"/>
      <c r="BK3770" s="18"/>
      <c r="BL3770" s="18"/>
      <c r="BM3770" s="18"/>
      <c r="BN3770" s="18"/>
      <c r="BO3770" s="18"/>
      <c r="BP3770" s="18"/>
      <c r="BQ3770" s="18"/>
      <c r="BR3770" s="18"/>
      <c r="BS3770" s="18"/>
      <c r="BT3770" s="18"/>
      <c r="BU3770" s="18"/>
      <c r="BV3770" s="18"/>
    </row>
    <row r="3771" spans="1:74">
      <c r="A3771" s="18"/>
      <c r="B3771" s="19"/>
      <c r="BG3771" s="18"/>
      <c r="BH3771" s="18"/>
      <c r="BI3771" s="18"/>
      <c r="BJ3771" s="18"/>
      <c r="BK3771" s="18"/>
      <c r="BL3771" s="18"/>
      <c r="BM3771" s="18"/>
      <c r="BN3771" s="18"/>
      <c r="BO3771" s="18"/>
      <c r="BP3771" s="18"/>
      <c r="BQ3771" s="18"/>
      <c r="BR3771" s="18"/>
      <c r="BS3771" s="18"/>
      <c r="BT3771" s="18"/>
      <c r="BU3771" s="18"/>
      <c r="BV3771" s="18"/>
    </row>
    <row r="3772" spans="1:74">
      <c r="A3772" s="18"/>
      <c r="B3772" s="19"/>
      <c r="BG3772" s="18"/>
      <c r="BH3772" s="18"/>
      <c r="BI3772" s="18"/>
      <c r="BJ3772" s="18"/>
      <c r="BK3772" s="18"/>
      <c r="BL3772" s="18"/>
      <c r="BM3772" s="18"/>
      <c r="BN3772" s="18"/>
      <c r="BO3772" s="18"/>
      <c r="BP3772" s="18"/>
      <c r="BQ3772" s="18"/>
      <c r="BR3772" s="18"/>
      <c r="BS3772" s="18"/>
      <c r="BT3772" s="18"/>
      <c r="BU3772" s="18"/>
      <c r="BV3772" s="18"/>
    </row>
    <row r="3773" spans="1:74">
      <c r="A3773" s="18"/>
      <c r="B3773" s="19"/>
      <c r="BG3773" s="18"/>
      <c r="BH3773" s="18"/>
      <c r="BI3773" s="18"/>
      <c r="BJ3773" s="18"/>
      <c r="BK3773" s="18"/>
      <c r="BL3773" s="18"/>
      <c r="BM3773" s="18"/>
      <c r="BN3773" s="18"/>
      <c r="BO3773" s="18"/>
      <c r="BP3773" s="18"/>
      <c r="BQ3773" s="18"/>
      <c r="BR3773" s="18"/>
      <c r="BS3773" s="18"/>
      <c r="BT3773" s="18"/>
      <c r="BU3773" s="18"/>
      <c r="BV3773" s="18"/>
    </row>
    <row r="3774" spans="1:74">
      <c r="A3774" s="18"/>
      <c r="B3774" s="19"/>
      <c r="BG3774" s="18"/>
      <c r="BH3774" s="18"/>
      <c r="BI3774" s="18"/>
      <c r="BJ3774" s="18"/>
      <c r="BK3774" s="18"/>
      <c r="BL3774" s="18"/>
      <c r="BM3774" s="18"/>
      <c r="BN3774" s="18"/>
      <c r="BO3774" s="18"/>
      <c r="BP3774" s="18"/>
      <c r="BQ3774" s="18"/>
      <c r="BR3774" s="18"/>
      <c r="BS3774" s="18"/>
      <c r="BT3774" s="18"/>
      <c r="BU3774" s="18"/>
      <c r="BV3774" s="18"/>
    </row>
    <row r="3775" spans="1:74">
      <c r="A3775" s="18"/>
      <c r="B3775" s="19"/>
      <c r="BG3775" s="18"/>
      <c r="BH3775" s="18"/>
      <c r="BI3775" s="18"/>
      <c r="BJ3775" s="18"/>
      <c r="BK3775" s="18"/>
      <c r="BL3775" s="18"/>
      <c r="BM3775" s="18"/>
      <c r="BN3775" s="18"/>
      <c r="BO3775" s="18"/>
      <c r="BP3775" s="18"/>
      <c r="BQ3775" s="18"/>
      <c r="BR3775" s="18"/>
      <c r="BS3775" s="18"/>
      <c r="BT3775" s="18"/>
      <c r="BU3775" s="18"/>
      <c r="BV3775" s="18"/>
    </row>
    <row r="3776" spans="1:74">
      <c r="A3776" s="18"/>
      <c r="B3776" s="19"/>
      <c r="BG3776" s="18"/>
      <c r="BH3776" s="18"/>
      <c r="BI3776" s="18"/>
      <c r="BJ3776" s="18"/>
      <c r="BK3776" s="18"/>
      <c r="BL3776" s="18"/>
      <c r="BM3776" s="18"/>
      <c r="BN3776" s="18"/>
      <c r="BO3776" s="18"/>
      <c r="BP3776" s="18"/>
      <c r="BQ3776" s="18"/>
      <c r="BR3776" s="18"/>
      <c r="BS3776" s="18"/>
      <c r="BT3776" s="18"/>
      <c r="BU3776" s="18"/>
      <c r="BV3776" s="18"/>
    </row>
    <row r="3777" spans="1:74">
      <c r="A3777" s="18"/>
      <c r="B3777" s="19"/>
      <c r="BG3777" s="18"/>
      <c r="BH3777" s="18"/>
      <c r="BI3777" s="18"/>
      <c r="BJ3777" s="18"/>
      <c r="BK3777" s="18"/>
      <c r="BL3777" s="18"/>
      <c r="BM3777" s="18"/>
      <c r="BN3777" s="18"/>
      <c r="BO3777" s="18"/>
      <c r="BP3777" s="18"/>
      <c r="BQ3777" s="18"/>
      <c r="BR3777" s="18"/>
      <c r="BS3777" s="18"/>
      <c r="BT3777" s="18"/>
      <c r="BU3777" s="18"/>
      <c r="BV3777" s="18"/>
    </row>
    <row r="3778" spans="1:74">
      <c r="A3778" s="18"/>
      <c r="B3778" s="19"/>
      <c r="BG3778" s="18"/>
      <c r="BH3778" s="18"/>
      <c r="BI3778" s="18"/>
      <c r="BJ3778" s="18"/>
      <c r="BK3778" s="18"/>
      <c r="BL3778" s="18"/>
      <c r="BM3778" s="18"/>
      <c r="BN3778" s="18"/>
      <c r="BO3778" s="18"/>
      <c r="BP3778" s="18"/>
      <c r="BQ3778" s="18"/>
      <c r="BR3778" s="18"/>
      <c r="BS3778" s="18"/>
      <c r="BT3778" s="18"/>
      <c r="BU3778" s="18"/>
      <c r="BV3778" s="18"/>
    </row>
    <row r="3779" spans="1:74">
      <c r="A3779" s="18"/>
      <c r="B3779" s="19"/>
      <c r="BG3779" s="18"/>
      <c r="BH3779" s="18"/>
      <c r="BI3779" s="18"/>
      <c r="BJ3779" s="18"/>
      <c r="BK3779" s="18"/>
      <c r="BL3779" s="18"/>
      <c r="BM3779" s="18"/>
      <c r="BN3779" s="18"/>
      <c r="BO3779" s="18"/>
      <c r="BP3779" s="18"/>
      <c r="BQ3779" s="18"/>
      <c r="BR3779" s="18"/>
      <c r="BS3779" s="18"/>
      <c r="BT3779" s="18"/>
      <c r="BU3779" s="18"/>
      <c r="BV3779" s="18"/>
    </row>
    <row r="3780" spans="1:74">
      <c r="A3780" s="18"/>
      <c r="B3780" s="19"/>
      <c r="BG3780" s="18"/>
      <c r="BH3780" s="18"/>
      <c r="BI3780" s="18"/>
      <c r="BJ3780" s="18"/>
      <c r="BK3780" s="18"/>
      <c r="BL3780" s="18"/>
      <c r="BM3780" s="18"/>
      <c r="BN3780" s="18"/>
      <c r="BO3780" s="18"/>
      <c r="BP3780" s="18"/>
      <c r="BQ3780" s="18"/>
      <c r="BR3780" s="18"/>
      <c r="BS3780" s="18"/>
      <c r="BT3780" s="18"/>
      <c r="BU3780" s="18"/>
      <c r="BV3780" s="18"/>
    </row>
    <row r="3781" spans="1:74">
      <c r="A3781" s="18"/>
      <c r="B3781" s="19"/>
      <c r="BG3781" s="18"/>
      <c r="BH3781" s="18"/>
      <c r="BI3781" s="18"/>
      <c r="BJ3781" s="18"/>
      <c r="BK3781" s="18"/>
      <c r="BL3781" s="18"/>
      <c r="BM3781" s="18"/>
      <c r="BN3781" s="18"/>
      <c r="BO3781" s="18"/>
      <c r="BP3781" s="18"/>
      <c r="BQ3781" s="18"/>
      <c r="BR3781" s="18"/>
      <c r="BS3781" s="18"/>
      <c r="BT3781" s="18"/>
      <c r="BU3781" s="18"/>
      <c r="BV3781" s="18"/>
    </row>
    <row r="3782" spans="1:74">
      <c r="A3782" s="18"/>
      <c r="B3782" s="19"/>
      <c r="BG3782" s="18"/>
      <c r="BH3782" s="18"/>
      <c r="BI3782" s="18"/>
      <c r="BJ3782" s="18"/>
      <c r="BK3782" s="18"/>
      <c r="BL3782" s="18"/>
      <c r="BM3782" s="18"/>
      <c r="BN3782" s="18"/>
      <c r="BO3782" s="18"/>
      <c r="BP3782" s="18"/>
      <c r="BQ3782" s="18"/>
      <c r="BR3782" s="18"/>
      <c r="BS3782" s="18"/>
      <c r="BT3782" s="18"/>
      <c r="BU3782" s="18"/>
      <c r="BV3782" s="18"/>
    </row>
    <row r="3783" spans="1:74">
      <c r="A3783" s="18"/>
      <c r="B3783" s="19"/>
      <c r="BG3783" s="18"/>
      <c r="BH3783" s="18"/>
      <c r="BI3783" s="18"/>
      <c r="BJ3783" s="18"/>
      <c r="BK3783" s="18"/>
      <c r="BL3783" s="18"/>
      <c r="BM3783" s="18"/>
      <c r="BN3783" s="18"/>
      <c r="BO3783" s="18"/>
      <c r="BP3783" s="18"/>
      <c r="BQ3783" s="18"/>
      <c r="BR3783" s="18"/>
      <c r="BS3783" s="18"/>
      <c r="BT3783" s="18"/>
      <c r="BU3783" s="18"/>
      <c r="BV3783" s="18"/>
    </row>
    <row r="3784" spans="1:74">
      <c r="A3784" s="18"/>
      <c r="B3784" s="19"/>
      <c r="BG3784" s="18"/>
      <c r="BH3784" s="18"/>
      <c r="BI3784" s="18"/>
      <c r="BJ3784" s="18"/>
      <c r="BK3784" s="18"/>
      <c r="BL3784" s="18"/>
      <c r="BM3784" s="18"/>
      <c r="BN3784" s="18"/>
      <c r="BO3784" s="18"/>
      <c r="BP3784" s="18"/>
      <c r="BQ3784" s="18"/>
      <c r="BR3784" s="18"/>
      <c r="BS3784" s="18"/>
      <c r="BT3784" s="18"/>
      <c r="BU3784" s="18"/>
      <c r="BV3784" s="18"/>
    </row>
    <row r="3785" spans="1:74">
      <c r="A3785" s="18"/>
      <c r="B3785" s="19"/>
      <c r="BG3785" s="18"/>
      <c r="BH3785" s="18"/>
      <c r="BI3785" s="18"/>
      <c r="BJ3785" s="18"/>
      <c r="BK3785" s="18"/>
      <c r="BL3785" s="18"/>
      <c r="BM3785" s="18"/>
      <c r="BN3785" s="18"/>
      <c r="BO3785" s="18"/>
      <c r="BP3785" s="18"/>
      <c r="BQ3785" s="18"/>
      <c r="BR3785" s="18"/>
      <c r="BS3785" s="18"/>
      <c r="BT3785" s="18"/>
      <c r="BU3785" s="18"/>
      <c r="BV3785" s="18"/>
    </row>
    <row r="3786" spans="1:74">
      <c r="A3786" s="18"/>
      <c r="B3786" s="19"/>
      <c r="BG3786" s="18"/>
      <c r="BH3786" s="18"/>
      <c r="BI3786" s="18"/>
      <c r="BJ3786" s="18"/>
      <c r="BK3786" s="18"/>
      <c r="BL3786" s="18"/>
      <c r="BM3786" s="18"/>
      <c r="BN3786" s="18"/>
      <c r="BO3786" s="18"/>
      <c r="BP3786" s="18"/>
      <c r="BQ3786" s="18"/>
      <c r="BR3786" s="18"/>
      <c r="BS3786" s="18"/>
      <c r="BT3786" s="18"/>
      <c r="BU3786" s="18"/>
      <c r="BV3786" s="18"/>
    </row>
    <row r="3787" spans="1:74">
      <c r="A3787" s="18"/>
      <c r="B3787" s="19"/>
      <c r="BG3787" s="18"/>
      <c r="BH3787" s="18"/>
      <c r="BI3787" s="18"/>
      <c r="BJ3787" s="18"/>
      <c r="BK3787" s="18"/>
      <c r="BL3787" s="18"/>
      <c r="BM3787" s="18"/>
      <c r="BN3787" s="18"/>
      <c r="BO3787" s="18"/>
      <c r="BP3787" s="18"/>
      <c r="BQ3787" s="18"/>
      <c r="BR3787" s="18"/>
      <c r="BS3787" s="18"/>
      <c r="BT3787" s="18"/>
      <c r="BU3787" s="18"/>
      <c r="BV3787" s="18"/>
    </row>
    <row r="3788" spans="1:74">
      <c r="A3788" s="18"/>
      <c r="B3788" s="19"/>
      <c r="BG3788" s="18"/>
      <c r="BH3788" s="18"/>
      <c r="BI3788" s="18"/>
      <c r="BJ3788" s="18"/>
      <c r="BK3788" s="18"/>
      <c r="BL3788" s="18"/>
      <c r="BM3788" s="18"/>
      <c r="BN3788" s="18"/>
      <c r="BO3788" s="18"/>
      <c r="BP3788" s="18"/>
      <c r="BQ3788" s="18"/>
      <c r="BR3788" s="18"/>
      <c r="BS3788" s="18"/>
      <c r="BT3788" s="18"/>
      <c r="BU3788" s="18"/>
      <c r="BV3788" s="18"/>
    </row>
    <row r="3789" spans="1:74">
      <c r="A3789" s="18"/>
      <c r="B3789" s="19"/>
      <c r="BG3789" s="18"/>
      <c r="BH3789" s="18"/>
      <c r="BI3789" s="18"/>
      <c r="BJ3789" s="18"/>
      <c r="BK3789" s="18"/>
      <c r="BL3789" s="18"/>
      <c r="BM3789" s="18"/>
      <c r="BN3789" s="18"/>
      <c r="BO3789" s="18"/>
      <c r="BP3789" s="18"/>
      <c r="BQ3789" s="18"/>
      <c r="BR3789" s="18"/>
      <c r="BS3789" s="18"/>
      <c r="BT3789" s="18"/>
      <c r="BU3789" s="18"/>
      <c r="BV3789" s="18"/>
    </row>
    <row r="3790" spans="1:74">
      <c r="A3790" s="18"/>
      <c r="B3790" s="19"/>
      <c r="BG3790" s="18"/>
      <c r="BH3790" s="18"/>
      <c r="BI3790" s="18"/>
      <c r="BJ3790" s="18"/>
      <c r="BK3790" s="18"/>
      <c r="BL3790" s="18"/>
      <c r="BM3790" s="18"/>
      <c r="BN3790" s="18"/>
      <c r="BO3790" s="18"/>
      <c r="BP3790" s="18"/>
      <c r="BQ3790" s="18"/>
      <c r="BR3790" s="18"/>
      <c r="BS3790" s="18"/>
      <c r="BT3790" s="18"/>
      <c r="BU3790" s="18"/>
      <c r="BV3790" s="18"/>
    </row>
    <row r="3791" spans="1:74">
      <c r="A3791" s="18"/>
      <c r="B3791" s="19"/>
      <c r="BG3791" s="18"/>
      <c r="BH3791" s="18"/>
      <c r="BI3791" s="18"/>
      <c r="BJ3791" s="18"/>
      <c r="BK3791" s="18"/>
      <c r="BL3791" s="18"/>
      <c r="BM3791" s="18"/>
      <c r="BN3791" s="18"/>
      <c r="BO3791" s="18"/>
      <c r="BP3791" s="18"/>
      <c r="BQ3791" s="18"/>
      <c r="BR3791" s="18"/>
      <c r="BS3791" s="18"/>
      <c r="BT3791" s="18"/>
      <c r="BU3791" s="18"/>
      <c r="BV3791" s="18"/>
    </row>
    <row r="3792" spans="1:74">
      <c r="A3792" s="18"/>
      <c r="B3792" s="19"/>
      <c r="BG3792" s="18"/>
      <c r="BH3792" s="18"/>
      <c r="BI3792" s="18"/>
      <c r="BJ3792" s="18"/>
      <c r="BK3792" s="18"/>
      <c r="BL3792" s="18"/>
      <c r="BM3792" s="18"/>
      <c r="BN3792" s="18"/>
      <c r="BO3792" s="18"/>
      <c r="BP3792" s="18"/>
      <c r="BQ3792" s="18"/>
      <c r="BR3792" s="18"/>
      <c r="BS3792" s="18"/>
      <c r="BT3792" s="18"/>
      <c r="BU3792" s="18"/>
      <c r="BV3792" s="18"/>
    </row>
    <row r="3793" spans="1:74">
      <c r="A3793" s="18"/>
      <c r="B3793" s="19"/>
      <c r="BG3793" s="18"/>
      <c r="BH3793" s="18"/>
      <c r="BI3793" s="18"/>
      <c r="BJ3793" s="18"/>
      <c r="BK3793" s="18"/>
      <c r="BL3793" s="18"/>
      <c r="BM3793" s="18"/>
      <c r="BN3793" s="18"/>
      <c r="BO3793" s="18"/>
      <c r="BP3793" s="18"/>
      <c r="BQ3793" s="18"/>
      <c r="BR3793" s="18"/>
      <c r="BS3793" s="18"/>
      <c r="BT3793" s="18"/>
      <c r="BU3793" s="18"/>
      <c r="BV3793" s="18"/>
    </row>
    <row r="3794" spans="1:74">
      <c r="A3794" s="18"/>
      <c r="B3794" s="19"/>
      <c r="BG3794" s="18"/>
      <c r="BH3794" s="18"/>
      <c r="BI3794" s="18"/>
      <c r="BJ3794" s="18"/>
      <c r="BK3794" s="18"/>
      <c r="BL3794" s="18"/>
      <c r="BM3794" s="18"/>
      <c r="BN3794" s="18"/>
      <c r="BO3794" s="18"/>
      <c r="BP3794" s="18"/>
      <c r="BQ3794" s="18"/>
      <c r="BR3794" s="18"/>
      <c r="BS3794" s="18"/>
      <c r="BT3794" s="18"/>
      <c r="BU3794" s="18"/>
      <c r="BV3794" s="18"/>
    </row>
    <row r="3795" spans="1:74">
      <c r="A3795" s="18"/>
      <c r="B3795" s="19"/>
      <c r="BG3795" s="18"/>
      <c r="BH3795" s="18"/>
      <c r="BI3795" s="18"/>
      <c r="BJ3795" s="18"/>
      <c r="BK3795" s="18"/>
      <c r="BL3795" s="18"/>
      <c r="BM3795" s="18"/>
      <c r="BN3795" s="18"/>
      <c r="BO3795" s="18"/>
      <c r="BP3795" s="18"/>
      <c r="BQ3795" s="18"/>
      <c r="BR3795" s="18"/>
      <c r="BS3795" s="18"/>
      <c r="BT3795" s="18"/>
      <c r="BU3795" s="18"/>
      <c r="BV3795" s="18"/>
    </row>
    <row r="3796" spans="1:74">
      <c r="A3796" s="18"/>
      <c r="B3796" s="19"/>
      <c r="BG3796" s="18"/>
      <c r="BH3796" s="18"/>
      <c r="BI3796" s="18"/>
      <c r="BJ3796" s="18"/>
      <c r="BK3796" s="18"/>
      <c r="BL3796" s="18"/>
      <c r="BM3796" s="18"/>
      <c r="BN3796" s="18"/>
      <c r="BO3796" s="18"/>
      <c r="BP3796" s="18"/>
      <c r="BQ3796" s="18"/>
      <c r="BR3796" s="18"/>
      <c r="BS3796" s="18"/>
      <c r="BT3796" s="18"/>
      <c r="BU3796" s="18"/>
      <c r="BV3796" s="18"/>
    </row>
    <row r="3797" spans="1:74">
      <c r="A3797" s="18"/>
      <c r="B3797" s="19"/>
      <c r="BG3797" s="18"/>
      <c r="BH3797" s="18"/>
      <c r="BI3797" s="18"/>
      <c r="BJ3797" s="18"/>
      <c r="BK3797" s="18"/>
      <c r="BL3797" s="18"/>
      <c r="BM3797" s="18"/>
      <c r="BN3797" s="18"/>
      <c r="BO3797" s="18"/>
      <c r="BP3797" s="18"/>
      <c r="BQ3797" s="18"/>
      <c r="BR3797" s="18"/>
      <c r="BS3797" s="18"/>
      <c r="BT3797" s="18"/>
      <c r="BU3797" s="18"/>
      <c r="BV3797" s="18"/>
    </row>
    <row r="3798" spans="1:74">
      <c r="A3798" s="18"/>
      <c r="B3798" s="19"/>
      <c r="BG3798" s="18"/>
      <c r="BH3798" s="18"/>
      <c r="BI3798" s="18"/>
      <c r="BJ3798" s="18"/>
      <c r="BK3798" s="18"/>
      <c r="BL3798" s="18"/>
      <c r="BM3798" s="18"/>
      <c r="BN3798" s="18"/>
      <c r="BO3798" s="18"/>
      <c r="BP3798" s="18"/>
      <c r="BQ3798" s="18"/>
      <c r="BR3798" s="18"/>
      <c r="BS3798" s="18"/>
      <c r="BT3798" s="18"/>
      <c r="BU3798" s="18"/>
      <c r="BV3798" s="18"/>
    </row>
    <row r="3799" spans="1:74">
      <c r="A3799" s="18"/>
      <c r="B3799" s="19"/>
      <c r="BG3799" s="18"/>
      <c r="BH3799" s="18"/>
      <c r="BI3799" s="18"/>
      <c r="BJ3799" s="18"/>
      <c r="BK3799" s="18"/>
      <c r="BL3799" s="18"/>
      <c r="BM3799" s="18"/>
      <c r="BN3799" s="18"/>
      <c r="BO3799" s="18"/>
      <c r="BP3799" s="18"/>
      <c r="BQ3799" s="18"/>
      <c r="BR3799" s="18"/>
      <c r="BS3799" s="18"/>
      <c r="BT3799" s="18"/>
      <c r="BU3799" s="18"/>
      <c r="BV3799" s="18"/>
    </row>
    <row r="3800" spans="1:74">
      <c r="A3800" s="18"/>
      <c r="B3800" s="19"/>
      <c r="BG3800" s="18"/>
      <c r="BH3800" s="18"/>
      <c r="BI3800" s="18"/>
      <c r="BJ3800" s="18"/>
      <c r="BK3800" s="18"/>
      <c r="BL3800" s="18"/>
      <c r="BM3800" s="18"/>
      <c r="BN3800" s="18"/>
      <c r="BO3800" s="18"/>
      <c r="BP3800" s="18"/>
      <c r="BQ3800" s="18"/>
      <c r="BR3800" s="18"/>
      <c r="BS3800" s="18"/>
      <c r="BT3800" s="18"/>
      <c r="BU3800" s="18"/>
      <c r="BV3800" s="18"/>
    </row>
    <row r="3801" spans="1:74">
      <c r="A3801" s="18"/>
      <c r="B3801" s="19"/>
      <c r="BG3801" s="18"/>
      <c r="BH3801" s="18"/>
      <c r="BI3801" s="18"/>
      <c r="BJ3801" s="18"/>
      <c r="BK3801" s="18"/>
      <c r="BL3801" s="18"/>
      <c r="BM3801" s="18"/>
      <c r="BN3801" s="18"/>
      <c r="BO3801" s="18"/>
      <c r="BP3801" s="18"/>
      <c r="BQ3801" s="18"/>
      <c r="BR3801" s="18"/>
      <c r="BS3801" s="18"/>
      <c r="BT3801" s="18"/>
      <c r="BU3801" s="18"/>
      <c r="BV3801" s="18"/>
    </row>
    <row r="3802" spans="1:74">
      <c r="A3802" s="18"/>
      <c r="B3802" s="19"/>
      <c r="BG3802" s="18"/>
      <c r="BH3802" s="18"/>
      <c r="BI3802" s="18"/>
      <c r="BJ3802" s="18"/>
      <c r="BK3802" s="18"/>
      <c r="BL3802" s="18"/>
      <c r="BM3802" s="18"/>
      <c r="BN3802" s="18"/>
      <c r="BO3802" s="18"/>
      <c r="BP3802" s="18"/>
      <c r="BQ3802" s="18"/>
      <c r="BR3802" s="18"/>
      <c r="BS3802" s="18"/>
      <c r="BT3802" s="18"/>
      <c r="BU3802" s="18"/>
      <c r="BV3802" s="18"/>
    </row>
    <row r="3803" spans="1:74">
      <c r="A3803" s="18"/>
      <c r="B3803" s="19"/>
      <c r="BG3803" s="18"/>
      <c r="BH3803" s="18"/>
      <c r="BI3803" s="18"/>
      <c r="BJ3803" s="18"/>
      <c r="BK3803" s="18"/>
      <c r="BL3803" s="18"/>
      <c r="BM3803" s="18"/>
      <c r="BN3803" s="18"/>
      <c r="BO3803" s="18"/>
      <c r="BP3803" s="18"/>
      <c r="BQ3803" s="18"/>
      <c r="BR3803" s="18"/>
      <c r="BS3803" s="18"/>
      <c r="BT3803" s="18"/>
      <c r="BU3803" s="18"/>
      <c r="BV3803" s="18"/>
    </row>
    <row r="3804" spans="1:74">
      <c r="A3804" s="18"/>
      <c r="B3804" s="19"/>
      <c r="BG3804" s="18"/>
      <c r="BH3804" s="18"/>
      <c r="BI3804" s="18"/>
      <c r="BJ3804" s="18"/>
      <c r="BK3804" s="18"/>
      <c r="BL3804" s="18"/>
      <c r="BM3804" s="18"/>
      <c r="BN3804" s="18"/>
      <c r="BO3804" s="18"/>
      <c r="BP3804" s="18"/>
      <c r="BQ3804" s="18"/>
      <c r="BR3804" s="18"/>
      <c r="BS3804" s="18"/>
      <c r="BT3804" s="18"/>
      <c r="BU3804" s="18"/>
      <c r="BV3804" s="18"/>
    </row>
    <row r="3805" spans="1:74">
      <c r="A3805" s="18"/>
      <c r="B3805" s="19"/>
      <c r="BG3805" s="18"/>
      <c r="BH3805" s="18"/>
      <c r="BI3805" s="18"/>
      <c r="BJ3805" s="18"/>
      <c r="BK3805" s="18"/>
      <c r="BL3805" s="18"/>
      <c r="BM3805" s="18"/>
      <c r="BN3805" s="18"/>
      <c r="BO3805" s="18"/>
      <c r="BP3805" s="18"/>
      <c r="BQ3805" s="18"/>
      <c r="BR3805" s="18"/>
      <c r="BS3805" s="18"/>
      <c r="BT3805" s="18"/>
      <c r="BU3805" s="18"/>
      <c r="BV3805" s="18"/>
    </row>
    <row r="3806" spans="1:74">
      <c r="A3806" s="18"/>
      <c r="B3806" s="19"/>
      <c r="BG3806" s="18"/>
      <c r="BH3806" s="18"/>
      <c r="BI3806" s="18"/>
      <c r="BJ3806" s="18"/>
      <c r="BK3806" s="18"/>
      <c r="BL3806" s="18"/>
      <c r="BM3806" s="18"/>
      <c r="BN3806" s="18"/>
      <c r="BO3806" s="18"/>
      <c r="BP3806" s="18"/>
      <c r="BQ3806" s="18"/>
      <c r="BR3806" s="18"/>
      <c r="BS3806" s="18"/>
      <c r="BT3806" s="18"/>
      <c r="BU3806" s="18"/>
      <c r="BV3806" s="18"/>
    </row>
    <row r="3807" spans="1:74">
      <c r="A3807" s="18"/>
      <c r="B3807" s="19"/>
      <c r="BG3807" s="18"/>
      <c r="BH3807" s="18"/>
      <c r="BI3807" s="18"/>
      <c r="BJ3807" s="18"/>
      <c r="BK3807" s="18"/>
      <c r="BL3807" s="18"/>
      <c r="BM3807" s="18"/>
      <c r="BN3807" s="18"/>
      <c r="BO3807" s="18"/>
      <c r="BP3807" s="18"/>
      <c r="BQ3807" s="18"/>
      <c r="BR3807" s="18"/>
      <c r="BS3807" s="18"/>
      <c r="BT3807" s="18"/>
      <c r="BU3807" s="18"/>
      <c r="BV3807" s="18"/>
    </row>
    <row r="3808" spans="1:74">
      <c r="A3808" s="18"/>
      <c r="B3808" s="19"/>
      <c r="BG3808" s="18"/>
      <c r="BH3808" s="18"/>
      <c r="BI3808" s="18"/>
      <c r="BJ3808" s="18"/>
      <c r="BK3808" s="18"/>
      <c r="BL3808" s="18"/>
      <c r="BM3808" s="18"/>
      <c r="BN3808" s="18"/>
      <c r="BO3808" s="18"/>
      <c r="BP3808" s="18"/>
      <c r="BQ3808" s="18"/>
      <c r="BR3808" s="18"/>
      <c r="BS3808" s="18"/>
      <c r="BT3808" s="18"/>
      <c r="BU3808" s="18"/>
      <c r="BV3808" s="18"/>
    </row>
    <row r="3809" spans="1:74">
      <c r="A3809" s="18"/>
      <c r="B3809" s="19"/>
      <c r="BG3809" s="18"/>
      <c r="BH3809" s="18"/>
      <c r="BI3809" s="18"/>
      <c r="BJ3809" s="18"/>
      <c r="BK3809" s="18"/>
      <c r="BL3809" s="18"/>
      <c r="BM3809" s="18"/>
      <c r="BN3809" s="18"/>
      <c r="BO3809" s="18"/>
      <c r="BP3809" s="18"/>
      <c r="BQ3809" s="18"/>
      <c r="BR3809" s="18"/>
      <c r="BS3809" s="18"/>
      <c r="BT3809" s="18"/>
      <c r="BU3809" s="18"/>
      <c r="BV3809" s="18"/>
    </row>
    <row r="3810" spans="1:74">
      <c r="A3810" s="18"/>
      <c r="B3810" s="19"/>
      <c r="BG3810" s="18"/>
      <c r="BH3810" s="18"/>
      <c r="BI3810" s="18"/>
      <c r="BJ3810" s="18"/>
      <c r="BK3810" s="18"/>
      <c r="BL3810" s="18"/>
      <c r="BM3810" s="18"/>
      <c r="BN3810" s="18"/>
      <c r="BO3810" s="18"/>
      <c r="BP3810" s="18"/>
      <c r="BQ3810" s="18"/>
      <c r="BR3810" s="18"/>
      <c r="BS3810" s="18"/>
      <c r="BT3810" s="18"/>
      <c r="BU3810" s="18"/>
      <c r="BV3810" s="18"/>
    </row>
    <row r="3811" spans="1:74">
      <c r="A3811" s="18"/>
      <c r="B3811" s="19"/>
      <c r="BG3811" s="18"/>
      <c r="BH3811" s="18"/>
      <c r="BI3811" s="18"/>
      <c r="BJ3811" s="18"/>
      <c r="BK3811" s="18"/>
      <c r="BL3811" s="18"/>
      <c r="BM3811" s="18"/>
      <c r="BN3811" s="18"/>
      <c r="BO3811" s="18"/>
      <c r="BP3811" s="18"/>
      <c r="BQ3811" s="18"/>
      <c r="BR3811" s="18"/>
      <c r="BS3811" s="18"/>
      <c r="BT3811" s="18"/>
      <c r="BU3811" s="18"/>
      <c r="BV3811" s="18"/>
    </row>
    <row r="3812" spans="1:74">
      <c r="A3812" s="18"/>
      <c r="B3812" s="19"/>
      <c r="BG3812" s="18"/>
      <c r="BH3812" s="18"/>
      <c r="BI3812" s="18"/>
      <c r="BJ3812" s="18"/>
      <c r="BK3812" s="18"/>
      <c r="BL3812" s="18"/>
      <c r="BM3812" s="18"/>
      <c r="BN3812" s="18"/>
      <c r="BO3812" s="18"/>
      <c r="BP3812" s="18"/>
      <c r="BQ3812" s="18"/>
      <c r="BR3812" s="18"/>
      <c r="BS3812" s="18"/>
      <c r="BT3812" s="18"/>
      <c r="BU3812" s="18"/>
      <c r="BV3812" s="18"/>
    </row>
    <row r="3813" spans="1:74">
      <c r="A3813" s="18"/>
      <c r="B3813" s="19"/>
      <c r="BG3813" s="18"/>
      <c r="BH3813" s="18"/>
      <c r="BI3813" s="18"/>
      <c r="BJ3813" s="18"/>
      <c r="BK3813" s="18"/>
      <c r="BL3813" s="18"/>
      <c r="BM3813" s="18"/>
      <c r="BN3813" s="18"/>
      <c r="BO3813" s="18"/>
      <c r="BP3813" s="18"/>
      <c r="BQ3813" s="18"/>
      <c r="BR3813" s="18"/>
      <c r="BS3813" s="18"/>
      <c r="BT3813" s="18"/>
      <c r="BU3813" s="18"/>
      <c r="BV3813" s="18"/>
    </row>
    <row r="3814" spans="1:74">
      <c r="A3814" s="18"/>
      <c r="B3814" s="19"/>
      <c r="BG3814" s="18"/>
      <c r="BH3814" s="18"/>
      <c r="BI3814" s="18"/>
      <c r="BJ3814" s="18"/>
      <c r="BK3814" s="18"/>
      <c r="BL3814" s="18"/>
      <c r="BM3814" s="18"/>
      <c r="BN3814" s="18"/>
      <c r="BO3814" s="18"/>
      <c r="BP3814" s="18"/>
      <c r="BQ3814" s="18"/>
      <c r="BR3814" s="18"/>
      <c r="BS3814" s="18"/>
      <c r="BT3814" s="18"/>
      <c r="BU3814" s="18"/>
      <c r="BV3814" s="18"/>
    </row>
    <row r="3815" spans="1:74">
      <c r="A3815" s="18"/>
      <c r="B3815" s="19"/>
      <c r="BG3815" s="18"/>
      <c r="BH3815" s="18"/>
      <c r="BI3815" s="18"/>
      <c r="BJ3815" s="18"/>
      <c r="BK3815" s="18"/>
      <c r="BL3815" s="18"/>
      <c r="BM3815" s="18"/>
      <c r="BN3815" s="18"/>
      <c r="BO3815" s="18"/>
      <c r="BP3815" s="18"/>
      <c r="BQ3815" s="18"/>
      <c r="BR3815" s="18"/>
      <c r="BS3815" s="18"/>
      <c r="BT3815" s="18"/>
      <c r="BU3815" s="18"/>
      <c r="BV3815" s="18"/>
    </row>
    <row r="3816" spans="1:74">
      <c r="A3816" s="18"/>
      <c r="B3816" s="19"/>
      <c r="BG3816" s="18"/>
      <c r="BH3816" s="18"/>
      <c r="BI3816" s="18"/>
      <c r="BJ3816" s="18"/>
      <c r="BK3816" s="18"/>
      <c r="BL3816" s="18"/>
      <c r="BM3816" s="18"/>
      <c r="BN3816" s="18"/>
      <c r="BO3816" s="18"/>
      <c r="BP3816" s="18"/>
      <c r="BQ3816" s="18"/>
      <c r="BR3816" s="18"/>
      <c r="BS3816" s="18"/>
      <c r="BT3816" s="18"/>
      <c r="BU3816" s="18"/>
      <c r="BV3816" s="18"/>
    </row>
    <row r="3817" spans="1:74">
      <c r="A3817" s="18"/>
      <c r="B3817" s="19"/>
      <c r="BG3817" s="18"/>
      <c r="BH3817" s="18"/>
      <c r="BI3817" s="18"/>
      <c r="BJ3817" s="18"/>
      <c r="BK3817" s="18"/>
      <c r="BL3817" s="18"/>
      <c r="BM3817" s="18"/>
      <c r="BN3817" s="18"/>
      <c r="BO3817" s="18"/>
      <c r="BP3817" s="18"/>
      <c r="BQ3817" s="18"/>
      <c r="BR3817" s="18"/>
      <c r="BS3817" s="18"/>
      <c r="BT3817" s="18"/>
      <c r="BU3817" s="18"/>
      <c r="BV3817" s="18"/>
    </row>
    <row r="3818" spans="1:74">
      <c r="A3818" s="18"/>
      <c r="B3818" s="19"/>
      <c r="BG3818" s="18"/>
      <c r="BH3818" s="18"/>
      <c r="BI3818" s="18"/>
      <c r="BJ3818" s="18"/>
      <c r="BK3818" s="18"/>
      <c r="BL3818" s="18"/>
      <c r="BM3818" s="18"/>
      <c r="BN3818" s="18"/>
      <c r="BO3818" s="18"/>
      <c r="BP3818" s="18"/>
      <c r="BQ3818" s="18"/>
      <c r="BR3818" s="18"/>
      <c r="BS3818" s="18"/>
      <c r="BT3818" s="18"/>
      <c r="BU3818" s="18"/>
      <c r="BV3818" s="18"/>
    </row>
    <row r="3819" spans="1:74">
      <c r="A3819" s="18"/>
      <c r="B3819" s="19"/>
      <c r="BG3819" s="18"/>
      <c r="BH3819" s="18"/>
      <c r="BI3819" s="18"/>
      <c r="BJ3819" s="18"/>
      <c r="BK3819" s="18"/>
      <c r="BL3819" s="18"/>
      <c r="BM3819" s="18"/>
      <c r="BN3819" s="18"/>
      <c r="BO3819" s="18"/>
      <c r="BP3819" s="18"/>
      <c r="BQ3819" s="18"/>
      <c r="BR3819" s="18"/>
      <c r="BS3819" s="18"/>
      <c r="BT3819" s="18"/>
      <c r="BU3819" s="18"/>
      <c r="BV3819" s="18"/>
    </row>
    <row r="3820" spans="1:74">
      <c r="A3820" s="18"/>
      <c r="B3820" s="19"/>
      <c r="BG3820" s="18"/>
      <c r="BH3820" s="18"/>
      <c r="BI3820" s="18"/>
      <c r="BJ3820" s="18"/>
      <c r="BK3820" s="18"/>
      <c r="BL3820" s="18"/>
      <c r="BM3820" s="18"/>
      <c r="BN3820" s="18"/>
      <c r="BO3820" s="18"/>
      <c r="BP3820" s="18"/>
      <c r="BQ3820" s="18"/>
      <c r="BR3820" s="18"/>
      <c r="BS3820" s="18"/>
      <c r="BT3820" s="18"/>
      <c r="BU3820" s="18"/>
      <c r="BV3820" s="18"/>
    </row>
    <row r="3821" spans="1:74">
      <c r="A3821" s="18"/>
      <c r="B3821" s="19"/>
      <c r="BG3821" s="18"/>
      <c r="BH3821" s="18"/>
      <c r="BI3821" s="18"/>
      <c r="BJ3821" s="18"/>
      <c r="BK3821" s="18"/>
      <c r="BL3821" s="18"/>
      <c r="BM3821" s="18"/>
      <c r="BN3821" s="18"/>
      <c r="BO3821" s="18"/>
      <c r="BP3821" s="18"/>
      <c r="BQ3821" s="18"/>
      <c r="BR3821" s="18"/>
      <c r="BS3821" s="18"/>
      <c r="BT3821" s="18"/>
      <c r="BU3821" s="18"/>
      <c r="BV3821" s="18"/>
    </row>
    <row r="3822" spans="1:74">
      <c r="A3822" s="18"/>
      <c r="B3822" s="19"/>
      <c r="BG3822" s="18"/>
      <c r="BH3822" s="18"/>
      <c r="BI3822" s="18"/>
      <c r="BJ3822" s="18"/>
      <c r="BK3822" s="18"/>
      <c r="BL3822" s="18"/>
      <c r="BM3822" s="18"/>
      <c r="BN3822" s="18"/>
      <c r="BO3822" s="18"/>
      <c r="BP3822" s="18"/>
      <c r="BQ3822" s="18"/>
      <c r="BR3822" s="18"/>
      <c r="BS3822" s="18"/>
      <c r="BT3822" s="18"/>
      <c r="BU3822" s="18"/>
      <c r="BV3822" s="18"/>
    </row>
    <row r="3823" spans="1:74">
      <c r="A3823" s="18"/>
      <c r="B3823" s="19"/>
      <c r="BG3823" s="18"/>
      <c r="BH3823" s="18"/>
      <c r="BI3823" s="18"/>
      <c r="BJ3823" s="18"/>
      <c r="BK3823" s="18"/>
      <c r="BL3823" s="18"/>
      <c r="BM3823" s="18"/>
      <c r="BN3823" s="18"/>
      <c r="BO3823" s="18"/>
      <c r="BP3823" s="18"/>
      <c r="BQ3823" s="18"/>
      <c r="BR3823" s="18"/>
      <c r="BS3823" s="18"/>
      <c r="BT3823" s="18"/>
      <c r="BU3823" s="18"/>
      <c r="BV3823" s="18"/>
    </row>
    <row r="3824" spans="1:74">
      <c r="A3824" s="18"/>
      <c r="B3824" s="19"/>
      <c r="BG3824" s="18"/>
      <c r="BH3824" s="18"/>
      <c r="BI3824" s="18"/>
      <c r="BJ3824" s="18"/>
      <c r="BK3824" s="18"/>
      <c r="BL3824" s="18"/>
      <c r="BM3824" s="18"/>
      <c r="BN3824" s="18"/>
      <c r="BO3824" s="18"/>
      <c r="BP3824" s="18"/>
      <c r="BQ3824" s="18"/>
      <c r="BR3824" s="18"/>
      <c r="BS3824" s="18"/>
      <c r="BT3824" s="18"/>
      <c r="BU3824" s="18"/>
      <c r="BV3824" s="18"/>
    </row>
    <row r="3825" spans="1:74">
      <c r="A3825" s="18"/>
      <c r="B3825" s="19"/>
      <c r="BG3825" s="18"/>
      <c r="BH3825" s="18"/>
      <c r="BI3825" s="18"/>
      <c r="BJ3825" s="18"/>
      <c r="BK3825" s="18"/>
      <c r="BL3825" s="18"/>
      <c r="BM3825" s="18"/>
      <c r="BN3825" s="18"/>
      <c r="BO3825" s="18"/>
      <c r="BP3825" s="18"/>
      <c r="BQ3825" s="18"/>
      <c r="BR3825" s="18"/>
      <c r="BS3825" s="18"/>
      <c r="BT3825" s="18"/>
      <c r="BU3825" s="18"/>
      <c r="BV3825" s="18"/>
    </row>
    <row r="3826" spans="1:74">
      <c r="A3826" s="18"/>
      <c r="B3826" s="19"/>
      <c r="BG3826" s="18"/>
      <c r="BH3826" s="18"/>
      <c r="BI3826" s="18"/>
      <c r="BJ3826" s="18"/>
      <c r="BK3826" s="18"/>
      <c r="BL3826" s="18"/>
      <c r="BM3826" s="18"/>
      <c r="BN3826" s="18"/>
      <c r="BO3826" s="18"/>
      <c r="BP3826" s="18"/>
      <c r="BQ3826" s="18"/>
      <c r="BR3826" s="18"/>
      <c r="BS3826" s="18"/>
      <c r="BT3826" s="18"/>
      <c r="BU3826" s="18"/>
      <c r="BV3826" s="18"/>
    </row>
    <row r="3827" spans="1:74">
      <c r="A3827" s="18"/>
      <c r="B3827" s="19"/>
      <c r="BG3827" s="18"/>
      <c r="BH3827" s="18"/>
      <c r="BI3827" s="18"/>
      <c r="BJ3827" s="18"/>
      <c r="BK3827" s="18"/>
      <c r="BL3827" s="18"/>
      <c r="BM3827" s="18"/>
      <c r="BN3827" s="18"/>
      <c r="BO3827" s="18"/>
      <c r="BP3827" s="18"/>
      <c r="BQ3827" s="18"/>
      <c r="BR3827" s="18"/>
      <c r="BS3827" s="18"/>
      <c r="BT3827" s="18"/>
      <c r="BU3827" s="18"/>
      <c r="BV3827" s="18"/>
    </row>
    <row r="3828" spans="1:74">
      <c r="A3828" s="18"/>
      <c r="B3828" s="19"/>
      <c r="BG3828" s="18"/>
      <c r="BH3828" s="18"/>
      <c r="BI3828" s="18"/>
      <c r="BJ3828" s="18"/>
      <c r="BK3828" s="18"/>
      <c r="BL3828" s="18"/>
      <c r="BM3828" s="18"/>
      <c r="BN3828" s="18"/>
      <c r="BO3828" s="18"/>
      <c r="BP3828" s="18"/>
      <c r="BQ3828" s="18"/>
      <c r="BR3828" s="18"/>
      <c r="BS3828" s="18"/>
      <c r="BT3828" s="18"/>
      <c r="BU3828" s="18"/>
      <c r="BV3828" s="18"/>
    </row>
    <row r="3829" spans="1:74">
      <c r="A3829" s="18"/>
      <c r="B3829" s="19"/>
      <c r="BG3829" s="18"/>
      <c r="BH3829" s="18"/>
      <c r="BI3829" s="18"/>
      <c r="BJ3829" s="18"/>
      <c r="BK3829" s="18"/>
      <c r="BL3829" s="18"/>
      <c r="BM3829" s="18"/>
      <c r="BN3829" s="18"/>
      <c r="BO3829" s="18"/>
      <c r="BP3829" s="18"/>
      <c r="BQ3829" s="18"/>
      <c r="BR3829" s="18"/>
      <c r="BS3829" s="18"/>
      <c r="BT3829" s="18"/>
      <c r="BU3829" s="18"/>
      <c r="BV3829" s="18"/>
    </row>
    <row r="3830" spans="1:74">
      <c r="A3830" s="18"/>
      <c r="B3830" s="19"/>
      <c r="BG3830" s="18"/>
      <c r="BH3830" s="18"/>
      <c r="BI3830" s="18"/>
      <c r="BJ3830" s="18"/>
      <c r="BK3830" s="18"/>
      <c r="BL3830" s="18"/>
      <c r="BM3830" s="18"/>
      <c r="BN3830" s="18"/>
      <c r="BO3830" s="18"/>
      <c r="BP3830" s="18"/>
      <c r="BQ3830" s="18"/>
      <c r="BR3830" s="18"/>
      <c r="BS3830" s="18"/>
      <c r="BT3830" s="18"/>
      <c r="BU3830" s="18"/>
      <c r="BV3830" s="18"/>
    </row>
    <row r="3831" spans="1:74">
      <c r="A3831" s="18"/>
      <c r="B3831" s="19"/>
      <c r="BG3831" s="18"/>
      <c r="BH3831" s="18"/>
      <c r="BI3831" s="18"/>
      <c r="BJ3831" s="18"/>
      <c r="BK3831" s="18"/>
      <c r="BL3831" s="18"/>
      <c r="BM3831" s="18"/>
      <c r="BN3831" s="18"/>
      <c r="BO3831" s="18"/>
      <c r="BP3831" s="18"/>
      <c r="BQ3831" s="18"/>
      <c r="BR3831" s="18"/>
      <c r="BS3831" s="18"/>
      <c r="BT3831" s="18"/>
      <c r="BU3831" s="18"/>
      <c r="BV3831" s="18"/>
    </row>
    <row r="3832" spans="1:74">
      <c r="A3832" s="18"/>
      <c r="B3832" s="19"/>
      <c r="BG3832" s="18"/>
      <c r="BH3832" s="18"/>
      <c r="BI3832" s="18"/>
      <c r="BJ3832" s="18"/>
      <c r="BK3832" s="18"/>
      <c r="BL3832" s="18"/>
      <c r="BM3832" s="18"/>
      <c r="BN3832" s="18"/>
      <c r="BO3832" s="18"/>
      <c r="BP3832" s="18"/>
      <c r="BQ3832" s="18"/>
      <c r="BR3832" s="18"/>
      <c r="BS3832" s="18"/>
      <c r="BT3832" s="18"/>
      <c r="BU3832" s="18"/>
      <c r="BV3832" s="18"/>
    </row>
    <row r="3833" spans="1:74">
      <c r="A3833" s="18"/>
      <c r="B3833" s="19"/>
      <c r="BG3833" s="18"/>
      <c r="BH3833" s="18"/>
      <c r="BI3833" s="18"/>
      <c r="BJ3833" s="18"/>
      <c r="BK3833" s="18"/>
      <c r="BL3833" s="18"/>
      <c r="BM3833" s="18"/>
      <c r="BN3833" s="18"/>
      <c r="BO3833" s="18"/>
      <c r="BP3833" s="18"/>
      <c r="BQ3833" s="18"/>
      <c r="BR3833" s="18"/>
      <c r="BS3833" s="18"/>
      <c r="BT3833" s="18"/>
      <c r="BU3833" s="18"/>
      <c r="BV3833" s="18"/>
    </row>
    <row r="3834" spans="1:74">
      <c r="A3834" s="18"/>
      <c r="B3834" s="19"/>
      <c r="BG3834" s="18"/>
      <c r="BH3834" s="18"/>
      <c r="BI3834" s="18"/>
      <c r="BJ3834" s="18"/>
      <c r="BK3834" s="18"/>
      <c r="BL3834" s="18"/>
      <c r="BM3834" s="18"/>
      <c r="BN3834" s="18"/>
      <c r="BO3834" s="18"/>
      <c r="BP3834" s="18"/>
      <c r="BQ3834" s="18"/>
      <c r="BR3834" s="18"/>
      <c r="BS3834" s="18"/>
      <c r="BT3834" s="18"/>
      <c r="BU3834" s="18"/>
      <c r="BV3834" s="18"/>
    </row>
    <row r="3835" spans="1:74">
      <c r="A3835" s="18"/>
      <c r="B3835" s="19"/>
      <c r="BG3835" s="18"/>
      <c r="BH3835" s="18"/>
      <c r="BI3835" s="18"/>
      <c r="BJ3835" s="18"/>
      <c r="BK3835" s="18"/>
      <c r="BL3835" s="18"/>
      <c r="BM3835" s="18"/>
      <c r="BN3835" s="18"/>
      <c r="BO3835" s="18"/>
      <c r="BP3835" s="18"/>
      <c r="BQ3835" s="18"/>
      <c r="BR3835" s="18"/>
      <c r="BS3835" s="18"/>
      <c r="BT3835" s="18"/>
      <c r="BU3835" s="18"/>
      <c r="BV3835" s="18"/>
    </row>
    <row r="3836" spans="1:74">
      <c r="A3836" s="18"/>
      <c r="B3836" s="19"/>
      <c r="BG3836" s="18"/>
      <c r="BH3836" s="18"/>
      <c r="BI3836" s="18"/>
      <c r="BJ3836" s="18"/>
      <c r="BK3836" s="18"/>
      <c r="BL3836" s="18"/>
      <c r="BM3836" s="18"/>
      <c r="BN3836" s="18"/>
      <c r="BO3836" s="18"/>
      <c r="BP3836" s="18"/>
      <c r="BQ3836" s="18"/>
      <c r="BR3836" s="18"/>
      <c r="BS3836" s="18"/>
      <c r="BT3836" s="18"/>
      <c r="BU3836" s="18"/>
      <c r="BV3836" s="18"/>
    </row>
    <row r="3837" spans="1:74">
      <c r="A3837" s="18"/>
      <c r="B3837" s="19"/>
      <c r="BG3837" s="18"/>
      <c r="BH3837" s="18"/>
      <c r="BI3837" s="18"/>
      <c r="BJ3837" s="18"/>
      <c r="BK3837" s="18"/>
      <c r="BL3837" s="18"/>
      <c r="BM3837" s="18"/>
      <c r="BN3837" s="18"/>
      <c r="BO3837" s="18"/>
      <c r="BP3837" s="18"/>
      <c r="BQ3837" s="18"/>
      <c r="BR3837" s="18"/>
      <c r="BS3837" s="18"/>
      <c r="BT3837" s="18"/>
      <c r="BU3837" s="18"/>
      <c r="BV3837" s="18"/>
    </row>
    <row r="3838" spans="1:74">
      <c r="A3838" s="18"/>
      <c r="B3838" s="19"/>
      <c r="BG3838" s="18"/>
      <c r="BH3838" s="18"/>
      <c r="BI3838" s="18"/>
      <c r="BJ3838" s="18"/>
      <c r="BK3838" s="18"/>
      <c r="BL3838" s="18"/>
      <c r="BM3838" s="18"/>
      <c r="BN3838" s="18"/>
      <c r="BO3838" s="18"/>
      <c r="BP3838" s="18"/>
      <c r="BQ3838" s="18"/>
      <c r="BR3838" s="18"/>
      <c r="BS3838" s="18"/>
      <c r="BT3838" s="18"/>
      <c r="BU3838" s="18"/>
      <c r="BV3838" s="18"/>
    </row>
    <row r="3839" spans="1:74">
      <c r="A3839" s="18"/>
      <c r="B3839" s="19"/>
      <c r="BG3839" s="18"/>
      <c r="BH3839" s="18"/>
      <c r="BI3839" s="18"/>
      <c r="BJ3839" s="18"/>
      <c r="BK3839" s="18"/>
      <c r="BL3839" s="18"/>
      <c r="BM3839" s="18"/>
      <c r="BN3839" s="18"/>
      <c r="BO3839" s="18"/>
      <c r="BP3839" s="18"/>
      <c r="BQ3839" s="18"/>
      <c r="BR3839" s="18"/>
      <c r="BS3839" s="18"/>
      <c r="BT3839" s="18"/>
      <c r="BU3839" s="18"/>
      <c r="BV3839" s="18"/>
    </row>
    <row r="3840" spans="1:74">
      <c r="A3840" s="18"/>
      <c r="B3840" s="19"/>
      <c r="BG3840" s="18"/>
      <c r="BH3840" s="18"/>
      <c r="BI3840" s="18"/>
      <c r="BJ3840" s="18"/>
      <c r="BK3840" s="18"/>
      <c r="BL3840" s="18"/>
      <c r="BM3840" s="18"/>
      <c r="BN3840" s="18"/>
      <c r="BO3840" s="18"/>
      <c r="BP3840" s="18"/>
      <c r="BQ3840" s="18"/>
      <c r="BR3840" s="18"/>
      <c r="BS3840" s="18"/>
      <c r="BT3840" s="18"/>
      <c r="BU3840" s="18"/>
      <c r="BV3840" s="18"/>
    </row>
    <row r="3841" spans="1:74">
      <c r="A3841" s="18"/>
      <c r="B3841" s="19"/>
      <c r="BG3841" s="18"/>
      <c r="BH3841" s="18"/>
      <c r="BI3841" s="18"/>
      <c r="BJ3841" s="18"/>
      <c r="BK3841" s="18"/>
      <c r="BL3841" s="18"/>
      <c r="BM3841" s="18"/>
      <c r="BN3841" s="18"/>
      <c r="BO3841" s="18"/>
      <c r="BP3841" s="18"/>
      <c r="BQ3841" s="18"/>
      <c r="BR3841" s="18"/>
      <c r="BS3841" s="18"/>
      <c r="BT3841" s="18"/>
      <c r="BU3841" s="18"/>
      <c r="BV3841" s="18"/>
    </row>
    <row r="3842" spans="1:74">
      <c r="A3842" s="18"/>
      <c r="B3842" s="19"/>
      <c r="BG3842" s="18"/>
      <c r="BH3842" s="18"/>
      <c r="BI3842" s="18"/>
      <c r="BJ3842" s="18"/>
      <c r="BK3842" s="18"/>
      <c r="BL3842" s="18"/>
      <c r="BM3842" s="18"/>
      <c r="BN3842" s="18"/>
      <c r="BO3842" s="18"/>
      <c r="BP3842" s="18"/>
      <c r="BQ3842" s="18"/>
      <c r="BR3842" s="18"/>
      <c r="BS3842" s="18"/>
      <c r="BT3842" s="18"/>
      <c r="BU3842" s="18"/>
      <c r="BV3842" s="18"/>
    </row>
    <row r="3843" spans="1:74">
      <c r="A3843" s="18"/>
      <c r="B3843" s="19"/>
      <c r="BG3843" s="18"/>
      <c r="BH3843" s="18"/>
      <c r="BI3843" s="18"/>
      <c r="BJ3843" s="18"/>
      <c r="BK3843" s="18"/>
      <c r="BL3843" s="18"/>
      <c r="BM3843" s="18"/>
      <c r="BN3843" s="18"/>
      <c r="BO3843" s="18"/>
      <c r="BP3843" s="18"/>
      <c r="BQ3843" s="18"/>
      <c r="BR3843" s="18"/>
      <c r="BS3843" s="18"/>
      <c r="BT3843" s="18"/>
      <c r="BU3843" s="18"/>
      <c r="BV3843" s="18"/>
    </row>
    <row r="3844" spans="1:74">
      <c r="A3844" s="18"/>
      <c r="B3844" s="19"/>
      <c r="BG3844" s="18"/>
      <c r="BH3844" s="18"/>
      <c r="BI3844" s="18"/>
      <c r="BJ3844" s="18"/>
      <c r="BK3844" s="18"/>
      <c r="BL3844" s="18"/>
      <c r="BM3844" s="18"/>
      <c r="BN3844" s="18"/>
      <c r="BO3844" s="18"/>
      <c r="BP3844" s="18"/>
      <c r="BQ3844" s="18"/>
      <c r="BR3844" s="18"/>
      <c r="BS3844" s="18"/>
      <c r="BT3844" s="18"/>
      <c r="BU3844" s="18"/>
      <c r="BV3844" s="18"/>
    </row>
    <row r="3845" spans="1:74">
      <c r="A3845" s="18"/>
      <c r="B3845" s="19"/>
      <c r="BG3845" s="18"/>
      <c r="BH3845" s="18"/>
      <c r="BI3845" s="18"/>
      <c r="BJ3845" s="18"/>
      <c r="BK3845" s="18"/>
      <c r="BL3845" s="18"/>
      <c r="BM3845" s="18"/>
      <c r="BN3845" s="18"/>
      <c r="BO3845" s="18"/>
      <c r="BP3845" s="18"/>
      <c r="BQ3845" s="18"/>
      <c r="BR3845" s="18"/>
      <c r="BS3845" s="18"/>
      <c r="BT3845" s="18"/>
      <c r="BU3845" s="18"/>
      <c r="BV3845" s="18"/>
    </row>
    <row r="3846" spans="1:74">
      <c r="A3846" s="18"/>
      <c r="B3846" s="19"/>
      <c r="BG3846" s="18"/>
      <c r="BH3846" s="18"/>
      <c r="BI3846" s="18"/>
      <c r="BJ3846" s="18"/>
      <c r="BK3846" s="18"/>
      <c r="BL3846" s="18"/>
      <c r="BM3846" s="18"/>
      <c r="BN3846" s="18"/>
      <c r="BO3846" s="18"/>
      <c r="BP3846" s="18"/>
      <c r="BQ3846" s="18"/>
      <c r="BR3846" s="18"/>
      <c r="BS3846" s="18"/>
      <c r="BT3846" s="18"/>
      <c r="BU3846" s="18"/>
      <c r="BV3846" s="18"/>
    </row>
    <row r="3847" spans="1:74">
      <c r="A3847" s="18"/>
      <c r="B3847" s="19"/>
      <c r="BG3847" s="18"/>
      <c r="BH3847" s="18"/>
      <c r="BI3847" s="18"/>
      <c r="BJ3847" s="18"/>
      <c r="BK3847" s="18"/>
      <c r="BL3847" s="18"/>
      <c r="BM3847" s="18"/>
      <c r="BN3847" s="18"/>
      <c r="BO3847" s="18"/>
      <c r="BP3847" s="18"/>
      <c r="BQ3847" s="18"/>
      <c r="BR3847" s="18"/>
      <c r="BS3847" s="18"/>
      <c r="BT3847" s="18"/>
      <c r="BU3847" s="18"/>
      <c r="BV3847" s="18"/>
    </row>
    <row r="3848" spans="1:74">
      <c r="A3848" s="18"/>
      <c r="B3848" s="19"/>
      <c r="BG3848" s="18"/>
      <c r="BH3848" s="18"/>
      <c r="BI3848" s="18"/>
      <c r="BJ3848" s="18"/>
      <c r="BK3848" s="18"/>
      <c r="BL3848" s="18"/>
      <c r="BM3848" s="18"/>
      <c r="BN3848" s="18"/>
      <c r="BO3848" s="18"/>
      <c r="BP3848" s="18"/>
      <c r="BQ3848" s="18"/>
      <c r="BR3848" s="18"/>
      <c r="BS3848" s="18"/>
      <c r="BT3848" s="18"/>
      <c r="BU3848" s="18"/>
      <c r="BV3848" s="18"/>
    </row>
    <row r="3849" spans="1:74">
      <c r="A3849" s="18"/>
      <c r="B3849" s="19"/>
      <c r="BG3849" s="18"/>
      <c r="BH3849" s="18"/>
      <c r="BI3849" s="18"/>
      <c r="BJ3849" s="18"/>
      <c r="BK3849" s="18"/>
      <c r="BL3849" s="18"/>
      <c r="BM3849" s="18"/>
      <c r="BN3849" s="18"/>
      <c r="BO3849" s="18"/>
      <c r="BP3849" s="18"/>
      <c r="BQ3849" s="18"/>
      <c r="BR3849" s="18"/>
      <c r="BS3849" s="18"/>
      <c r="BT3849" s="18"/>
      <c r="BU3849" s="18"/>
      <c r="BV3849" s="18"/>
    </row>
    <row r="3850" spans="1:74">
      <c r="A3850" s="18"/>
      <c r="B3850" s="19"/>
      <c r="BG3850" s="18"/>
      <c r="BH3850" s="18"/>
      <c r="BI3850" s="18"/>
      <c r="BJ3850" s="18"/>
      <c r="BK3850" s="18"/>
      <c r="BL3850" s="18"/>
      <c r="BM3850" s="18"/>
      <c r="BN3850" s="18"/>
      <c r="BO3850" s="18"/>
      <c r="BP3850" s="18"/>
      <c r="BQ3850" s="18"/>
      <c r="BR3850" s="18"/>
      <c r="BS3850" s="18"/>
      <c r="BT3850" s="18"/>
      <c r="BU3850" s="18"/>
      <c r="BV3850" s="18"/>
    </row>
    <row r="3851" spans="1:74">
      <c r="A3851" s="18"/>
      <c r="B3851" s="19"/>
      <c r="BG3851" s="18"/>
      <c r="BH3851" s="18"/>
      <c r="BI3851" s="18"/>
      <c r="BJ3851" s="18"/>
      <c r="BK3851" s="18"/>
      <c r="BL3851" s="18"/>
      <c r="BM3851" s="18"/>
      <c r="BN3851" s="18"/>
      <c r="BO3851" s="18"/>
      <c r="BP3851" s="18"/>
      <c r="BQ3851" s="18"/>
      <c r="BR3851" s="18"/>
      <c r="BS3851" s="18"/>
      <c r="BT3851" s="18"/>
      <c r="BU3851" s="18"/>
      <c r="BV3851" s="18"/>
    </row>
    <row r="3852" spans="1:74">
      <c r="A3852" s="18"/>
      <c r="B3852" s="19"/>
      <c r="BG3852" s="18"/>
      <c r="BH3852" s="18"/>
      <c r="BI3852" s="18"/>
      <c r="BJ3852" s="18"/>
      <c r="BK3852" s="18"/>
      <c r="BL3852" s="18"/>
      <c r="BM3852" s="18"/>
      <c r="BN3852" s="18"/>
      <c r="BO3852" s="18"/>
      <c r="BP3852" s="18"/>
      <c r="BQ3852" s="18"/>
      <c r="BR3852" s="18"/>
      <c r="BS3852" s="18"/>
      <c r="BT3852" s="18"/>
      <c r="BU3852" s="18"/>
      <c r="BV3852" s="18"/>
    </row>
    <row r="3853" spans="1:74">
      <c r="A3853" s="18"/>
      <c r="B3853" s="19"/>
      <c r="BG3853" s="18"/>
      <c r="BH3853" s="18"/>
      <c r="BI3853" s="18"/>
      <c r="BJ3853" s="18"/>
      <c r="BK3853" s="18"/>
      <c r="BL3853" s="18"/>
      <c r="BM3853" s="18"/>
      <c r="BN3853" s="18"/>
      <c r="BO3853" s="18"/>
      <c r="BP3853" s="18"/>
      <c r="BQ3853" s="18"/>
      <c r="BR3853" s="18"/>
      <c r="BS3853" s="18"/>
      <c r="BT3853" s="18"/>
      <c r="BU3853" s="18"/>
      <c r="BV3853" s="18"/>
    </row>
    <row r="3854" spans="1:74">
      <c r="A3854" s="18"/>
      <c r="B3854" s="19"/>
      <c r="BG3854" s="18"/>
      <c r="BH3854" s="18"/>
      <c r="BI3854" s="18"/>
      <c r="BJ3854" s="18"/>
      <c r="BK3854" s="18"/>
      <c r="BL3854" s="18"/>
      <c r="BM3854" s="18"/>
      <c r="BN3854" s="18"/>
      <c r="BO3854" s="18"/>
      <c r="BP3854" s="18"/>
      <c r="BQ3854" s="18"/>
      <c r="BR3854" s="18"/>
      <c r="BS3854" s="18"/>
      <c r="BT3854" s="18"/>
      <c r="BU3854" s="18"/>
      <c r="BV3854" s="18"/>
    </row>
    <row r="3855" spans="1:74">
      <c r="A3855" s="18"/>
      <c r="B3855" s="19"/>
      <c r="BG3855" s="18"/>
      <c r="BH3855" s="18"/>
      <c r="BI3855" s="18"/>
      <c r="BJ3855" s="18"/>
      <c r="BK3855" s="18"/>
      <c r="BL3855" s="18"/>
      <c r="BM3855" s="18"/>
      <c r="BN3855" s="18"/>
      <c r="BO3855" s="18"/>
      <c r="BP3855" s="18"/>
      <c r="BQ3855" s="18"/>
      <c r="BR3855" s="18"/>
      <c r="BS3855" s="18"/>
      <c r="BT3855" s="18"/>
      <c r="BU3855" s="18"/>
      <c r="BV3855" s="18"/>
    </row>
    <row r="3856" spans="1:74">
      <c r="A3856" s="18"/>
      <c r="B3856" s="19"/>
      <c r="BG3856" s="18"/>
      <c r="BH3856" s="18"/>
      <c r="BI3856" s="18"/>
      <c r="BJ3856" s="18"/>
      <c r="BK3856" s="18"/>
      <c r="BL3856" s="18"/>
      <c r="BM3856" s="18"/>
      <c r="BN3856" s="18"/>
      <c r="BO3856" s="18"/>
      <c r="BP3856" s="18"/>
      <c r="BQ3856" s="18"/>
      <c r="BR3856" s="18"/>
      <c r="BS3856" s="18"/>
      <c r="BT3856" s="18"/>
      <c r="BU3856" s="18"/>
      <c r="BV3856" s="18"/>
    </row>
    <row r="3857" spans="1:74">
      <c r="A3857" s="18"/>
      <c r="B3857" s="19"/>
      <c r="BG3857" s="18"/>
      <c r="BH3857" s="18"/>
      <c r="BI3857" s="18"/>
      <c r="BJ3857" s="18"/>
      <c r="BK3857" s="18"/>
      <c r="BL3857" s="18"/>
      <c r="BM3857" s="18"/>
      <c r="BN3857" s="18"/>
      <c r="BO3857" s="18"/>
      <c r="BP3857" s="18"/>
      <c r="BQ3857" s="18"/>
      <c r="BR3857" s="18"/>
      <c r="BS3857" s="18"/>
      <c r="BT3857" s="18"/>
      <c r="BU3857" s="18"/>
      <c r="BV3857" s="18"/>
    </row>
    <row r="3858" spans="1:74">
      <c r="A3858" s="18"/>
      <c r="B3858" s="19"/>
      <c r="BG3858" s="18"/>
      <c r="BH3858" s="18"/>
      <c r="BI3858" s="18"/>
      <c r="BJ3858" s="18"/>
      <c r="BK3858" s="18"/>
      <c r="BL3858" s="18"/>
      <c r="BM3858" s="18"/>
      <c r="BN3858" s="18"/>
      <c r="BO3858" s="18"/>
      <c r="BP3858" s="18"/>
      <c r="BQ3858" s="18"/>
      <c r="BR3858" s="18"/>
      <c r="BS3858" s="18"/>
      <c r="BT3858" s="18"/>
      <c r="BU3858" s="18"/>
      <c r="BV3858" s="18"/>
    </row>
    <row r="3859" spans="1:74">
      <c r="A3859" s="18"/>
      <c r="B3859" s="19"/>
      <c r="BG3859" s="18"/>
      <c r="BH3859" s="18"/>
      <c r="BI3859" s="18"/>
      <c r="BJ3859" s="18"/>
      <c r="BK3859" s="18"/>
      <c r="BL3859" s="18"/>
      <c r="BM3859" s="18"/>
      <c r="BN3859" s="18"/>
      <c r="BO3859" s="18"/>
      <c r="BP3859" s="18"/>
      <c r="BQ3859" s="18"/>
      <c r="BR3859" s="18"/>
      <c r="BS3859" s="18"/>
      <c r="BT3859" s="18"/>
      <c r="BU3859" s="18"/>
      <c r="BV3859" s="18"/>
    </row>
    <row r="3860" spans="1:74">
      <c r="A3860" s="18"/>
      <c r="B3860" s="19"/>
      <c r="BG3860" s="18"/>
      <c r="BH3860" s="18"/>
      <c r="BI3860" s="18"/>
      <c r="BJ3860" s="18"/>
      <c r="BK3860" s="18"/>
      <c r="BL3860" s="18"/>
      <c r="BM3860" s="18"/>
      <c r="BN3860" s="18"/>
      <c r="BO3860" s="18"/>
      <c r="BP3860" s="18"/>
      <c r="BQ3860" s="18"/>
      <c r="BR3860" s="18"/>
      <c r="BS3860" s="18"/>
      <c r="BT3860" s="18"/>
      <c r="BU3860" s="18"/>
      <c r="BV3860" s="18"/>
    </row>
    <row r="3861" spans="1:74">
      <c r="A3861" s="18"/>
      <c r="B3861" s="19"/>
      <c r="BG3861" s="18"/>
      <c r="BH3861" s="18"/>
      <c r="BI3861" s="18"/>
      <c r="BJ3861" s="18"/>
      <c r="BK3861" s="18"/>
      <c r="BL3861" s="18"/>
      <c r="BM3861" s="18"/>
      <c r="BN3861" s="18"/>
      <c r="BO3861" s="18"/>
      <c r="BP3861" s="18"/>
      <c r="BQ3861" s="18"/>
      <c r="BR3861" s="18"/>
      <c r="BS3861" s="18"/>
      <c r="BT3861" s="18"/>
      <c r="BU3861" s="18"/>
      <c r="BV3861" s="18"/>
    </row>
    <row r="3862" spans="1:74">
      <c r="A3862" s="18"/>
      <c r="B3862" s="19"/>
      <c r="BG3862" s="18"/>
      <c r="BH3862" s="18"/>
      <c r="BI3862" s="18"/>
      <c r="BJ3862" s="18"/>
      <c r="BK3862" s="18"/>
      <c r="BL3862" s="18"/>
      <c r="BM3862" s="18"/>
      <c r="BN3862" s="18"/>
      <c r="BO3862" s="18"/>
      <c r="BP3862" s="18"/>
      <c r="BQ3862" s="18"/>
      <c r="BR3862" s="18"/>
      <c r="BS3862" s="18"/>
      <c r="BT3862" s="18"/>
      <c r="BU3862" s="18"/>
      <c r="BV3862" s="18"/>
    </row>
    <row r="3863" spans="1:74">
      <c r="A3863" s="18"/>
      <c r="B3863" s="19"/>
      <c r="BG3863" s="18"/>
      <c r="BH3863" s="18"/>
      <c r="BI3863" s="18"/>
      <c r="BJ3863" s="18"/>
      <c r="BK3863" s="18"/>
      <c r="BL3863" s="18"/>
      <c r="BM3863" s="18"/>
      <c r="BN3863" s="18"/>
      <c r="BO3863" s="18"/>
      <c r="BP3863" s="18"/>
      <c r="BQ3863" s="18"/>
      <c r="BR3863" s="18"/>
      <c r="BS3863" s="18"/>
      <c r="BT3863" s="18"/>
      <c r="BU3863" s="18"/>
      <c r="BV3863" s="18"/>
    </row>
    <row r="3864" spans="1:74">
      <c r="A3864" s="18"/>
      <c r="B3864" s="19"/>
      <c r="BG3864" s="18"/>
      <c r="BH3864" s="18"/>
      <c r="BI3864" s="18"/>
      <c r="BJ3864" s="18"/>
      <c r="BK3864" s="18"/>
      <c r="BL3864" s="18"/>
      <c r="BM3864" s="18"/>
      <c r="BN3864" s="18"/>
      <c r="BO3864" s="18"/>
      <c r="BP3864" s="18"/>
      <c r="BQ3864" s="18"/>
      <c r="BR3864" s="18"/>
      <c r="BS3864" s="18"/>
      <c r="BT3864" s="18"/>
      <c r="BU3864" s="18"/>
      <c r="BV3864" s="18"/>
    </row>
    <row r="3865" spans="1:74">
      <c r="A3865" s="18"/>
      <c r="B3865" s="19"/>
      <c r="BG3865" s="18"/>
      <c r="BH3865" s="18"/>
      <c r="BI3865" s="18"/>
      <c r="BJ3865" s="18"/>
      <c r="BK3865" s="18"/>
      <c r="BL3865" s="18"/>
      <c r="BM3865" s="18"/>
      <c r="BN3865" s="18"/>
      <c r="BO3865" s="18"/>
      <c r="BP3865" s="18"/>
      <c r="BQ3865" s="18"/>
      <c r="BR3865" s="18"/>
      <c r="BS3865" s="18"/>
      <c r="BT3865" s="18"/>
      <c r="BU3865" s="18"/>
      <c r="BV3865" s="18"/>
    </row>
    <row r="3866" spans="1:74">
      <c r="A3866" s="18"/>
      <c r="B3866" s="19"/>
      <c r="BG3866" s="18"/>
      <c r="BH3866" s="18"/>
      <c r="BI3866" s="18"/>
      <c r="BJ3866" s="18"/>
      <c r="BK3866" s="18"/>
      <c r="BL3866" s="18"/>
      <c r="BM3866" s="18"/>
      <c r="BN3866" s="18"/>
      <c r="BO3866" s="18"/>
      <c r="BP3866" s="18"/>
      <c r="BQ3866" s="18"/>
      <c r="BR3866" s="18"/>
      <c r="BS3866" s="18"/>
      <c r="BT3866" s="18"/>
      <c r="BU3866" s="18"/>
      <c r="BV3866" s="18"/>
    </row>
    <row r="3867" spans="1:74">
      <c r="A3867" s="18"/>
      <c r="B3867" s="19"/>
      <c r="BG3867" s="18"/>
      <c r="BH3867" s="18"/>
      <c r="BI3867" s="18"/>
      <c r="BJ3867" s="18"/>
      <c r="BK3867" s="18"/>
      <c r="BL3867" s="18"/>
      <c r="BM3867" s="18"/>
      <c r="BN3867" s="18"/>
      <c r="BO3867" s="18"/>
      <c r="BP3867" s="18"/>
      <c r="BQ3867" s="18"/>
      <c r="BR3867" s="18"/>
      <c r="BS3867" s="18"/>
      <c r="BT3867" s="18"/>
      <c r="BU3867" s="18"/>
      <c r="BV3867" s="18"/>
    </row>
    <row r="3868" spans="1:74">
      <c r="A3868" s="18"/>
      <c r="B3868" s="19"/>
      <c r="BG3868" s="18"/>
      <c r="BH3868" s="18"/>
      <c r="BI3868" s="18"/>
      <c r="BJ3868" s="18"/>
      <c r="BK3868" s="18"/>
      <c r="BL3868" s="18"/>
      <c r="BM3868" s="18"/>
      <c r="BN3868" s="18"/>
      <c r="BO3868" s="18"/>
      <c r="BP3868" s="18"/>
      <c r="BQ3868" s="18"/>
      <c r="BR3868" s="18"/>
      <c r="BS3868" s="18"/>
      <c r="BT3868" s="18"/>
      <c r="BU3868" s="18"/>
      <c r="BV3868" s="18"/>
    </row>
    <row r="3869" spans="1:74">
      <c r="A3869" s="18"/>
      <c r="B3869" s="19"/>
      <c r="BG3869" s="18"/>
      <c r="BH3869" s="18"/>
      <c r="BI3869" s="18"/>
      <c r="BJ3869" s="18"/>
      <c r="BK3869" s="18"/>
      <c r="BL3869" s="18"/>
      <c r="BM3869" s="18"/>
      <c r="BN3869" s="18"/>
      <c r="BO3869" s="18"/>
      <c r="BP3869" s="18"/>
      <c r="BQ3869" s="18"/>
      <c r="BR3869" s="18"/>
      <c r="BS3869" s="18"/>
      <c r="BT3869" s="18"/>
      <c r="BU3869" s="18"/>
      <c r="BV3869" s="18"/>
    </row>
    <row r="3870" spans="1:74">
      <c r="A3870" s="18"/>
      <c r="B3870" s="19"/>
      <c r="BG3870" s="18"/>
      <c r="BH3870" s="18"/>
      <c r="BI3870" s="18"/>
      <c r="BJ3870" s="18"/>
      <c r="BK3870" s="18"/>
      <c r="BL3870" s="18"/>
      <c r="BM3870" s="18"/>
      <c r="BN3870" s="18"/>
      <c r="BO3870" s="18"/>
      <c r="BP3870" s="18"/>
      <c r="BQ3870" s="18"/>
      <c r="BR3870" s="18"/>
      <c r="BS3870" s="18"/>
      <c r="BT3870" s="18"/>
      <c r="BU3870" s="18"/>
      <c r="BV3870" s="18"/>
    </row>
    <row r="3871" spans="1:74">
      <c r="A3871" s="18"/>
      <c r="B3871" s="19"/>
      <c r="BG3871" s="18"/>
      <c r="BH3871" s="18"/>
      <c r="BI3871" s="18"/>
      <c r="BJ3871" s="18"/>
      <c r="BK3871" s="18"/>
      <c r="BL3871" s="18"/>
      <c r="BM3871" s="18"/>
      <c r="BN3871" s="18"/>
      <c r="BO3871" s="18"/>
      <c r="BP3871" s="18"/>
      <c r="BQ3871" s="18"/>
      <c r="BR3871" s="18"/>
      <c r="BS3871" s="18"/>
      <c r="BT3871" s="18"/>
      <c r="BU3871" s="18"/>
      <c r="BV3871" s="18"/>
    </row>
    <row r="3872" spans="1:74">
      <c r="A3872" s="18"/>
      <c r="B3872" s="19"/>
      <c r="BG3872" s="18"/>
      <c r="BH3872" s="18"/>
      <c r="BI3872" s="18"/>
      <c r="BJ3872" s="18"/>
      <c r="BK3872" s="18"/>
      <c r="BL3872" s="18"/>
      <c r="BM3872" s="18"/>
      <c r="BN3872" s="18"/>
      <c r="BO3872" s="18"/>
      <c r="BP3872" s="18"/>
      <c r="BQ3872" s="18"/>
      <c r="BR3872" s="18"/>
      <c r="BS3872" s="18"/>
      <c r="BT3872" s="18"/>
      <c r="BU3872" s="18"/>
      <c r="BV3872" s="18"/>
    </row>
    <row r="3873" spans="1:74">
      <c r="A3873" s="18"/>
      <c r="B3873" s="19"/>
      <c r="BG3873" s="18"/>
      <c r="BH3873" s="18"/>
      <c r="BI3873" s="18"/>
      <c r="BJ3873" s="18"/>
      <c r="BK3873" s="18"/>
      <c r="BL3873" s="18"/>
      <c r="BM3873" s="18"/>
      <c r="BN3873" s="18"/>
      <c r="BO3873" s="18"/>
      <c r="BP3873" s="18"/>
      <c r="BQ3873" s="18"/>
      <c r="BR3873" s="18"/>
      <c r="BS3873" s="18"/>
      <c r="BT3873" s="18"/>
      <c r="BU3873" s="18"/>
      <c r="BV3873" s="18"/>
    </row>
    <row r="3874" spans="1:74">
      <c r="A3874" s="18"/>
      <c r="B3874" s="19"/>
      <c r="BG3874" s="18"/>
      <c r="BH3874" s="18"/>
      <c r="BI3874" s="18"/>
      <c r="BJ3874" s="18"/>
      <c r="BK3874" s="18"/>
      <c r="BL3874" s="18"/>
      <c r="BM3874" s="18"/>
      <c r="BN3874" s="18"/>
      <c r="BO3874" s="18"/>
      <c r="BP3874" s="18"/>
      <c r="BQ3874" s="18"/>
      <c r="BR3874" s="18"/>
      <c r="BS3874" s="18"/>
      <c r="BT3874" s="18"/>
      <c r="BU3874" s="18"/>
      <c r="BV3874" s="18"/>
    </row>
    <row r="3875" spans="1:74">
      <c r="A3875" s="18"/>
      <c r="B3875" s="19"/>
      <c r="BG3875" s="18"/>
      <c r="BH3875" s="18"/>
      <c r="BI3875" s="18"/>
      <c r="BJ3875" s="18"/>
      <c r="BK3875" s="18"/>
      <c r="BL3875" s="18"/>
      <c r="BM3875" s="18"/>
      <c r="BN3875" s="18"/>
      <c r="BO3875" s="18"/>
      <c r="BP3875" s="18"/>
      <c r="BQ3875" s="18"/>
      <c r="BR3875" s="18"/>
      <c r="BS3875" s="18"/>
      <c r="BT3875" s="18"/>
      <c r="BU3875" s="18"/>
      <c r="BV3875" s="18"/>
    </row>
    <row r="3876" spans="1:74">
      <c r="A3876" s="18"/>
      <c r="B3876" s="19"/>
      <c r="BG3876" s="18"/>
      <c r="BH3876" s="18"/>
      <c r="BI3876" s="18"/>
      <c r="BJ3876" s="18"/>
      <c r="BK3876" s="18"/>
      <c r="BL3876" s="18"/>
      <c r="BM3876" s="18"/>
      <c r="BN3876" s="18"/>
      <c r="BO3876" s="18"/>
      <c r="BP3876" s="18"/>
      <c r="BQ3876" s="18"/>
      <c r="BR3876" s="18"/>
      <c r="BS3876" s="18"/>
      <c r="BT3876" s="18"/>
      <c r="BU3876" s="18"/>
      <c r="BV3876" s="18"/>
    </row>
    <row r="3877" spans="1:74">
      <c r="A3877" s="18"/>
      <c r="B3877" s="19"/>
      <c r="BG3877" s="18"/>
      <c r="BH3877" s="18"/>
      <c r="BI3877" s="18"/>
      <c r="BJ3877" s="18"/>
      <c r="BK3877" s="18"/>
      <c r="BL3877" s="18"/>
      <c r="BM3877" s="18"/>
      <c r="BN3877" s="18"/>
      <c r="BO3877" s="18"/>
      <c r="BP3877" s="18"/>
      <c r="BQ3877" s="18"/>
      <c r="BR3877" s="18"/>
      <c r="BS3877" s="18"/>
      <c r="BT3877" s="18"/>
      <c r="BU3877" s="18"/>
      <c r="BV3877" s="18"/>
    </row>
    <row r="3878" spans="1:74">
      <c r="A3878" s="18"/>
      <c r="B3878" s="19"/>
      <c r="BG3878" s="18"/>
      <c r="BH3878" s="18"/>
      <c r="BI3878" s="18"/>
      <c r="BJ3878" s="18"/>
      <c r="BK3878" s="18"/>
      <c r="BL3878" s="18"/>
      <c r="BM3878" s="18"/>
      <c r="BN3878" s="18"/>
      <c r="BO3878" s="18"/>
      <c r="BP3878" s="18"/>
      <c r="BQ3878" s="18"/>
      <c r="BR3878" s="18"/>
      <c r="BS3878" s="18"/>
      <c r="BT3878" s="18"/>
      <c r="BU3878" s="18"/>
      <c r="BV3878" s="18"/>
    </row>
    <row r="3879" spans="1:74">
      <c r="A3879" s="18"/>
      <c r="B3879" s="19"/>
      <c r="BG3879" s="18"/>
      <c r="BH3879" s="18"/>
      <c r="BI3879" s="18"/>
      <c r="BJ3879" s="18"/>
      <c r="BK3879" s="18"/>
      <c r="BL3879" s="18"/>
      <c r="BM3879" s="18"/>
      <c r="BN3879" s="18"/>
      <c r="BO3879" s="18"/>
      <c r="BP3879" s="18"/>
      <c r="BQ3879" s="18"/>
      <c r="BR3879" s="18"/>
      <c r="BS3879" s="18"/>
      <c r="BT3879" s="18"/>
      <c r="BU3879" s="18"/>
      <c r="BV3879" s="18"/>
    </row>
    <row r="3880" spans="1:74">
      <c r="A3880" s="18"/>
      <c r="B3880" s="19"/>
      <c r="BG3880" s="18"/>
      <c r="BH3880" s="18"/>
      <c r="BI3880" s="18"/>
      <c r="BJ3880" s="18"/>
      <c r="BK3880" s="18"/>
      <c r="BL3880" s="18"/>
      <c r="BM3880" s="18"/>
      <c r="BN3880" s="18"/>
      <c r="BO3880" s="18"/>
      <c r="BP3880" s="18"/>
      <c r="BQ3880" s="18"/>
      <c r="BR3880" s="18"/>
      <c r="BS3880" s="18"/>
      <c r="BT3880" s="18"/>
      <c r="BU3880" s="18"/>
      <c r="BV3880" s="18"/>
    </row>
    <row r="3881" spans="1:74">
      <c r="A3881" s="18"/>
      <c r="B3881" s="19"/>
      <c r="BG3881" s="18"/>
      <c r="BH3881" s="18"/>
      <c r="BI3881" s="18"/>
      <c r="BJ3881" s="18"/>
      <c r="BK3881" s="18"/>
      <c r="BL3881" s="18"/>
      <c r="BM3881" s="18"/>
      <c r="BN3881" s="18"/>
      <c r="BO3881" s="18"/>
      <c r="BP3881" s="18"/>
      <c r="BQ3881" s="18"/>
      <c r="BR3881" s="18"/>
      <c r="BS3881" s="18"/>
      <c r="BT3881" s="18"/>
      <c r="BU3881" s="18"/>
      <c r="BV3881" s="18"/>
    </row>
    <row r="3882" spans="1:74">
      <c r="A3882" s="18"/>
      <c r="B3882" s="19"/>
      <c r="BG3882" s="18"/>
      <c r="BH3882" s="18"/>
      <c r="BI3882" s="18"/>
      <c r="BJ3882" s="18"/>
      <c r="BK3882" s="18"/>
      <c r="BL3882" s="18"/>
      <c r="BM3882" s="18"/>
      <c r="BN3882" s="18"/>
      <c r="BO3882" s="18"/>
      <c r="BP3882" s="18"/>
      <c r="BQ3882" s="18"/>
      <c r="BR3882" s="18"/>
      <c r="BS3882" s="18"/>
      <c r="BT3882" s="18"/>
      <c r="BU3882" s="18"/>
      <c r="BV3882" s="18"/>
    </row>
    <row r="3883" spans="1:74">
      <c r="A3883" s="18"/>
      <c r="B3883" s="19"/>
      <c r="BG3883" s="18"/>
      <c r="BH3883" s="18"/>
      <c r="BI3883" s="18"/>
      <c r="BJ3883" s="18"/>
      <c r="BK3883" s="18"/>
      <c r="BL3883" s="18"/>
      <c r="BM3883" s="18"/>
      <c r="BN3883" s="18"/>
      <c r="BO3883" s="18"/>
      <c r="BP3883" s="18"/>
      <c r="BQ3883" s="18"/>
      <c r="BR3883" s="18"/>
      <c r="BS3883" s="18"/>
      <c r="BT3883" s="18"/>
      <c r="BU3883" s="18"/>
      <c r="BV3883" s="18"/>
    </row>
    <row r="3884" spans="1:74">
      <c r="A3884" s="18"/>
      <c r="B3884" s="19"/>
      <c r="BG3884" s="18"/>
      <c r="BH3884" s="18"/>
      <c r="BI3884" s="18"/>
      <c r="BJ3884" s="18"/>
      <c r="BK3884" s="18"/>
      <c r="BL3884" s="18"/>
      <c r="BM3884" s="18"/>
      <c r="BN3884" s="18"/>
      <c r="BO3884" s="18"/>
      <c r="BP3884" s="18"/>
      <c r="BQ3884" s="18"/>
      <c r="BR3884" s="18"/>
      <c r="BS3884" s="18"/>
      <c r="BT3884" s="18"/>
      <c r="BU3884" s="18"/>
      <c r="BV3884" s="18"/>
    </row>
    <row r="3885" spans="1:74">
      <c r="A3885" s="18"/>
      <c r="B3885" s="19"/>
      <c r="BG3885" s="18"/>
      <c r="BH3885" s="18"/>
      <c r="BI3885" s="18"/>
      <c r="BJ3885" s="18"/>
      <c r="BK3885" s="18"/>
      <c r="BL3885" s="18"/>
      <c r="BM3885" s="18"/>
      <c r="BN3885" s="18"/>
      <c r="BO3885" s="18"/>
      <c r="BP3885" s="18"/>
      <c r="BQ3885" s="18"/>
      <c r="BR3885" s="18"/>
      <c r="BS3885" s="18"/>
      <c r="BT3885" s="18"/>
      <c r="BU3885" s="18"/>
      <c r="BV3885" s="18"/>
    </row>
    <row r="3886" spans="1:74">
      <c r="A3886" s="18"/>
      <c r="B3886" s="19"/>
      <c r="BG3886" s="18"/>
      <c r="BH3886" s="18"/>
      <c r="BI3886" s="18"/>
      <c r="BJ3886" s="18"/>
      <c r="BK3886" s="18"/>
      <c r="BL3886" s="18"/>
      <c r="BM3886" s="18"/>
      <c r="BN3886" s="18"/>
      <c r="BO3886" s="18"/>
      <c r="BP3886" s="18"/>
      <c r="BQ3886" s="18"/>
      <c r="BR3886" s="18"/>
      <c r="BS3886" s="18"/>
      <c r="BT3886" s="18"/>
      <c r="BU3886" s="18"/>
      <c r="BV3886" s="18"/>
    </row>
    <row r="3887" spans="1:74">
      <c r="A3887" s="18"/>
      <c r="B3887" s="19"/>
      <c r="BG3887" s="18"/>
      <c r="BH3887" s="18"/>
      <c r="BI3887" s="18"/>
      <c r="BJ3887" s="18"/>
      <c r="BK3887" s="18"/>
      <c r="BL3887" s="18"/>
      <c r="BM3887" s="18"/>
      <c r="BN3887" s="18"/>
      <c r="BO3887" s="18"/>
      <c r="BP3887" s="18"/>
      <c r="BQ3887" s="18"/>
      <c r="BR3887" s="18"/>
      <c r="BS3887" s="18"/>
      <c r="BT3887" s="18"/>
      <c r="BU3887" s="18"/>
      <c r="BV3887" s="18"/>
    </row>
    <row r="3888" spans="1:74">
      <c r="A3888" s="18"/>
      <c r="B3888" s="19"/>
      <c r="BG3888" s="18"/>
      <c r="BH3888" s="18"/>
      <c r="BI3888" s="18"/>
      <c r="BJ3888" s="18"/>
      <c r="BK3888" s="18"/>
      <c r="BL3888" s="18"/>
      <c r="BM3888" s="18"/>
      <c r="BN3888" s="18"/>
      <c r="BO3888" s="18"/>
      <c r="BP3888" s="18"/>
      <c r="BQ3888" s="18"/>
      <c r="BR3888" s="18"/>
      <c r="BS3888" s="18"/>
      <c r="BT3888" s="18"/>
      <c r="BU3888" s="18"/>
      <c r="BV3888" s="18"/>
    </row>
    <row r="3889" spans="1:74">
      <c r="A3889" s="18"/>
      <c r="B3889" s="19"/>
      <c r="BG3889" s="18"/>
      <c r="BH3889" s="18"/>
      <c r="BI3889" s="18"/>
      <c r="BJ3889" s="18"/>
      <c r="BK3889" s="18"/>
      <c r="BL3889" s="18"/>
      <c r="BM3889" s="18"/>
      <c r="BN3889" s="18"/>
      <c r="BO3889" s="18"/>
      <c r="BP3889" s="18"/>
      <c r="BQ3889" s="18"/>
      <c r="BR3889" s="18"/>
      <c r="BS3889" s="18"/>
      <c r="BT3889" s="18"/>
      <c r="BU3889" s="18"/>
      <c r="BV3889" s="18"/>
    </row>
    <row r="3890" spans="1:74">
      <c r="A3890" s="18"/>
      <c r="B3890" s="19"/>
      <c r="BG3890" s="18"/>
      <c r="BH3890" s="18"/>
      <c r="BI3890" s="18"/>
      <c r="BJ3890" s="18"/>
      <c r="BK3890" s="18"/>
      <c r="BL3890" s="18"/>
      <c r="BM3890" s="18"/>
      <c r="BN3890" s="18"/>
      <c r="BO3890" s="18"/>
      <c r="BP3890" s="18"/>
      <c r="BQ3890" s="18"/>
      <c r="BR3890" s="18"/>
      <c r="BS3890" s="18"/>
      <c r="BT3890" s="18"/>
      <c r="BU3890" s="18"/>
      <c r="BV3890" s="18"/>
    </row>
    <row r="3891" spans="1:74">
      <c r="A3891" s="18"/>
      <c r="B3891" s="19"/>
      <c r="BG3891" s="18"/>
      <c r="BH3891" s="18"/>
      <c r="BI3891" s="18"/>
      <c r="BJ3891" s="18"/>
      <c r="BK3891" s="18"/>
      <c r="BL3891" s="18"/>
      <c r="BM3891" s="18"/>
      <c r="BN3891" s="18"/>
      <c r="BO3891" s="18"/>
      <c r="BP3891" s="18"/>
      <c r="BQ3891" s="18"/>
      <c r="BR3891" s="18"/>
      <c r="BS3891" s="18"/>
      <c r="BT3891" s="18"/>
      <c r="BU3891" s="18"/>
      <c r="BV3891" s="18"/>
    </row>
    <row r="3892" spans="1:74">
      <c r="A3892" s="18"/>
      <c r="B3892" s="19"/>
      <c r="BG3892" s="18"/>
      <c r="BH3892" s="18"/>
      <c r="BI3892" s="18"/>
      <c r="BJ3892" s="18"/>
      <c r="BK3892" s="18"/>
      <c r="BL3892" s="18"/>
      <c r="BM3892" s="18"/>
      <c r="BN3892" s="18"/>
      <c r="BO3892" s="18"/>
      <c r="BP3892" s="18"/>
      <c r="BQ3892" s="18"/>
      <c r="BR3892" s="18"/>
      <c r="BS3892" s="18"/>
      <c r="BT3892" s="18"/>
      <c r="BU3892" s="18"/>
      <c r="BV3892" s="18"/>
    </row>
    <row r="3893" spans="1:74">
      <c r="A3893" s="18"/>
      <c r="B3893" s="19"/>
      <c r="BG3893" s="18"/>
      <c r="BH3893" s="18"/>
      <c r="BI3893" s="18"/>
      <c r="BJ3893" s="18"/>
      <c r="BK3893" s="18"/>
      <c r="BL3893" s="18"/>
      <c r="BM3893" s="18"/>
      <c r="BN3893" s="18"/>
      <c r="BO3893" s="18"/>
      <c r="BP3893" s="18"/>
      <c r="BQ3893" s="18"/>
      <c r="BR3893" s="18"/>
      <c r="BS3893" s="18"/>
      <c r="BT3893" s="18"/>
      <c r="BU3893" s="18"/>
      <c r="BV3893" s="18"/>
    </row>
    <row r="3894" spans="1:74">
      <c r="A3894" s="18"/>
      <c r="B3894" s="19"/>
      <c r="BG3894" s="18"/>
      <c r="BH3894" s="18"/>
      <c r="BI3894" s="18"/>
      <c r="BJ3894" s="18"/>
      <c r="BK3894" s="18"/>
      <c r="BL3894" s="18"/>
      <c r="BM3894" s="18"/>
      <c r="BN3894" s="18"/>
      <c r="BO3894" s="18"/>
      <c r="BP3894" s="18"/>
      <c r="BQ3894" s="18"/>
      <c r="BR3894" s="18"/>
      <c r="BS3894" s="18"/>
      <c r="BT3894" s="18"/>
      <c r="BU3894" s="18"/>
      <c r="BV3894" s="18"/>
    </row>
    <row r="3895" spans="1:74">
      <c r="A3895" s="18"/>
      <c r="B3895" s="19"/>
      <c r="BG3895" s="18"/>
      <c r="BH3895" s="18"/>
      <c r="BI3895" s="18"/>
      <c r="BJ3895" s="18"/>
      <c r="BK3895" s="18"/>
      <c r="BL3895" s="18"/>
      <c r="BM3895" s="18"/>
      <c r="BN3895" s="18"/>
      <c r="BO3895" s="18"/>
      <c r="BP3895" s="18"/>
      <c r="BQ3895" s="18"/>
      <c r="BR3895" s="18"/>
      <c r="BS3895" s="18"/>
      <c r="BT3895" s="18"/>
      <c r="BU3895" s="18"/>
      <c r="BV3895" s="18"/>
    </row>
    <row r="3896" spans="1:74">
      <c r="A3896" s="18"/>
      <c r="B3896" s="19"/>
      <c r="BG3896" s="18"/>
      <c r="BH3896" s="18"/>
      <c r="BI3896" s="18"/>
      <c r="BJ3896" s="18"/>
      <c r="BK3896" s="18"/>
      <c r="BL3896" s="18"/>
      <c r="BM3896" s="18"/>
      <c r="BN3896" s="18"/>
      <c r="BO3896" s="18"/>
      <c r="BP3896" s="18"/>
      <c r="BQ3896" s="18"/>
      <c r="BR3896" s="18"/>
      <c r="BS3896" s="18"/>
      <c r="BT3896" s="18"/>
      <c r="BU3896" s="18"/>
      <c r="BV3896" s="18"/>
    </row>
    <row r="3897" spans="1:74">
      <c r="A3897" s="18"/>
      <c r="B3897" s="19"/>
      <c r="BG3897" s="18"/>
      <c r="BH3897" s="18"/>
      <c r="BI3897" s="18"/>
      <c r="BJ3897" s="18"/>
      <c r="BK3897" s="18"/>
      <c r="BL3897" s="18"/>
      <c r="BM3897" s="18"/>
      <c r="BN3897" s="18"/>
      <c r="BO3897" s="18"/>
      <c r="BP3897" s="18"/>
      <c r="BQ3897" s="18"/>
      <c r="BR3897" s="18"/>
      <c r="BS3897" s="18"/>
      <c r="BT3897" s="18"/>
      <c r="BU3897" s="18"/>
      <c r="BV3897" s="18"/>
    </row>
    <row r="3898" spans="1:74">
      <c r="A3898" s="18"/>
      <c r="B3898" s="19"/>
      <c r="BG3898" s="18"/>
      <c r="BH3898" s="18"/>
      <c r="BI3898" s="18"/>
      <c r="BJ3898" s="18"/>
      <c r="BK3898" s="18"/>
      <c r="BL3898" s="18"/>
      <c r="BM3898" s="18"/>
      <c r="BN3898" s="18"/>
      <c r="BO3898" s="18"/>
      <c r="BP3898" s="18"/>
      <c r="BQ3898" s="18"/>
      <c r="BR3898" s="18"/>
      <c r="BS3898" s="18"/>
      <c r="BT3898" s="18"/>
      <c r="BU3898" s="18"/>
      <c r="BV3898" s="18"/>
    </row>
    <row r="3899" spans="1:74">
      <c r="A3899" s="18"/>
      <c r="B3899" s="19"/>
      <c r="BG3899" s="18"/>
      <c r="BH3899" s="18"/>
      <c r="BI3899" s="18"/>
      <c r="BJ3899" s="18"/>
      <c r="BK3899" s="18"/>
      <c r="BL3899" s="18"/>
      <c r="BM3899" s="18"/>
      <c r="BN3899" s="18"/>
      <c r="BO3899" s="18"/>
      <c r="BP3899" s="18"/>
      <c r="BQ3899" s="18"/>
      <c r="BR3899" s="18"/>
      <c r="BS3899" s="18"/>
      <c r="BT3899" s="18"/>
      <c r="BU3899" s="18"/>
      <c r="BV3899" s="18"/>
    </row>
    <row r="3900" spans="1:74">
      <c r="A3900" s="18"/>
      <c r="B3900" s="19"/>
      <c r="BG3900" s="18"/>
      <c r="BH3900" s="18"/>
      <c r="BI3900" s="18"/>
      <c r="BJ3900" s="18"/>
      <c r="BK3900" s="18"/>
      <c r="BL3900" s="18"/>
      <c r="BM3900" s="18"/>
      <c r="BN3900" s="18"/>
      <c r="BO3900" s="18"/>
      <c r="BP3900" s="18"/>
      <c r="BQ3900" s="18"/>
      <c r="BR3900" s="18"/>
      <c r="BS3900" s="18"/>
      <c r="BT3900" s="18"/>
      <c r="BU3900" s="18"/>
      <c r="BV3900" s="18"/>
    </row>
    <row r="3901" spans="1:74">
      <c r="A3901" s="18"/>
      <c r="B3901" s="19"/>
      <c r="BG3901" s="18"/>
      <c r="BH3901" s="18"/>
      <c r="BI3901" s="18"/>
      <c r="BJ3901" s="18"/>
      <c r="BK3901" s="18"/>
      <c r="BL3901" s="18"/>
      <c r="BM3901" s="18"/>
      <c r="BN3901" s="18"/>
      <c r="BO3901" s="18"/>
      <c r="BP3901" s="18"/>
      <c r="BQ3901" s="18"/>
      <c r="BR3901" s="18"/>
      <c r="BS3901" s="18"/>
      <c r="BT3901" s="18"/>
      <c r="BU3901" s="18"/>
      <c r="BV3901" s="18"/>
    </row>
    <row r="3902" spans="1:74">
      <c r="A3902" s="18"/>
      <c r="B3902" s="19"/>
      <c r="BG3902" s="18"/>
      <c r="BH3902" s="18"/>
      <c r="BI3902" s="18"/>
      <c r="BJ3902" s="18"/>
      <c r="BK3902" s="18"/>
      <c r="BL3902" s="18"/>
      <c r="BM3902" s="18"/>
      <c r="BN3902" s="18"/>
      <c r="BO3902" s="18"/>
      <c r="BP3902" s="18"/>
      <c r="BQ3902" s="18"/>
      <c r="BR3902" s="18"/>
      <c r="BS3902" s="18"/>
      <c r="BT3902" s="18"/>
      <c r="BU3902" s="18"/>
      <c r="BV3902" s="18"/>
    </row>
    <row r="3903" spans="1:74">
      <c r="A3903" s="18"/>
      <c r="B3903" s="19"/>
      <c r="BG3903" s="18"/>
      <c r="BH3903" s="18"/>
      <c r="BI3903" s="18"/>
      <c r="BJ3903" s="18"/>
      <c r="BK3903" s="18"/>
      <c r="BL3903" s="18"/>
      <c r="BM3903" s="18"/>
      <c r="BN3903" s="18"/>
      <c r="BO3903" s="18"/>
      <c r="BP3903" s="18"/>
      <c r="BQ3903" s="18"/>
      <c r="BR3903" s="18"/>
      <c r="BS3903" s="18"/>
      <c r="BT3903" s="18"/>
      <c r="BU3903" s="18"/>
      <c r="BV3903" s="18"/>
    </row>
    <row r="3904" spans="1:74">
      <c r="A3904" s="18"/>
      <c r="B3904" s="19"/>
      <c r="BG3904" s="18"/>
      <c r="BH3904" s="18"/>
      <c r="BI3904" s="18"/>
      <c r="BJ3904" s="18"/>
      <c r="BK3904" s="18"/>
      <c r="BL3904" s="18"/>
      <c r="BM3904" s="18"/>
      <c r="BN3904" s="18"/>
      <c r="BO3904" s="18"/>
      <c r="BP3904" s="18"/>
      <c r="BQ3904" s="18"/>
      <c r="BR3904" s="18"/>
      <c r="BS3904" s="18"/>
      <c r="BT3904" s="18"/>
      <c r="BU3904" s="18"/>
      <c r="BV3904" s="18"/>
    </row>
    <row r="3905" spans="1:74">
      <c r="A3905" s="18"/>
      <c r="B3905" s="19"/>
      <c r="BG3905" s="18"/>
      <c r="BH3905" s="18"/>
      <c r="BI3905" s="18"/>
      <c r="BJ3905" s="18"/>
      <c r="BK3905" s="18"/>
      <c r="BL3905" s="18"/>
      <c r="BM3905" s="18"/>
      <c r="BN3905" s="18"/>
      <c r="BO3905" s="18"/>
      <c r="BP3905" s="18"/>
      <c r="BQ3905" s="18"/>
      <c r="BR3905" s="18"/>
      <c r="BS3905" s="18"/>
      <c r="BT3905" s="18"/>
      <c r="BU3905" s="18"/>
      <c r="BV3905" s="18"/>
    </row>
    <row r="3906" spans="1:74">
      <c r="A3906" s="18"/>
      <c r="B3906" s="19"/>
      <c r="BG3906" s="18"/>
      <c r="BH3906" s="18"/>
      <c r="BI3906" s="18"/>
      <c r="BJ3906" s="18"/>
      <c r="BK3906" s="18"/>
      <c r="BL3906" s="18"/>
      <c r="BM3906" s="18"/>
      <c r="BN3906" s="18"/>
      <c r="BO3906" s="18"/>
      <c r="BP3906" s="18"/>
      <c r="BQ3906" s="18"/>
      <c r="BR3906" s="18"/>
      <c r="BS3906" s="18"/>
      <c r="BT3906" s="18"/>
      <c r="BU3906" s="18"/>
      <c r="BV3906" s="18"/>
    </row>
    <row r="3907" spans="1:74">
      <c r="A3907" s="18"/>
      <c r="B3907" s="19"/>
      <c r="BG3907" s="18"/>
      <c r="BH3907" s="18"/>
      <c r="BI3907" s="18"/>
      <c r="BJ3907" s="18"/>
      <c r="BK3907" s="18"/>
      <c r="BL3907" s="18"/>
      <c r="BM3907" s="18"/>
      <c r="BN3907" s="18"/>
      <c r="BO3907" s="18"/>
      <c r="BP3907" s="18"/>
      <c r="BQ3907" s="18"/>
      <c r="BR3907" s="18"/>
      <c r="BS3907" s="18"/>
      <c r="BT3907" s="18"/>
      <c r="BU3907" s="18"/>
      <c r="BV3907" s="18"/>
    </row>
    <row r="3908" spans="1:74">
      <c r="A3908" s="18"/>
      <c r="B3908" s="19"/>
      <c r="BG3908" s="18"/>
      <c r="BH3908" s="18"/>
      <c r="BI3908" s="18"/>
      <c r="BJ3908" s="18"/>
      <c r="BK3908" s="18"/>
      <c r="BL3908" s="18"/>
      <c r="BM3908" s="18"/>
      <c r="BN3908" s="18"/>
      <c r="BO3908" s="18"/>
      <c r="BP3908" s="18"/>
      <c r="BQ3908" s="18"/>
      <c r="BR3908" s="18"/>
      <c r="BS3908" s="18"/>
      <c r="BT3908" s="18"/>
      <c r="BU3908" s="18"/>
      <c r="BV3908" s="18"/>
    </row>
    <row r="3909" spans="1:74">
      <c r="A3909" s="18"/>
      <c r="B3909" s="19"/>
      <c r="BG3909" s="18"/>
      <c r="BH3909" s="18"/>
      <c r="BI3909" s="18"/>
      <c r="BJ3909" s="18"/>
      <c r="BK3909" s="18"/>
      <c r="BL3909" s="18"/>
      <c r="BM3909" s="18"/>
      <c r="BN3909" s="18"/>
      <c r="BO3909" s="18"/>
      <c r="BP3909" s="18"/>
      <c r="BQ3909" s="18"/>
      <c r="BR3909" s="18"/>
      <c r="BS3909" s="18"/>
      <c r="BT3909" s="18"/>
      <c r="BU3909" s="18"/>
      <c r="BV3909" s="18"/>
    </row>
    <row r="3910" spans="1:74">
      <c r="A3910" s="18"/>
      <c r="B3910" s="19"/>
      <c r="BG3910" s="18"/>
      <c r="BH3910" s="18"/>
      <c r="BI3910" s="18"/>
      <c r="BJ3910" s="18"/>
      <c r="BK3910" s="18"/>
      <c r="BL3910" s="18"/>
      <c r="BM3910" s="18"/>
      <c r="BN3910" s="18"/>
      <c r="BO3910" s="18"/>
      <c r="BP3910" s="18"/>
      <c r="BQ3910" s="18"/>
      <c r="BR3910" s="18"/>
      <c r="BS3910" s="18"/>
      <c r="BT3910" s="18"/>
      <c r="BU3910" s="18"/>
      <c r="BV3910" s="18"/>
    </row>
    <row r="3911" spans="1:74">
      <c r="A3911" s="18"/>
      <c r="B3911" s="19"/>
      <c r="BG3911" s="18"/>
      <c r="BH3911" s="18"/>
      <c r="BI3911" s="18"/>
      <c r="BJ3911" s="18"/>
      <c r="BK3911" s="18"/>
      <c r="BL3911" s="18"/>
      <c r="BM3911" s="18"/>
      <c r="BN3911" s="18"/>
      <c r="BO3911" s="18"/>
      <c r="BP3911" s="18"/>
      <c r="BQ3911" s="18"/>
      <c r="BR3911" s="18"/>
      <c r="BS3911" s="18"/>
      <c r="BT3911" s="18"/>
      <c r="BU3911" s="18"/>
      <c r="BV3911" s="18"/>
    </row>
    <row r="3912" spans="1:74">
      <c r="A3912" s="18"/>
      <c r="B3912" s="19"/>
      <c r="BG3912" s="18"/>
      <c r="BH3912" s="18"/>
      <c r="BI3912" s="18"/>
      <c r="BJ3912" s="18"/>
      <c r="BK3912" s="18"/>
      <c r="BL3912" s="18"/>
      <c r="BM3912" s="18"/>
      <c r="BN3912" s="18"/>
      <c r="BO3912" s="18"/>
      <c r="BP3912" s="18"/>
      <c r="BQ3912" s="18"/>
      <c r="BR3912" s="18"/>
      <c r="BS3912" s="18"/>
      <c r="BT3912" s="18"/>
      <c r="BU3912" s="18"/>
      <c r="BV3912" s="18"/>
    </row>
    <row r="3913" spans="1:74">
      <c r="A3913" s="18"/>
      <c r="B3913" s="19"/>
      <c r="BG3913" s="18"/>
      <c r="BH3913" s="18"/>
      <c r="BI3913" s="18"/>
      <c r="BJ3913" s="18"/>
      <c r="BK3913" s="18"/>
      <c r="BL3913" s="18"/>
      <c r="BM3913" s="18"/>
      <c r="BN3913" s="18"/>
      <c r="BO3913" s="18"/>
      <c r="BP3913" s="18"/>
      <c r="BQ3913" s="18"/>
      <c r="BR3913" s="18"/>
      <c r="BS3913" s="18"/>
      <c r="BT3913" s="18"/>
      <c r="BU3913" s="18"/>
      <c r="BV3913" s="18"/>
    </row>
    <row r="3914" spans="1:74">
      <c r="A3914" s="18"/>
      <c r="B3914" s="19"/>
      <c r="BG3914" s="18"/>
      <c r="BH3914" s="18"/>
      <c r="BI3914" s="18"/>
      <c r="BJ3914" s="18"/>
      <c r="BK3914" s="18"/>
      <c r="BL3914" s="18"/>
      <c r="BM3914" s="18"/>
      <c r="BN3914" s="18"/>
      <c r="BO3914" s="18"/>
      <c r="BP3914" s="18"/>
      <c r="BQ3914" s="18"/>
      <c r="BR3914" s="18"/>
      <c r="BS3914" s="18"/>
      <c r="BT3914" s="18"/>
      <c r="BU3914" s="18"/>
      <c r="BV3914" s="18"/>
    </row>
    <row r="3915" spans="1:74">
      <c r="A3915" s="18"/>
      <c r="B3915" s="19"/>
      <c r="BG3915" s="18"/>
      <c r="BH3915" s="18"/>
      <c r="BI3915" s="18"/>
      <c r="BJ3915" s="18"/>
      <c r="BK3915" s="18"/>
      <c r="BL3915" s="18"/>
      <c r="BM3915" s="18"/>
      <c r="BN3915" s="18"/>
      <c r="BO3915" s="18"/>
      <c r="BP3915" s="18"/>
      <c r="BQ3915" s="18"/>
      <c r="BR3915" s="18"/>
      <c r="BS3915" s="18"/>
      <c r="BT3915" s="18"/>
      <c r="BU3915" s="18"/>
      <c r="BV3915" s="18"/>
    </row>
    <row r="3916" spans="1:74">
      <c r="A3916" s="18"/>
      <c r="B3916" s="19"/>
      <c r="BG3916" s="18"/>
      <c r="BH3916" s="18"/>
      <c r="BI3916" s="18"/>
      <c r="BJ3916" s="18"/>
      <c r="BK3916" s="18"/>
      <c r="BL3916" s="18"/>
      <c r="BM3916" s="18"/>
      <c r="BN3916" s="18"/>
      <c r="BO3916" s="18"/>
      <c r="BP3916" s="18"/>
      <c r="BQ3916" s="18"/>
      <c r="BR3916" s="18"/>
      <c r="BS3916" s="18"/>
      <c r="BT3916" s="18"/>
      <c r="BU3916" s="18"/>
      <c r="BV3916" s="18"/>
    </row>
    <row r="3917" spans="1:74">
      <c r="A3917" s="18"/>
      <c r="B3917" s="19"/>
      <c r="BG3917" s="18"/>
      <c r="BH3917" s="18"/>
      <c r="BI3917" s="18"/>
      <c r="BJ3917" s="18"/>
      <c r="BK3917" s="18"/>
      <c r="BL3917" s="18"/>
      <c r="BM3917" s="18"/>
      <c r="BN3917" s="18"/>
      <c r="BO3917" s="18"/>
      <c r="BP3917" s="18"/>
      <c r="BQ3917" s="18"/>
      <c r="BR3917" s="18"/>
      <c r="BS3917" s="18"/>
      <c r="BT3917" s="18"/>
      <c r="BU3917" s="18"/>
      <c r="BV3917" s="18"/>
    </row>
    <row r="3918" spans="1:74">
      <c r="A3918" s="18"/>
      <c r="B3918" s="19"/>
      <c r="BG3918" s="18"/>
      <c r="BH3918" s="18"/>
      <c r="BI3918" s="18"/>
      <c r="BJ3918" s="18"/>
      <c r="BK3918" s="18"/>
      <c r="BL3918" s="18"/>
      <c r="BM3918" s="18"/>
      <c r="BN3918" s="18"/>
      <c r="BO3918" s="18"/>
      <c r="BP3918" s="18"/>
      <c r="BQ3918" s="18"/>
      <c r="BR3918" s="18"/>
      <c r="BS3918" s="18"/>
      <c r="BT3918" s="18"/>
      <c r="BU3918" s="18"/>
      <c r="BV3918" s="18"/>
    </row>
    <row r="3919" spans="1:74">
      <c r="A3919" s="18"/>
      <c r="B3919" s="19"/>
      <c r="BG3919" s="18"/>
      <c r="BH3919" s="18"/>
      <c r="BI3919" s="18"/>
      <c r="BJ3919" s="18"/>
      <c r="BK3919" s="18"/>
      <c r="BL3919" s="18"/>
      <c r="BM3919" s="18"/>
      <c r="BN3919" s="18"/>
      <c r="BO3919" s="18"/>
      <c r="BP3919" s="18"/>
      <c r="BQ3919" s="18"/>
      <c r="BR3919" s="18"/>
      <c r="BS3919" s="18"/>
      <c r="BT3919" s="18"/>
      <c r="BU3919" s="18"/>
      <c r="BV3919" s="18"/>
    </row>
    <row r="3920" spans="1:74">
      <c r="A3920" s="18"/>
      <c r="B3920" s="19"/>
      <c r="BG3920" s="18"/>
      <c r="BH3920" s="18"/>
      <c r="BI3920" s="18"/>
      <c r="BJ3920" s="18"/>
      <c r="BK3920" s="18"/>
      <c r="BL3920" s="18"/>
      <c r="BM3920" s="18"/>
      <c r="BN3920" s="18"/>
      <c r="BO3920" s="18"/>
      <c r="BP3920" s="18"/>
      <c r="BQ3920" s="18"/>
      <c r="BR3920" s="18"/>
      <c r="BS3920" s="18"/>
      <c r="BT3920" s="18"/>
      <c r="BU3920" s="18"/>
      <c r="BV3920" s="18"/>
    </row>
    <row r="3921" spans="1:74">
      <c r="A3921" s="18"/>
      <c r="B3921" s="19"/>
      <c r="BG3921" s="18"/>
      <c r="BH3921" s="18"/>
      <c r="BI3921" s="18"/>
      <c r="BJ3921" s="18"/>
      <c r="BK3921" s="18"/>
      <c r="BL3921" s="18"/>
      <c r="BM3921" s="18"/>
      <c r="BN3921" s="18"/>
      <c r="BO3921" s="18"/>
      <c r="BP3921" s="18"/>
      <c r="BQ3921" s="18"/>
      <c r="BR3921" s="18"/>
      <c r="BS3921" s="18"/>
      <c r="BT3921" s="18"/>
      <c r="BU3921" s="18"/>
      <c r="BV3921" s="18"/>
    </row>
    <row r="3922" spans="1:74">
      <c r="A3922" s="18"/>
      <c r="B3922" s="19"/>
      <c r="BG3922" s="18"/>
      <c r="BH3922" s="18"/>
      <c r="BI3922" s="18"/>
      <c r="BJ3922" s="18"/>
      <c r="BK3922" s="18"/>
      <c r="BL3922" s="18"/>
      <c r="BM3922" s="18"/>
      <c r="BN3922" s="18"/>
      <c r="BO3922" s="18"/>
      <c r="BP3922" s="18"/>
      <c r="BQ3922" s="18"/>
      <c r="BR3922" s="18"/>
      <c r="BS3922" s="18"/>
      <c r="BT3922" s="18"/>
      <c r="BU3922" s="18"/>
      <c r="BV3922" s="18"/>
    </row>
    <row r="3923" spans="1:74">
      <c r="A3923" s="18"/>
      <c r="B3923" s="19"/>
      <c r="BG3923" s="18"/>
      <c r="BH3923" s="18"/>
      <c r="BI3923" s="18"/>
      <c r="BJ3923" s="18"/>
      <c r="BK3923" s="18"/>
      <c r="BL3923" s="18"/>
      <c r="BM3923" s="18"/>
      <c r="BN3923" s="18"/>
      <c r="BO3923" s="18"/>
      <c r="BP3923" s="18"/>
      <c r="BQ3923" s="18"/>
      <c r="BR3923" s="18"/>
      <c r="BS3923" s="18"/>
      <c r="BT3923" s="18"/>
      <c r="BU3923" s="18"/>
      <c r="BV3923" s="18"/>
    </row>
    <row r="3924" spans="1:74">
      <c r="A3924" s="18"/>
      <c r="B3924" s="19"/>
      <c r="BG3924" s="18"/>
      <c r="BH3924" s="18"/>
      <c r="BI3924" s="18"/>
      <c r="BJ3924" s="18"/>
      <c r="BK3924" s="18"/>
      <c r="BL3924" s="18"/>
      <c r="BM3924" s="18"/>
      <c r="BN3924" s="18"/>
      <c r="BO3924" s="18"/>
      <c r="BP3924" s="18"/>
      <c r="BQ3924" s="18"/>
      <c r="BR3924" s="18"/>
      <c r="BS3924" s="18"/>
      <c r="BT3924" s="18"/>
      <c r="BU3924" s="18"/>
      <c r="BV3924" s="18"/>
    </row>
    <row r="3925" spans="1:74">
      <c r="A3925" s="18"/>
      <c r="B3925" s="19"/>
      <c r="BG3925" s="18"/>
      <c r="BH3925" s="18"/>
      <c r="BI3925" s="18"/>
      <c r="BJ3925" s="18"/>
      <c r="BK3925" s="18"/>
      <c r="BL3925" s="18"/>
      <c r="BM3925" s="18"/>
      <c r="BN3925" s="18"/>
      <c r="BO3925" s="18"/>
      <c r="BP3925" s="18"/>
      <c r="BQ3925" s="18"/>
      <c r="BR3925" s="18"/>
      <c r="BS3925" s="18"/>
      <c r="BT3925" s="18"/>
      <c r="BU3925" s="18"/>
      <c r="BV3925" s="18"/>
    </row>
    <row r="3926" spans="1:74">
      <c r="A3926" s="18"/>
      <c r="B3926" s="19"/>
      <c r="BG3926" s="18"/>
      <c r="BH3926" s="18"/>
      <c r="BI3926" s="18"/>
      <c r="BJ3926" s="18"/>
      <c r="BK3926" s="18"/>
      <c r="BL3926" s="18"/>
      <c r="BM3926" s="18"/>
      <c r="BN3926" s="18"/>
      <c r="BO3926" s="18"/>
      <c r="BP3926" s="18"/>
      <c r="BQ3926" s="18"/>
      <c r="BR3926" s="18"/>
      <c r="BS3926" s="18"/>
      <c r="BT3926" s="18"/>
      <c r="BU3926" s="18"/>
      <c r="BV3926" s="18"/>
    </row>
    <row r="3927" spans="1:74">
      <c r="A3927" s="18"/>
      <c r="B3927" s="19"/>
      <c r="BG3927" s="18"/>
      <c r="BH3927" s="18"/>
      <c r="BI3927" s="18"/>
      <c r="BJ3927" s="18"/>
      <c r="BK3927" s="18"/>
      <c r="BL3927" s="18"/>
      <c r="BM3927" s="18"/>
      <c r="BN3927" s="18"/>
      <c r="BO3927" s="18"/>
      <c r="BP3927" s="18"/>
      <c r="BQ3927" s="18"/>
      <c r="BR3927" s="18"/>
      <c r="BS3927" s="18"/>
      <c r="BT3927" s="18"/>
      <c r="BU3927" s="18"/>
      <c r="BV3927" s="18"/>
    </row>
    <row r="3928" spans="1:74">
      <c r="A3928" s="18"/>
      <c r="B3928" s="19"/>
      <c r="BG3928" s="18"/>
      <c r="BH3928" s="18"/>
      <c r="BI3928" s="18"/>
      <c r="BJ3928" s="18"/>
      <c r="BK3928" s="18"/>
      <c r="BL3928" s="18"/>
      <c r="BM3928" s="18"/>
      <c r="BN3928" s="18"/>
      <c r="BO3928" s="18"/>
      <c r="BP3928" s="18"/>
      <c r="BQ3928" s="18"/>
      <c r="BR3928" s="18"/>
      <c r="BS3928" s="18"/>
      <c r="BT3928" s="18"/>
      <c r="BU3928" s="18"/>
      <c r="BV3928" s="18"/>
    </row>
    <row r="3929" spans="1:74">
      <c r="A3929" s="18"/>
      <c r="B3929" s="19"/>
      <c r="BG3929" s="18"/>
      <c r="BH3929" s="18"/>
      <c r="BI3929" s="18"/>
      <c r="BJ3929" s="18"/>
      <c r="BK3929" s="18"/>
      <c r="BL3929" s="18"/>
      <c r="BM3929" s="18"/>
      <c r="BN3929" s="18"/>
      <c r="BO3929" s="18"/>
      <c r="BP3929" s="18"/>
      <c r="BQ3929" s="18"/>
      <c r="BR3929" s="18"/>
      <c r="BS3929" s="18"/>
      <c r="BT3929" s="18"/>
      <c r="BU3929" s="18"/>
      <c r="BV3929" s="18"/>
    </row>
    <row r="3930" spans="1:74">
      <c r="A3930" s="18"/>
      <c r="B3930" s="19"/>
      <c r="BG3930" s="18"/>
      <c r="BH3930" s="18"/>
      <c r="BI3930" s="18"/>
      <c r="BJ3930" s="18"/>
      <c r="BK3930" s="18"/>
      <c r="BL3930" s="18"/>
      <c r="BM3930" s="18"/>
      <c r="BN3930" s="18"/>
      <c r="BO3930" s="18"/>
      <c r="BP3930" s="18"/>
      <c r="BQ3930" s="18"/>
      <c r="BR3930" s="18"/>
      <c r="BS3930" s="18"/>
      <c r="BT3930" s="18"/>
      <c r="BU3930" s="18"/>
      <c r="BV3930" s="18"/>
    </row>
    <row r="3931" spans="1:74">
      <c r="A3931" s="18"/>
      <c r="B3931" s="19"/>
      <c r="BG3931" s="18"/>
      <c r="BH3931" s="18"/>
      <c r="BI3931" s="18"/>
      <c r="BJ3931" s="18"/>
      <c r="BK3931" s="18"/>
      <c r="BL3931" s="18"/>
      <c r="BM3931" s="18"/>
      <c r="BN3931" s="18"/>
      <c r="BO3931" s="18"/>
      <c r="BP3931" s="18"/>
      <c r="BQ3931" s="18"/>
      <c r="BR3931" s="18"/>
      <c r="BS3931" s="18"/>
      <c r="BT3931" s="18"/>
      <c r="BU3931" s="18"/>
      <c r="BV3931" s="18"/>
    </row>
    <row r="3932" spans="1:74">
      <c r="A3932" s="18"/>
      <c r="B3932" s="19"/>
      <c r="BG3932" s="18"/>
      <c r="BH3932" s="18"/>
      <c r="BI3932" s="18"/>
      <c r="BJ3932" s="18"/>
      <c r="BK3932" s="18"/>
      <c r="BL3932" s="18"/>
      <c r="BM3932" s="18"/>
      <c r="BN3932" s="18"/>
      <c r="BO3932" s="18"/>
      <c r="BP3932" s="18"/>
      <c r="BQ3932" s="18"/>
      <c r="BR3932" s="18"/>
      <c r="BS3932" s="18"/>
      <c r="BT3932" s="18"/>
      <c r="BU3932" s="18"/>
      <c r="BV3932" s="18"/>
    </row>
    <row r="3933" spans="1:74">
      <c r="A3933" s="18"/>
      <c r="B3933" s="19"/>
      <c r="BG3933" s="18"/>
      <c r="BH3933" s="18"/>
      <c r="BI3933" s="18"/>
      <c r="BJ3933" s="18"/>
      <c r="BK3933" s="18"/>
      <c r="BL3933" s="18"/>
      <c r="BM3933" s="18"/>
      <c r="BN3933" s="18"/>
      <c r="BO3933" s="18"/>
      <c r="BP3933" s="18"/>
      <c r="BQ3933" s="18"/>
      <c r="BR3933" s="18"/>
      <c r="BS3933" s="18"/>
      <c r="BT3933" s="18"/>
      <c r="BU3933" s="18"/>
      <c r="BV3933" s="18"/>
    </row>
    <row r="3934" spans="1:74">
      <c r="A3934" s="18"/>
      <c r="B3934" s="19"/>
      <c r="BG3934" s="18"/>
      <c r="BH3934" s="18"/>
      <c r="BI3934" s="18"/>
      <c r="BJ3934" s="18"/>
      <c r="BK3934" s="18"/>
      <c r="BL3934" s="18"/>
      <c r="BM3934" s="18"/>
      <c r="BN3934" s="18"/>
      <c r="BO3934" s="18"/>
      <c r="BP3934" s="18"/>
      <c r="BQ3934" s="18"/>
      <c r="BR3934" s="18"/>
      <c r="BS3934" s="18"/>
      <c r="BT3934" s="18"/>
      <c r="BU3934" s="18"/>
      <c r="BV3934" s="18"/>
    </row>
    <row r="3935" spans="1:74">
      <c r="A3935" s="18"/>
      <c r="B3935" s="19"/>
      <c r="BG3935" s="18"/>
      <c r="BH3935" s="18"/>
      <c r="BI3935" s="18"/>
      <c r="BJ3935" s="18"/>
      <c r="BK3935" s="18"/>
      <c r="BL3935" s="18"/>
      <c r="BM3935" s="18"/>
      <c r="BN3935" s="18"/>
      <c r="BO3935" s="18"/>
      <c r="BP3935" s="18"/>
      <c r="BQ3935" s="18"/>
      <c r="BR3935" s="18"/>
      <c r="BS3935" s="18"/>
      <c r="BT3935" s="18"/>
      <c r="BU3935" s="18"/>
      <c r="BV3935" s="18"/>
    </row>
    <row r="3936" spans="1:74">
      <c r="A3936" s="18"/>
      <c r="B3936" s="19"/>
      <c r="BG3936" s="18"/>
      <c r="BH3936" s="18"/>
      <c r="BI3936" s="18"/>
      <c r="BJ3936" s="18"/>
      <c r="BK3936" s="18"/>
      <c r="BL3936" s="18"/>
      <c r="BM3936" s="18"/>
      <c r="BN3936" s="18"/>
      <c r="BO3936" s="18"/>
      <c r="BP3936" s="18"/>
      <c r="BQ3936" s="18"/>
      <c r="BR3936" s="18"/>
      <c r="BS3936" s="18"/>
      <c r="BT3936" s="18"/>
      <c r="BU3936" s="18"/>
      <c r="BV3936" s="18"/>
    </row>
    <row r="3937" spans="1:74">
      <c r="A3937" s="18"/>
      <c r="B3937" s="19"/>
      <c r="BG3937" s="18"/>
      <c r="BH3937" s="18"/>
      <c r="BI3937" s="18"/>
      <c r="BJ3937" s="18"/>
      <c r="BK3937" s="18"/>
      <c r="BL3937" s="18"/>
      <c r="BM3937" s="18"/>
      <c r="BN3937" s="18"/>
      <c r="BO3937" s="18"/>
      <c r="BP3937" s="18"/>
      <c r="BQ3937" s="18"/>
      <c r="BR3937" s="18"/>
      <c r="BS3937" s="18"/>
      <c r="BT3937" s="18"/>
      <c r="BU3937" s="18"/>
      <c r="BV3937" s="18"/>
    </row>
    <row r="3938" spans="1:74">
      <c r="A3938" s="18"/>
      <c r="B3938" s="19"/>
      <c r="BG3938" s="18"/>
      <c r="BH3938" s="18"/>
      <c r="BI3938" s="18"/>
      <c r="BJ3938" s="18"/>
      <c r="BK3938" s="18"/>
      <c r="BL3938" s="18"/>
      <c r="BM3938" s="18"/>
      <c r="BN3938" s="18"/>
      <c r="BO3938" s="18"/>
      <c r="BP3938" s="18"/>
      <c r="BQ3938" s="18"/>
      <c r="BR3938" s="18"/>
      <c r="BS3938" s="18"/>
      <c r="BT3938" s="18"/>
      <c r="BU3938" s="18"/>
      <c r="BV3938" s="18"/>
    </row>
    <row r="3939" spans="1:74">
      <c r="A3939" s="18"/>
      <c r="B3939" s="19"/>
      <c r="BG3939" s="18"/>
      <c r="BH3939" s="18"/>
      <c r="BI3939" s="18"/>
      <c r="BJ3939" s="18"/>
      <c r="BK3939" s="18"/>
      <c r="BL3939" s="18"/>
      <c r="BM3939" s="18"/>
      <c r="BN3939" s="18"/>
      <c r="BO3939" s="18"/>
      <c r="BP3939" s="18"/>
      <c r="BQ3939" s="18"/>
      <c r="BR3939" s="18"/>
      <c r="BS3939" s="18"/>
      <c r="BT3939" s="18"/>
      <c r="BU3939" s="18"/>
      <c r="BV3939" s="18"/>
    </row>
    <row r="3940" spans="1:74">
      <c r="A3940" s="18"/>
      <c r="B3940" s="19"/>
      <c r="BG3940" s="18"/>
      <c r="BH3940" s="18"/>
      <c r="BI3940" s="18"/>
      <c r="BJ3940" s="18"/>
      <c r="BK3940" s="18"/>
      <c r="BL3940" s="18"/>
      <c r="BM3940" s="18"/>
      <c r="BN3940" s="18"/>
      <c r="BO3940" s="18"/>
      <c r="BP3940" s="18"/>
      <c r="BQ3940" s="18"/>
      <c r="BR3940" s="18"/>
      <c r="BS3940" s="18"/>
      <c r="BT3940" s="18"/>
      <c r="BU3940" s="18"/>
      <c r="BV3940" s="18"/>
    </row>
    <row r="3941" spans="1:74">
      <c r="A3941" s="18"/>
      <c r="B3941" s="19"/>
      <c r="BG3941" s="18"/>
      <c r="BH3941" s="18"/>
      <c r="BI3941" s="18"/>
      <c r="BJ3941" s="18"/>
      <c r="BK3941" s="18"/>
      <c r="BL3941" s="18"/>
      <c r="BM3941" s="18"/>
      <c r="BN3941" s="18"/>
      <c r="BO3941" s="18"/>
      <c r="BP3941" s="18"/>
      <c r="BQ3941" s="18"/>
      <c r="BR3941" s="18"/>
      <c r="BS3941" s="18"/>
      <c r="BT3941" s="18"/>
      <c r="BU3941" s="18"/>
      <c r="BV3941" s="18"/>
    </row>
    <row r="3942" spans="1:74">
      <c r="A3942" s="18"/>
      <c r="B3942" s="19"/>
      <c r="BG3942" s="18"/>
      <c r="BH3942" s="18"/>
      <c r="BI3942" s="18"/>
      <c r="BJ3942" s="18"/>
      <c r="BK3942" s="18"/>
      <c r="BL3942" s="18"/>
      <c r="BM3942" s="18"/>
      <c r="BN3942" s="18"/>
      <c r="BO3942" s="18"/>
      <c r="BP3942" s="18"/>
      <c r="BQ3942" s="18"/>
      <c r="BR3942" s="18"/>
      <c r="BS3942" s="18"/>
      <c r="BT3942" s="18"/>
      <c r="BU3942" s="18"/>
      <c r="BV3942" s="18"/>
    </row>
    <row r="3943" spans="1:74">
      <c r="A3943" s="18"/>
      <c r="B3943" s="19"/>
      <c r="BG3943" s="18"/>
      <c r="BH3943" s="18"/>
      <c r="BI3943" s="18"/>
      <c r="BJ3943" s="18"/>
      <c r="BK3943" s="18"/>
      <c r="BL3943" s="18"/>
      <c r="BM3943" s="18"/>
      <c r="BN3943" s="18"/>
      <c r="BO3943" s="18"/>
      <c r="BP3943" s="18"/>
      <c r="BQ3943" s="18"/>
      <c r="BR3943" s="18"/>
      <c r="BS3943" s="18"/>
      <c r="BT3943" s="18"/>
      <c r="BU3943" s="18"/>
      <c r="BV3943" s="18"/>
    </row>
    <row r="3944" spans="1:74">
      <c r="A3944" s="18"/>
      <c r="B3944" s="19"/>
      <c r="BG3944" s="18"/>
      <c r="BH3944" s="18"/>
      <c r="BI3944" s="18"/>
      <c r="BJ3944" s="18"/>
      <c r="BK3944" s="18"/>
      <c r="BL3944" s="18"/>
      <c r="BM3944" s="18"/>
      <c r="BN3944" s="18"/>
      <c r="BO3944" s="18"/>
      <c r="BP3944" s="18"/>
      <c r="BQ3944" s="18"/>
      <c r="BR3944" s="18"/>
      <c r="BS3944" s="18"/>
      <c r="BT3944" s="18"/>
      <c r="BU3944" s="18"/>
      <c r="BV3944" s="18"/>
    </row>
    <row r="3945" spans="1:74">
      <c r="A3945" s="18"/>
      <c r="B3945" s="19"/>
      <c r="BG3945" s="18"/>
      <c r="BH3945" s="18"/>
      <c r="BI3945" s="18"/>
      <c r="BJ3945" s="18"/>
      <c r="BK3945" s="18"/>
      <c r="BL3945" s="18"/>
      <c r="BM3945" s="18"/>
      <c r="BN3945" s="18"/>
      <c r="BO3945" s="18"/>
      <c r="BP3945" s="18"/>
      <c r="BQ3945" s="18"/>
      <c r="BR3945" s="18"/>
      <c r="BS3945" s="18"/>
      <c r="BT3945" s="18"/>
      <c r="BU3945" s="18"/>
      <c r="BV3945" s="18"/>
    </row>
    <row r="3946" spans="1:74">
      <c r="A3946" s="18"/>
      <c r="B3946" s="19"/>
      <c r="BG3946" s="18"/>
      <c r="BH3946" s="18"/>
      <c r="BI3946" s="18"/>
      <c r="BJ3946" s="18"/>
      <c r="BK3946" s="18"/>
      <c r="BL3946" s="18"/>
      <c r="BM3946" s="18"/>
      <c r="BN3946" s="18"/>
      <c r="BO3946" s="18"/>
      <c r="BP3946" s="18"/>
      <c r="BQ3946" s="18"/>
      <c r="BR3946" s="18"/>
      <c r="BS3946" s="18"/>
      <c r="BT3946" s="18"/>
      <c r="BU3946" s="18"/>
      <c r="BV3946" s="18"/>
    </row>
    <row r="3947" spans="1:74">
      <c r="A3947" s="18"/>
      <c r="B3947" s="19"/>
      <c r="BG3947" s="18"/>
      <c r="BH3947" s="18"/>
      <c r="BI3947" s="18"/>
      <c r="BJ3947" s="18"/>
      <c r="BK3947" s="18"/>
      <c r="BL3947" s="18"/>
      <c r="BM3947" s="18"/>
      <c r="BN3947" s="18"/>
      <c r="BO3947" s="18"/>
      <c r="BP3947" s="18"/>
      <c r="BQ3947" s="18"/>
      <c r="BR3947" s="18"/>
      <c r="BS3947" s="18"/>
      <c r="BT3947" s="18"/>
      <c r="BU3947" s="18"/>
      <c r="BV3947" s="18"/>
    </row>
    <row r="3948" spans="1:74">
      <c r="A3948" s="18"/>
      <c r="B3948" s="19"/>
      <c r="BG3948" s="18"/>
      <c r="BH3948" s="18"/>
      <c r="BI3948" s="18"/>
      <c r="BJ3948" s="18"/>
      <c r="BK3948" s="18"/>
      <c r="BL3948" s="18"/>
      <c r="BM3948" s="18"/>
      <c r="BN3948" s="18"/>
      <c r="BO3948" s="18"/>
      <c r="BP3948" s="18"/>
      <c r="BQ3948" s="18"/>
      <c r="BR3948" s="18"/>
      <c r="BS3948" s="18"/>
      <c r="BT3948" s="18"/>
      <c r="BU3948" s="18"/>
      <c r="BV3948" s="18"/>
    </row>
    <row r="3949" spans="1:74">
      <c r="A3949" s="18"/>
      <c r="B3949" s="19"/>
      <c r="BG3949" s="18"/>
      <c r="BH3949" s="18"/>
      <c r="BI3949" s="18"/>
      <c r="BJ3949" s="18"/>
      <c r="BK3949" s="18"/>
      <c r="BL3949" s="18"/>
      <c r="BM3949" s="18"/>
      <c r="BN3949" s="18"/>
      <c r="BO3949" s="18"/>
      <c r="BP3949" s="18"/>
      <c r="BQ3949" s="18"/>
      <c r="BR3949" s="18"/>
      <c r="BS3949" s="18"/>
      <c r="BT3949" s="18"/>
      <c r="BU3949" s="18"/>
      <c r="BV3949" s="18"/>
    </row>
    <row r="3950" spans="1:74">
      <c r="A3950" s="18"/>
      <c r="B3950" s="19"/>
      <c r="BG3950" s="18"/>
      <c r="BH3950" s="18"/>
      <c r="BI3950" s="18"/>
      <c r="BJ3950" s="18"/>
      <c r="BK3950" s="18"/>
      <c r="BL3950" s="18"/>
      <c r="BM3950" s="18"/>
      <c r="BN3950" s="18"/>
      <c r="BO3950" s="18"/>
      <c r="BP3950" s="18"/>
      <c r="BQ3950" s="18"/>
      <c r="BR3950" s="18"/>
      <c r="BS3950" s="18"/>
      <c r="BT3950" s="18"/>
      <c r="BU3950" s="18"/>
      <c r="BV3950" s="18"/>
    </row>
    <row r="3951" spans="1:74">
      <c r="A3951" s="18"/>
      <c r="B3951" s="19"/>
      <c r="BG3951" s="18"/>
      <c r="BH3951" s="18"/>
      <c r="BI3951" s="18"/>
      <c r="BJ3951" s="18"/>
      <c r="BK3951" s="18"/>
      <c r="BL3951" s="18"/>
      <c r="BM3951" s="18"/>
      <c r="BN3951" s="18"/>
      <c r="BO3951" s="18"/>
      <c r="BP3951" s="18"/>
      <c r="BQ3951" s="18"/>
      <c r="BR3951" s="18"/>
      <c r="BS3951" s="18"/>
      <c r="BT3951" s="18"/>
      <c r="BU3951" s="18"/>
      <c r="BV3951" s="18"/>
    </row>
    <row r="3952" spans="1:74">
      <c r="A3952" s="18"/>
      <c r="B3952" s="19"/>
      <c r="BG3952" s="18"/>
      <c r="BH3952" s="18"/>
      <c r="BI3952" s="18"/>
      <c r="BJ3952" s="18"/>
      <c r="BK3952" s="18"/>
      <c r="BL3952" s="18"/>
      <c r="BM3952" s="18"/>
      <c r="BN3952" s="18"/>
      <c r="BO3952" s="18"/>
      <c r="BP3952" s="18"/>
      <c r="BQ3952" s="18"/>
      <c r="BR3952" s="18"/>
      <c r="BS3952" s="18"/>
      <c r="BT3952" s="18"/>
      <c r="BU3952" s="18"/>
      <c r="BV3952" s="18"/>
    </row>
    <row r="3953" spans="1:74">
      <c r="A3953" s="18"/>
      <c r="B3953" s="19"/>
      <c r="BG3953" s="18"/>
      <c r="BH3953" s="18"/>
      <c r="BI3953" s="18"/>
      <c r="BJ3953" s="18"/>
      <c r="BK3953" s="18"/>
      <c r="BL3953" s="18"/>
      <c r="BM3953" s="18"/>
      <c r="BN3953" s="18"/>
      <c r="BO3953" s="18"/>
      <c r="BP3953" s="18"/>
      <c r="BQ3953" s="18"/>
      <c r="BR3953" s="18"/>
      <c r="BS3953" s="18"/>
      <c r="BT3953" s="18"/>
      <c r="BU3953" s="18"/>
      <c r="BV3953" s="18"/>
    </row>
    <row r="3954" spans="1:74">
      <c r="A3954" s="18"/>
      <c r="B3954" s="19"/>
      <c r="BG3954" s="18"/>
      <c r="BH3954" s="18"/>
      <c r="BI3954" s="18"/>
      <c r="BJ3954" s="18"/>
      <c r="BK3954" s="18"/>
      <c r="BL3954" s="18"/>
      <c r="BM3954" s="18"/>
      <c r="BN3954" s="18"/>
      <c r="BO3954" s="18"/>
      <c r="BP3954" s="18"/>
      <c r="BQ3954" s="18"/>
      <c r="BR3954" s="18"/>
      <c r="BS3954" s="18"/>
      <c r="BT3954" s="18"/>
      <c r="BU3954" s="18"/>
      <c r="BV3954" s="18"/>
    </row>
    <row r="3955" spans="1:74">
      <c r="A3955" s="18"/>
      <c r="B3955" s="19"/>
      <c r="BG3955" s="18"/>
      <c r="BH3955" s="18"/>
      <c r="BI3955" s="18"/>
      <c r="BJ3955" s="18"/>
      <c r="BK3955" s="18"/>
      <c r="BL3955" s="18"/>
      <c r="BM3955" s="18"/>
      <c r="BN3955" s="18"/>
      <c r="BO3955" s="18"/>
      <c r="BP3955" s="18"/>
      <c r="BQ3955" s="18"/>
      <c r="BR3955" s="18"/>
      <c r="BS3955" s="18"/>
      <c r="BT3955" s="18"/>
      <c r="BU3955" s="18"/>
      <c r="BV3955" s="18"/>
    </row>
    <row r="3956" spans="1:74">
      <c r="A3956" s="18"/>
      <c r="B3956" s="19"/>
      <c r="BG3956" s="18"/>
      <c r="BH3956" s="18"/>
      <c r="BI3956" s="18"/>
      <c r="BJ3956" s="18"/>
      <c r="BK3956" s="18"/>
      <c r="BL3956" s="18"/>
      <c r="BM3956" s="18"/>
      <c r="BN3956" s="18"/>
      <c r="BO3956" s="18"/>
      <c r="BP3956" s="18"/>
      <c r="BQ3956" s="18"/>
      <c r="BR3956" s="18"/>
      <c r="BS3956" s="18"/>
      <c r="BT3956" s="18"/>
      <c r="BU3956" s="18"/>
      <c r="BV3956" s="18"/>
    </row>
    <row r="3957" spans="1:74">
      <c r="A3957" s="18"/>
      <c r="B3957" s="19"/>
      <c r="BG3957" s="18"/>
      <c r="BH3957" s="18"/>
      <c r="BI3957" s="18"/>
      <c r="BJ3957" s="18"/>
      <c r="BK3957" s="18"/>
      <c r="BL3957" s="18"/>
      <c r="BM3957" s="18"/>
      <c r="BN3957" s="18"/>
      <c r="BO3957" s="18"/>
      <c r="BP3957" s="18"/>
      <c r="BQ3957" s="18"/>
      <c r="BR3957" s="18"/>
      <c r="BS3957" s="18"/>
      <c r="BT3957" s="18"/>
      <c r="BU3957" s="18"/>
      <c r="BV3957" s="18"/>
    </row>
    <row r="3958" spans="1:74">
      <c r="A3958" s="18"/>
      <c r="B3958" s="19"/>
      <c r="BG3958" s="18"/>
      <c r="BH3958" s="18"/>
      <c r="BI3958" s="18"/>
      <c r="BJ3958" s="18"/>
      <c r="BK3958" s="18"/>
      <c r="BL3958" s="18"/>
      <c r="BM3958" s="18"/>
      <c r="BN3958" s="18"/>
      <c r="BO3958" s="18"/>
      <c r="BP3958" s="18"/>
      <c r="BQ3958" s="18"/>
      <c r="BR3958" s="18"/>
      <c r="BS3958" s="18"/>
      <c r="BT3958" s="18"/>
      <c r="BU3958" s="18"/>
      <c r="BV3958" s="18"/>
    </row>
    <row r="3959" spans="1:74">
      <c r="A3959" s="18"/>
      <c r="B3959" s="19"/>
      <c r="BG3959" s="18"/>
      <c r="BH3959" s="18"/>
      <c r="BI3959" s="18"/>
      <c r="BJ3959" s="18"/>
      <c r="BK3959" s="18"/>
      <c r="BL3959" s="18"/>
      <c r="BM3959" s="18"/>
      <c r="BN3959" s="18"/>
      <c r="BO3959" s="18"/>
      <c r="BP3959" s="18"/>
      <c r="BQ3959" s="18"/>
      <c r="BR3959" s="18"/>
      <c r="BS3959" s="18"/>
      <c r="BT3959" s="18"/>
      <c r="BU3959" s="18"/>
      <c r="BV3959" s="18"/>
    </row>
    <row r="3960" spans="1:74">
      <c r="A3960" s="18"/>
      <c r="B3960" s="19"/>
      <c r="BG3960" s="18"/>
      <c r="BH3960" s="18"/>
      <c r="BI3960" s="18"/>
      <c r="BJ3960" s="18"/>
      <c r="BK3960" s="18"/>
      <c r="BL3960" s="18"/>
      <c r="BM3960" s="18"/>
      <c r="BN3960" s="18"/>
      <c r="BO3960" s="18"/>
      <c r="BP3960" s="18"/>
      <c r="BQ3960" s="18"/>
      <c r="BR3960" s="18"/>
      <c r="BS3960" s="18"/>
      <c r="BT3960" s="18"/>
      <c r="BU3960" s="18"/>
      <c r="BV3960" s="18"/>
    </row>
    <row r="3961" spans="1:74">
      <c r="A3961" s="18"/>
      <c r="B3961" s="19"/>
      <c r="BG3961" s="18"/>
      <c r="BH3961" s="18"/>
      <c r="BI3961" s="18"/>
      <c r="BJ3961" s="18"/>
      <c r="BK3961" s="18"/>
      <c r="BL3961" s="18"/>
      <c r="BM3961" s="18"/>
      <c r="BN3961" s="18"/>
      <c r="BO3961" s="18"/>
      <c r="BP3961" s="18"/>
      <c r="BQ3961" s="18"/>
      <c r="BR3961" s="18"/>
      <c r="BS3961" s="18"/>
      <c r="BT3961" s="18"/>
      <c r="BU3961" s="18"/>
      <c r="BV3961" s="18"/>
    </row>
    <row r="3962" spans="1:74">
      <c r="A3962" s="18"/>
      <c r="B3962" s="19"/>
      <c r="BG3962" s="18"/>
      <c r="BH3962" s="18"/>
      <c r="BI3962" s="18"/>
      <c r="BJ3962" s="18"/>
      <c r="BK3962" s="18"/>
      <c r="BL3962" s="18"/>
      <c r="BM3962" s="18"/>
      <c r="BN3962" s="18"/>
      <c r="BO3962" s="18"/>
      <c r="BP3962" s="18"/>
      <c r="BQ3962" s="18"/>
      <c r="BR3962" s="18"/>
      <c r="BS3962" s="18"/>
      <c r="BT3962" s="18"/>
      <c r="BU3962" s="18"/>
      <c r="BV3962" s="18"/>
    </row>
    <row r="3963" spans="1:74">
      <c r="A3963" s="18"/>
      <c r="B3963" s="19"/>
      <c r="BG3963" s="18"/>
      <c r="BH3963" s="18"/>
      <c r="BI3963" s="18"/>
      <c r="BJ3963" s="18"/>
      <c r="BK3963" s="18"/>
      <c r="BL3963" s="18"/>
      <c r="BM3963" s="18"/>
      <c r="BN3963" s="18"/>
      <c r="BO3963" s="18"/>
      <c r="BP3963" s="18"/>
      <c r="BQ3963" s="18"/>
      <c r="BR3963" s="18"/>
      <c r="BS3963" s="18"/>
      <c r="BT3963" s="18"/>
      <c r="BU3963" s="18"/>
      <c r="BV3963" s="18"/>
    </row>
    <row r="3964" spans="1:74">
      <c r="A3964" s="18"/>
      <c r="B3964" s="19"/>
      <c r="BG3964" s="18"/>
      <c r="BH3964" s="18"/>
      <c r="BI3964" s="18"/>
      <c r="BJ3964" s="18"/>
      <c r="BK3964" s="18"/>
      <c r="BL3964" s="18"/>
      <c r="BM3964" s="18"/>
      <c r="BN3964" s="18"/>
      <c r="BO3964" s="18"/>
      <c r="BP3964" s="18"/>
      <c r="BQ3964" s="18"/>
      <c r="BR3964" s="18"/>
      <c r="BS3964" s="18"/>
      <c r="BT3964" s="18"/>
      <c r="BU3964" s="18"/>
      <c r="BV3964" s="18"/>
    </row>
    <row r="3965" spans="1:74">
      <c r="A3965" s="18"/>
      <c r="B3965" s="19"/>
      <c r="BG3965" s="18"/>
      <c r="BH3965" s="18"/>
      <c r="BI3965" s="18"/>
      <c r="BJ3965" s="18"/>
      <c r="BK3965" s="18"/>
      <c r="BL3965" s="18"/>
      <c r="BM3965" s="18"/>
      <c r="BN3965" s="18"/>
      <c r="BO3965" s="18"/>
      <c r="BP3965" s="18"/>
      <c r="BQ3965" s="18"/>
      <c r="BR3965" s="18"/>
      <c r="BS3965" s="18"/>
      <c r="BT3965" s="18"/>
      <c r="BU3965" s="18"/>
      <c r="BV3965" s="18"/>
    </row>
    <row r="3966" spans="1:74">
      <c r="A3966" s="18"/>
      <c r="B3966" s="19"/>
      <c r="BG3966" s="18"/>
      <c r="BH3966" s="18"/>
      <c r="BI3966" s="18"/>
      <c r="BJ3966" s="18"/>
      <c r="BK3966" s="18"/>
      <c r="BL3966" s="18"/>
      <c r="BM3966" s="18"/>
      <c r="BN3966" s="18"/>
      <c r="BO3966" s="18"/>
      <c r="BP3966" s="18"/>
      <c r="BQ3966" s="18"/>
      <c r="BR3966" s="18"/>
      <c r="BS3966" s="18"/>
      <c r="BT3966" s="18"/>
      <c r="BU3966" s="18"/>
      <c r="BV3966" s="18"/>
    </row>
    <row r="3967" spans="1:74">
      <c r="A3967" s="18"/>
      <c r="B3967" s="19"/>
      <c r="BG3967" s="18"/>
      <c r="BH3967" s="18"/>
      <c r="BI3967" s="18"/>
      <c r="BJ3967" s="18"/>
      <c r="BK3967" s="18"/>
      <c r="BL3967" s="18"/>
      <c r="BM3967" s="18"/>
      <c r="BN3967" s="18"/>
      <c r="BO3967" s="18"/>
      <c r="BP3967" s="18"/>
      <c r="BQ3967" s="18"/>
      <c r="BR3967" s="18"/>
      <c r="BS3967" s="18"/>
      <c r="BT3967" s="18"/>
      <c r="BU3967" s="18"/>
      <c r="BV3967" s="18"/>
    </row>
    <row r="3968" spans="1:74">
      <c r="A3968" s="18"/>
      <c r="B3968" s="19"/>
      <c r="BG3968" s="18"/>
      <c r="BH3968" s="18"/>
      <c r="BI3968" s="18"/>
      <c r="BJ3968" s="18"/>
      <c r="BK3968" s="18"/>
      <c r="BL3968" s="18"/>
      <c r="BM3968" s="18"/>
      <c r="BN3968" s="18"/>
      <c r="BO3968" s="18"/>
      <c r="BP3968" s="18"/>
      <c r="BQ3968" s="18"/>
      <c r="BR3968" s="18"/>
      <c r="BS3968" s="18"/>
      <c r="BT3968" s="18"/>
      <c r="BU3968" s="18"/>
      <c r="BV3968" s="18"/>
    </row>
    <row r="3969" spans="1:74">
      <c r="A3969" s="18"/>
      <c r="B3969" s="19"/>
      <c r="BG3969" s="18"/>
      <c r="BH3969" s="18"/>
      <c r="BI3969" s="18"/>
      <c r="BJ3969" s="18"/>
      <c r="BK3969" s="18"/>
      <c r="BL3969" s="18"/>
      <c r="BM3969" s="18"/>
      <c r="BN3969" s="18"/>
      <c r="BO3969" s="18"/>
      <c r="BP3969" s="18"/>
      <c r="BQ3969" s="18"/>
      <c r="BR3969" s="18"/>
      <c r="BS3969" s="18"/>
      <c r="BT3969" s="18"/>
      <c r="BU3969" s="18"/>
      <c r="BV3969" s="18"/>
    </row>
    <row r="3970" spans="1:74">
      <c r="A3970" s="18"/>
      <c r="B3970" s="19"/>
      <c r="BG3970" s="18"/>
      <c r="BH3970" s="18"/>
      <c r="BI3970" s="18"/>
      <c r="BJ3970" s="18"/>
      <c r="BK3970" s="18"/>
      <c r="BL3970" s="18"/>
      <c r="BM3970" s="18"/>
      <c r="BN3970" s="18"/>
      <c r="BO3970" s="18"/>
      <c r="BP3970" s="18"/>
      <c r="BQ3970" s="18"/>
      <c r="BR3970" s="18"/>
      <c r="BS3970" s="18"/>
      <c r="BT3970" s="18"/>
      <c r="BU3970" s="18"/>
      <c r="BV3970" s="18"/>
    </row>
    <row r="3971" spans="1:74">
      <c r="A3971" s="18"/>
      <c r="B3971" s="19"/>
      <c r="BG3971" s="18"/>
      <c r="BH3971" s="18"/>
      <c r="BI3971" s="18"/>
      <c r="BJ3971" s="18"/>
      <c r="BK3971" s="18"/>
      <c r="BL3971" s="18"/>
      <c r="BM3971" s="18"/>
      <c r="BN3971" s="18"/>
      <c r="BO3971" s="18"/>
      <c r="BP3971" s="18"/>
      <c r="BQ3971" s="18"/>
      <c r="BR3971" s="18"/>
      <c r="BS3971" s="18"/>
      <c r="BT3971" s="18"/>
      <c r="BU3971" s="18"/>
      <c r="BV3971" s="18"/>
    </row>
    <row r="3972" spans="1:74">
      <c r="A3972" s="18"/>
      <c r="B3972" s="19"/>
      <c r="BG3972" s="18"/>
      <c r="BH3972" s="18"/>
      <c r="BI3972" s="18"/>
      <c r="BJ3972" s="18"/>
      <c r="BK3972" s="18"/>
      <c r="BL3972" s="18"/>
      <c r="BM3972" s="18"/>
      <c r="BN3972" s="18"/>
      <c r="BO3972" s="18"/>
      <c r="BP3972" s="18"/>
      <c r="BQ3972" s="18"/>
      <c r="BR3972" s="18"/>
      <c r="BS3972" s="18"/>
      <c r="BT3972" s="18"/>
      <c r="BU3972" s="18"/>
      <c r="BV3972" s="18"/>
    </row>
    <row r="3973" spans="1:74">
      <c r="A3973" s="18"/>
      <c r="B3973" s="19"/>
      <c r="BG3973" s="18"/>
      <c r="BH3973" s="18"/>
      <c r="BI3973" s="18"/>
      <c r="BJ3973" s="18"/>
      <c r="BK3973" s="18"/>
      <c r="BL3973" s="18"/>
      <c r="BM3973" s="18"/>
      <c r="BN3973" s="18"/>
      <c r="BO3973" s="18"/>
      <c r="BP3973" s="18"/>
      <c r="BQ3973" s="18"/>
      <c r="BR3973" s="18"/>
      <c r="BS3973" s="18"/>
      <c r="BT3973" s="18"/>
      <c r="BU3973" s="18"/>
      <c r="BV3973" s="18"/>
    </row>
    <row r="3974" spans="1:74">
      <c r="A3974" s="18"/>
      <c r="B3974" s="19"/>
      <c r="BG3974" s="18"/>
      <c r="BH3974" s="18"/>
      <c r="BI3974" s="18"/>
      <c r="BJ3974" s="18"/>
      <c r="BK3974" s="18"/>
      <c r="BL3974" s="18"/>
      <c r="BM3974" s="18"/>
      <c r="BN3974" s="18"/>
      <c r="BO3974" s="18"/>
      <c r="BP3974" s="18"/>
      <c r="BQ3974" s="18"/>
      <c r="BR3974" s="18"/>
      <c r="BS3974" s="18"/>
      <c r="BT3974" s="18"/>
      <c r="BU3974" s="18"/>
      <c r="BV3974" s="18"/>
    </row>
    <row r="3975" spans="1:74">
      <c r="A3975" s="18"/>
      <c r="B3975" s="19"/>
      <c r="BG3975" s="18"/>
      <c r="BH3975" s="18"/>
      <c r="BI3975" s="18"/>
      <c r="BJ3975" s="18"/>
      <c r="BK3975" s="18"/>
      <c r="BL3975" s="18"/>
      <c r="BM3975" s="18"/>
      <c r="BN3975" s="18"/>
      <c r="BO3975" s="18"/>
      <c r="BP3975" s="18"/>
      <c r="BQ3975" s="18"/>
      <c r="BR3975" s="18"/>
      <c r="BS3975" s="18"/>
      <c r="BT3975" s="18"/>
      <c r="BU3975" s="18"/>
      <c r="BV3975" s="18"/>
    </row>
    <row r="3976" spans="1:74">
      <c r="A3976" s="18"/>
      <c r="B3976" s="19"/>
      <c r="BG3976" s="18"/>
      <c r="BH3976" s="18"/>
      <c r="BI3976" s="18"/>
      <c r="BJ3976" s="18"/>
      <c r="BK3976" s="18"/>
      <c r="BL3976" s="18"/>
      <c r="BM3976" s="18"/>
      <c r="BN3976" s="18"/>
      <c r="BO3976" s="18"/>
      <c r="BP3976" s="18"/>
      <c r="BQ3976" s="18"/>
      <c r="BR3976" s="18"/>
      <c r="BS3976" s="18"/>
      <c r="BT3976" s="18"/>
      <c r="BU3976" s="18"/>
      <c r="BV3976" s="18"/>
    </row>
    <row r="3977" spans="1:74">
      <c r="A3977" s="18"/>
      <c r="B3977" s="19"/>
      <c r="BG3977" s="18"/>
      <c r="BH3977" s="18"/>
      <c r="BI3977" s="18"/>
      <c r="BJ3977" s="18"/>
      <c r="BK3977" s="18"/>
      <c r="BL3977" s="18"/>
      <c r="BM3977" s="18"/>
      <c r="BN3977" s="18"/>
      <c r="BO3977" s="18"/>
      <c r="BP3977" s="18"/>
      <c r="BQ3977" s="18"/>
      <c r="BR3977" s="18"/>
      <c r="BS3977" s="18"/>
      <c r="BT3977" s="18"/>
      <c r="BU3977" s="18"/>
      <c r="BV3977" s="18"/>
    </row>
    <row r="3978" spans="1:74">
      <c r="A3978" s="18"/>
      <c r="B3978" s="19"/>
      <c r="BG3978" s="18"/>
      <c r="BH3978" s="18"/>
      <c r="BI3978" s="18"/>
      <c r="BJ3978" s="18"/>
      <c r="BK3978" s="18"/>
      <c r="BL3978" s="18"/>
      <c r="BM3978" s="18"/>
      <c r="BN3978" s="18"/>
      <c r="BO3978" s="18"/>
      <c r="BP3978" s="18"/>
      <c r="BQ3978" s="18"/>
      <c r="BR3978" s="18"/>
      <c r="BS3978" s="18"/>
      <c r="BT3978" s="18"/>
      <c r="BU3978" s="18"/>
      <c r="BV3978" s="18"/>
    </row>
    <row r="3979" spans="1:74">
      <c r="A3979" s="18"/>
      <c r="B3979" s="19"/>
      <c r="BG3979" s="18"/>
      <c r="BH3979" s="18"/>
      <c r="BI3979" s="18"/>
      <c r="BJ3979" s="18"/>
      <c r="BK3979" s="18"/>
      <c r="BL3979" s="18"/>
      <c r="BM3979" s="18"/>
      <c r="BN3979" s="18"/>
      <c r="BO3979" s="18"/>
      <c r="BP3979" s="18"/>
      <c r="BQ3979" s="18"/>
      <c r="BR3979" s="18"/>
      <c r="BS3979" s="18"/>
      <c r="BT3979" s="18"/>
      <c r="BU3979" s="18"/>
      <c r="BV3979" s="18"/>
    </row>
    <row r="3980" spans="1:74">
      <c r="A3980" s="18"/>
      <c r="B3980" s="19"/>
      <c r="BG3980" s="18"/>
      <c r="BH3980" s="18"/>
      <c r="BI3980" s="18"/>
      <c r="BJ3980" s="18"/>
      <c r="BK3980" s="18"/>
      <c r="BL3980" s="18"/>
      <c r="BM3980" s="18"/>
      <c r="BN3980" s="18"/>
      <c r="BO3980" s="18"/>
      <c r="BP3980" s="18"/>
      <c r="BQ3980" s="18"/>
      <c r="BR3980" s="18"/>
      <c r="BS3980" s="18"/>
      <c r="BT3980" s="18"/>
      <c r="BU3980" s="18"/>
      <c r="BV3980" s="18"/>
    </row>
    <row r="3981" spans="1:74">
      <c r="A3981" s="18"/>
      <c r="B3981" s="19"/>
      <c r="BG3981" s="18"/>
      <c r="BH3981" s="18"/>
      <c r="BI3981" s="18"/>
      <c r="BJ3981" s="18"/>
      <c r="BK3981" s="18"/>
      <c r="BL3981" s="18"/>
      <c r="BM3981" s="18"/>
      <c r="BN3981" s="18"/>
      <c r="BO3981" s="18"/>
      <c r="BP3981" s="18"/>
      <c r="BQ3981" s="18"/>
      <c r="BR3981" s="18"/>
      <c r="BS3981" s="18"/>
      <c r="BT3981" s="18"/>
      <c r="BU3981" s="18"/>
      <c r="BV3981" s="18"/>
    </row>
    <row r="3982" spans="1:74">
      <c r="A3982" s="18"/>
      <c r="B3982" s="19"/>
      <c r="BG3982" s="18"/>
      <c r="BH3982" s="18"/>
      <c r="BI3982" s="18"/>
      <c r="BJ3982" s="18"/>
      <c r="BK3982" s="18"/>
      <c r="BL3982" s="18"/>
      <c r="BM3982" s="18"/>
      <c r="BN3982" s="18"/>
      <c r="BO3982" s="18"/>
      <c r="BP3982" s="18"/>
      <c r="BQ3982" s="18"/>
      <c r="BR3982" s="18"/>
      <c r="BS3982" s="18"/>
      <c r="BT3982" s="18"/>
      <c r="BU3982" s="18"/>
      <c r="BV3982" s="18"/>
    </row>
    <row r="3983" spans="1:74">
      <c r="A3983" s="18"/>
      <c r="B3983" s="19"/>
      <c r="BG3983" s="18"/>
      <c r="BH3983" s="18"/>
      <c r="BI3983" s="18"/>
      <c r="BJ3983" s="18"/>
      <c r="BK3983" s="18"/>
      <c r="BL3983" s="18"/>
      <c r="BM3983" s="18"/>
      <c r="BN3983" s="18"/>
      <c r="BO3983" s="18"/>
      <c r="BP3983" s="18"/>
      <c r="BQ3983" s="18"/>
      <c r="BR3983" s="18"/>
      <c r="BS3983" s="18"/>
      <c r="BT3983" s="18"/>
      <c r="BU3983" s="18"/>
      <c r="BV3983" s="18"/>
    </row>
    <row r="3984" spans="1:74">
      <c r="A3984" s="18"/>
      <c r="B3984" s="19"/>
      <c r="BG3984" s="18"/>
      <c r="BH3984" s="18"/>
      <c r="BI3984" s="18"/>
      <c r="BJ3984" s="18"/>
      <c r="BK3984" s="18"/>
      <c r="BL3984" s="18"/>
      <c r="BM3984" s="18"/>
      <c r="BN3984" s="18"/>
      <c r="BO3984" s="18"/>
      <c r="BP3984" s="18"/>
      <c r="BQ3984" s="18"/>
      <c r="BR3984" s="18"/>
      <c r="BS3984" s="18"/>
      <c r="BT3984" s="18"/>
      <c r="BU3984" s="18"/>
      <c r="BV3984" s="18"/>
    </row>
    <row r="3985" spans="1:74">
      <c r="A3985" s="18"/>
      <c r="B3985" s="19"/>
      <c r="BG3985" s="18"/>
      <c r="BH3985" s="18"/>
      <c r="BI3985" s="18"/>
      <c r="BJ3985" s="18"/>
      <c r="BK3985" s="18"/>
      <c r="BL3985" s="18"/>
      <c r="BM3985" s="18"/>
      <c r="BN3985" s="18"/>
      <c r="BO3985" s="18"/>
      <c r="BP3985" s="18"/>
      <c r="BQ3985" s="18"/>
      <c r="BR3985" s="18"/>
      <c r="BS3985" s="18"/>
      <c r="BT3985" s="18"/>
      <c r="BU3985" s="18"/>
      <c r="BV3985" s="18"/>
    </row>
    <row r="3986" spans="1:74">
      <c r="A3986" s="18"/>
      <c r="B3986" s="19"/>
      <c r="BG3986" s="18"/>
      <c r="BH3986" s="18"/>
      <c r="BI3986" s="18"/>
      <c r="BJ3986" s="18"/>
      <c r="BK3986" s="18"/>
      <c r="BL3986" s="18"/>
      <c r="BM3986" s="18"/>
      <c r="BN3986" s="18"/>
      <c r="BO3986" s="18"/>
      <c r="BP3986" s="18"/>
      <c r="BQ3986" s="18"/>
      <c r="BR3986" s="18"/>
      <c r="BS3986" s="18"/>
      <c r="BT3986" s="18"/>
      <c r="BU3986" s="18"/>
      <c r="BV3986" s="18"/>
    </row>
    <row r="3987" spans="1:74">
      <c r="A3987" s="18"/>
      <c r="B3987" s="19"/>
      <c r="BG3987" s="18"/>
      <c r="BH3987" s="18"/>
      <c r="BI3987" s="18"/>
      <c r="BJ3987" s="18"/>
      <c r="BK3987" s="18"/>
      <c r="BL3987" s="18"/>
      <c r="BM3987" s="18"/>
      <c r="BN3987" s="18"/>
      <c r="BO3987" s="18"/>
      <c r="BP3987" s="18"/>
      <c r="BQ3987" s="18"/>
      <c r="BR3987" s="18"/>
      <c r="BS3987" s="18"/>
      <c r="BT3987" s="18"/>
      <c r="BU3987" s="18"/>
      <c r="BV3987" s="18"/>
    </row>
    <row r="3988" spans="1:74">
      <c r="A3988" s="18"/>
      <c r="B3988" s="19"/>
      <c r="BG3988" s="18"/>
      <c r="BH3988" s="18"/>
      <c r="BI3988" s="18"/>
      <c r="BJ3988" s="18"/>
      <c r="BK3988" s="18"/>
      <c r="BL3988" s="18"/>
      <c r="BM3988" s="18"/>
      <c r="BN3988" s="18"/>
      <c r="BO3988" s="18"/>
      <c r="BP3988" s="18"/>
      <c r="BQ3988" s="18"/>
      <c r="BR3988" s="18"/>
      <c r="BS3988" s="18"/>
      <c r="BT3988" s="18"/>
      <c r="BU3988" s="18"/>
      <c r="BV3988" s="18"/>
    </row>
    <row r="3989" spans="1:74">
      <c r="A3989" s="18"/>
      <c r="B3989" s="19"/>
      <c r="BG3989" s="18"/>
      <c r="BH3989" s="18"/>
      <c r="BI3989" s="18"/>
      <c r="BJ3989" s="18"/>
      <c r="BK3989" s="18"/>
      <c r="BL3989" s="18"/>
      <c r="BM3989" s="18"/>
      <c r="BN3989" s="18"/>
      <c r="BO3989" s="18"/>
      <c r="BP3989" s="18"/>
      <c r="BQ3989" s="18"/>
      <c r="BR3989" s="18"/>
      <c r="BS3989" s="18"/>
      <c r="BT3989" s="18"/>
      <c r="BU3989" s="18"/>
      <c r="BV3989" s="18"/>
    </row>
    <row r="3990" spans="1:74">
      <c r="A3990" s="18"/>
      <c r="B3990" s="19"/>
      <c r="BG3990" s="18"/>
      <c r="BH3990" s="18"/>
      <c r="BI3990" s="18"/>
      <c r="BJ3990" s="18"/>
      <c r="BK3990" s="18"/>
      <c r="BL3990" s="18"/>
      <c r="BM3990" s="18"/>
      <c r="BN3990" s="18"/>
      <c r="BO3990" s="18"/>
      <c r="BP3990" s="18"/>
      <c r="BQ3990" s="18"/>
      <c r="BR3990" s="18"/>
      <c r="BS3990" s="18"/>
      <c r="BT3990" s="18"/>
      <c r="BU3990" s="18"/>
      <c r="BV3990" s="18"/>
    </row>
    <row r="3991" spans="1:74">
      <c r="A3991" s="18"/>
      <c r="B3991" s="19"/>
      <c r="BG3991" s="18"/>
      <c r="BH3991" s="18"/>
      <c r="BI3991" s="18"/>
      <c r="BJ3991" s="18"/>
      <c r="BK3991" s="18"/>
      <c r="BL3991" s="18"/>
      <c r="BM3991" s="18"/>
      <c r="BN3991" s="18"/>
      <c r="BO3991" s="18"/>
      <c r="BP3991" s="18"/>
      <c r="BQ3991" s="18"/>
      <c r="BR3991" s="18"/>
      <c r="BS3991" s="18"/>
      <c r="BT3991" s="18"/>
      <c r="BU3991" s="18"/>
      <c r="BV3991" s="18"/>
    </row>
    <row r="3992" spans="1:74">
      <c r="A3992" s="18"/>
      <c r="B3992" s="19"/>
      <c r="BG3992" s="18"/>
      <c r="BH3992" s="18"/>
      <c r="BI3992" s="18"/>
      <c r="BJ3992" s="18"/>
      <c r="BK3992" s="18"/>
      <c r="BL3992" s="18"/>
      <c r="BM3992" s="18"/>
      <c r="BN3992" s="18"/>
      <c r="BO3992" s="18"/>
      <c r="BP3992" s="18"/>
      <c r="BQ3992" s="18"/>
      <c r="BR3992" s="18"/>
      <c r="BS3992" s="18"/>
      <c r="BT3992" s="18"/>
      <c r="BU3992" s="18"/>
      <c r="BV3992" s="18"/>
    </row>
    <row r="3993" spans="1:74">
      <c r="A3993" s="18"/>
      <c r="B3993" s="19"/>
      <c r="BG3993" s="18"/>
      <c r="BH3993" s="18"/>
      <c r="BI3993" s="18"/>
      <c r="BJ3993" s="18"/>
      <c r="BK3993" s="18"/>
      <c r="BL3993" s="18"/>
      <c r="BM3993" s="18"/>
      <c r="BN3993" s="18"/>
      <c r="BO3993" s="18"/>
      <c r="BP3993" s="18"/>
      <c r="BQ3993" s="18"/>
      <c r="BR3993" s="18"/>
      <c r="BS3993" s="18"/>
      <c r="BT3993" s="18"/>
      <c r="BU3993" s="18"/>
      <c r="BV3993" s="18"/>
    </row>
    <row r="3994" spans="1:74">
      <c r="A3994" s="18"/>
      <c r="B3994" s="19"/>
      <c r="BG3994" s="18"/>
      <c r="BH3994" s="18"/>
      <c r="BI3994" s="18"/>
      <c r="BJ3994" s="18"/>
      <c r="BK3994" s="18"/>
      <c r="BL3994" s="18"/>
      <c r="BM3994" s="18"/>
      <c r="BN3994" s="18"/>
      <c r="BO3994" s="18"/>
      <c r="BP3994" s="18"/>
      <c r="BQ3994" s="18"/>
      <c r="BR3994" s="18"/>
      <c r="BS3994" s="18"/>
      <c r="BT3994" s="18"/>
      <c r="BU3994" s="18"/>
      <c r="BV3994" s="18"/>
    </row>
    <row r="3995" spans="1:74">
      <c r="A3995" s="18"/>
      <c r="B3995" s="19"/>
      <c r="BG3995" s="18"/>
      <c r="BH3995" s="18"/>
      <c r="BI3995" s="18"/>
      <c r="BJ3995" s="18"/>
      <c r="BK3995" s="18"/>
      <c r="BL3995" s="18"/>
      <c r="BM3995" s="18"/>
      <c r="BN3995" s="18"/>
      <c r="BO3995" s="18"/>
      <c r="BP3995" s="18"/>
      <c r="BQ3995" s="18"/>
      <c r="BR3995" s="18"/>
      <c r="BS3995" s="18"/>
      <c r="BT3995" s="18"/>
      <c r="BU3995" s="18"/>
      <c r="BV3995" s="18"/>
    </row>
    <row r="3996" spans="1:74">
      <c r="A3996" s="18"/>
      <c r="B3996" s="19"/>
      <c r="BG3996" s="18"/>
      <c r="BH3996" s="18"/>
      <c r="BI3996" s="18"/>
      <c r="BJ3996" s="18"/>
      <c r="BK3996" s="18"/>
      <c r="BL3996" s="18"/>
      <c r="BM3996" s="18"/>
      <c r="BN3996" s="18"/>
      <c r="BO3996" s="18"/>
      <c r="BP3996" s="18"/>
      <c r="BQ3996" s="18"/>
      <c r="BR3996" s="18"/>
      <c r="BS3996" s="18"/>
      <c r="BT3996" s="18"/>
      <c r="BU3996" s="18"/>
      <c r="BV3996" s="18"/>
    </row>
    <row r="3997" spans="1:74">
      <c r="A3997" s="18"/>
      <c r="B3997" s="19"/>
      <c r="BG3997" s="18"/>
      <c r="BH3997" s="18"/>
      <c r="BI3997" s="18"/>
      <c r="BJ3997" s="18"/>
      <c r="BK3997" s="18"/>
      <c r="BL3997" s="18"/>
      <c r="BM3997" s="18"/>
      <c r="BN3997" s="18"/>
      <c r="BO3997" s="18"/>
      <c r="BP3997" s="18"/>
      <c r="BQ3997" s="18"/>
      <c r="BR3997" s="18"/>
      <c r="BS3997" s="18"/>
      <c r="BT3997" s="18"/>
      <c r="BU3997" s="18"/>
      <c r="BV3997" s="18"/>
    </row>
    <row r="3998" spans="1:74">
      <c r="A3998" s="18"/>
      <c r="B3998" s="19"/>
      <c r="BG3998" s="18"/>
      <c r="BH3998" s="18"/>
      <c r="BI3998" s="18"/>
      <c r="BJ3998" s="18"/>
      <c r="BK3998" s="18"/>
      <c r="BL3998" s="18"/>
      <c r="BM3998" s="18"/>
      <c r="BN3998" s="18"/>
      <c r="BO3998" s="18"/>
      <c r="BP3998" s="18"/>
      <c r="BQ3998" s="18"/>
      <c r="BR3998" s="18"/>
      <c r="BS3998" s="18"/>
      <c r="BT3998" s="18"/>
      <c r="BU3998" s="18"/>
      <c r="BV3998" s="18"/>
    </row>
    <row r="3999" spans="1:74">
      <c r="A3999" s="18"/>
      <c r="B3999" s="19"/>
      <c r="BG3999" s="18"/>
      <c r="BH3999" s="18"/>
      <c r="BI3999" s="18"/>
      <c r="BJ3999" s="18"/>
      <c r="BK3999" s="18"/>
      <c r="BL3999" s="18"/>
      <c r="BM3999" s="18"/>
      <c r="BN3999" s="18"/>
      <c r="BO3999" s="18"/>
      <c r="BP3999" s="18"/>
      <c r="BQ3999" s="18"/>
      <c r="BR3999" s="18"/>
      <c r="BS3999" s="18"/>
      <c r="BT3999" s="18"/>
      <c r="BU3999" s="18"/>
      <c r="BV3999" s="18"/>
    </row>
    <row r="4000" spans="1:74">
      <c r="A4000" s="18"/>
      <c r="B4000" s="19"/>
      <c r="BG4000" s="18"/>
      <c r="BH4000" s="18"/>
      <c r="BI4000" s="18"/>
      <c r="BJ4000" s="18"/>
      <c r="BK4000" s="18"/>
      <c r="BL4000" s="18"/>
      <c r="BM4000" s="18"/>
      <c r="BN4000" s="18"/>
      <c r="BO4000" s="18"/>
      <c r="BP4000" s="18"/>
      <c r="BQ4000" s="18"/>
      <c r="BR4000" s="18"/>
      <c r="BS4000" s="18"/>
      <c r="BT4000" s="18"/>
      <c r="BU4000" s="18"/>
      <c r="BV4000" s="18"/>
    </row>
    <row r="4001" spans="1:74">
      <c r="A4001" s="18"/>
      <c r="B4001" s="19"/>
      <c r="BG4001" s="18"/>
      <c r="BH4001" s="18"/>
      <c r="BI4001" s="18"/>
      <c r="BJ4001" s="18"/>
      <c r="BK4001" s="18"/>
      <c r="BL4001" s="18"/>
      <c r="BM4001" s="18"/>
      <c r="BN4001" s="18"/>
      <c r="BO4001" s="18"/>
      <c r="BP4001" s="18"/>
      <c r="BQ4001" s="18"/>
      <c r="BR4001" s="18"/>
      <c r="BS4001" s="18"/>
      <c r="BT4001" s="18"/>
      <c r="BU4001" s="18"/>
      <c r="BV4001" s="18"/>
    </row>
    <row r="4002" spans="1:74">
      <c r="A4002" s="18"/>
      <c r="B4002" s="19"/>
      <c r="BG4002" s="18"/>
      <c r="BH4002" s="18"/>
      <c r="BI4002" s="18"/>
      <c r="BJ4002" s="18"/>
      <c r="BK4002" s="18"/>
      <c r="BL4002" s="18"/>
      <c r="BM4002" s="18"/>
      <c r="BN4002" s="18"/>
      <c r="BO4002" s="18"/>
      <c r="BP4002" s="18"/>
      <c r="BQ4002" s="18"/>
      <c r="BR4002" s="18"/>
      <c r="BS4002" s="18"/>
      <c r="BT4002" s="18"/>
      <c r="BU4002" s="18"/>
      <c r="BV4002" s="18"/>
    </row>
    <row r="4003" spans="1:74">
      <c r="A4003" s="18"/>
      <c r="B4003" s="19"/>
      <c r="BG4003" s="18"/>
      <c r="BH4003" s="18"/>
      <c r="BI4003" s="18"/>
      <c r="BJ4003" s="18"/>
      <c r="BK4003" s="18"/>
      <c r="BL4003" s="18"/>
      <c r="BM4003" s="18"/>
      <c r="BN4003" s="18"/>
      <c r="BO4003" s="18"/>
      <c r="BP4003" s="18"/>
      <c r="BQ4003" s="18"/>
      <c r="BR4003" s="18"/>
      <c r="BS4003" s="18"/>
      <c r="BT4003" s="18"/>
      <c r="BU4003" s="18"/>
      <c r="BV4003" s="18"/>
    </row>
    <row r="4004" spans="1:74">
      <c r="A4004" s="18"/>
      <c r="B4004" s="19"/>
      <c r="BG4004" s="18"/>
      <c r="BH4004" s="18"/>
      <c r="BI4004" s="18"/>
      <c r="BJ4004" s="18"/>
      <c r="BK4004" s="18"/>
      <c r="BL4004" s="18"/>
      <c r="BM4004" s="18"/>
      <c r="BN4004" s="18"/>
      <c r="BO4004" s="18"/>
      <c r="BP4004" s="18"/>
      <c r="BQ4004" s="18"/>
      <c r="BR4004" s="18"/>
      <c r="BS4004" s="18"/>
      <c r="BT4004" s="18"/>
      <c r="BU4004" s="18"/>
      <c r="BV4004" s="18"/>
    </row>
    <row r="4005" spans="1:74">
      <c r="A4005" s="18"/>
      <c r="B4005" s="19"/>
      <c r="BG4005" s="18"/>
      <c r="BH4005" s="18"/>
      <c r="BI4005" s="18"/>
      <c r="BJ4005" s="18"/>
      <c r="BK4005" s="18"/>
      <c r="BL4005" s="18"/>
      <c r="BM4005" s="18"/>
      <c r="BN4005" s="18"/>
      <c r="BO4005" s="18"/>
      <c r="BP4005" s="18"/>
      <c r="BQ4005" s="18"/>
      <c r="BR4005" s="18"/>
      <c r="BS4005" s="18"/>
      <c r="BT4005" s="18"/>
      <c r="BU4005" s="18"/>
      <c r="BV4005" s="18"/>
    </row>
    <row r="4006" spans="1:74">
      <c r="A4006" s="18"/>
      <c r="B4006" s="19"/>
      <c r="BG4006" s="18"/>
      <c r="BH4006" s="18"/>
      <c r="BI4006" s="18"/>
      <c r="BJ4006" s="18"/>
      <c r="BK4006" s="18"/>
      <c r="BL4006" s="18"/>
      <c r="BM4006" s="18"/>
      <c r="BN4006" s="18"/>
      <c r="BO4006" s="18"/>
      <c r="BP4006" s="18"/>
      <c r="BQ4006" s="18"/>
      <c r="BR4006" s="18"/>
      <c r="BS4006" s="18"/>
      <c r="BT4006" s="18"/>
      <c r="BU4006" s="18"/>
      <c r="BV4006" s="18"/>
    </row>
    <row r="4007" spans="1:74">
      <c r="A4007" s="18"/>
      <c r="B4007" s="19"/>
      <c r="BG4007" s="18"/>
      <c r="BH4007" s="18"/>
      <c r="BI4007" s="18"/>
      <c r="BJ4007" s="18"/>
      <c r="BK4007" s="18"/>
      <c r="BL4007" s="18"/>
      <c r="BM4007" s="18"/>
      <c r="BN4007" s="18"/>
      <c r="BO4007" s="18"/>
      <c r="BP4007" s="18"/>
      <c r="BQ4007" s="18"/>
      <c r="BR4007" s="18"/>
      <c r="BS4007" s="18"/>
      <c r="BT4007" s="18"/>
      <c r="BU4007" s="18"/>
      <c r="BV4007" s="18"/>
    </row>
    <row r="4008" spans="1:74">
      <c r="A4008" s="18"/>
      <c r="B4008" s="19"/>
      <c r="BG4008" s="18"/>
      <c r="BH4008" s="18"/>
      <c r="BI4008" s="18"/>
      <c r="BJ4008" s="18"/>
      <c r="BK4008" s="18"/>
      <c r="BL4008" s="18"/>
      <c r="BM4008" s="18"/>
      <c r="BN4008" s="18"/>
      <c r="BO4008" s="18"/>
      <c r="BP4008" s="18"/>
      <c r="BQ4008" s="18"/>
      <c r="BR4008" s="18"/>
      <c r="BS4008" s="18"/>
      <c r="BT4008" s="18"/>
      <c r="BU4008" s="18"/>
      <c r="BV4008" s="18"/>
    </row>
    <row r="4009" spans="1:74">
      <c r="A4009" s="18"/>
      <c r="B4009" s="19"/>
      <c r="BG4009" s="18"/>
      <c r="BH4009" s="18"/>
      <c r="BI4009" s="18"/>
      <c r="BJ4009" s="18"/>
      <c r="BK4009" s="18"/>
      <c r="BL4009" s="18"/>
      <c r="BM4009" s="18"/>
      <c r="BN4009" s="18"/>
      <c r="BO4009" s="18"/>
      <c r="BP4009" s="18"/>
      <c r="BQ4009" s="18"/>
      <c r="BR4009" s="18"/>
      <c r="BS4009" s="18"/>
      <c r="BT4009" s="18"/>
      <c r="BU4009" s="18"/>
      <c r="BV4009" s="18"/>
    </row>
    <row r="4010" spans="1:74">
      <c r="A4010" s="18"/>
      <c r="B4010" s="19"/>
      <c r="BG4010" s="18"/>
      <c r="BH4010" s="18"/>
      <c r="BI4010" s="18"/>
      <c r="BJ4010" s="18"/>
      <c r="BK4010" s="18"/>
      <c r="BL4010" s="18"/>
      <c r="BM4010" s="18"/>
      <c r="BN4010" s="18"/>
      <c r="BO4010" s="18"/>
      <c r="BP4010" s="18"/>
      <c r="BQ4010" s="18"/>
      <c r="BR4010" s="18"/>
      <c r="BS4010" s="18"/>
      <c r="BT4010" s="18"/>
      <c r="BU4010" s="18"/>
      <c r="BV4010" s="18"/>
    </row>
    <row r="4011" spans="1:74">
      <c r="A4011" s="18"/>
      <c r="B4011" s="19"/>
      <c r="BG4011" s="18"/>
      <c r="BH4011" s="18"/>
      <c r="BI4011" s="18"/>
      <c r="BJ4011" s="18"/>
      <c r="BK4011" s="18"/>
      <c r="BL4011" s="18"/>
      <c r="BM4011" s="18"/>
      <c r="BN4011" s="18"/>
      <c r="BO4011" s="18"/>
      <c r="BP4011" s="18"/>
      <c r="BQ4011" s="18"/>
      <c r="BR4011" s="18"/>
      <c r="BS4011" s="18"/>
      <c r="BT4011" s="18"/>
      <c r="BU4011" s="18"/>
      <c r="BV4011" s="18"/>
    </row>
    <row r="4012" spans="1:74">
      <c r="A4012" s="18"/>
      <c r="B4012" s="19"/>
      <c r="BG4012" s="18"/>
      <c r="BH4012" s="18"/>
      <c r="BI4012" s="18"/>
      <c r="BJ4012" s="18"/>
      <c r="BK4012" s="18"/>
      <c r="BL4012" s="18"/>
      <c r="BM4012" s="18"/>
      <c r="BN4012" s="18"/>
      <c r="BO4012" s="18"/>
      <c r="BP4012" s="18"/>
      <c r="BQ4012" s="18"/>
      <c r="BR4012" s="18"/>
      <c r="BS4012" s="18"/>
      <c r="BT4012" s="18"/>
      <c r="BU4012" s="18"/>
      <c r="BV4012" s="18"/>
    </row>
    <row r="4013" spans="1:74">
      <c r="A4013" s="18"/>
      <c r="B4013" s="19"/>
      <c r="BG4013" s="18"/>
      <c r="BH4013" s="18"/>
      <c r="BI4013" s="18"/>
      <c r="BJ4013" s="18"/>
      <c r="BK4013" s="18"/>
      <c r="BL4013" s="18"/>
      <c r="BM4013" s="18"/>
      <c r="BN4013" s="18"/>
      <c r="BO4013" s="18"/>
      <c r="BP4013" s="18"/>
      <c r="BQ4013" s="18"/>
      <c r="BR4013" s="18"/>
      <c r="BS4013" s="18"/>
      <c r="BT4013" s="18"/>
      <c r="BU4013" s="18"/>
      <c r="BV4013" s="18"/>
    </row>
    <row r="4014" spans="1:74">
      <c r="A4014" s="18"/>
      <c r="B4014" s="19"/>
      <c r="BG4014" s="18"/>
      <c r="BH4014" s="18"/>
      <c r="BI4014" s="18"/>
      <c r="BJ4014" s="18"/>
      <c r="BK4014" s="18"/>
      <c r="BL4014" s="18"/>
      <c r="BM4014" s="18"/>
      <c r="BN4014" s="18"/>
      <c r="BO4014" s="18"/>
      <c r="BP4014" s="18"/>
      <c r="BQ4014" s="18"/>
      <c r="BR4014" s="18"/>
      <c r="BS4014" s="18"/>
      <c r="BT4014" s="18"/>
      <c r="BU4014" s="18"/>
      <c r="BV4014" s="18"/>
    </row>
    <row r="4015" spans="1:74">
      <c r="A4015" s="18"/>
      <c r="B4015" s="19"/>
      <c r="BG4015" s="18"/>
      <c r="BH4015" s="18"/>
      <c r="BI4015" s="18"/>
      <c r="BJ4015" s="18"/>
      <c r="BK4015" s="18"/>
      <c r="BL4015" s="18"/>
      <c r="BM4015" s="18"/>
      <c r="BN4015" s="18"/>
      <c r="BO4015" s="18"/>
      <c r="BP4015" s="18"/>
      <c r="BQ4015" s="18"/>
      <c r="BR4015" s="18"/>
      <c r="BS4015" s="18"/>
      <c r="BT4015" s="18"/>
      <c r="BU4015" s="18"/>
      <c r="BV4015" s="18"/>
    </row>
    <row r="4016" spans="1:74">
      <c r="A4016" s="18"/>
      <c r="B4016" s="19"/>
      <c r="BG4016" s="18"/>
      <c r="BH4016" s="18"/>
      <c r="BI4016" s="18"/>
      <c r="BJ4016" s="18"/>
      <c r="BK4016" s="18"/>
      <c r="BL4016" s="18"/>
      <c r="BM4016" s="18"/>
      <c r="BN4016" s="18"/>
      <c r="BO4016" s="18"/>
      <c r="BP4016" s="18"/>
      <c r="BQ4016" s="18"/>
      <c r="BR4016" s="18"/>
      <c r="BS4016" s="18"/>
      <c r="BT4016" s="18"/>
      <c r="BU4016" s="18"/>
      <c r="BV4016" s="18"/>
    </row>
    <row r="4017" spans="1:74">
      <c r="A4017" s="18"/>
      <c r="B4017" s="19"/>
      <c r="BG4017" s="18"/>
      <c r="BH4017" s="18"/>
      <c r="BI4017" s="18"/>
      <c r="BJ4017" s="18"/>
      <c r="BK4017" s="18"/>
      <c r="BL4017" s="18"/>
      <c r="BM4017" s="18"/>
      <c r="BN4017" s="18"/>
      <c r="BO4017" s="18"/>
      <c r="BP4017" s="18"/>
      <c r="BQ4017" s="18"/>
      <c r="BR4017" s="18"/>
      <c r="BS4017" s="18"/>
      <c r="BT4017" s="18"/>
      <c r="BU4017" s="18"/>
      <c r="BV4017" s="18"/>
    </row>
    <row r="4018" spans="1:74">
      <c r="A4018" s="18"/>
      <c r="B4018" s="19"/>
      <c r="BG4018" s="18"/>
      <c r="BH4018" s="18"/>
      <c r="BI4018" s="18"/>
      <c r="BJ4018" s="18"/>
      <c r="BK4018" s="18"/>
      <c r="BL4018" s="18"/>
      <c r="BM4018" s="18"/>
      <c r="BN4018" s="18"/>
      <c r="BO4018" s="18"/>
      <c r="BP4018" s="18"/>
      <c r="BQ4018" s="18"/>
      <c r="BR4018" s="18"/>
      <c r="BS4018" s="18"/>
      <c r="BT4018" s="18"/>
      <c r="BU4018" s="18"/>
      <c r="BV4018" s="18"/>
    </row>
    <row r="4019" spans="1:74">
      <c r="A4019" s="18"/>
      <c r="B4019" s="19"/>
      <c r="BG4019" s="18"/>
      <c r="BH4019" s="18"/>
      <c r="BI4019" s="18"/>
      <c r="BJ4019" s="18"/>
      <c r="BK4019" s="18"/>
      <c r="BL4019" s="18"/>
      <c r="BM4019" s="18"/>
      <c r="BN4019" s="18"/>
      <c r="BO4019" s="18"/>
      <c r="BP4019" s="18"/>
      <c r="BQ4019" s="18"/>
      <c r="BR4019" s="18"/>
      <c r="BS4019" s="18"/>
      <c r="BT4019" s="18"/>
      <c r="BU4019" s="18"/>
      <c r="BV4019" s="18"/>
    </row>
    <row r="4020" spans="1:74">
      <c r="A4020" s="18"/>
      <c r="B4020" s="19"/>
      <c r="BG4020" s="18"/>
      <c r="BH4020" s="18"/>
      <c r="BI4020" s="18"/>
      <c r="BJ4020" s="18"/>
      <c r="BK4020" s="18"/>
      <c r="BL4020" s="18"/>
      <c r="BM4020" s="18"/>
      <c r="BN4020" s="18"/>
      <c r="BO4020" s="18"/>
      <c r="BP4020" s="18"/>
      <c r="BQ4020" s="18"/>
      <c r="BR4020" s="18"/>
      <c r="BS4020" s="18"/>
      <c r="BT4020" s="18"/>
      <c r="BU4020" s="18"/>
      <c r="BV4020" s="18"/>
    </row>
    <row r="4021" spans="1:74">
      <c r="A4021" s="18"/>
      <c r="B4021" s="19"/>
      <c r="BG4021" s="18"/>
      <c r="BH4021" s="18"/>
      <c r="BI4021" s="18"/>
      <c r="BJ4021" s="18"/>
      <c r="BK4021" s="18"/>
      <c r="BL4021" s="18"/>
      <c r="BM4021" s="18"/>
      <c r="BN4021" s="18"/>
      <c r="BO4021" s="18"/>
      <c r="BP4021" s="18"/>
      <c r="BQ4021" s="18"/>
      <c r="BR4021" s="18"/>
      <c r="BS4021" s="18"/>
      <c r="BT4021" s="18"/>
      <c r="BU4021" s="18"/>
      <c r="BV4021" s="18"/>
    </row>
    <row r="4022" spans="1:74">
      <c r="A4022" s="18"/>
      <c r="B4022" s="19"/>
      <c r="BG4022" s="18"/>
      <c r="BH4022" s="18"/>
      <c r="BI4022" s="18"/>
      <c r="BJ4022" s="18"/>
      <c r="BK4022" s="18"/>
      <c r="BL4022" s="18"/>
      <c r="BM4022" s="18"/>
      <c r="BN4022" s="18"/>
      <c r="BO4022" s="18"/>
      <c r="BP4022" s="18"/>
      <c r="BQ4022" s="18"/>
      <c r="BR4022" s="18"/>
      <c r="BS4022" s="18"/>
      <c r="BT4022" s="18"/>
      <c r="BU4022" s="18"/>
      <c r="BV4022" s="18"/>
    </row>
    <row r="4023" spans="1:74">
      <c r="A4023" s="18"/>
      <c r="B4023" s="19"/>
      <c r="BG4023" s="18"/>
      <c r="BH4023" s="18"/>
      <c r="BI4023" s="18"/>
      <c r="BJ4023" s="18"/>
      <c r="BK4023" s="18"/>
      <c r="BL4023" s="18"/>
      <c r="BM4023" s="18"/>
      <c r="BN4023" s="18"/>
      <c r="BO4023" s="18"/>
      <c r="BP4023" s="18"/>
      <c r="BQ4023" s="18"/>
      <c r="BR4023" s="18"/>
      <c r="BS4023" s="18"/>
      <c r="BT4023" s="18"/>
      <c r="BU4023" s="18"/>
      <c r="BV4023" s="18"/>
    </row>
    <row r="4024" spans="1:74">
      <c r="A4024" s="18"/>
      <c r="B4024" s="19"/>
      <c r="BG4024" s="18"/>
      <c r="BH4024" s="18"/>
      <c r="BI4024" s="18"/>
      <c r="BJ4024" s="18"/>
      <c r="BK4024" s="18"/>
      <c r="BL4024" s="18"/>
      <c r="BM4024" s="18"/>
      <c r="BN4024" s="18"/>
      <c r="BO4024" s="18"/>
      <c r="BP4024" s="18"/>
      <c r="BQ4024" s="18"/>
      <c r="BR4024" s="18"/>
      <c r="BS4024" s="18"/>
      <c r="BT4024" s="18"/>
      <c r="BU4024" s="18"/>
      <c r="BV4024" s="18"/>
    </row>
    <row r="4025" spans="1:74">
      <c r="A4025" s="18"/>
      <c r="B4025" s="19"/>
      <c r="BG4025" s="18"/>
      <c r="BH4025" s="18"/>
      <c r="BI4025" s="18"/>
      <c r="BJ4025" s="18"/>
      <c r="BK4025" s="18"/>
      <c r="BL4025" s="18"/>
      <c r="BM4025" s="18"/>
      <c r="BN4025" s="18"/>
      <c r="BO4025" s="18"/>
      <c r="BP4025" s="18"/>
      <c r="BQ4025" s="18"/>
      <c r="BR4025" s="18"/>
      <c r="BS4025" s="18"/>
      <c r="BT4025" s="18"/>
      <c r="BU4025" s="18"/>
      <c r="BV4025" s="18"/>
    </row>
    <row r="4026" spans="1:74">
      <c r="A4026" s="18"/>
      <c r="B4026" s="19"/>
      <c r="BG4026" s="18"/>
      <c r="BH4026" s="18"/>
      <c r="BI4026" s="18"/>
      <c r="BJ4026" s="18"/>
      <c r="BK4026" s="18"/>
      <c r="BL4026" s="18"/>
      <c r="BM4026" s="18"/>
      <c r="BN4026" s="18"/>
      <c r="BO4026" s="18"/>
      <c r="BP4026" s="18"/>
      <c r="BQ4026" s="18"/>
      <c r="BR4026" s="18"/>
      <c r="BS4026" s="18"/>
      <c r="BT4026" s="18"/>
      <c r="BU4026" s="18"/>
      <c r="BV4026" s="18"/>
    </row>
    <row r="4027" spans="1:74">
      <c r="A4027" s="18"/>
      <c r="B4027" s="19"/>
      <c r="BG4027" s="18"/>
      <c r="BH4027" s="18"/>
      <c r="BI4027" s="18"/>
      <c r="BJ4027" s="18"/>
      <c r="BK4027" s="18"/>
      <c r="BL4027" s="18"/>
      <c r="BM4027" s="18"/>
      <c r="BN4027" s="18"/>
      <c r="BO4027" s="18"/>
      <c r="BP4027" s="18"/>
      <c r="BQ4027" s="18"/>
      <c r="BR4027" s="18"/>
      <c r="BS4027" s="18"/>
      <c r="BT4027" s="18"/>
      <c r="BU4027" s="18"/>
      <c r="BV4027" s="18"/>
    </row>
    <row r="4028" spans="1:74">
      <c r="A4028" s="18"/>
      <c r="B4028" s="19"/>
      <c r="BG4028" s="18"/>
      <c r="BH4028" s="18"/>
      <c r="BI4028" s="18"/>
      <c r="BJ4028" s="18"/>
      <c r="BK4028" s="18"/>
      <c r="BL4028" s="18"/>
      <c r="BM4028" s="18"/>
      <c r="BN4028" s="18"/>
      <c r="BO4028" s="18"/>
      <c r="BP4028" s="18"/>
      <c r="BQ4028" s="18"/>
      <c r="BR4028" s="18"/>
      <c r="BS4028" s="18"/>
      <c r="BT4028" s="18"/>
      <c r="BU4028" s="18"/>
      <c r="BV4028" s="18"/>
    </row>
    <row r="4029" spans="1:74">
      <c r="A4029" s="18"/>
      <c r="B4029" s="19"/>
      <c r="BG4029" s="18"/>
      <c r="BH4029" s="18"/>
      <c r="BI4029" s="18"/>
      <c r="BJ4029" s="18"/>
      <c r="BK4029" s="18"/>
      <c r="BL4029" s="18"/>
      <c r="BM4029" s="18"/>
      <c r="BN4029" s="18"/>
      <c r="BO4029" s="18"/>
      <c r="BP4029" s="18"/>
      <c r="BQ4029" s="18"/>
      <c r="BR4029" s="18"/>
      <c r="BS4029" s="18"/>
      <c r="BT4029" s="18"/>
      <c r="BU4029" s="18"/>
      <c r="BV4029" s="18"/>
    </row>
    <row r="4030" spans="1:74">
      <c r="A4030" s="18"/>
      <c r="B4030" s="19"/>
      <c r="BG4030" s="18"/>
      <c r="BH4030" s="18"/>
      <c r="BI4030" s="18"/>
      <c r="BJ4030" s="18"/>
      <c r="BK4030" s="18"/>
      <c r="BL4030" s="18"/>
      <c r="BM4030" s="18"/>
      <c r="BN4030" s="18"/>
      <c r="BO4030" s="18"/>
      <c r="BP4030" s="18"/>
      <c r="BQ4030" s="18"/>
      <c r="BR4030" s="18"/>
      <c r="BS4030" s="18"/>
      <c r="BT4030" s="18"/>
      <c r="BU4030" s="18"/>
      <c r="BV4030" s="18"/>
    </row>
    <row r="4031" spans="1:74">
      <c r="A4031" s="18"/>
      <c r="B4031" s="19"/>
      <c r="BG4031" s="18"/>
      <c r="BH4031" s="18"/>
      <c r="BI4031" s="18"/>
      <c r="BJ4031" s="18"/>
      <c r="BK4031" s="18"/>
      <c r="BL4031" s="18"/>
      <c r="BM4031" s="18"/>
      <c r="BN4031" s="18"/>
      <c r="BO4031" s="18"/>
      <c r="BP4031" s="18"/>
      <c r="BQ4031" s="18"/>
      <c r="BR4031" s="18"/>
      <c r="BS4031" s="18"/>
      <c r="BT4031" s="18"/>
      <c r="BU4031" s="18"/>
      <c r="BV4031" s="18"/>
    </row>
    <row r="4032" spans="1:74">
      <c r="A4032" s="18"/>
      <c r="B4032" s="19"/>
      <c r="BG4032" s="18"/>
      <c r="BH4032" s="18"/>
      <c r="BI4032" s="18"/>
      <c r="BJ4032" s="18"/>
      <c r="BK4032" s="18"/>
      <c r="BL4032" s="18"/>
      <c r="BM4032" s="18"/>
      <c r="BN4032" s="18"/>
      <c r="BO4032" s="18"/>
      <c r="BP4032" s="18"/>
      <c r="BQ4032" s="18"/>
      <c r="BR4032" s="18"/>
      <c r="BS4032" s="18"/>
      <c r="BT4032" s="18"/>
      <c r="BU4032" s="18"/>
      <c r="BV4032" s="18"/>
    </row>
    <row r="4033" spans="1:74">
      <c r="A4033" s="18"/>
      <c r="B4033" s="19"/>
      <c r="BG4033" s="18"/>
      <c r="BH4033" s="18"/>
      <c r="BI4033" s="18"/>
      <c r="BJ4033" s="18"/>
      <c r="BK4033" s="18"/>
      <c r="BL4033" s="18"/>
      <c r="BM4033" s="18"/>
      <c r="BN4033" s="18"/>
      <c r="BO4033" s="18"/>
      <c r="BP4033" s="18"/>
      <c r="BQ4033" s="18"/>
      <c r="BR4033" s="18"/>
      <c r="BS4033" s="18"/>
      <c r="BT4033" s="18"/>
      <c r="BU4033" s="18"/>
      <c r="BV4033" s="18"/>
    </row>
    <row r="4034" spans="1:74">
      <c r="A4034" s="18"/>
      <c r="B4034" s="19"/>
      <c r="BG4034" s="18"/>
      <c r="BH4034" s="18"/>
      <c r="BI4034" s="18"/>
      <c r="BJ4034" s="18"/>
      <c r="BK4034" s="18"/>
      <c r="BL4034" s="18"/>
      <c r="BM4034" s="18"/>
      <c r="BN4034" s="18"/>
      <c r="BO4034" s="18"/>
      <c r="BP4034" s="18"/>
      <c r="BQ4034" s="18"/>
      <c r="BR4034" s="18"/>
      <c r="BS4034" s="18"/>
      <c r="BT4034" s="18"/>
      <c r="BU4034" s="18"/>
      <c r="BV4034" s="18"/>
    </row>
    <row r="4035" spans="1:74">
      <c r="A4035" s="18"/>
      <c r="B4035" s="19"/>
      <c r="BG4035" s="18"/>
      <c r="BH4035" s="18"/>
      <c r="BI4035" s="18"/>
      <c r="BJ4035" s="18"/>
      <c r="BK4035" s="18"/>
      <c r="BL4035" s="18"/>
      <c r="BM4035" s="18"/>
      <c r="BN4035" s="18"/>
      <c r="BO4035" s="18"/>
      <c r="BP4035" s="18"/>
      <c r="BQ4035" s="18"/>
      <c r="BR4035" s="18"/>
      <c r="BS4035" s="18"/>
      <c r="BT4035" s="18"/>
      <c r="BU4035" s="18"/>
      <c r="BV4035" s="18"/>
    </row>
    <row r="4036" spans="1:74">
      <c r="A4036" s="18"/>
      <c r="B4036" s="19"/>
      <c r="BG4036" s="18"/>
      <c r="BH4036" s="18"/>
      <c r="BI4036" s="18"/>
      <c r="BJ4036" s="18"/>
      <c r="BK4036" s="18"/>
      <c r="BL4036" s="18"/>
      <c r="BM4036" s="18"/>
      <c r="BN4036" s="18"/>
      <c r="BO4036" s="18"/>
      <c r="BP4036" s="18"/>
      <c r="BQ4036" s="18"/>
      <c r="BR4036" s="18"/>
      <c r="BS4036" s="18"/>
      <c r="BT4036" s="18"/>
      <c r="BU4036" s="18"/>
      <c r="BV4036" s="18"/>
    </row>
    <row r="4037" spans="1:74">
      <c r="A4037" s="18"/>
      <c r="B4037" s="19"/>
      <c r="BG4037" s="18"/>
      <c r="BH4037" s="18"/>
      <c r="BI4037" s="18"/>
      <c r="BJ4037" s="18"/>
      <c r="BK4037" s="18"/>
      <c r="BL4037" s="18"/>
      <c r="BM4037" s="18"/>
      <c r="BN4037" s="18"/>
      <c r="BO4037" s="18"/>
      <c r="BP4037" s="18"/>
      <c r="BQ4037" s="18"/>
      <c r="BR4037" s="18"/>
      <c r="BS4037" s="18"/>
      <c r="BT4037" s="18"/>
      <c r="BU4037" s="18"/>
      <c r="BV4037" s="18"/>
    </row>
    <row r="4038" spans="1:74">
      <c r="A4038" s="18"/>
      <c r="B4038" s="19"/>
      <c r="BG4038" s="18"/>
      <c r="BH4038" s="18"/>
      <c r="BI4038" s="18"/>
      <c r="BJ4038" s="18"/>
      <c r="BK4038" s="18"/>
      <c r="BL4038" s="18"/>
      <c r="BM4038" s="18"/>
      <c r="BN4038" s="18"/>
      <c r="BO4038" s="18"/>
      <c r="BP4038" s="18"/>
      <c r="BQ4038" s="18"/>
      <c r="BR4038" s="18"/>
      <c r="BS4038" s="18"/>
      <c r="BT4038" s="18"/>
      <c r="BU4038" s="18"/>
      <c r="BV4038" s="18"/>
    </row>
    <row r="4039" spans="1:74">
      <c r="A4039" s="18"/>
      <c r="B4039" s="19"/>
      <c r="BG4039" s="18"/>
      <c r="BH4039" s="18"/>
      <c r="BI4039" s="18"/>
      <c r="BJ4039" s="18"/>
      <c r="BK4039" s="18"/>
      <c r="BL4039" s="18"/>
      <c r="BM4039" s="18"/>
      <c r="BN4039" s="18"/>
      <c r="BO4039" s="18"/>
      <c r="BP4039" s="18"/>
      <c r="BQ4039" s="18"/>
      <c r="BR4039" s="18"/>
      <c r="BS4039" s="18"/>
      <c r="BT4039" s="18"/>
      <c r="BU4039" s="18"/>
      <c r="BV4039" s="18"/>
    </row>
    <row r="4040" spans="1:74">
      <c r="A4040" s="18"/>
      <c r="B4040" s="19"/>
      <c r="BG4040" s="18"/>
      <c r="BH4040" s="18"/>
      <c r="BI4040" s="18"/>
      <c r="BJ4040" s="18"/>
      <c r="BK4040" s="18"/>
      <c r="BL4040" s="18"/>
      <c r="BM4040" s="18"/>
      <c r="BN4040" s="18"/>
      <c r="BO4040" s="18"/>
      <c r="BP4040" s="18"/>
      <c r="BQ4040" s="18"/>
      <c r="BR4040" s="18"/>
      <c r="BS4040" s="18"/>
      <c r="BT4040" s="18"/>
      <c r="BU4040" s="18"/>
      <c r="BV4040" s="18"/>
    </row>
    <row r="4041" spans="1:74">
      <c r="A4041" s="18"/>
      <c r="B4041" s="19"/>
      <c r="BG4041" s="18"/>
      <c r="BH4041" s="18"/>
      <c r="BI4041" s="18"/>
      <c r="BJ4041" s="18"/>
      <c r="BK4041" s="18"/>
      <c r="BL4041" s="18"/>
      <c r="BM4041" s="18"/>
      <c r="BN4041" s="18"/>
      <c r="BO4041" s="18"/>
      <c r="BP4041" s="18"/>
      <c r="BQ4041" s="18"/>
      <c r="BR4041" s="18"/>
      <c r="BS4041" s="18"/>
      <c r="BT4041" s="18"/>
      <c r="BU4041" s="18"/>
      <c r="BV4041" s="18"/>
    </row>
    <row r="4042" spans="1:74">
      <c r="A4042" s="18"/>
      <c r="B4042" s="19"/>
      <c r="BG4042" s="18"/>
      <c r="BH4042" s="18"/>
      <c r="BI4042" s="18"/>
      <c r="BJ4042" s="18"/>
      <c r="BK4042" s="18"/>
      <c r="BL4042" s="18"/>
      <c r="BM4042" s="18"/>
      <c r="BN4042" s="18"/>
      <c r="BO4042" s="18"/>
      <c r="BP4042" s="18"/>
      <c r="BQ4042" s="18"/>
      <c r="BR4042" s="18"/>
      <c r="BS4042" s="18"/>
      <c r="BT4042" s="18"/>
      <c r="BU4042" s="18"/>
      <c r="BV4042" s="18"/>
    </row>
    <row r="4043" spans="1:74">
      <c r="A4043" s="18"/>
      <c r="B4043" s="19"/>
      <c r="BG4043" s="18"/>
      <c r="BH4043" s="18"/>
      <c r="BI4043" s="18"/>
      <c r="BJ4043" s="18"/>
      <c r="BK4043" s="18"/>
      <c r="BL4043" s="18"/>
      <c r="BM4043" s="18"/>
      <c r="BN4043" s="18"/>
      <c r="BO4043" s="18"/>
      <c r="BP4043" s="18"/>
      <c r="BQ4043" s="18"/>
      <c r="BR4043" s="18"/>
      <c r="BS4043" s="18"/>
      <c r="BT4043" s="18"/>
      <c r="BU4043" s="18"/>
      <c r="BV4043" s="18"/>
    </row>
    <row r="4044" spans="1:74">
      <c r="A4044" s="18"/>
      <c r="B4044" s="19"/>
      <c r="BG4044" s="18"/>
      <c r="BH4044" s="18"/>
      <c r="BI4044" s="18"/>
      <c r="BJ4044" s="18"/>
      <c r="BK4044" s="18"/>
      <c r="BL4044" s="18"/>
      <c r="BM4044" s="18"/>
      <c r="BN4044" s="18"/>
      <c r="BO4044" s="18"/>
      <c r="BP4044" s="18"/>
      <c r="BQ4044" s="18"/>
      <c r="BR4044" s="18"/>
      <c r="BS4044" s="18"/>
      <c r="BT4044" s="18"/>
      <c r="BU4044" s="18"/>
      <c r="BV4044" s="18"/>
    </row>
    <row r="4045" spans="1:74">
      <c r="A4045" s="18"/>
      <c r="B4045" s="19"/>
      <c r="BG4045" s="18"/>
      <c r="BH4045" s="18"/>
      <c r="BI4045" s="18"/>
      <c r="BJ4045" s="18"/>
      <c r="BK4045" s="18"/>
      <c r="BL4045" s="18"/>
      <c r="BM4045" s="18"/>
      <c r="BN4045" s="18"/>
      <c r="BO4045" s="18"/>
      <c r="BP4045" s="18"/>
      <c r="BQ4045" s="18"/>
      <c r="BR4045" s="18"/>
      <c r="BS4045" s="18"/>
      <c r="BT4045" s="18"/>
      <c r="BU4045" s="18"/>
      <c r="BV4045" s="18"/>
    </row>
    <row r="4046" spans="1:74">
      <c r="A4046" s="18"/>
      <c r="B4046" s="19"/>
      <c r="BG4046" s="18"/>
      <c r="BH4046" s="18"/>
      <c r="BI4046" s="18"/>
      <c r="BJ4046" s="18"/>
      <c r="BK4046" s="18"/>
      <c r="BL4046" s="18"/>
      <c r="BM4046" s="18"/>
      <c r="BN4046" s="18"/>
      <c r="BO4046" s="18"/>
      <c r="BP4046" s="18"/>
      <c r="BQ4046" s="18"/>
      <c r="BR4046" s="18"/>
      <c r="BS4046" s="18"/>
      <c r="BT4046" s="18"/>
      <c r="BU4046" s="18"/>
      <c r="BV4046" s="18"/>
    </row>
    <row r="4047" spans="1:74">
      <c r="A4047" s="18"/>
      <c r="B4047" s="19"/>
      <c r="BG4047" s="18"/>
      <c r="BH4047" s="18"/>
      <c r="BI4047" s="18"/>
      <c r="BJ4047" s="18"/>
      <c r="BK4047" s="18"/>
      <c r="BL4047" s="18"/>
      <c r="BM4047" s="18"/>
      <c r="BN4047" s="18"/>
      <c r="BO4047" s="18"/>
      <c r="BP4047" s="18"/>
      <c r="BQ4047" s="18"/>
      <c r="BR4047" s="18"/>
      <c r="BS4047" s="18"/>
      <c r="BT4047" s="18"/>
      <c r="BU4047" s="18"/>
      <c r="BV4047" s="18"/>
    </row>
    <row r="4048" spans="1:74">
      <c r="A4048" s="18"/>
      <c r="B4048" s="19"/>
      <c r="BG4048" s="18"/>
      <c r="BH4048" s="18"/>
      <c r="BI4048" s="18"/>
      <c r="BJ4048" s="18"/>
      <c r="BK4048" s="18"/>
      <c r="BL4048" s="18"/>
      <c r="BM4048" s="18"/>
      <c r="BN4048" s="18"/>
      <c r="BO4048" s="18"/>
      <c r="BP4048" s="18"/>
      <c r="BQ4048" s="18"/>
      <c r="BR4048" s="18"/>
      <c r="BS4048" s="18"/>
      <c r="BT4048" s="18"/>
      <c r="BU4048" s="18"/>
      <c r="BV4048" s="18"/>
    </row>
    <row r="4049" spans="1:74">
      <c r="A4049" s="18"/>
      <c r="B4049" s="19"/>
      <c r="BG4049" s="18"/>
      <c r="BH4049" s="18"/>
      <c r="BI4049" s="18"/>
      <c r="BJ4049" s="18"/>
      <c r="BK4049" s="18"/>
      <c r="BL4049" s="18"/>
      <c r="BM4049" s="18"/>
      <c r="BN4049" s="18"/>
      <c r="BO4049" s="18"/>
      <c r="BP4049" s="18"/>
      <c r="BQ4049" s="18"/>
      <c r="BR4049" s="18"/>
      <c r="BS4049" s="18"/>
      <c r="BT4049" s="18"/>
      <c r="BU4049" s="18"/>
      <c r="BV4049" s="18"/>
    </row>
    <row r="4050" spans="1:74">
      <c r="A4050" s="18"/>
      <c r="B4050" s="19"/>
      <c r="BG4050" s="18"/>
      <c r="BH4050" s="18"/>
      <c r="BI4050" s="18"/>
      <c r="BJ4050" s="18"/>
      <c r="BK4050" s="18"/>
      <c r="BL4050" s="18"/>
      <c r="BM4050" s="18"/>
      <c r="BN4050" s="18"/>
      <c r="BO4050" s="18"/>
      <c r="BP4050" s="18"/>
      <c r="BQ4050" s="18"/>
      <c r="BR4050" s="18"/>
      <c r="BS4050" s="18"/>
      <c r="BT4050" s="18"/>
      <c r="BU4050" s="18"/>
      <c r="BV4050" s="18"/>
    </row>
    <row r="4051" spans="1:74">
      <c r="A4051" s="18"/>
      <c r="B4051" s="19"/>
      <c r="BG4051" s="18"/>
      <c r="BH4051" s="18"/>
      <c r="BI4051" s="18"/>
      <c r="BJ4051" s="18"/>
      <c r="BK4051" s="18"/>
      <c r="BL4051" s="18"/>
      <c r="BM4051" s="18"/>
      <c r="BN4051" s="18"/>
      <c r="BO4051" s="18"/>
      <c r="BP4051" s="18"/>
      <c r="BQ4051" s="18"/>
      <c r="BR4051" s="18"/>
      <c r="BS4051" s="18"/>
      <c r="BT4051" s="18"/>
      <c r="BU4051" s="18"/>
      <c r="BV4051" s="18"/>
    </row>
    <row r="4052" spans="1:74">
      <c r="A4052" s="18"/>
      <c r="B4052" s="19"/>
      <c r="BG4052" s="18"/>
      <c r="BH4052" s="18"/>
      <c r="BI4052" s="18"/>
      <c r="BJ4052" s="18"/>
      <c r="BK4052" s="18"/>
      <c r="BL4052" s="18"/>
      <c r="BM4052" s="18"/>
      <c r="BN4052" s="18"/>
      <c r="BO4052" s="18"/>
      <c r="BP4052" s="18"/>
      <c r="BQ4052" s="18"/>
      <c r="BR4052" s="18"/>
      <c r="BS4052" s="18"/>
      <c r="BT4052" s="18"/>
      <c r="BU4052" s="18"/>
      <c r="BV4052" s="18"/>
    </row>
    <row r="4053" spans="1:74">
      <c r="A4053" s="18"/>
      <c r="B4053" s="19"/>
      <c r="BG4053" s="18"/>
      <c r="BH4053" s="18"/>
      <c r="BI4053" s="18"/>
      <c r="BJ4053" s="18"/>
      <c r="BK4053" s="18"/>
      <c r="BL4053" s="18"/>
      <c r="BM4053" s="18"/>
      <c r="BN4053" s="18"/>
      <c r="BO4053" s="18"/>
      <c r="BP4053" s="18"/>
      <c r="BQ4053" s="18"/>
      <c r="BR4053" s="18"/>
      <c r="BS4053" s="18"/>
      <c r="BT4053" s="18"/>
      <c r="BU4053" s="18"/>
      <c r="BV4053" s="18"/>
    </row>
    <row r="4054" spans="1:74">
      <c r="A4054" s="18"/>
      <c r="B4054" s="19"/>
      <c r="BG4054" s="18"/>
      <c r="BH4054" s="18"/>
      <c r="BI4054" s="18"/>
      <c r="BJ4054" s="18"/>
      <c r="BK4054" s="18"/>
      <c r="BL4054" s="18"/>
      <c r="BM4054" s="18"/>
      <c r="BN4054" s="18"/>
      <c r="BO4054" s="18"/>
      <c r="BP4054" s="18"/>
      <c r="BQ4054" s="18"/>
      <c r="BR4054" s="18"/>
      <c r="BS4054" s="18"/>
      <c r="BT4054" s="18"/>
      <c r="BU4054" s="18"/>
      <c r="BV4054" s="18"/>
    </row>
    <row r="4055" spans="1:74">
      <c r="A4055" s="18"/>
      <c r="B4055" s="19"/>
      <c r="BG4055" s="18"/>
      <c r="BH4055" s="18"/>
      <c r="BI4055" s="18"/>
      <c r="BJ4055" s="18"/>
      <c r="BK4055" s="18"/>
      <c r="BL4055" s="18"/>
      <c r="BM4055" s="18"/>
      <c r="BN4055" s="18"/>
      <c r="BO4055" s="18"/>
      <c r="BP4055" s="18"/>
      <c r="BQ4055" s="18"/>
      <c r="BR4055" s="18"/>
      <c r="BS4055" s="18"/>
      <c r="BT4055" s="18"/>
      <c r="BU4055" s="18"/>
      <c r="BV4055" s="18"/>
    </row>
    <row r="4056" spans="1:74">
      <c r="A4056" s="18"/>
      <c r="B4056" s="19"/>
      <c r="BG4056" s="18"/>
      <c r="BH4056" s="18"/>
      <c r="BI4056" s="18"/>
      <c r="BJ4056" s="18"/>
      <c r="BK4056" s="18"/>
      <c r="BL4056" s="18"/>
      <c r="BM4056" s="18"/>
      <c r="BN4056" s="18"/>
      <c r="BO4056" s="18"/>
      <c r="BP4056" s="18"/>
      <c r="BQ4056" s="18"/>
      <c r="BR4056" s="18"/>
      <c r="BS4056" s="18"/>
      <c r="BT4056" s="18"/>
      <c r="BU4056" s="18"/>
      <c r="BV4056" s="18"/>
    </row>
    <row r="4057" spans="1:74">
      <c r="A4057" s="18"/>
      <c r="B4057" s="19"/>
      <c r="BG4057" s="18"/>
      <c r="BH4057" s="18"/>
      <c r="BI4057" s="18"/>
      <c r="BJ4057" s="18"/>
      <c r="BK4057" s="18"/>
      <c r="BL4057" s="18"/>
      <c r="BM4057" s="18"/>
      <c r="BN4057" s="18"/>
      <c r="BO4057" s="18"/>
      <c r="BP4057" s="18"/>
      <c r="BQ4057" s="18"/>
      <c r="BR4057" s="18"/>
      <c r="BS4057" s="18"/>
      <c r="BT4057" s="18"/>
      <c r="BU4057" s="18"/>
      <c r="BV4057" s="18"/>
    </row>
    <row r="4058" spans="1:74">
      <c r="A4058" s="18"/>
      <c r="B4058" s="19"/>
      <c r="BG4058" s="18"/>
      <c r="BH4058" s="18"/>
      <c r="BI4058" s="18"/>
      <c r="BJ4058" s="18"/>
      <c r="BK4058" s="18"/>
      <c r="BL4058" s="18"/>
      <c r="BM4058" s="18"/>
      <c r="BN4058" s="18"/>
      <c r="BO4058" s="18"/>
      <c r="BP4058" s="18"/>
      <c r="BQ4058" s="18"/>
      <c r="BR4058" s="18"/>
      <c r="BS4058" s="18"/>
      <c r="BT4058" s="18"/>
      <c r="BU4058" s="18"/>
      <c r="BV4058" s="18"/>
    </row>
    <row r="4059" spans="1:74">
      <c r="A4059" s="18"/>
      <c r="B4059" s="19"/>
      <c r="BG4059" s="18"/>
      <c r="BH4059" s="18"/>
      <c r="BI4059" s="18"/>
      <c r="BJ4059" s="18"/>
      <c r="BK4059" s="18"/>
      <c r="BL4059" s="18"/>
      <c r="BM4059" s="18"/>
      <c r="BN4059" s="18"/>
      <c r="BO4059" s="18"/>
      <c r="BP4059" s="18"/>
      <c r="BQ4059" s="18"/>
      <c r="BR4059" s="18"/>
      <c r="BS4059" s="18"/>
      <c r="BT4059" s="18"/>
      <c r="BU4059" s="18"/>
      <c r="BV4059" s="18"/>
    </row>
    <row r="4060" spans="1:74">
      <c r="A4060" s="18"/>
      <c r="B4060" s="19"/>
      <c r="BG4060" s="18"/>
      <c r="BH4060" s="18"/>
      <c r="BI4060" s="18"/>
      <c r="BJ4060" s="18"/>
      <c r="BK4060" s="18"/>
      <c r="BL4060" s="18"/>
      <c r="BM4060" s="18"/>
      <c r="BN4060" s="18"/>
      <c r="BO4060" s="18"/>
      <c r="BP4060" s="18"/>
      <c r="BQ4060" s="18"/>
      <c r="BR4060" s="18"/>
      <c r="BS4060" s="18"/>
      <c r="BT4060" s="18"/>
      <c r="BU4060" s="18"/>
      <c r="BV4060" s="18"/>
    </row>
    <row r="4061" spans="1:74">
      <c r="A4061" s="18"/>
      <c r="B4061" s="19"/>
      <c r="BG4061" s="18"/>
      <c r="BH4061" s="18"/>
      <c r="BI4061" s="18"/>
      <c r="BJ4061" s="18"/>
      <c r="BK4061" s="18"/>
      <c r="BL4061" s="18"/>
      <c r="BM4061" s="18"/>
      <c r="BN4061" s="18"/>
      <c r="BO4061" s="18"/>
      <c r="BP4061" s="18"/>
      <c r="BQ4061" s="18"/>
      <c r="BR4061" s="18"/>
      <c r="BS4061" s="18"/>
      <c r="BT4061" s="18"/>
      <c r="BU4061" s="18"/>
      <c r="BV4061" s="18"/>
    </row>
    <row r="4062" spans="1:74">
      <c r="A4062" s="18"/>
      <c r="B4062" s="19"/>
      <c r="BG4062" s="18"/>
      <c r="BH4062" s="18"/>
      <c r="BI4062" s="18"/>
      <c r="BJ4062" s="18"/>
      <c r="BK4062" s="18"/>
      <c r="BL4062" s="18"/>
      <c r="BM4062" s="18"/>
      <c r="BN4062" s="18"/>
      <c r="BO4062" s="18"/>
      <c r="BP4062" s="18"/>
      <c r="BQ4062" s="18"/>
      <c r="BR4062" s="18"/>
      <c r="BS4062" s="18"/>
      <c r="BT4062" s="18"/>
      <c r="BU4062" s="18"/>
      <c r="BV4062" s="18"/>
    </row>
    <row r="4063" spans="1:74">
      <c r="A4063" s="69"/>
      <c r="B4063" s="19"/>
      <c r="BG4063" s="18"/>
      <c r="BH4063" s="18"/>
      <c r="BI4063" s="18"/>
      <c r="BJ4063" s="18"/>
      <c r="BK4063" s="18"/>
      <c r="BL4063" s="18"/>
      <c r="BM4063" s="18"/>
      <c r="BN4063" s="18"/>
      <c r="BO4063" s="18"/>
      <c r="BP4063" s="18"/>
      <c r="BQ4063" s="18"/>
      <c r="BR4063" s="18"/>
      <c r="BS4063" s="18"/>
      <c r="BT4063" s="18"/>
      <c r="BU4063" s="18"/>
      <c r="BV4063" s="18"/>
    </row>
    <row r="4064" spans="1:74">
      <c r="A4064" s="18"/>
      <c r="B4064" s="19"/>
      <c r="BG4064" s="18"/>
      <c r="BH4064" s="18"/>
      <c r="BI4064" s="18"/>
      <c r="BJ4064" s="18"/>
      <c r="BK4064" s="18"/>
      <c r="BL4064" s="18"/>
      <c r="BM4064" s="18"/>
      <c r="BN4064" s="18"/>
      <c r="BO4064" s="18"/>
      <c r="BP4064" s="18"/>
      <c r="BQ4064" s="18"/>
      <c r="BR4064" s="18"/>
      <c r="BS4064" s="18"/>
      <c r="BT4064" s="18"/>
      <c r="BU4064" s="18"/>
      <c r="BV4064" s="18"/>
    </row>
    <row r="4065" spans="1:74">
      <c r="A4065" s="18"/>
      <c r="B4065" s="19"/>
      <c r="BG4065" s="18"/>
      <c r="BH4065" s="18"/>
      <c r="BI4065" s="18"/>
      <c r="BJ4065" s="18"/>
      <c r="BK4065" s="18"/>
      <c r="BL4065" s="18"/>
      <c r="BM4065" s="18"/>
      <c r="BN4065" s="18"/>
      <c r="BO4065" s="18"/>
      <c r="BP4065" s="18"/>
      <c r="BQ4065" s="18"/>
      <c r="BR4065" s="18"/>
      <c r="BS4065" s="18"/>
      <c r="BT4065" s="18"/>
      <c r="BU4065" s="18"/>
      <c r="BV4065" s="18"/>
    </row>
    <row r="4066" spans="1:74">
      <c r="A4066" s="18"/>
      <c r="B4066" s="19"/>
      <c r="BG4066" s="18"/>
      <c r="BH4066" s="18"/>
      <c r="BI4066" s="18"/>
      <c r="BJ4066" s="18"/>
      <c r="BK4066" s="18"/>
      <c r="BL4066" s="18"/>
      <c r="BM4066" s="18"/>
      <c r="BN4066" s="18"/>
      <c r="BO4066" s="18"/>
      <c r="BP4066" s="18"/>
      <c r="BQ4066" s="18"/>
      <c r="BR4066" s="18"/>
      <c r="BS4066" s="18"/>
      <c r="BT4066" s="18"/>
      <c r="BU4066" s="18"/>
      <c r="BV4066" s="18"/>
    </row>
    <row r="4067" spans="1:74">
      <c r="A4067" s="18"/>
      <c r="B4067" s="19"/>
      <c r="BG4067" s="18"/>
      <c r="BH4067" s="18"/>
      <c r="BI4067" s="18"/>
      <c r="BJ4067" s="18"/>
      <c r="BK4067" s="18"/>
      <c r="BL4067" s="18"/>
      <c r="BM4067" s="18"/>
      <c r="BN4067" s="18"/>
      <c r="BO4067" s="18"/>
      <c r="BP4067" s="18"/>
      <c r="BQ4067" s="18"/>
      <c r="BR4067" s="18"/>
      <c r="BS4067" s="18"/>
      <c r="BT4067" s="18"/>
      <c r="BU4067" s="18"/>
      <c r="BV4067" s="18"/>
    </row>
    <row r="4068" spans="1:74">
      <c r="A4068" s="18"/>
      <c r="B4068" s="19"/>
      <c r="BG4068" s="18"/>
      <c r="BH4068" s="18"/>
      <c r="BI4068" s="18"/>
      <c r="BJ4068" s="18"/>
      <c r="BK4068" s="18"/>
      <c r="BL4068" s="18"/>
      <c r="BM4068" s="18"/>
      <c r="BN4068" s="18"/>
      <c r="BO4068" s="18"/>
      <c r="BP4068" s="18"/>
      <c r="BQ4068" s="18"/>
      <c r="BR4068" s="18"/>
      <c r="BS4068" s="18"/>
      <c r="BT4068" s="18"/>
      <c r="BU4068" s="18"/>
      <c r="BV4068" s="18"/>
    </row>
    <row r="4069" spans="1:74">
      <c r="A4069" s="18"/>
      <c r="B4069" s="19"/>
      <c r="BG4069" s="18"/>
      <c r="BH4069" s="18"/>
      <c r="BI4069" s="18"/>
      <c r="BJ4069" s="18"/>
      <c r="BK4069" s="18"/>
      <c r="BL4069" s="18"/>
      <c r="BM4069" s="18"/>
      <c r="BN4069" s="18"/>
      <c r="BO4069" s="18"/>
      <c r="BP4069" s="18"/>
      <c r="BQ4069" s="18"/>
      <c r="BR4069" s="18"/>
      <c r="BS4069" s="18"/>
      <c r="BT4069" s="18"/>
      <c r="BU4069" s="18"/>
      <c r="BV4069" s="18"/>
    </row>
    <row r="4070" spans="1:74">
      <c r="A4070" s="18"/>
      <c r="B4070" s="19"/>
      <c r="BG4070" s="18"/>
      <c r="BH4070" s="18"/>
      <c r="BI4070" s="18"/>
      <c r="BJ4070" s="18"/>
      <c r="BK4070" s="18"/>
      <c r="BL4070" s="18"/>
      <c r="BM4070" s="18"/>
      <c r="BN4070" s="18"/>
      <c r="BO4070" s="18"/>
      <c r="BP4070" s="18"/>
      <c r="BQ4070" s="18"/>
      <c r="BR4070" s="18"/>
      <c r="BS4070" s="18"/>
      <c r="BT4070" s="18"/>
      <c r="BU4070" s="18"/>
      <c r="BV4070" s="18"/>
    </row>
    <row r="4071" spans="1:74">
      <c r="A4071" s="18"/>
      <c r="B4071" s="19"/>
      <c r="BG4071" s="18"/>
      <c r="BH4071" s="18"/>
      <c r="BI4071" s="18"/>
      <c r="BJ4071" s="18"/>
      <c r="BK4071" s="18"/>
      <c r="BL4071" s="18"/>
      <c r="BM4071" s="18"/>
      <c r="BN4071" s="18"/>
      <c r="BO4071" s="18"/>
      <c r="BP4071" s="18"/>
      <c r="BQ4071" s="18"/>
      <c r="BR4071" s="18"/>
      <c r="BS4071" s="18"/>
      <c r="BT4071" s="18"/>
      <c r="BU4071" s="18"/>
      <c r="BV4071" s="18"/>
    </row>
    <row r="4072" spans="1:74">
      <c r="A4072" s="18"/>
      <c r="B4072" s="19"/>
      <c r="BG4072" s="18"/>
      <c r="BH4072" s="18"/>
      <c r="BI4072" s="18"/>
      <c r="BJ4072" s="18"/>
      <c r="BK4072" s="18"/>
      <c r="BL4072" s="18"/>
      <c r="BM4072" s="18"/>
      <c r="BN4072" s="18"/>
      <c r="BO4072" s="18"/>
      <c r="BP4072" s="18"/>
      <c r="BQ4072" s="18"/>
      <c r="BR4072" s="18"/>
      <c r="BS4072" s="18"/>
      <c r="BT4072" s="18"/>
      <c r="BU4072" s="18"/>
      <c r="BV4072" s="18"/>
    </row>
    <row r="4073" spans="1:74">
      <c r="A4073" s="18"/>
      <c r="B4073" s="19"/>
      <c r="BG4073" s="18"/>
      <c r="BH4073" s="18"/>
      <c r="BI4073" s="18"/>
      <c r="BJ4073" s="18"/>
      <c r="BK4073" s="18"/>
      <c r="BL4073" s="18"/>
      <c r="BM4073" s="18"/>
      <c r="BN4073" s="18"/>
      <c r="BO4073" s="18"/>
      <c r="BP4073" s="18"/>
      <c r="BQ4073" s="18"/>
      <c r="BR4073" s="18"/>
      <c r="BS4073" s="18"/>
      <c r="BT4073" s="18"/>
      <c r="BU4073" s="18"/>
      <c r="BV4073" s="18"/>
    </row>
    <row r="4074" spans="1:74">
      <c r="A4074" s="18"/>
      <c r="B4074" s="19"/>
      <c r="BG4074" s="18"/>
      <c r="BH4074" s="18"/>
      <c r="BI4074" s="18"/>
      <c r="BJ4074" s="18"/>
      <c r="BK4074" s="18"/>
      <c r="BL4074" s="18"/>
      <c r="BM4074" s="18"/>
      <c r="BN4074" s="18"/>
      <c r="BO4074" s="18"/>
      <c r="BP4074" s="18"/>
      <c r="BQ4074" s="18"/>
      <c r="BR4074" s="18"/>
      <c r="BS4074" s="18"/>
      <c r="BT4074" s="18"/>
      <c r="BU4074" s="18"/>
      <c r="BV4074" s="18"/>
    </row>
    <row r="4075" spans="1:74">
      <c r="A4075" s="18"/>
      <c r="B4075" s="19"/>
      <c r="BG4075" s="18"/>
      <c r="BH4075" s="18"/>
      <c r="BI4075" s="18"/>
      <c r="BJ4075" s="18"/>
      <c r="BK4075" s="18"/>
      <c r="BL4075" s="18"/>
      <c r="BM4075" s="18"/>
      <c r="BN4075" s="18"/>
      <c r="BO4075" s="18"/>
      <c r="BP4075" s="18"/>
      <c r="BQ4075" s="18"/>
      <c r="BR4075" s="18"/>
      <c r="BS4075" s="18"/>
      <c r="BT4075" s="18"/>
      <c r="BU4075" s="18"/>
      <c r="BV4075" s="18"/>
    </row>
    <row r="4076" spans="1:74">
      <c r="A4076" s="18"/>
      <c r="B4076" s="19"/>
      <c r="BG4076" s="18"/>
      <c r="BH4076" s="18"/>
      <c r="BI4076" s="18"/>
      <c r="BJ4076" s="18"/>
      <c r="BK4076" s="18"/>
      <c r="BL4076" s="18"/>
      <c r="BM4076" s="18"/>
      <c r="BN4076" s="18"/>
      <c r="BO4076" s="18"/>
      <c r="BP4076" s="18"/>
      <c r="BQ4076" s="18"/>
      <c r="BR4076" s="18"/>
      <c r="BS4076" s="18"/>
      <c r="BT4076" s="18"/>
      <c r="BU4076" s="18"/>
      <c r="BV4076" s="18"/>
    </row>
    <row r="4077" spans="1:74">
      <c r="A4077" s="18"/>
      <c r="B4077" s="19"/>
      <c r="BG4077" s="18"/>
      <c r="BH4077" s="18"/>
      <c r="BI4077" s="18"/>
      <c r="BJ4077" s="18"/>
      <c r="BK4077" s="18"/>
      <c r="BL4077" s="18"/>
      <c r="BM4077" s="18"/>
      <c r="BN4077" s="18"/>
      <c r="BO4077" s="18"/>
      <c r="BP4077" s="18"/>
      <c r="BQ4077" s="18"/>
      <c r="BR4077" s="18"/>
      <c r="BS4077" s="18"/>
      <c r="BT4077" s="18"/>
      <c r="BU4077" s="18"/>
      <c r="BV4077" s="18"/>
    </row>
    <row r="4078" spans="1:74">
      <c r="A4078" s="18"/>
      <c r="B4078" s="19"/>
      <c r="BG4078" s="18"/>
      <c r="BH4078" s="18"/>
      <c r="BI4078" s="18"/>
      <c r="BJ4078" s="18"/>
      <c r="BK4078" s="18"/>
      <c r="BL4078" s="18"/>
      <c r="BM4078" s="18"/>
      <c r="BN4078" s="18"/>
      <c r="BO4078" s="18"/>
      <c r="BP4078" s="18"/>
      <c r="BQ4078" s="18"/>
      <c r="BR4078" s="18"/>
      <c r="BS4078" s="18"/>
      <c r="BT4078" s="18"/>
      <c r="BU4078" s="18"/>
      <c r="BV4078" s="18"/>
    </row>
    <row r="4079" spans="1:74">
      <c r="A4079" s="18"/>
      <c r="B4079" s="19"/>
      <c r="BG4079" s="18"/>
      <c r="BH4079" s="18"/>
      <c r="BI4079" s="18"/>
      <c r="BJ4079" s="18"/>
      <c r="BK4079" s="18"/>
      <c r="BL4079" s="18"/>
      <c r="BM4079" s="18"/>
      <c r="BN4079" s="18"/>
      <c r="BO4079" s="18"/>
      <c r="BP4079" s="18"/>
      <c r="BQ4079" s="18"/>
      <c r="BR4079" s="18"/>
      <c r="BS4079" s="18"/>
      <c r="BT4079" s="18"/>
      <c r="BU4079" s="18"/>
      <c r="BV4079" s="18"/>
    </row>
    <row r="4080" spans="1:74">
      <c r="A4080" s="18"/>
      <c r="B4080" s="19"/>
      <c r="BG4080" s="18"/>
      <c r="BH4080" s="18"/>
      <c r="BI4080" s="18"/>
      <c r="BJ4080" s="18"/>
      <c r="BK4080" s="18"/>
      <c r="BL4080" s="18"/>
      <c r="BM4080" s="18"/>
      <c r="BN4080" s="18"/>
      <c r="BO4080" s="18"/>
      <c r="BP4080" s="18"/>
      <c r="BQ4080" s="18"/>
      <c r="BR4080" s="18"/>
      <c r="BS4080" s="18"/>
      <c r="BT4080" s="18"/>
      <c r="BU4080" s="18"/>
      <c r="BV4080" s="18"/>
    </row>
    <row r="4081" spans="1:74">
      <c r="A4081" s="18"/>
      <c r="B4081" s="19"/>
      <c r="BG4081" s="18"/>
      <c r="BH4081" s="18"/>
      <c r="BI4081" s="18"/>
      <c r="BJ4081" s="18"/>
      <c r="BK4081" s="18"/>
      <c r="BL4081" s="18"/>
      <c r="BM4081" s="18"/>
      <c r="BN4081" s="18"/>
      <c r="BO4081" s="18"/>
      <c r="BP4081" s="18"/>
      <c r="BQ4081" s="18"/>
      <c r="BR4081" s="18"/>
      <c r="BS4081" s="18"/>
      <c r="BT4081" s="18"/>
      <c r="BU4081" s="18"/>
      <c r="BV4081" s="18"/>
    </row>
    <row r="4082" spans="1:74">
      <c r="A4082" s="18"/>
      <c r="B4082" s="19"/>
      <c r="BG4082" s="18"/>
      <c r="BH4082" s="18"/>
      <c r="BI4082" s="18"/>
      <c r="BJ4082" s="18"/>
      <c r="BK4082" s="18"/>
      <c r="BL4082" s="18"/>
      <c r="BM4082" s="18"/>
      <c r="BN4082" s="18"/>
      <c r="BO4082" s="18"/>
      <c r="BP4082" s="18"/>
      <c r="BQ4082" s="18"/>
      <c r="BR4082" s="18"/>
      <c r="BS4082" s="18"/>
      <c r="BT4082" s="18"/>
      <c r="BU4082" s="18"/>
      <c r="BV4082" s="18"/>
    </row>
    <row r="4083" spans="1:74">
      <c r="A4083" s="18"/>
      <c r="B4083" s="19"/>
      <c r="BG4083" s="18"/>
      <c r="BH4083" s="18"/>
      <c r="BI4083" s="18"/>
      <c r="BJ4083" s="18"/>
      <c r="BK4083" s="18"/>
      <c r="BL4083" s="18"/>
      <c r="BM4083" s="18"/>
      <c r="BN4083" s="18"/>
      <c r="BO4083" s="18"/>
      <c r="BP4083" s="18"/>
      <c r="BQ4083" s="18"/>
      <c r="BR4083" s="18"/>
      <c r="BS4083" s="18"/>
      <c r="BT4083" s="18"/>
      <c r="BU4083" s="18"/>
      <c r="BV4083" s="18"/>
    </row>
    <row r="4084" spans="1:74">
      <c r="A4084" s="18"/>
      <c r="B4084" s="19"/>
      <c r="BG4084" s="18"/>
      <c r="BH4084" s="18"/>
      <c r="BI4084" s="18"/>
      <c r="BJ4084" s="18"/>
      <c r="BK4084" s="18"/>
      <c r="BL4084" s="18"/>
      <c r="BM4084" s="18"/>
      <c r="BN4084" s="18"/>
      <c r="BO4084" s="18"/>
      <c r="BP4084" s="18"/>
      <c r="BQ4084" s="18"/>
      <c r="BR4084" s="18"/>
      <c r="BS4084" s="18"/>
      <c r="BT4084" s="18"/>
      <c r="BU4084" s="18"/>
      <c r="BV4084" s="18"/>
    </row>
    <row r="4085" spans="1:74">
      <c r="A4085" s="18"/>
      <c r="B4085" s="19"/>
      <c r="BG4085" s="18"/>
      <c r="BH4085" s="18"/>
      <c r="BI4085" s="18"/>
      <c r="BJ4085" s="18"/>
      <c r="BK4085" s="18"/>
      <c r="BL4085" s="18"/>
      <c r="BM4085" s="18"/>
      <c r="BN4085" s="18"/>
      <c r="BO4085" s="18"/>
      <c r="BP4085" s="18"/>
      <c r="BQ4085" s="18"/>
      <c r="BR4085" s="18"/>
      <c r="BS4085" s="18"/>
      <c r="BT4085" s="18"/>
      <c r="BU4085" s="18"/>
      <c r="BV4085" s="18"/>
    </row>
    <row r="4086" spans="1:74">
      <c r="A4086" s="18"/>
      <c r="B4086" s="19"/>
      <c r="BG4086" s="18"/>
      <c r="BH4086" s="18"/>
      <c r="BI4086" s="18"/>
      <c r="BJ4086" s="18"/>
      <c r="BK4086" s="18"/>
      <c r="BL4086" s="18"/>
      <c r="BM4086" s="18"/>
      <c r="BN4086" s="18"/>
      <c r="BO4086" s="18"/>
      <c r="BP4086" s="18"/>
      <c r="BQ4086" s="18"/>
      <c r="BR4086" s="18"/>
      <c r="BS4086" s="18"/>
      <c r="BT4086" s="18"/>
      <c r="BU4086" s="18"/>
      <c r="BV4086" s="18"/>
    </row>
    <row r="4087" spans="1:74">
      <c r="A4087" s="18"/>
      <c r="B4087" s="19"/>
      <c r="BG4087" s="18"/>
      <c r="BH4087" s="18"/>
      <c r="BI4087" s="18"/>
      <c r="BJ4087" s="18"/>
      <c r="BK4087" s="18"/>
      <c r="BL4087" s="18"/>
      <c r="BM4087" s="18"/>
      <c r="BN4087" s="18"/>
      <c r="BO4087" s="18"/>
      <c r="BP4087" s="18"/>
      <c r="BQ4087" s="18"/>
      <c r="BR4087" s="18"/>
      <c r="BS4087" s="18"/>
      <c r="BT4087" s="18"/>
      <c r="BU4087" s="18"/>
      <c r="BV4087" s="18"/>
    </row>
    <row r="4088" spans="1:74">
      <c r="A4088" s="18"/>
      <c r="B4088" s="19"/>
      <c r="BG4088" s="18"/>
      <c r="BH4088" s="18"/>
      <c r="BI4088" s="18"/>
      <c r="BJ4088" s="18"/>
      <c r="BK4088" s="18"/>
      <c r="BL4088" s="18"/>
      <c r="BM4088" s="18"/>
      <c r="BN4088" s="18"/>
      <c r="BO4088" s="18"/>
      <c r="BP4088" s="18"/>
      <c r="BQ4088" s="18"/>
      <c r="BR4088" s="18"/>
      <c r="BS4088" s="18"/>
      <c r="BT4088" s="18"/>
      <c r="BU4088" s="18"/>
      <c r="BV4088" s="18"/>
    </row>
    <row r="4089" spans="1:74">
      <c r="A4089" s="18"/>
      <c r="B4089" s="19"/>
      <c r="BG4089" s="18"/>
      <c r="BH4089" s="18"/>
      <c r="BI4089" s="18"/>
      <c r="BJ4089" s="18"/>
      <c r="BK4089" s="18"/>
      <c r="BL4089" s="18"/>
      <c r="BM4089" s="18"/>
      <c r="BN4089" s="18"/>
      <c r="BO4089" s="18"/>
      <c r="BP4089" s="18"/>
      <c r="BQ4089" s="18"/>
      <c r="BR4089" s="18"/>
      <c r="BS4089" s="18"/>
      <c r="BT4089" s="18"/>
      <c r="BU4089" s="18"/>
      <c r="BV4089" s="18"/>
    </row>
    <row r="4090" spans="1:74">
      <c r="A4090" s="18"/>
      <c r="B4090" s="19"/>
      <c r="BG4090" s="18"/>
      <c r="BH4090" s="18"/>
      <c r="BI4090" s="18"/>
      <c r="BJ4090" s="18"/>
      <c r="BK4090" s="18"/>
      <c r="BL4090" s="18"/>
      <c r="BM4090" s="18"/>
      <c r="BN4090" s="18"/>
      <c r="BO4090" s="18"/>
      <c r="BP4090" s="18"/>
      <c r="BQ4090" s="18"/>
      <c r="BR4090" s="18"/>
      <c r="BS4090" s="18"/>
      <c r="BT4090" s="18"/>
      <c r="BU4090" s="18"/>
      <c r="BV4090" s="18"/>
    </row>
    <row r="4091" spans="1:74">
      <c r="A4091" s="18"/>
      <c r="B4091" s="19"/>
      <c r="BG4091" s="18"/>
      <c r="BH4091" s="18"/>
      <c r="BI4091" s="18"/>
      <c r="BJ4091" s="18"/>
      <c r="BK4091" s="18"/>
      <c r="BL4091" s="18"/>
      <c r="BM4091" s="18"/>
      <c r="BN4091" s="18"/>
      <c r="BO4091" s="18"/>
      <c r="BP4091" s="18"/>
      <c r="BQ4091" s="18"/>
      <c r="BR4091" s="18"/>
      <c r="BS4091" s="18"/>
      <c r="BT4091" s="18"/>
      <c r="BU4091" s="18"/>
      <c r="BV4091" s="18"/>
    </row>
    <row r="4092" spans="1:74">
      <c r="A4092" s="18"/>
      <c r="B4092" s="19"/>
      <c r="BG4092" s="18"/>
      <c r="BH4092" s="18"/>
      <c r="BI4092" s="18"/>
      <c r="BJ4092" s="18"/>
      <c r="BK4092" s="18"/>
      <c r="BL4092" s="18"/>
      <c r="BM4092" s="18"/>
      <c r="BN4092" s="18"/>
      <c r="BO4092" s="18"/>
      <c r="BP4092" s="18"/>
      <c r="BQ4092" s="18"/>
      <c r="BR4092" s="18"/>
      <c r="BS4092" s="18"/>
      <c r="BT4092" s="18"/>
      <c r="BU4092" s="18"/>
      <c r="BV4092" s="18"/>
    </row>
    <row r="4093" spans="1:74">
      <c r="A4093" s="18"/>
      <c r="B4093" s="19"/>
      <c r="BG4093" s="18"/>
      <c r="BH4093" s="18"/>
      <c r="BI4093" s="18"/>
      <c r="BJ4093" s="18"/>
      <c r="BK4093" s="18"/>
      <c r="BL4093" s="18"/>
      <c r="BM4093" s="18"/>
      <c r="BN4093" s="18"/>
      <c r="BO4093" s="18"/>
      <c r="BP4093" s="18"/>
      <c r="BQ4093" s="18"/>
      <c r="BR4093" s="18"/>
      <c r="BS4093" s="18"/>
      <c r="BT4093" s="18"/>
      <c r="BU4093" s="18"/>
      <c r="BV4093" s="18"/>
    </row>
    <row r="4094" spans="1:74">
      <c r="A4094" s="18"/>
      <c r="B4094" s="19"/>
      <c r="BG4094" s="18"/>
      <c r="BH4094" s="18"/>
      <c r="BI4094" s="18"/>
      <c r="BJ4094" s="18"/>
      <c r="BK4094" s="18"/>
      <c r="BL4094" s="18"/>
      <c r="BM4094" s="18"/>
      <c r="BN4094" s="18"/>
      <c r="BO4094" s="18"/>
      <c r="BP4094" s="18"/>
      <c r="BQ4094" s="18"/>
      <c r="BR4094" s="18"/>
      <c r="BS4094" s="18"/>
      <c r="BT4094" s="18"/>
      <c r="BU4094" s="18"/>
      <c r="BV4094" s="18"/>
    </row>
    <row r="4095" spans="1:74">
      <c r="A4095" s="18"/>
      <c r="B4095" s="19"/>
      <c r="BG4095" s="18"/>
      <c r="BH4095" s="18"/>
      <c r="BI4095" s="18"/>
      <c r="BJ4095" s="18"/>
      <c r="BK4095" s="18"/>
      <c r="BL4095" s="18"/>
      <c r="BM4095" s="18"/>
      <c r="BN4095" s="18"/>
      <c r="BO4095" s="18"/>
      <c r="BP4095" s="18"/>
      <c r="BQ4095" s="18"/>
      <c r="BR4095" s="18"/>
      <c r="BS4095" s="18"/>
      <c r="BT4095" s="18"/>
      <c r="BU4095" s="18"/>
      <c r="BV4095" s="18"/>
    </row>
    <row r="4096" spans="1:74">
      <c r="A4096" s="18"/>
      <c r="B4096" s="19"/>
      <c r="BG4096" s="18"/>
      <c r="BH4096" s="18"/>
      <c r="BI4096" s="18"/>
      <c r="BJ4096" s="18"/>
      <c r="BK4096" s="18"/>
      <c r="BL4096" s="18"/>
      <c r="BM4096" s="18"/>
      <c r="BN4096" s="18"/>
      <c r="BO4096" s="18"/>
      <c r="BP4096" s="18"/>
      <c r="BQ4096" s="18"/>
      <c r="BR4096" s="18"/>
      <c r="BS4096" s="18"/>
      <c r="BT4096" s="18"/>
      <c r="BU4096" s="18"/>
      <c r="BV4096" s="18"/>
    </row>
    <row r="4097" spans="1:74">
      <c r="A4097" s="18"/>
      <c r="B4097" s="19"/>
      <c r="BG4097" s="18"/>
      <c r="BH4097" s="18"/>
      <c r="BI4097" s="18"/>
      <c r="BJ4097" s="18"/>
      <c r="BK4097" s="18"/>
      <c r="BL4097" s="18"/>
      <c r="BM4097" s="18"/>
      <c r="BN4097" s="18"/>
      <c r="BO4097" s="18"/>
      <c r="BP4097" s="18"/>
      <c r="BQ4097" s="18"/>
      <c r="BR4097" s="18"/>
      <c r="BS4097" s="18"/>
      <c r="BT4097" s="18"/>
      <c r="BU4097" s="18"/>
      <c r="BV4097" s="18"/>
    </row>
    <row r="4098" spans="1:74">
      <c r="A4098" s="18"/>
      <c r="B4098" s="19"/>
      <c r="BG4098" s="18"/>
      <c r="BH4098" s="18"/>
      <c r="BI4098" s="18"/>
      <c r="BJ4098" s="18"/>
      <c r="BK4098" s="18"/>
      <c r="BL4098" s="18"/>
      <c r="BM4098" s="18"/>
      <c r="BN4098" s="18"/>
      <c r="BO4098" s="18"/>
      <c r="BP4098" s="18"/>
      <c r="BQ4098" s="18"/>
      <c r="BR4098" s="18"/>
      <c r="BS4098" s="18"/>
      <c r="BT4098" s="18"/>
      <c r="BU4098" s="18"/>
      <c r="BV4098" s="18"/>
    </row>
    <row r="4099" spans="1:74">
      <c r="A4099" s="18"/>
      <c r="B4099" s="19"/>
      <c r="BG4099" s="18"/>
      <c r="BH4099" s="18"/>
      <c r="BI4099" s="18"/>
      <c r="BJ4099" s="18"/>
      <c r="BK4099" s="18"/>
      <c r="BL4099" s="18"/>
      <c r="BM4099" s="18"/>
      <c r="BN4099" s="18"/>
      <c r="BO4099" s="18"/>
      <c r="BP4099" s="18"/>
      <c r="BQ4099" s="18"/>
      <c r="BR4099" s="18"/>
      <c r="BS4099" s="18"/>
      <c r="BT4099" s="18"/>
      <c r="BU4099" s="18"/>
      <c r="BV4099" s="18"/>
    </row>
    <row r="4100" spans="1:74">
      <c r="A4100" s="18"/>
      <c r="B4100" s="19"/>
      <c r="BG4100" s="18"/>
      <c r="BH4100" s="18"/>
      <c r="BI4100" s="18"/>
      <c r="BJ4100" s="18"/>
      <c r="BK4100" s="18"/>
      <c r="BL4100" s="18"/>
      <c r="BM4100" s="18"/>
      <c r="BN4100" s="18"/>
      <c r="BO4100" s="18"/>
      <c r="BP4100" s="18"/>
      <c r="BQ4100" s="18"/>
      <c r="BR4100" s="18"/>
      <c r="BS4100" s="18"/>
      <c r="BT4100" s="18"/>
      <c r="BU4100" s="18"/>
      <c r="BV4100" s="18"/>
    </row>
    <row r="4101" spans="1:74">
      <c r="A4101" s="18"/>
      <c r="B4101" s="19"/>
      <c r="BG4101" s="18"/>
      <c r="BH4101" s="18"/>
      <c r="BI4101" s="18"/>
      <c r="BJ4101" s="18"/>
      <c r="BK4101" s="18"/>
      <c r="BL4101" s="18"/>
      <c r="BM4101" s="18"/>
      <c r="BN4101" s="18"/>
      <c r="BO4101" s="18"/>
      <c r="BP4101" s="18"/>
      <c r="BQ4101" s="18"/>
      <c r="BR4101" s="18"/>
      <c r="BS4101" s="18"/>
      <c r="BT4101" s="18"/>
      <c r="BU4101" s="18"/>
      <c r="BV4101" s="18"/>
    </row>
    <row r="4102" spans="1:74">
      <c r="A4102" s="18"/>
      <c r="B4102" s="19"/>
      <c r="BG4102" s="18"/>
      <c r="BH4102" s="18"/>
      <c r="BI4102" s="18"/>
      <c r="BJ4102" s="18"/>
      <c r="BK4102" s="18"/>
      <c r="BL4102" s="18"/>
      <c r="BM4102" s="18"/>
      <c r="BN4102" s="18"/>
      <c r="BO4102" s="18"/>
      <c r="BP4102" s="18"/>
      <c r="BQ4102" s="18"/>
      <c r="BR4102" s="18"/>
      <c r="BS4102" s="18"/>
      <c r="BT4102" s="18"/>
      <c r="BU4102" s="18"/>
      <c r="BV4102" s="18"/>
    </row>
    <row r="4103" spans="1:74">
      <c r="A4103" s="18"/>
      <c r="B4103" s="19"/>
      <c r="BG4103" s="18"/>
      <c r="BH4103" s="18"/>
      <c r="BI4103" s="18"/>
      <c r="BJ4103" s="18"/>
      <c r="BK4103" s="18"/>
      <c r="BL4103" s="18"/>
      <c r="BM4103" s="18"/>
      <c r="BN4103" s="18"/>
      <c r="BO4103" s="18"/>
      <c r="BP4103" s="18"/>
      <c r="BQ4103" s="18"/>
      <c r="BR4103" s="18"/>
      <c r="BS4103" s="18"/>
      <c r="BT4103" s="18"/>
      <c r="BU4103" s="18"/>
      <c r="BV4103" s="18"/>
    </row>
    <row r="4104" spans="1:74">
      <c r="A4104" s="18"/>
      <c r="B4104" s="19"/>
      <c r="BG4104" s="18"/>
      <c r="BH4104" s="18"/>
      <c r="BI4104" s="18"/>
      <c r="BJ4104" s="18"/>
      <c r="BK4104" s="18"/>
      <c r="BL4104" s="18"/>
      <c r="BM4104" s="18"/>
      <c r="BN4104" s="18"/>
      <c r="BO4104" s="18"/>
      <c r="BP4104" s="18"/>
      <c r="BQ4104" s="18"/>
      <c r="BR4104" s="18"/>
      <c r="BS4104" s="18"/>
      <c r="BT4104" s="18"/>
      <c r="BU4104" s="18"/>
      <c r="BV4104" s="18"/>
    </row>
    <row r="4105" spans="1:74">
      <c r="A4105" s="18"/>
      <c r="B4105" s="19"/>
      <c r="BG4105" s="18"/>
      <c r="BH4105" s="18"/>
      <c r="BI4105" s="18"/>
      <c r="BJ4105" s="18"/>
      <c r="BK4105" s="18"/>
      <c r="BL4105" s="18"/>
      <c r="BM4105" s="18"/>
      <c r="BN4105" s="18"/>
      <c r="BO4105" s="18"/>
      <c r="BP4105" s="18"/>
      <c r="BQ4105" s="18"/>
      <c r="BR4105" s="18"/>
      <c r="BS4105" s="18"/>
      <c r="BT4105" s="18"/>
      <c r="BU4105" s="18"/>
      <c r="BV4105" s="18"/>
    </row>
    <row r="4106" spans="1:74">
      <c r="A4106" s="18"/>
      <c r="B4106" s="19"/>
      <c r="BG4106" s="18"/>
      <c r="BH4106" s="18"/>
      <c r="BI4106" s="18"/>
      <c r="BJ4106" s="18"/>
      <c r="BK4106" s="18"/>
      <c r="BL4106" s="18"/>
      <c r="BM4106" s="18"/>
      <c r="BN4106" s="18"/>
      <c r="BO4106" s="18"/>
      <c r="BP4106" s="18"/>
      <c r="BQ4106" s="18"/>
      <c r="BR4106" s="18"/>
      <c r="BS4106" s="18"/>
      <c r="BT4106" s="18"/>
      <c r="BU4106" s="18"/>
      <c r="BV4106" s="18"/>
    </row>
    <row r="4107" spans="1:74">
      <c r="A4107" s="18"/>
      <c r="B4107" s="19"/>
      <c r="BG4107" s="18"/>
      <c r="BH4107" s="18"/>
      <c r="BI4107" s="18"/>
      <c r="BJ4107" s="18"/>
      <c r="BK4107" s="18"/>
      <c r="BL4107" s="18"/>
      <c r="BM4107" s="18"/>
      <c r="BN4107" s="18"/>
      <c r="BO4107" s="18"/>
      <c r="BP4107" s="18"/>
      <c r="BQ4107" s="18"/>
      <c r="BR4107" s="18"/>
      <c r="BS4107" s="18"/>
      <c r="BT4107" s="18"/>
      <c r="BU4107" s="18"/>
      <c r="BV4107" s="18"/>
    </row>
    <row r="4108" spans="1:74">
      <c r="A4108" s="18"/>
      <c r="B4108" s="19"/>
      <c r="BG4108" s="18"/>
      <c r="BH4108" s="18"/>
      <c r="BI4108" s="18"/>
      <c r="BJ4108" s="18"/>
      <c r="BK4108" s="18"/>
      <c r="BL4108" s="18"/>
      <c r="BM4108" s="18"/>
      <c r="BN4108" s="18"/>
      <c r="BO4108" s="18"/>
      <c r="BP4108" s="18"/>
      <c r="BQ4108" s="18"/>
      <c r="BR4108" s="18"/>
      <c r="BS4108" s="18"/>
      <c r="BT4108" s="18"/>
      <c r="BU4108" s="18"/>
      <c r="BV4108" s="18"/>
    </row>
    <row r="4109" spans="1:74">
      <c r="A4109" s="18"/>
      <c r="B4109" s="19"/>
      <c r="BG4109" s="18"/>
      <c r="BH4109" s="18"/>
      <c r="BI4109" s="18"/>
      <c r="BJ4109" s="18"/>
      <c r="BK4109" s="18"/>
      <c r="BL4109" s="18"/>
      <c r="BM4109" s="18"/>
      <c r="BN4109" s="18"/>
      <c r="BO4109" s="18"/>
      <c r="BP4109" s="18"/>
      <c r="BQ4109" s="18"/>
      <c r="BR4109" s="18"/>
      <c r="BS4109" s="18"/>
      <c r="BT4109" s="18"/>
      <c r="BU4109" s="18"/>
      <c r="BV4109" s="18"/>
    </row>
    <row r="4110" spans="1:74">
      <c r="A4110" s="18"/>
      <c r="B4110" s="19"/>
      <c r="BG4110" s="18"/>
      <c r="BH4110" s="18"/>
      <c r="BI4110" s="18"/>
      <c r="BJ4110" s="18"/>
      <c r="BK4110" s="18"/>
      <c r="BL4110" s="18"/>
      <c r="BM4110" s="18"/>
      <c r="BN4110" s="18"/>
      <c r="BO4110" s="18"/>
      <c r="BP4110" s="18"/>
      <c r="BQ4110" s="18"/>
      <c r="BR4110" s="18"/>
      <c r="BS4110" s="18"/>
      <c r="BT4110" s="18"/>
      <c r="BU4110" s="18"/>
      <c r="BV4110" s="18"/>
    </row>
    <row r="4111" spans="1:74">
      <c r="A4111" s="18"/>
      <c r="B4111" s="19"/>
      <c r="BG4111" s="18"/>
      <c r="BH4111" s="18"/>
      <c r="BI4111" s="18"/>
      <c r="BJ4111" s="18"/>
      <c r="BK4111" s="18"/>
      <c r="BL4111" s="18"/>
      <c r="BM4111" s="18"/>
      <c r="BN4111" s="18"/>
      <c r="BO4111" s="18"/>
      <c r="BP4111" s="18"/>
      <c r="BQ4111" s="18"/>
      <c r="BR4111" s="18"/>
      <c r="BS4111" s="18"/>
      <c r="BT4111" s="18"/>
      <c r="BU4111" s="18"/>
      <c r="BV4111" s="18"/>
    </row>
    <row r="4112" spans="1:74">
      <c r="A4112" s="18"/>
      <c r="B4112" s="19"/>
      <c r="BG4112" s="18"/>
      <c r="BH4112" s="18"/>
      <c r="BI4112" s="18"/>
      <c r="BJ4112" s="18"/>
      <c r="BK4112" s="18"/>
      <c r="BL4112" s="18"/>
      <c r="BM4112" s="18"/>
      <c r="BN4112" s="18"/>
      <c r="BO4112" s="18"/>
      <c r="BP4112" s="18"/>
      <c r="BQ4112" s="18"/>
      <c r="BR4112" s="18"/>
      <c r="BS4112" s="18"/>
      <c r="BT4112" s="18"/>
      <c r="BU4112" s="18"/>
      <c r="BV4112" s="18"/>
    </row>
    <row r="4113" spans="1:74">
      <c r="A4113" s="18"/>
      <c r="B4113" s="19"/>
      <c r="BG4113" s="18"/>
      <c r="BH4113" s="18"/>
      <c r="BI4113" s="18"/>
      <c r="BJ4113" s="18"/>
      <c r="BK4113" s="18"/>
      <c r="BL4113" s="18"/>
      <c r="BM4113" s="18"/>
      <c r="BN4113" s="18"/>
      <c r="BO4113" s="18"/>
      <c r="BP4113" s="18"/>
      <c r="BQ4113" s="18"/>
      <c r="BR4113" s="18"/>
      <c r="BS4113" s="18"/>
      <c r="BT4113" s="18"/>
      <c r="BU4113" s="18"/>
      <c r="BV4113" s="18"/>
    </row>
    <row r="4114" spans="1:74">
      <c r="A4114" s="18"/>
      <c r="B4114" s="19"/>
      <c r="BG4114" s="18"/>
      <c r="BH4114" s="18"/>
      <c r="BI4114" s="18"/>
      <c r="BJ4114" s="18"/>
      <c r="BK4114" s="18"/>
      <c r="BL4114" s="18"/>
      <c r="BM4114" s="18"/>
      <c r="BN4114" s="18"/>
      <c r="BO4114" s="18"/>
      <c r="BP4114" s="18"/>
      <c r="BQ4114" s="18"/>
      <c r="BR4114" s="18"/>
      <c r="BS4114" s="18"/>
      <c r="BT4114" s="18"/>
      <c r="BU4114" s="18"/>
      <c r="BV4114" s="18"/>
    </row>
    <row r="4115" spans="1:74">
      <c r="A4115" s="18"/>
      <c r="B4115" s="19"/>
      <c r="BG4115" s="18"/>
      <c r="BH4115" s="18"/>
      <c r="BI4115" s="18"/>
      <c r="BJ4115" s="18"/>
      <c r="BK4115" s="18"/>
      <c r="BL4115" s="18"/>
      <c r="BM4115" s="18"/>
      <c r="BN4115" s="18"/>
      <c r="BO4115" s="18"/>
      <c r="BP4115" s="18"/>
      <c r="BQ4115" s="18"/>
      <c r="BR4115" s="18"/>
      <c r="BS4115" s="18"/>
      <c r="BT4115" s="18"/>
      <c r="BU4115" s="18"/>
      <c r="BV4115" s="18"/>
    </row>
    <row r="4116" spans="1:74">
      <c r="A4116" s="18"/>
      <c r="B4116" s="19"/>
      <c r="BG4116" s="18"/>
      <c r="BH4116" s="18"/>
      <c r="BI4116" s="18"/>
      <c r="BJ4116" s="18"/>
      <c r="BK4116" s="18"/>
      <c r="BL4116" s="18"/>
      <c r="BM4116" s="18"/>
      <c r="BN4116" s="18"/>
      <c r="BO4116" s="18"/>
      <c r="BP4116" s="18"/>
      <c r="BQ4116" s="18"/>
      <c r="BR4116" s="18"/>
      <c r="BS4116" s="18"/>
      <c r="BT4116" s="18"/>
      <c r="BU4116" s="18"/>
      <c r="BV4116" s="18"/>
    </row>
    <row r="4117" spans="1:74">
      <c r="A4117" s="18"/>
      <c r="B4117" s="19"/>
      <c r="BG4117" s="18"/>
      <c r="BH4117" s="18"/>
      <c r="BI4117" s="18"/>
      <c r="BJ4117" s="18"/>
      <c r="BK4117" s="18"/>
      <c r="BL4117" s="18"/>
      <c r="BM4117" s="18"/>
      <c r="BN4117" s="18"/>
      <c r="BO4117" s="18"/>
      <c r="BP4117" s="18"/>
      <c r="BQ4117" s="18"/>
      <c r="BR4117" s="18"/>
      <c r="BS4117" s="18"/>
      <c r="BT4117" s="18"/>
      <c r="BU4117" s="18"/>
      <c r="BV4117" s="18"/>
    </row>
    <row r="4118" spans="1:74">
      <c r="A4118" s="18"/>
      <c r="B4118" s="19"/>
      <c r="BG4118" s="18"/>
      <c r="BH4118" s="18"/>
      <c r="BI4118" s="18"/>
      <c r="BJ4118" s="18"/>
      <c r="BK4118" s="18"/>
      <c r="BL4118" s="18"/>
      <c r="BM4118" s="18"/>
      <c r="BN4118" s="18"/>
      <c r="BO4118" s="18"/>
      <c r="BP4118" s="18"/>
      <c r="BQ4118" s="18"/>
      <c r="BR4118" s="18"/>
      <c r="BS4118" s="18"/>
      <c r="BT4118" s="18"/>
      <c r="BU4118" s="18"/>
      <c r="BV4118" s="18"/>
    </row>
    <row r="4119" spans="1:74">
      <c r="A4119" s="18"/>
      <c r="B4119" s="19"/>
      <c r="BG4119" s="18"/>
      <c r="BH4119" s="18"/>
      <c r="BI4119" s="18"/>
      <c r="BJ4119" s="18"/>
      <c r="BK4119" s="18"/>
      <c r="BL4119" s="18"/>
      <c r="BM4119" s="18"/>
      <c r="BN4119" s="18"/>
      <c r="BO4119" s="18"/>
      <c r="BP4119" s="18"/>
      <c r="BQ4119" s="18"/>
      <c r="BR4119" s="18"/>
      <c r="BS4119" s="18"/>
      <c r="BT4119" s="18"/>
      <c r="BU4119" s="18"/>
      <c r="BV4119" s="18"/>
    </row>
    <row r="4120" spans="1:74">
      <c r="A4120" s="18"/>
      <c r="B4120" s="19"/>
      <c r="BG4120" s="18"/>
      <c r="BH4120" s="18"/>
      <c r="BI4120" s="18"/>
      <c r="BJ4120" s="18"/>
      <c r="BK4120" s="18"/>
      <c r="BL4120" s="18"/>
      <c r="BM4120" s="18"/>
      <c r="BN4120" s="18"/>
      <c r="BO4120" s="18"/>
      <c r="BP4120" s="18"/>
      <c r="BQ4120" s="18"/>
      <c r="BR4120" s="18"/>
      <c r="BS4120" s="18"/>
      <c r="BT4120" s="18"/>
      <c r="BU4120" s="18"/>
      <c r="BV4120" s="18"/>
    </row>
    <row r="4121" spans="1:74">
      <c r="A4121" s="18"/>
      <c r="B4121" s="19"/>
      <c r="BG4121" s="18"/>
      <c r="BH4121" s="18"/>
      <c r="BI4121" s="18"/>
      <c r="BJ4121" s="18"/>
      <c r="BK4121" s="18"/>
      <c r="BL4121" s="18"/>
      <c r="BM4121" s="18"/>
      <c r="BN4121" s="18"/>
      <c r="BO4121" s="18"/>
      <c r="BP4121" s="18"/>
      <c r="BQ4121" s="18"/>
      <c r="BR4121" s="18"/>
      <c r="BS4121" s="18"/>
      <c r="BT4121" s="18"/>
      <c r="BU4121" s="18"/>
      <c r="BV4121" s="18"/>
    </row>
    <row r="4122" spans="1:74">
      <c r="A4122" s="18"/>
      <c r="B4122" s="19"/>
      <c r="BG4122" s="18"/>
      <c r="BH4122" s="18"/>
      <c r="BI4122" s="18"/>
      <c r="BJ4122" s="18"/>
      <c r="BK4122" s="18"/>
      <c r="BL4122" s="18"/>
      <c r="BM4122" s="18"/>
      <c r="BN4122" s="18"/>
      <c r="BO4122" s="18"/>
      <c r="BP4122" s="18"/>
      <c r="BQ4122" s="18"/>
      <c r="BR4122" s="18"/>
      <c r="BS4122" s="18"/>
      <c r="BT4122" s="18"/>
      <c r="BU4122" s="18"/>
      <c r="BV4122" s="18"/>
    </row>
    <row r="4123" spans="1:74">
      <c r="A4123" s="18"/>
      <c r="B4123" s="19"/>
      <c r="BG4123" s="18"/>
      <c r="BH4123" s="18"/>
      <c r="BI4123" s="18"/>
      <c r="BJ4123" s="18"/>
      <c r="BK4123" s="18"/>
      <c r="BL4123" s="18"/>
      <c r="BM4123" s="18"/>
      <c r="BN4123" s="18"/>
      <c r="BO4123" s="18"/>
      <c r="BP4123" s="18"/>
      <c r="BQ4123" s="18"/>
      <c r="BR4123" s="18"/>
      <c r="BS4123" s="18"/>
      <c r="BT4123" s="18"/>
      <c r="BU4123" s="18"/>
      <c r="BV4123" s="18"/>
    </row>
    <row r="4124" spans="1:74">
      <c r="A4124" s="18"/>
      <c r="B4124" s="19"/>
      <c r="BG4124" s="18"/>
      <c r="BH4124" s="18"/>
      <c r="BI4124" s="18"/>
      <c r="BJ4124" s="18"/>
      <c r="BK4124" s="18"/>
      <c r="BL4124" s="18"/>
      <c r="BM4124" s="18"/>
      <c r="BN4124" s="18"/>
      <c r="BO4124" s="18"/>
      <c r="BP4124" s="18"/>
      <c r="BQ4124" s="18"/>
      <c r="BR4124" s="18"/>
      <c r="BS4124" s="18"/>
      <c r="BT4124" s="18"/>
      <c r="BU4124" s="18"/>
      <c r="BV4124" s="18"/>
    </row>
    <row r="4125" spans="1:74">
      <c r="A4125" s="18"/>
      <c r="B4125" s="19"/>
      <c r="BG4125" s="18"/>
      <c r="BH4125" s="18"/>
      <c r="BI4125" s="18"/>
      <c r="BJ4125" s="18"/>
      <c r="BK4125" s="18"/>
      <c r="BL4125" s="18"/>
      <c r="BM4125" s="18"/>
      <c r="BN4125" s="18"/>
      <c r="BO4125" s="18"/>
      <c r="BP4125" s="18"/>
      <c r="BQ4125" s="18"/>
      <c r="BR4125" s="18"/>
      <c r="BS4125" s="18"/>
      <c r="BT4125" s="18"/>
      <c r="BU4125" s="18"/>
      <c r="BV4125" s="18"/>
    </row>
    <row r="4126" spans="1:74">
      <c r="A4126" s="18"/>
      <c r="B4126" s="19"/>
      <c r="BG4126" s="18"/>
      <c r="BH4126" s="18"/>
      <c r="BI4126" s="18"/>
      <c r="BJ4126" s="18"/>
      <c r="BK4126" s="18"/>
      <c r="BL4126" s="18"/>
      <c r="BM4126" s="18"/>
      <c r="BN4126" s="18"/>
      <c r="BO4126" s="18"/>
      <c r="BP4126" s="18"/>
      <c r="BQ4126" s="18"/>
      <c r="BR4126" s="18"/>
      <c r="BS4126" s="18"/>
      <c r="BT4126" s="18"/>
      <c r="BU4126" s="18"/>
      <c r="BV4126" s="18"/>
    </row>
    <row r="4127" spans="1:74">
      <c r="A4127" s="18"/>
      <c r="B4127" s="19"/>
      <c r="BG4127" s="18"/>
      <c r="BH4127" s="18"/>
      <c r="BI4127" s="18"/>
      <c r="BJ4127" s="18"/>
      <c r="BK4127" s="18"/>
      <c r="BL4127" s="18"/>
      <c r="BM4127" s="18"/>
      <c r="BN4127" s="18"/>
      <c r="BO4127" s="18"/>
      <c r="BP4127" s="18"/>
      <c r="BQ4127" s="18"/>
      <c r="BR4127" s="18"/>
      <c r="BS4127" s="18"/>
      <c r="BT4127" s="18"/>
      <c r="BU4127" s="18"/>
      <c r="BV4127" s="18"/>
    </row>
    <row r="4128" spans="1:74">
      <c r="A4128" s="18"/>
      <c r="B4128" s="19"/>
      <c r="BG4128" s="18"/>
      <c r="BH4128" s="18"/>
      <c r="BI4128" s="18"/>
      <c r="BJ4128" s="18"/>
      <c r="BK4128" s="18"/>
      <c r="BL4128" s="18"/>
      <c r="BM4128" s="18"/>
      <c r="BN4128" s="18"/>
      <c r="BO4128" s="18"/>
      <c r="BP4128" s="18"/>
      <c r="BQ4128" s="18"/>
      <c r="BR4128" s="18"/>
      <c r="BS4128" s="18"/>
      <c r="BT4128" s="18"/>
      <c r="BU4128" s="18"/>
      <c r="BV4128" s="18"/>
    </row>
    <row r="4129" spans="1:74">
      <c r="A4129" s="18"/>
      <c r="B4129" s="19"/>
      <c r="BG4129" s="18"/>
      <c r="BH4129" s="18"/>
      <c r="BI4129" s="18"/>
      <c r="BJ4129" s="18"/>
      <c r="BK4129" s="18"/>
      <c r="BL4129" s="18"/>
      <c r="BM4129" s="18"/>
      <c r="BN4129" s="18"/>
      <c r="BO4129" s="18"/>
      <c r="BP4129" s="18"/>
      <c r="BQ4129" s="18"/>
      <c r="BR4129" s="18"/>
      <c r="BS4129" s="18"/>
      <c r="BT4129" s="18"/>
      <c r="BU4129" s="18"/>
      <c r="BV4129" s="18"/>
    </row>
    <row r="4130" spans="1:74">
      <c r="A4130" s="18"/>
      <c r="B4130" s="19"/>
      <c r="BG4130" s="18"/>
      <c r="BH4130" s="18"/>
      <c r="BI4130" s="18"/>
      <c r="BJ4130" s="18"/>
      <c r="BK4130" s="18"/>
      <c r="BL4130" s="18"/>
      <c r="BM4130" s="18"/>
      <c r="BN4130" s="18"/>
      <c r="BO4130" s="18"/>
      <c r="BP4130" s="18"/>
      <c r="BQ4130" s="18"/>
      <c r="BR4130" s="18"/>
      <c r="BS4130" s="18"/>
      <c r="BT4130" s="18"/>
      <c r="BU4130" s="18"/>
      <c r="BV4130" s="18"/>
    </row>
    <row r="4131" spans="1:74">
      <c r="A4131" s="18"/>
      <c r="B4131" s="19"/>
      <c r="BG4131" s="18"/>
      <c r="BH4131" s="18"/>
      <c r="BI4131" s="18"/>
      <c r="BJ4131" s="18"/>
      <c r="BK4131" s="18"/>
      <c r="BL4131" s="18"/>
      <c r="BM4131" s="18"/>
      <c r="BN4131" s="18"/>
      <c r="BO4131" s="18"/>
      <c r="BP4131" s="18"/>
      <c r="BQ4131" s="18"/>
      <c r="BR4131" s="18"/>
      <c r="BS4131" s="18"/>
      <c r="BT4131" s="18"/>
      <c r="BU4131" s="18"/>
      <c r="BV4131" s="18"/>
    </row>
    <row r="4132" spans="1:74">
      <c r="A4132" s="18"/>
      <c r="B4132" s="19"/>
      <c r="BG4132" s="18"/>
      <c r="BH4132" s="18"/>
      <c r="BI4132" s="18"/>
      <c r="BJ4132" s="18"/>
      <c r="BK4132" s="18"/>
      <c r="BL4132" s="18"/>
      <c r="BM4132" s="18"/>
      <c r="BN4132" s="18"/>
      <c r="BO4132" s="18"/>
      <c r="BP4132" s="18"/>
      <c r="BQ4132" s="18"/>
      <c r="BR4132" s="18"/>
      <c r="BS4132" s="18"/>
      <c r="BT4132" s="18"/>
      <c r="BU4132" s="18"/>
      <c r="BV4132" s="18"/>
    </row>
    <row r="4133" spans="1:74">
      <c r="A4133" s="18"/>
      <c r="B4133" s="19"/>
      <c r="BG4133" s="18"/>
      <c r="BH4133" s="18"/>
      <c r="BI4133" s="18"/>
      <c r="BJ4133" s="18"/>
      <c r="BK4133" s="18"/>
      <c r="BL4133" s="18"/>
      <c r="BM4133" s="18"/>
      <c r="BN4133" s="18"/>
      <c r="BO4133" s="18"/>
      <c r="BP4133" s="18"/>
      <c r="BQ4133" s="18"/>
      <c r="BR4133" s="18"/>
      <c r="BS4133" s="18"/>
      <c r="BT4133" s="18"/>
      <c r="BU4133" s="18"/>
      <c r="BV4133" s="18"/>
    </row>
    <row r="4134" spans="1:74">
      <c r="A4134" s="18"/>
      <c r="B4134" s="19"/>
      <c r="BG4134" s="18"/>
      <c r="BH4134" s="18"/>
      <c r="BI4134" s="18"/>
      <c r="BJ4134" s="18"/>
      <c r="BK4134" s="18"/>
      <c r="BL4134" s="18"/>
      <c r="BM4134" s="18"/>
      <c r="BN4134" s="18"/>
      <c r="BO4134" s="18"/>
      <c r="BP4134" s="18"/>
      <c r="BQ4134" s="18"/>
      <c r="BR4134" s="18"/>
      <c r="BS4134" s="18"/>
      <c r="BT4134" s="18"/>
      <c r="BU4134" s="18"/>
      <c r="BV4134" s="18"/>
    </row>
    <row r="4135" spans="1:74">
      <c r="A4135" s="18"/>
      <c r="B4135" s="19"/>
      <c r="BG4135" s="18"/>
      <c r="BH4135" s="18"/>
      <c r="BI4135" s="18"/>
      <c r="BJ4135" s="18"/>
      <c r="BK4135" s="18"/>
      <c r="BL4135" s="18"/>
      <c r="BM4135" s="18"/>
      <c r="BN4135" s="18"/>
      <c r="BO4135" s="18"/>
      <c r="BP4135" s="18"/>
      <c r="BQ4135" s="18"/>
      <c r="BR4135" s="18"/>
      <c r="BS4135" s="18"/>
      <c r="BT4135" s="18"/>
      <c r="BU4135" s="18"/>
      <c r="BV4135" s="18"/>
    </row>
    <row r="4136" spans="1:74">
      <c r="A4136" s="18"/>
      <c r="B4136" s="19"/>
      <c r="BG4136" s="18"/>
      <c r="BH4136" s="18"/>
      <c r="BI4136" s="18"/>
      <c r="BJ4136" s="18"/>
      <c r="BK4136" s="18"/>
      <c r="BL4136" s="18"/>
      <c r="BM4136" s="18"/>
      <c r="BN4136" s="18"/>
      <c r="BO4136" s="18"/>
      <c r="BP4136" s="18"/>
      <c r="BQ4136" s="18"/>
      <c r="BR4136" s="18"/>
      <c r="BS4136" s="18"/>
      <c r="BT4136" s="18"/>
      <c r="BU4136" s="18"/>
      <c r="BV4136" s="18"/>
    </row>
    <row r="4137" spans="1:74">
      <c r="A4137" s="18"/>
      <c r="B4137" s="19"/>
      <c r="BG4137" s="18"/>
      <c r="BH4137" s="18"/>
      <c r="BI4137" s="18"/>
      <c r="BJ4137" s="18"/>
      <c r="BK4137" s="18"/>
      <c r="BL4137" s="18"/>
      <c r="BM4137" s="18"/>
      <c r="BN4137" s="18"/>
      <c r="BO4137" s="18"/>
      <c r="BP4137" s="18"/>
      <c r="BQ4137" s="18"/>
      <c r="BR4137" s="18"/>
      <c r="BS4137" s="18"/>
      <c r="BT4137" s="18"/>
      <c r="BU4137" s="18"/>
      <c r="BV4137" s="18"/>
    </row>
    <row r="4138" spans="1:74">
      <c r="A4138" s="18"/>
      <c r="B4138" s="19"/>
      <c r="BG4138" s="18"/>
      <c r="BH4138" s="18"/>
      <c r="BI4138" s="18"/>
      <c r="BJ4138" s="18"/>
      <c r="BK4138" s="18"/>
      <c r="BL4138" s="18"/>
      <c r="BM4138" s="18"/>
      <c r="BN4138" s="18"/>
      <c r="BO4138" s="18"/>
      <c r="BP4138" s="18"/>
      <c r="BQ4138" s="18"/>
      <c r="BR4138" s="18"/>
      <c r="BS4138" s="18"/>
      <c r="BT4138" s="18"/>
      <c r="BU4138" s="18"/>
      <c r="BV4138" s="18"/>
    </row>
    <row r="4139" spans="1:74">
      <c r="A4139" s="18"/>
      <c r="B4139" s="19"/>
      <c r="BG4139" s="18"/>
      <c r="BH4139" s="18"/>
      <c r="BI4139" s="18"/>
      <c r="BJ4139" s="18"/>
      <c r="BK4139" s="18"/>
      <c r="BL4139" s="18"/>
      <c r="BM4139" s="18"/>
      <c r="BN4139" s="18"/>
      <c r="BO4139" s="18"/>
      <c r="BP4139" s="18"/>
      <c r="BQ4139" s="18"/>
      <c r="BR4139" s="18"/>
      <c r="BS4139" s="18"/>
      <c r="BT4139" s="18"/>
      <c r="BU4139" s="18"/>
      <c r="BV4139" s="18"/>
    </row>
    <row r="4140" spans="1:74">
      <c r="A4140" s="18"/>
      <c r="B4140" s="19"/>
      <c r="BG4140" s="18"/>
      <c r="BH4140" s="18"/>
      <c r="BI4140" s="18"/>
      <c r="BJ4140" s="18"/>
      <c r="BK4140" s="18"/>
      <c r="BL4140" s="18"/>
      <c r="BM4140" s="18"/>
      <c r="BN4140" s="18"/>
      <c r="BO4140" s="18"/>
      <c r="BP4140" s="18"/>
      <c r="BQ4140" s="18"/>
      <c r="BR4140" s="18"/>
      <c r="BS4140" s="18"/>
      <c r="BT4140" s="18"/>
      <c r="BU4140" s="18"/>
      <c r="BV4140" s="18"/>
    </row>
    <row r="4141" spans="1:74">
      <c r="A4141" s="18"/>
      <c r="B4141" s="19"/>
      <c r="BG4141" s="18"/>
      <c r="BH4141" s="18"/>
      <c r="BI4141" s="18"/>
      <c r="BJ4141" s="18"/>
      <c r="BK4141" s="18"/>
      <c r="BL4141" s="18"/>
      <c r="BM4141" s="18"/>
      <c r="BN4141" s="18"/>
      <c r="BO4141" s="18"/>
      <c r="BP4141" s="18"/>
      <c r="BQ4141" s="18"/>
      <c r="BR4141" s="18"/>
      <c r="BS4141" s="18"/>
      <c r="BT4141" s="18"/>
      <c r="BU4141" s="18"/>
      <c r="BV4141" s="18"/>
    </row>
    <row r="4142" spans="1:74">
      <c r="A4142" s="18"/>
      <c r="B4142" s="19"/>
      <c r="BG4142" s="18"/>
      <c r="BH4142" s="18"/>
      <c r="BI4142" s="18"/>
      <c r="BJ4142" s="18"/>
      <c r="BK4142" s="18"/>
      <c r="BL4142" s="18"/>
      <c r="BM4142" s="18"/>
      <c r="BN4142" s="18"/>
      <c r="BO4142" s="18"/>
      <c r="BP4142" s="18"/>
      <c r="BQ4142" s="18"/>
      <c r="BR4142" s="18"/>
      <c r="BS4142" s="18"/>
      <c r="BT4142" s="18"/>
      <c r="BU4142" s="18"/>
      <c r="BV4142" s="18"/>
    </row>
    <row r="4143" spans="1:74">
      <c r="A4143" s="18"/>
      <c r="B4143" s="19"/>
      <c r="BG4143" s="18"/>
      <c r="BH4143" s="18"/>
      <c r="BI4143" s="18"/>
      <c r="BJ4143" s="18"/>
      <c r="BK4143" s="18"/>
      <c r="BL4143" s="18"/>
      <c r="BM4143" s="18"/>
      <c r="BN4143" s="18"/>
      <c r="BO4143" s="18"/>
      <c r="BP4143" s="18"/>
      <c r="BQ4143" s="18"/>
      <c r="BR4143" s="18"/>
      <c r="BS4143" s="18"/>
      <c r="BT4143" s="18"/>
      <c r="BU4143" s="18"/>
      <c r="BV4143" s="18"/>
    </row>
    <row r="4144" spans="1:74">
      <c r="A4144" s="18"/>
      <c r="B4144" s="19"/>
      <c r="BG4144" s="18"/>
      <c r="BH4144" s="18"/>
      <c r="BI4144" s="18"/>
      <c r="BJ4144" s="18"/>
      <c r="BK4144" s="18"/>
      <c r="BL4144" s="18"/>
      <c r="BM4144" s="18"/>
      <c r="BN4144" s="18"/>
      <c r="BO4144" s="18"/>
      <c r="BP4144" s="18"/>
      <c r="BQ4144" s="18"/>
      <c r="BR4144" s="18"/>
      <c r="BS4144" s="18"/>
      <c r="BT4144" s="18"/>
      <c r="BU4144" s="18"/>
      <c r="BV4144" s="18"/>
    </row>
    <row r="4145" spans="1:74">
      <c r="A4145" s="18"/>
      <c r="B4145" s="19"/>
      <c r="BG4145" s="18"/>
      <c r="BH4145" s="18"/>
      <c r="BI4145" s="18"/>
      <c r="BJ4145" s="18"/>
      <c r="BK4145" s="18"/>
      <c r="BL4145" s="18"/>
      <c r="BM4145" s="18"/>
      <c r="BN4145" s="18"/>
      <c r="BO4145" s="18"/>
      <c r="BP4145" s="18"/>
      <c r="BQ4145" s="18"/>
      <c r="BR4145" s="18"/>
      <c r="BS4145" s="18"/>
      <c r="BT4145" s="18"/>
      <c r="BU4145" s="18"/>
      <c r="BV4145" s="18"/>
    </row>
    <row r="4146" spans="1:74">
      <c r="A4146" s="18"/>
      <c r="B4146" s="19"/>
      <c r="BG4146" s="18"/>
      <c r="BH4146" s="18"/>
      <c r="BI4146" s="18"/>
      <c r="BJ4146" s="18"/>
      <c r="BK4146" s="18"/>
      <c r="BL4146" s="18"/>
      <c r="BM4146" s="18"/>
      <c r="BN4146" s="18"/>
      <c r="BO4146" s="18"/>
      <c r="BP4146" s="18"/>
      <c r="BQ4146" s="18"/>
      <c r="BR4146" s="18"/>
      <c r="BS4146" s="18"/>
      <c r="BT4146" s="18"/>
      <c r="BU4146" s="18"/>
      <c r="BV4146" s="18"/>
    </row>
    <row r="4147" spans="1:74">
      <c r="A4147" s="18"/>
      <c r="B4147" s="19"/>
      <c r="BG4147" s="18"/>
      <c r="BH4147" s="18"/>
      <c r="BI4147" s="18"/>
      <c r="BJ4147" s="18"/>
      <c r="BK4147" s="18"/>
      <c r="BL4147" s="18"/>
      <c r="BM4147" s="18"/>
      <c r="BN4147" s="18"/>
      <c r="BO4147" s="18"/>
      <c r="BP4147" s="18"/>
      <c r="BQ4147" s="18"/>
      <c r="BR4147" s="18"/>
      <c r="BS4147" s="18"/>
      <c r="BT4147" s="18"/>
      <c r="BU4147" s="18"/>
      <c r="BV4147" s="18"/>
    </row>
    <row r="4148" spans="1:74">
      <c r="A4148" s="18"/>
      <c r="B4148" s="19"/>
      <c r="BG4148" s="18"/>
      <c r="BH4148" s="18"/>
      <c r="BI4148" s="18"/>
      <c r="BJ4148" s="18"/>
      <c r="BK4148" s="18"/>
      <c r="BL4148" s="18"/>
      <c r="BM4148" s="18"/>
      <c r="BN4148" s="18"/>
      <c r="BO4148" s="18"/>
      <c r="BP4148" s="18"/>
      <c r="BQ4148" s="18"/>
      <c r="BR4148" s="18"/>
      <c r="BS4148" s="18"/>
      <c r="BT4148" s="18"/>
      <c r="BU4148" s="18"/>
      <c r="BV4148" s="18"/>
    </row>
    <row r="4149" spans="1:74">
      <c r="A4149" s="18"/>
      <c r="B4149" s="19"/>
      <c r="BG4149" s="18"/>
      <c r="BH4149" s="18"/>
      <c r="BI4149" s="18"/>
      <c r="BJ4149" s="18"/>
      <c r="BK4149" s="18"/>
      <c r="BL4149" s="18"/>
      <c r="BM4149" s="18"/>
      <c r="BN4149" s="18"/>
      <c r="BO4149" s="18"/>
      <c r="BP4149" s="18"/>
      <c r="BQ4149" s="18"/>
      <c r="BR4149" s="18"/>
      <c r="BS4149" s="18"/>
      <c r="BT4149" s="18"/>
      <c r="BU4149" s="18"/>
      <c r="BV4149" s="18"/>
    </row>
    <row r="4150" spans="1:74">
      <c r="A4150" s="18"/>
      <c r="B4150" s="19"/>
      <c r="BG4150" s="18"/>
      <c r="BH4150" s="18"/>
      <c r="BI4150" s="18"/>
      <c r="BJ4150" s="18"/>
      <c r="BK4150" s="18"/>
      <c r="BL4150" s="18"/>
      <c r="BM4150" s="18"/>
      <c r="BN4150" s="18"/>
      <c r="BO4150" s="18"/>
      <c r="BP4150" s="18"/>
      <c r="BQ4150" s="18"/>
      <c r="BR4150" s="18"/>
      <c r="BS4150" s="18"/>
      <c r="BT4150" s="18"/>
      <c r="BU4150" s="18"/>
      <c r="BV4150" s="18"/>
    </row>
    <row r="4151" spans="1:74">
      <c r="A4151" s="18"/>
      <c r="B4151" s="19"/>
      <c r="BG4151" s="18"/>
      <c r="BH4151" s="18"/>
      <c r="BI4151" s="18"/>
      <c r="BJ4151" s="18"/>
      <c r="BK4151" s="18"/>
      <c r="BL4151" s="18"/>
      <c r="BM4151" s="18"/>
      <c r="BN4151" s="18"/>
      <c r="BO4151" s="18"/>
      <c r="BP4151" s="18"/>
      <c r="BQ4151" s="18"/>
      <c r="BR4151" s="18"/>
      <c r="BS4151" s="18"/>
      <c r="BT4151" s="18"/>
      <c r="BU4151" s="18"/>
      <c r="BV4151" s="18"/>
    </row>
    <row r="4152" spans="1:74">
      <c r="A4152" s="18"/>
      <c r="B4152" s="19"/>
      <c r="BG4152" s="18"/>
      <c r="BH4152" s="18"/>
      <c r="BI4152" s="18"/>
      <c r="BJ4152" s="18"/>
      <c r="BK4152" s="18"/>
      <c r="BL4152" s="18"/>
      <c r="BM4152" s="18"/>
      <c r="BN4152" s="18"/>
      <c r="BO4152" s="18"/>
      <c r="BP4152" s="18"/>
      <c r="BQ4152" s="18"/>
      <c r="BR4152" s="18"/>
      <c r="BS4152" s="18"/>
      <c r="BT4152" s="18"/>
      <c r="BU4152" s="18"/>
      <c r="BV4152" s="18"/>
    </row>
    <row r="4153" spans="1:74">
      <c r="A4153" s="18"/>
      <c r="B4153" s="19"/>
      <c r="BG4153" s="18"/>
      <c r="BH4153" s="18"/>
      <c r="BI4153" s="18"/>
      <c r="BJ4153" s="18"/>
      <c r="BK4153" s="18"/>
      <c r="BL4153" s="18"/>
      <c r="BM4153" s="18"/>
      <c r="BN4153" s="18"/>
      <c r="BO4153" s="18"/>
      <c r="BP4153" s="18"/>
      <c r="BQ4153" s="18"/>
      <c r="BR4153" s="18"/>
      <c r="BS4153" s="18"/>
      <c r="BT4153" s="18"/>
      <c r="BU4153" s="18"/>
      <c r="BV4153" s="18"/>
    </row>
    <row r="4154" spans="1:74">
      <c r="A4154" s="18"/>
      <c r="B4154" s="19"/>
      <c r="BG4154" s="18"/>
      <c r="BH4154" s="18"/>
      <c r="BI4154" s="18"/>
      <c r="BJ4154" s="18"/>
      <c r="BK4154" s="18"/>
      <c r="BL4154" s="18"/>
      <c r="BM4154" s="18"/>
      <c r="BN4154" s="18"/>
      <c r="BO4154" s="18"/>
      <c r="BP4154" s="18"/>
      <c r="BQ4154" s="18"/>
      <c r="BR4154" s="18"/>
      <c r="BS4154" s="18"/>
      <c r="BT4154" s="18"/>
      <c r="BU4154" s="18"/>
      <c r="BV4154" s="18"/>
    </row>
    <row r="4155" spans="1:74">
      <c r="A4155" s="18"/>
      <c r="B4155" s="19"/>
      <c r="BG4155" s="18"/>
      <c r="BH4155" s="18"/>
      <c r="BI4155" s="18"/>
      <c r="BJ4155" s="18"/>
      <c r="BK4155" s="18"/>
      <c r="BL4155" s="18"/>
      <c r="BM4155" s="18"/>
      <c r="BN4155" s="18"/>
      <c r="BO4155" s="18"/>
      <c r="BP4155" s="18"/>
      <c r="BQ4155" s="18"/>
      <c r="BR4155" s="18"/>
      <c r="BS4155" s="18"/>
      <c r="BT4155" s="18"/>
      <c r="BU4155" s="18"/>
      <c r="BV4155" s="18"/>
    </row>
    <row r="4156" spans="1:74">
      <c r="A4156" s="18"/>
      <c r="B4156" s="19"/>
      <c r="BG4156" s="18"/>
      <c r="BH4156" s="18"/>
      <c r="BI4156" s="18"/>
      <c r="BJ4156" s="18"/>
      <c r="BK4156" s="18"/>
      <c r="BL4156" s="18"/>
      <c r="BM4156" s="18"/>
      <c r="BN4156" s="18"/>
      <c r="BO4156" s="18"/>
      <c r="BP4156" s="18"/>
      <c r="BQ4156" s="18"/>
      <c r="BR4156" s="18"/>
      <c r="BS4156" s="18"/>
      <c r="BT4156" s="18"/>
      <c r="BU4156" s="18"/>
      <c r="BV4156" s="18"/>
    </row>
    <row r="4157" spans="1:74">
      <c r="A4157" s="18"/>
      <c r="B4157" s="19"/>
      <c r="BG4157" s="18"/>
      <c r="BH4157" s="18"/>
      <c r="BI4157" s="18"/>
      <c r="BJ4157" s="18"/>
      <c r="BK4157" s="18"/>
      <c r="BL4157" s="18"/>
      <c r="BM4157" s="18"/>
      <c r="BN4157" s="18"/>
      <c r="BO4157" s="18"/>
      <c r="BP4157" s="18"/>
      <c r="BQ4157" s="18"/>
      <c r="BR4157" s="18"/>
      <c r="BS4157" s="18"/>
      <c r="BT4157" s="18"/>
      <c r="BU4157" s="18"/>
      <c r="BV4157" s="18"/>
    </row>
    <row r="4158" spans="1:74">
      <c r="A4158" s="18"/>
      <c r="B4158" s="19"/>
      <c r="BG4158" s="18"/>
      <c r="BH4158" s="18"/>
      <c r="BI4158" s="18"/>
      <c r="BJ4158" s="18"/>
      <c r="BK4158" s="18"/>
      <c r="BL4158" s="18"/>
      <c r="BM4158" s="18"/>
      <c r="BN4158" s="18"/>
      <c r="BO4158" s="18"/>
      <c r="BP4158" s="18"/>
      <c r="BQ4158" s="18"/>
      <c r="BR4158" s="18"/>
      <c r="BS4158" s="18"/>
      <c r="BT4158" s="18"/>
      <c r="BU4158" s="18"/>
      <c r="BV4158" s="18"/>
    </row>
    <row r="4159" spans="1:74">
      <c r="A4159" s="18"/>
      <c r="B4159" s="19"/>
      <c r="BG4159" s="18"/>
      <c r="BH4159" s="18"/>
      <c r="BI4159" s="18"/>
      <c r="BJ4159" s="18"/>
      <c r="BK4159" s="18"/>
      <c r="BL4159" s="18"/>
      <c r="BM4159" s="18"/>
      <c r="BN4159" s="18"/>
      <c r="BO4159" s="18"/>
      <c r="BP4159" s="18"/>
      <c r="BQ4159" s="18"/>
      <c r="BR4159" s="18"/>
      <c r="BS4159" s="18"/>
      <c r="BT4159" s="18"/>
      <c r="BU4159" s="18"/>
      <c r="BV4159" s="18"/>
    </row>
    <row r="4160" spans="1:74">
      <c r="A4160" s="18"/>
      <c r="B4160" s="19"/>
      <c r="BG4160" s="18"/>
      <c r="BH4160" s="18"/>
      <c r="BI4160" s="18"/>
      <c r="BJ4160" s="18"/>
      <c r="BK4160" s="18"/>
      <c r="BL4160" s="18"/>
      <c r="BM4160" s="18"/>
      <c r="BN4160" s="18"/>
      <c r="BO4160" s="18"/>
      <c r="BP4160" s="18"/>
      <c r="BQ4160" s="18"/>
      <c r="BR4160" s="18"/>
      <c r="BS4160" s="18"/>
      <c r="BT4160" s="18"/>
      <c r="BU4160" s="18"/>
      <c r="BV4160" s="18"/>
    </row>
    <row r="4161" spans="1:74">
      <c r="A4161" s="18"/>
      <c r="B4161" s="19"/>
      <c r="BG4161" s="18"/>
      <c r="BH4161" s="18"/>
      <c r="BI4161" s="18"/>
      <c r="BJ4161" s="18"/>
      <c r="BK4161" s="18"/>
      <c r="BL4161" s="18"/>
      <c r="BM4161" s="18"/>
      <c r="BN4161" s="18"/>
      <c r="BO4161" s="18"/>
      <c r="BP4161" s="18"/>
      <c r="BQ4161" s="18"/>
      <c r="BR4161" s="18"/>
      <c r="BS4161" s="18"/>
      <c r="BT4161" s="18"/>
      <c r="BU4161" s="18"/>
      <c r="BV4161" s="18"/>
    </row>
    <row r="4162" spans="1:74">
      <c r="A4162" s="18"/>
      <c r="B4162" s="19"/>
      <c r="BG4162" s="18"/>
      <c r="BH4162" s="18"/>
      <c r="BI4162" s="18"/>
      <c r="BJ4162" s="18"/>
      <c r="BK4162" s="18"/>
      <c r="BL4162" s="18"/>
      <c r="BM4162" s="18"/>
      <c r="BN4162" s="18"/>
      <c r="BO4162" s="18"/>
      <c r="BP4162" s="18"/>
      <c r="BQ4162" s="18"/>
      <c r="BR4162" s="18"/>
      <c r="BS4162" s="18"/>
      <c r="BT4162" s="18"/>
      <c r="BU4162" s="18"/>
      <c r="BV4162" s="18"/>
    </row>
    <row r="4163" spans="1:74">
      <c r="A4163" s="18"/>
      <c r="B4163" s="19"/>
      <c r="BG4163" s="18"/>
      <c r="BH4163" s="18"/>
      <c r="BI4163" s="18"/>
      <c r="BJ4163" s="18"/>
      <c r="BK4163" s="18"/>
      <c r="BL4163" s="18"/>
      <c r="BM4163" s="18"/>
      <c r="BN4163" s="18"/>
      <c r="BO4163" s="18"/>
      <c r="BP4163" s="18"/>
      <c r="BQ4163" s="18"/>
      <c r="BR4163" s="18"/>
      <c r="BS4163" s="18"/>
      <c r="BT4163" s="18"/>
      <c r="BU4163" s="18"/>
      <c r="BV4163" s="18"/>
    </row>
    <row r="4164" spans="1:74">
      <c r="A4164" s="18"/>
      <c r="B4164" s="19"/>
      <c r="BG4164" s="18"/>
      <c r="BH4164" s="18"/>
      <c r="BI4164" s="18"/>
      <c r="BJ4164" s="18"/>
      <c r="BK4164" s="18"/>
      <c r="BL4164" s="18"/>
      <c r="BM4164" s="18"/>
      <c r="BN4164" s="18"/>
      <c r="BO4164" s="18"/>
      <c r="BP4164" s="18"/>
      <c r="BQ4164" s="18"/>
      <c r="BR4164" s="18"/>
      <c r="BS4164" s="18"/>
      <c r="BT4164" s="18"/>
      <c r="BU4164" s="18"/>
      <c r="BV4164" s="18"/>
    </row>
    <row r="4165" spans="1:74">
      <c r="A4165" s="18"/>
      <c r="B4165" s="19"/>
      <c r="BG4165" s="18"/>
      <c r="BH4165" s="18"/>
      <c r="BI4165" s="18"/>
      <c r="BJ4165" s="18"/>
      <c r="BK4165" s="18"/>
      <c r="BL4165" s="18"/>
      <c r="BM4165" s="18"/>
      <c r="BN4165" s="18"/>
      <c r="BO4165" s="18"/>
      <c r="BP4165" s="18"/>
      <c r="BQ4165" s="18"/>
      <c r="BR4165" s="18"/>
      <c r="BS4165" s="18"/>
      <c r="BT4165" s="18"/>
      <c r="BU4165" s="18"/>
      <c r="BV4165" s="18"/>
    </row>
    <row r="4166" spans="1:74">
      <c r="A4166" s="18"/>
      <c r="B4166" s="19"/>
      <c r="BG4166" s="18"/>
      <c r="BH4166" s="18"/>
      <c r="BI4166" s="18"/>
      <c r="BJ4166" s="18"/>
      <c r="BK4166" s="18"/>
      <c r="BL4166" s="18"/>
      <c r="BM4166" s="18"/>
      <c r="BN4166" s="18"/>
      <c r="BO4166" s="18"/>
      <c r="BP4166" s="18"/>
      <c r="BQ4166" s="18"/>
      <c r="BR4166" s="18"/>
      <c r="BS4166" s="18"/>
      <c r="BT4166" s="18"/>
      <c r="BU4166" s="18"/>
      <c r="BV4166" s="18"/>
    </row>
    <row r="4167" spans="1:74">
      <c r="A4167" s="18"/>
      <c r="B4167" s="19"/>
      <c r="BG4167" s="18"/>
      <c r="BH4167" s="18"/>
      <c r="BI4167" s="18"/>
      <c r="BJ4167" s="18"/>
      <c r="BK4167" s="18"/>
      <c r="BL4167" s="18"/>
      <c r="BM4167" s="18"/>
      <c r="BN4167" s="18"/>
      <c r="BO4167" s="18"/>
      <c r="BP4167" s="18"/>
      <c r="BQ4167" s="18"/>
      <c r="BR4167" s="18"/>
      <c r="BS4167" s="18"/>
      <c r="BT4167" s="18"/>
      <c r="BU4167" s="18"/>
      <c r="BV4167" s="18"/>
    </row>
    <row r="4168" spans="1:74">
      <c r="A4168" s="18"/>
      <c r="B4168" s="19"/>
      <c r="BG4168" s="18"/>
      <c r="BH4168" s="18"/>
      <c r="BI4168" s="18"/>
      <c r="BJ4168" s="18"/>
      <c r="BK4168" s="18"/>
      <c r="BL4168" s="18"/>
      <c r="BM4168" s="18"/>
      <c r="BN4168" s="18"/>
      <c r="BO4168" s="18"/>
      <c r="BP4168" s="18"/>
      <c r="BQ4168" s="18"/>
      <c r="BR4168" s="18"/>
      <c r="BS4168" s="18"/>
      <c r="BT4168" s="18"/>
      <c r="BU4168" s="18"/>
      <c r="BV4168" s="18"/>
    </row>
    <row r="4169" spans="1:74">
      <c r="A4169" s="18"/>
      <c r="B4169" s="19"/>
      <c r="BG4169" s="18"/>
      <c r="BH4169" s="18"/>
      <c r="BI4169" s="18"/>
      <c r="BJ4169" s="18"/>
      <c r="BK4169" s="18"/>
      <c r="BL4169" s="18"/>
      <c r="BM4169" s="18"/>
      <c r="BN4169" s="18"/>
      <c r="BO4169" s="18"/>
      <c r="BP4169" s="18"/>
      <c r="BQ4169" s="18"/>
      <c r="BR4169" s="18"/>
      <c r="BS4169" s="18"/>
      <c r="BT4169" s="18"/>
      <c r="BU4169" s="18"/>
      <c r="BV4169" s="18"/>
    </row>
    <row r="4170" spans="1:74">
      <c r="A4170" s="18"/>
      <c r="B4170" s="19"/>
      <c r="BG4170" s="18"/>
      <c r="BH4170" s="18"/>
      <c r="BI4170" s="18"/>
      <c r="BJ4170" s="18"/>
      <c r="BK4170" s="18"/>
      <c r="BL4170" s="18"/>
      <c r="BM4170" s="18"/>
      <c r="BN4170" s="18"/>
      <c r="BO4170" s="18"/>
      <c r="BP4170" s="18"/>
      <c r="BQ4170" s="18"/>
      <c r="BR4170" s="18"/>
      <c r="BS4170" s="18"/>
      <c r="BT4170" s="18"/>
      <c r="BU4170" s="18"/>
      <c r="BV4170" s="18"/>
    </row>
    <row r="4171" spans="1:74">
      <c r="A4171" s="18"/>
      <c r="B4171" s="19"/>
      <c r="BG4171" s="18"/>
      <c r="BH4171" s="18"/>
      <c r="BI4171" s="18"/>
      <c r="BJ4171" s="18"/>
      <c r="BK4171" s="18"/>
      <c r="BL4171" s="18"/>
      <c r="BM4171" s="18"/>
      <c r="BN4171" s="18"/>
      <c r="BO4171" s="18"/>
      <c r="BP4171" s="18"/>
      <c r="BQ4171" s="18"/>
      <c r="BR4171" s="18"/>
      <c r="BS4171" s="18"/>
      <c r="BT4171" s="18"/>
      <c r="BU4171" s="18"/>
      <c r="BV4171" s="18"/>
    </row>
    <row r="4172" spans="1:74">
      <c r="A4172" s="18"/>
      <c r="B4172" s="19"/>
      <c r="BG4172" s="18"/>
      <c r="BH4172" s="18"/>
      <c r="BI4172" s="18"/>
      <c r="BJ4172" s="18"/>
      <c r="BK4172" s="18"/>
      <c r="BL4172" s="18"/>
      <c r="BM4172" s="18"/>
      <c r="BN4172" s="18"/>
      <c r="BO4172" s="18"/>
      <c r="BP4172" s="18"/>
      <c r="BQ4172" s="18"/>
      <c r="BR4172" s="18"/>
      <c r="BS4172" s="18"/>
      <c r="BT4172" s="18"/>
      <c r="BU4172" s="18"/>
      <c r="BV4172" s="18"/>
    </row>
    <row r="4173" spans="1:74">
      <c r="A4173" s="18"/>
      <c r="B4173" s="19"/>
      <c r="BG4173" s="18"/>
      <c r="BH4173" s="18"/>
      <c r="BI4173" s="18"/>
      <c r="BJ4173" s="18"/>
      <c r="BK4173" s="18"/>
      <c r="BL4173" s="18"/>
      <c r="BM4173" s="18"/>
      <c r="BN4173" s="18"/>
      <c r="BO4173" s="18"/>
      <c r="BP4173" s="18"/>
      <c r="BQ4173" s="18"/>
      <c r="BR4173" s="18"/>
      <c r="BS4173" s="18"/>
      <c r="BT4173" s="18"/>
      <c r="BU4173" s="18"/>
      <c r="BV4173" s="18"/>
    </row>
    <row r="4174" spans="1:74">
      <c r="A4174" s="18"/>
      <c r="B4174" s="19"/>
      <c r="BG4174" s="18"/>
      <c r="BH4174" s="18"/>
      <c r="BI4174" s="18"/>
      <c r="BJ4174" s="18"/>
      <c r="BK4174" s="18"/>
      <c r="BL4174" s="18"/>
      <c r="BM4174" s="18"/>
      <c r="BN4174" s="18"/>
      <c r="BO4174" s="18"/>
      <c r="BP4174" s="18"/>
      <c r="BQ4174" s="18"/>
      <c r="BR4174" s="18"/>
      <c r="BS4174" s="18"/>
      <c r="BT4174" s="18"/>
      <c r="BU4174" s="18"/>
      <c r="BV4174" s="18"/>
    </row>
    <row r="4175" spans="1:74">
      <c r="A4175" s="18"/>
      <c r="B4175" s="19"/>
      <c r="BG4175" s="18"/>
      <c r="BH4175" s="18"/>
      <c r="BI4175" s="18"/>
      <c r="BJ4175" s="18"/>
      <c r="BK4175" s="18"/>
      <c r="BL4175" s="18"/>
      <c r="BM4175" s="18"/>
      <c r="BN4175" s="18"/>
      <c r="BO4175" s="18"/>
      <c r="BP4175" s="18"/>
      <c r="BQ4175" s="18"/>
      <c r="BR4175" s="18"/>
      <c r="BS4175" s="18"/>
      <c r="BT4175" s="18"/>
      <c r="BU4175" s="18"/>
      <c r="BV4175" s="18"/>
    </row>
    <row r="4176" spans="1:74">
      <c r="A4176" s="18"/>
      <c r="B4176" s="19"/>
      <c r="BG4176" s="18"/>
      <c r="BH4176" s="18"/>
      <c r="BI4176" s="18"/>
      <c r="BJ4176" s="18"/>
      <c r="BK4176" s="18"/>
      <c r="BL4176" s="18"/>
      <c r="BM4176" s="18"/>
      <c r="BN4176" s="18"/>
      <c r="BO4176" s="18"/>
      <c r="BP4176" s="18"/>
      <c r="BQ4176" s="18"/>
      <c r="BR4176" s="18"/>
      <c r="BS4176" s="18"/>
      <c r="BT4176" s="18"/>
      <c r="BU4176" s="18"/>
      <c r="BV4176" s="18"/>
    </row>
    <row r="4177" spans="1:74">
      <c r="A4177" s="18"/>
      <c r="B4177" s="19"/>
      <c r="BG4177" s="18"/>
      <c r="BH4177" s="18"/>
      <c r="BI4177" s="18"/>
      <c r="BJ4177" s="18"/>
      <c r="BK4177" s="18"/>
      <c r="BL4177" s="18"/>
      <c r="BM4177" s="18"/>
      <c r="BN4177" s="18"/>
      <c r="BO4177" s="18"/>
      <c r="BP4177" s="18"/>
      <c r="BQ4177" s="18"/>
      <c r="BR4177" s="18"/>
      <c r="BS4177" s="18"/>
      <c r="BT4177" s="18"/>
      <c r="BU4177" s="18"/>
      <c r="BV4177" s="18"/>
    </row>
    <row r="4178" spans="1:74">
      <c r="A4178" s="18"/>
      <c r="B4178" s="19"/>
      <c r="BG4178" s="18"/>
      <c r="BH4178" s="18"/>
      <c r="BI4178" s="18"/>
      <c r="BJ4178" s="18"/>
      <c r="BK4178" s="18"/>
      <c r="BL4178" s="18"/>
      <c r="BM4178" s="18"/>
      <c r="BN4178" s="18"/>
      <c r="BO4178" s="18"/>
      <c r="BP4178" s="18"/>
      <c r="BQ4178" s="18"/>
      <c r="BR4178" s="18"/>
      <c r="BS4178" s="18"/>
      <c r="BT4178" s="18"/>
      <c r="BU4178" s="18"/>
      <c r="BV4178" s="18"/>
    </row>
    <row r="4179" spans="1:74">
      <c r="A4179" s="18"/>
      <c r="B4179" s="19"/>
      <c r="BG4179" s="18"/>
      <c r="BH4179" s="18"/>
      <c r="BI4179" s="18"/>
      <c r="BJ4179" s="18"/>
      <c r="BK4179" s="18"/>
      <c r="BL4179" s="18"/>
      <c r="BM4179" s="18"/>
      <c r="BN4179" s="18"/>
      <c r="BO4179" s="18"/>
      <c r="BP4179" s="18"/>
      <c r="BQ4179" s="18"/>
      <c r="BR4179" s="18"/>
      <c r="BS4179" s="18"/>
      <c r="BT4179" s="18"/>
      <c r="BU4179" s="18"/>
      <c r="BV4179" s="18"/>
    </row>
    <row r="4180" spans="1:74">
      <c r="A4180" s="18"/>
      <c r="B4180" s="19"/>
      <c r="BG4180" s="18"/>
      <c r="BH4180" s="18"/>
      <c r="BI4180" s="18"/>
      <c r="BJ4180" s="18"/>
      <c r="BK4180" s="18"/>
      <c r="BL4180" s="18"/>
      <c r="BM4180" s="18"/>
      <c r="BN4180" s="18"/>
      <c r="BO4180" s="18"/>
      <c r="BP4180" s="18"/>
      <c r="BQ4180" s="18"/>
      <c r="BR4180" s="18"/>
      <c r="BS4180" s="18"/>
      <c r="BT4180" s="18"/>
      <c r="BU4180" s="18"/>
      <c r="BV4180" s="18"/>
    </row>
    <row r="4181" spans="1:74">
      <c r="A4181" s="18"/>
      <c r="B4181" s="19"/>
      <c r="BG4181" s="18"/>
      <c r="BH4181" s="18"/>
      <c r="BI4181" s="18"/>
      <c r="BJ4181" s="18"/>
      <c r="BK4181" s="18"/>
      <c r="BL4181" s="18"/>
      <c r="BM4181" s="18"/>
      <c r="BN4181" s="18"/>
      <c r="BO4181" s="18"/>
      <c r="BP4181" s="18"/>
      <c r="BQ4181" s="18"/>
      <c r="BR4181" s="18"/>
      <c r="BS4181" s="18"/>
      <c r="BT4181" s="18"/>
      <c r="BU4181" s="18"/>
      <c r="BV4181" s="18"/>
    </row>
    <row r="4182" spans="1:74">
      <c r="A4182" s="18"/>
      <c r="B4182" s="19"/>
      <c r="BG4182" s="18"/>
      <c r="BH4182" s="18"/>
      <c r="BI4182" s="18"/>
      <c r="BJ4182" s="18"/>
      <c r="BK4182" s="18"/>
      <c r="BL4182" s="18"/>
      <c r="BM4182" s="18"/>
      <c r="BN4182" s="18"/>
      <c r="BO4182" s="18"/>
      <c r="BP4182" s="18"/>
      <c r="BQ4182" s="18"/>
      <c r="BR4182" s="18"/>
      <c r="BS4182" s="18"/>
      <c r="BT4182" s="18"/>
      <c r="BU4182" s="18"/>
      <c r="BV4182" s="18"/>
    </row>
    <row r="4183" spans="1:74">
      <c r="A4183" s="18"/>
      <c r="B4183" s="19"/>
      <c r="BG4183" s="18"/>
      <c r="BH4183" s="18"/>
      <c r="BI4183" s="18"/>
      <c r="BJ4183" s="18"/>
      <c r="BK4183" s="18"/>
      <c r="BL4183" s="18"/>
      <c r="BM4183" s="18"/>
      <c r="BN4183" s="18"/>
      <c r="BO4183" s="18"/>
      <c r="BP4183" s="18"/>
      <c r="BQ4183" s="18"/>
      <c r="BR4183" s="18"/>
      <c r="BS4183" s="18"/>
      <c r="BT4183" s="18"/>
      <c r="BU4183" s="18"/>
      <c r="BV4183" s="18"/>
    </row>
    <row r="4184" spans="1:74">
      <c r="A4184" s="18"/>
      <c r="B4184" s="19"/>
      <c r="BG4184" s="18"/>
      <c r="BH4184" s="18"/>
      <c r="BI4184" s="18"/>
      <c r="BJ4184" s="18"/>
      <c r="BK4184" s="18"/>
      <c r="BL4184" s="18"/>
      <c r="BM4184" s="18"/>
      <c r="BN4184" s="18"/>
      <c r="BO4184" s="18"/>
      <c r="BP4184" s="18"/>
      <c r="BQ4184" s="18"/>
      <c r="BR4184" s="18"/>
      <c r="BS4184" s="18"/>
      <c r="BT4184" s="18"/>
      <c r="BU4184" s="18"/>
      <c r="BV4184" s="18"/>
    </row>
    <row r="4185" spans="1:74">
      <c r="A4185" s="18"/>
      <c r="B4185" s="19"/>
      <c r="BG4185" s="18"/>
      <c r="BH4185" s="18"/>
      <c r="BI4185" s="18"/>
      <c r="BJ4185" s="18"/>
      <c r="BK4185" s="18"/>
      <c r="BL4185" s="18"/>
      <c r="BM4185" s="18"/>
      <c r="BN4185" s="18"/>
      <c r="BO4185" s="18"/>
      <c r="BP4185" s="18"/>
      <c r="BQ4185" s="18"/>
      <c r="BR4185" s="18"/>
      <c r="BS4185" s="18"/>
      <c r="BT4185" s="18"/>
      <c r="BU4185" s="18"/>
      <c r="BV4185" s="18"/>
    </row>
    <row r="4186" spans="1:74">
      <c r="A4186" s="18"/>
      <c r="B4186" s="19"/>
      <c r="BG4186" s="18"/>
      <c r="BH4186" s="18"/>
      <c r="BI4186" s="18"/>
      <c r="BJ4186" s="18"/>
      <c r="BK4186" s="18"/>
      <c r="BL4186" s="18"/>
      <c r="BM4186" s="18"/>
      <c r="BN4186" s="18"/>
      <c r="BO4186" s="18"/>
      <c r="BP4186" s="18"/>
      <c r="BQ4186" s="18"/>
      <c r="BR4186" s="18"/>
      <c r="BS4186" s="18"/>
      <c r="BT4186" s="18"/>
      <c r="BU4186" s="18"/>
      <c r="BV4186" s="18"/>
    </row>
    <row r="4187" spans="1:74">
      <c r="A4187" s="18"/>
      <c r="B4187" s="19"/>
      <c r="BG4187" s="18"/>
      <c r="BH4187" s="18"/>
      <c r="BI4187" s="18"/>
      <c r="BJ4187" s="18"/>
      <c r="BK4187" s="18"/>
      <c r="BL4187" s="18"/>
      <c r="BM4187" s="18"/>
      <c r="BN4187" s="18"/>
      <c r="BO4187" s="18"/>
      <c r="BP4187" s="18"/>
      <c r="BQ4187" s="18"/>
      <c r="BR4187" s="18"/>
      <c r="BS4187" s="18"/>
      <c r="BT4187" s="18"/>
      <c r="BU4187" s="18"/>
      <c r="BV4187" s="18"/>
    </row>
    <row r="4188" spans="1:74">
      <c r="A4188" s="18"/>
      <c r="B4188" s="19"/>
      <c r="BG4188" s="18"/>
      <c r="BH4188" s="18"/>
      <c r="BI4188" s="18"/>
      <c r="BJ4188" s="18"/>
      <c r="BK4188" s="18"/>
      <c r="BL4188" s="18"/>
      <c r="BM4188" s="18"/>
      <c r="BN4188" s="18"/>
      <c r="BO4188" s="18"/>
      <c r="BP4188" s="18"/>
      <c r="BQ4188" s="18"/>
      <c r="BR4188" s="18"/>
      <c r="BS4188" s="18"/>
      <c r="BT4188" s="18"/>
      <c r="BU4188" s="18"/>
      <c r="BV4188" s="18"/>
    </row>
    <row r="4189" spans="1:74">
      <c r="A4189" s="18"/>
      <c r="B4189" s="19"/>
      <c r="BG4189" s="18"/>
      <c r="BH4189" s="18"/>
      <c r="BI4189" s="18"/>
      <c r="BJ4189" s="18"/>
      <c r="BK4189" s="18"/>
      <c r="BL4189" s="18"/>
      <c r="BM4189" s="18"/>
      <c r="BN4189" s="18"/>
      <c r="BO4189" s="18"/>
      <c r="BP4189" s="18"/>
      <c r="BQ4189" s="18"/>
      <c r="BR4189" s="18"/>
      <c r="BS4189" s="18"/>
      <c r="BT4189" s="18"/>
      <c r="BU4189" s="18"/>
      <c r="BV4189" s="18"/>
    </row>
    <row r="4190" spans="1:74">
      <c r="A4190" s="18"/>
      <c r="B4190" s="19"/>
      <c r="BG4190" s="18"/>
      <c r="BH4190" s="18"/>
      <c r="BI4190" s="18"/>
      <c r="BJ4190" s="18"/>
      <c r="BK4190" s="18"/>
      <c r="BL4190" s="18"/>
      <c r="BM4190" s="18"/>
      <c r="BN4190" s="18"/>
      <c r="BO4190" s="18"/>
      <c r="BP4190" s="18"/>
      <c r="BQ4190" s="18"/>
      <c r="BR4190" s="18"/>
      <c r="BS4190" s="18"/>
      <c r="BT4190" s="18"/>
      <c r="BU4190" s="18"/>
      <c r="BV4190" s="18"/>
    </row>
    <row r="4191" spans="1:74">
      <c r="A4191" s="18"/>
      <c r="B4191" s="19"/>
      <c r="BG4191" s="18"/>
      <c r="BH4191" s="18"/>
      <c r="BI4191" s="18"/>
      <c r="BJ4191" s="18"/>
      <c r="BK4191" s="18"/>
      <c r="BL4191" s="18"/>
      <c r="BM4191" s="18"/>
      <c r="BN4191" s="18"/>
      <c r="BO4191" s="18"/>
      <c r="BP4191" s="18"/>
      <c r="BQ4191" s="18"/>
      <c r="BR4191" s="18"/>
      <c r="BS4191" s="18"/>
      <c r="BT4191" s="18"/>
      <c r="BU4191" s="18"/>
      <c r="BV4191" s="18"/>
    </row>
    <row r="4192" spans="1:74">
      <c r="A4192" s="18"/>
      <c r="B4192" s="19"/>
      <c r="BG4192" s="18"/>
      <c r="BH4192" s="18"/>
      <c r="BI4192" s="18"/>
      <c r="BJ4192" s="18"/>
      <c r="BK4192" s="18"/>
      <c r="BL4192" s="18"/>
      <c r="BM4192" s="18"/>
      <c r="BN4192" s="18"/>
      <c r="BO4192" s="18"/>
      <c r="BP4192" s="18"/>
      <c r="BQ4192" s="18"/>
      <c r="BR4192" s="18"/>
      <c r="BS4192" s="18"/>
      <c r="BT4192" s="18"/>
      <c r="BU4192" s="18"/>
      <c r="BV4192" s="18"/>
    </row>
    <row r="4193" spans="1:74">
      <c r="A4193" s="18"/>
      <c r="B4193" s="19"/>
      <c r="BG4193" s="18"/>
      <c r="BH4193" s="18"/>
      <c r="BI4193" s="18"/>
      <c r="BJ4193" s="18"/>
      <c r="BK4193" s="18"/>
      <c r="BL4193" s="18"/>
      <c r="BM4193" s="18"/>
      <c r="BN4193" s="18"/>
      <c r="BO4193" s="18"/>
      <c r="BP4193" s="18"/>
      <c r="BQ4193" s="18"/>
      <c r="BR4193" s="18"/>
      <c r="BS4193" s="18"/>
      <c r="BT4193" s="18"/>
      <c r="BU4193" s="18"/>
      <c r="BV4193" s="18"/>
    </row>
    <row r="4194" spans="1:74">
      <c r="A4194" s="18"/>
      <c r="B4194" s="19"/>
      <c r="BG4194" s="18"/>
      <c r="BH4194" s="18"/>
      <c r="BI4194" s="18"/>
      <c r="BJ4194" s="18"/>
      <c r="BK4194" s="18"/>
      <c r="BL4194" s="18"/>
      <c r="BM4194" s="18"/>
      <c r="BN4194" s="18"/>
      <c r="BO4194" s="18"/>
      <c r="BP4194" s="18"/>
      <c r="BQ4194" s="18"/>
      <c r="BR4194" s="18"/>
      <c r="BS4194" s="18"/>
      <c r="BT4194" s="18"/>
      <c r="BU4194" s="18"/>
      <c r="BV4194" s="18"/>
    </row>
    <row r="4195" spans="1:74">
      <c r="A4195" s="18"/>
      <c r="B4195" s="19"/>
      <c r="BG4195" s="18"/>
      <c r="BH4195" s="18"/>
      <c r="BI4195" s="18"/>
      <c r="BJ4195" s="18"/>
      <c r="BK4195" s="18"/>
      <c r="BL4195" s="18"/>
      <c r="BM4195" s="18"/>
      <c r="BN4195" s="18"/>
      <c r="BO4195" s="18"/>
      <c r="BP4195" s="18"/>
      <c r="BQ4195" s="18"/>
      <c r="BR4195" s="18"/>
      <c r="BS4195" s="18"/>
      <c r="BT4195" s="18"/>
      <c r="BU4195" s="18"/>
      <c r="BV4195" s="18"/>
    </row>
    <row r="4196" spans="1:74">
      <c r="A4196" s="18"/>
      <c r="B4196" s="19"/>
      <c r="BG4196" s="18"/>
      <c r="BH4196" s="18"/>
      <c r="BI4196" s="18"/>
      <c r="BJ4196" s="18"/>
      <c r="BK4196" s="18"/>
      <c r="BL4196" s="18"/>
      <c r="BM4196" s="18"/>
      <c r="BN4196" s="18"/>
      <c r="BO4196" s="18"/>
      <c r="BP4196" s="18"/>
      <c r="BQ4196" s="18"/>
      <c r="BR4196" s="18"/>
      <c r="BS4196" s="18"/>
      <c r="BT4196" s="18"/>
      <c r="BU4196" s="18"/>
      <c r="BV4196" s="18"/>
    </row>
    <row r="4197" spans="1:74">
      <c r="A4197" s="18"/>
      <c r="B4197" s="19"/>
      <c r="BG4197" s="18"/>
      <c r="BH4197" s="18"/>
      <c r="BI4197" s="18"/>
      <c r="BJ4197" s="18"/>
      <c r="BK4197" s="18"/>
      <c r="BL4197" s="18"/>
      <c r="BM4197" s="18"/>
      <c r="BN4197" s="18"/>
      <c r="BO4197" s="18"/>
      <c r="BP4197" s="18"/>
      <c r="BQ4197" s="18"/>
      <c r="BR4197" s="18"/>
      <c r="BS4197" s="18"/>
      <c r="BT4197" s="18"/>
      <c r="BU4197" s="18"/>
      <c r="BV4197" s="18"/>
    </row>
    <row r="4198" spans="1:74">
      <c r="A4198" s="18"/>
      <c r="B4198" s="19"/>
      <c r="BG4198" s="18"/>
      <c r="BH4198" s="18"/>
      <c r="BI4198" s="18"/>
      <c r="BJ4198" s="18"/>
      <c r="BK4198" s="18"/>
      <c r="BL4198" s="18"/>
      <c r="BM4198" s="18"/>
      <c r="BN4198" s="18"/>
      <c r="BO4198" s="18"/>
      <c r="BP4198" s="18"/>
      <c r="BQ4198" s="18"/>
      <c r="BR4198" s="18"/>
      <c r="BS4198" s="18"/>
      <c r="BT4198" s="18"/>
      <c r="BU4198" s="18"/>
      <c r="BV4198" s="18"/>
    </row>
    <row r="4199" spans="1:74">
      <c r="A4199" s="18"/>
      <c r="B4199" s="19"/>
      <c r="BG4199" s="18"/>
      <c r="BH4199" s="18"/>
      <c r="BI4199" s="18"/>
      <c r="BJ4199" s="18"/>
      <c r="BK4199" s="18"/>
      <c r="BL4199" s="18"/>
      <c r="BM4199" s="18"/>
      <c r="BN4199" s="18"/>
      <c r="BO4199" s="18"/>
      <c r="BP4199" s="18"/>
      <c r="BQ4199" s="18"/>
      <c r="BR4199" s="18"/>
      <c r="BS4199" s="18"/>
      <c r="BT4199" s="18"/>
      <c r="BU4199" s="18"/>
      <c r="BV4199" s="18"/>
    </row>
    <row r="4200" spans="1:74">
      <c r="A4200" s="18"/>
      <c r="B4200" s="19"/>
      <c r="BG4200" s="18"/>
      <c r="BH4200" s="18"/>
      <c r="BI4200" s="18"/>
      <c r="BJ4200" s="18"/>
      <c r="BK4200" s="18"/>
      <c r="BL4200" s="18"/>
      <c r="BM4200" s="18"/>
      <c r="BN4200" s="18"/>
      <c r="BO4200" s="18"/>
      <c r="BP4200" s="18"/>
      <c r="BQ4200" s="18"/>
      <c r="BR4200" s="18"/>
      <c r="BS4200" s="18"/>
      <c r="BT4200" s="18"/>
      <c r="BU4200" s="18"/>
      <c r="BV4200" s="18"/>
    </row>
    <row r="4201" spans="1:74">
      <c r="A4201" s="18"/>
      <c r="B4201" s="19"/>
      <c r="BG4201" s="18"/>
      <c r="BH4201" s="18"/>
      <c r="BI4201" s="18"/>
      <c r="BJ4201" s="18"/>
      <c r="BK4201" s="18"/>
      <c r="BL4201" s="18"/>
      <c r="BM4201" s="18"/>
      <c r="BN4201" s="18"/>
      <c r="BO4201" s="18"/>
      <c r="BP4201" s="18"/>
      <c r="BQ4201" s="18"/>
      <c r="BR4201" s="18"/>
      <c r="BS4201" s="18"/>
      <c r="BT4201" s="18"/>
      <c r="BU4201" s="18"/>
      <c r="BV4201" s="18"/>
    </row>
    <row r="4202" spans="1:74">
      <c r="A4202" s="18"/>
      <c r="B4202" s="19"/>
      <c r="BG4202" s="18"/>
      <c r="BH4202" s="18"/>
      <c r="BI4202" s="18"/>
      <c r="BJ4202" s="18"/>
      <c r="BK4202" s="18"/>
      <c r="BL4202" s="18"/>
      <c r="BM4202" s="18"/>
      <c r="BN4202" s="18"/>
      <c r="BO4202" s="18"/>
      <c r="BP4202" s="18"/>
      <c r="BQ4202" s="18"/>
      <c r="BR4202" s="18"/>
      <c r="BS4202" s="18"/>
      <c r="BT4202" s="18"/>
      <c r="BU4202" s="18"/>
      <c r="BV4202" s="18"/>
    </row>
    <row r="4203" spans="1:74">
      <c r="A4203" s="18"/>
      <c r="B4203" s="19"/>
      <c r="BG4203" s="18"/>
      <c r="BH4203" s="18"/>
      <c r="BI4203" s="18"/>
      <c r="BJ4203" s="18"/>
      <c r="BK4203" s="18"/>
      <c r="BL4203" s="18"/>
      <c r="BM4203" s="18"/>
      <c r="BN4203" s="18"/>
      <c r="BO4203" s="18"/>
      <c r="BP4203" s="18"/>
      <c r="BQ4203" s="18"/>
      <c r="BR4203" s="18"/>
      <c r="BS4203" s="18"/>
      <c r="BT4203" s="18"/>
      <c r="BU4203" s="18"/>
      <c r="BV4203" s="18"/>
    </row>
    <row r="4204" spans="1:74">
      <c r="A4204" s="18"/>
      <c r="B4204" s="19"/>
      <c r="BG4204" s="18"/>
      <c r="BH4204" s="18"/>
      <c r="BI4204" s="18"/>
      <c r="BJ4204" s="18"/>
      <c r="BK4204" s="18"/>
      <c r="BL4204" s="18"/>
      <c r="BM4204" s="18"/>
      <c r="BN4204" s="18"/>
      <c r="BO4204" s="18"/>
      <c r="BP4204" s="18"/>
      <c r="BQ4204" s="18"/>
      <c r="BR4204" s="18"/>
      <c r="BS4204" s="18"/>
      <c r="BT4204" s="18"/>
      <c r="BU4204" s="18"/>
      <c r="BV4204" s="18"/>
    </row>
    <row r="4205" spans="1:74">
      <c r="A4205" s="18"/>
      <c r="B4205" s="19"/>
      <c r="BG4205" s="18"/>
      <c r="BH4205" s="18"/>
      <c r="BI4205" s="18"/>
      <c r="BJ4205" s="18"/>
      <c r="BK4205" s="18"/>
      <c r="BL4205" s="18"/>
      <c r="BM4205" s="18"/>
      <c r="BN4205" s="18"/>
      <c r="BO4205" s="18"/>
      <c r="BP4205" s="18"/>
      <c r="BQ4205" s="18"/>
      <c r="BR4205" s="18"/>
      <c r="BS4205" s="18"/>
      <c r="BT4205" s="18"/>
      <c r="BU4205" s="18"/>
      <c r="BV4205" s="18"/>
    </row>
    <row r="4206" spans="1:74">
      <c r="A4206" s="18"/>
      <c r="B4206" s="19"/>
      <c r="BG4206" s="18"/>
      <c r="BH4206" s="18"/>
      <c r="BI4206" s="18"/>
      <c r="BJ4206" s="18"/>
      <c r="BK4206" s="18"/>
      <c r="BL4206" s="18"/>
      <c r="BM4206" s="18"/>
      <c r="BN4206" s="18"/>
      <c r="BO4206" s="18"/>
      <c r="BP4206" s="18"/>
      <c r="BQ4206" s="18"/>
      <c r="BR4206" s="18"/>
      <c r="BS4206" s="18"/>
      <c r="BT4206" s="18"/>
      <c r="BU4206" s="18"/>
      <c r="BV4206" s="18"/>
    </row>
    <row r="4207" spans="1:74">
      <c r="A4207" s="18"/>
      <c r="B4207" s="19"/>
      <c r="BG4207" s="18"/>
      <c r="BH4207" s="18"/>
      <c r="BI4207" s="18"/>
      <c r="BJ4207" s="18"/>
      <c r="BK4207" s="18"/>
      <c r="BL4207" s="18"/>
      <c r="BM4207" s="18"/>
      <c r="BN4207" s="18"/>
      <c r="BO4207" s="18"/>
      <c r="BP4207" s="18"/>
      <c r="BQ4207" s="18"/>
      <c r="BR4207" s="18"/>
      <c r="BS4207" s="18"/>
      <c r="BT4207" s="18"/>
      <c r="BU4207" s="18"/>
      <c r="BV4207" s="18"/>
    </row>
    <row r="4208" spans="1:74">
      <c r="A4208" s="18"/>
      <c r="B4208" s="19"/>
      <c r="BG4208" s="18"/>
      <c r="BH4208" s="18"/>
      <c r="BI4208" s="18"/>
      <c r="BJ4208" s="18"/>
      <c r="BK4208" s="18"/>
      <c r="BL4208" s="18"/>
      <c r="BM4208" s="18"/>
      <c r="BN4208" s="18"/>
      <c r="BO4208" s="18"/>
      <c r="BP4208" s="18"/>
      <c r="BQ4208" s="18"/>
      <c r="BR4208" s="18"/>
      <c r="BS4208" s="18"/>
      <c r="BT4208" s="18"/>
      <c r="BU4208" s="18"/>
      <c r="BV4208" s="18"/>
    </row>
    <row r="4209" spans="1:74">
      <c r="A4209" s="18"/>
      <c r="B4209" s="19"/>
      <c r="BG4209" s="18"/>
      <c r="BH4209" s="18"/>
      <c r="BI4209" s="18"/>
      <c r="BJ4209" s="18"/>
      <c r="BK4209" s="18"/>
      <c r="BL4209" s="18"/>
      <c r="BM4209" s="18"/>
      <c r="BN4209" s="18"/>
      <c r="BO4209" s="18"/>
      <c r="BP4209" s="18"/>
      <c r="BQ4209" s="18"/>
      <c r="BR4209" s="18"/>
      <c r="BS4209" s="18"/>
      <c r="BT4209" s="18"/>
      <c r="BU4209" s="18"/>
      <c r="BV4209" s="18"/>
    </row>
    <row r="4210" spans="1:74">
      <c r="A4210" s="18"/>
      <c r="B4210" s="19"/>
      <c r="BG4210" s="18"/>
      <c r="BH4210" s="18"/>
      <c r="BI4210" s="18"/>
      <c r="BJ4210" s="18"/>
      <c r="BK4210" s="18"/>
      <c r="BL4210" s="18"/>
      <c r="BM4210" s="18"/>
      <c r="BN4210" s="18"/>
      <c r="BO4210" s="18"/>
      <c r="BP4210" s="18"/>
      <c r="BQ4210" s="18"/>
      <c r="BR4210" s="18"/>
      <c r="BS4210" s="18"/>
      <c r="BT4210" s="18"/>
      <c r="BU4210" s="18"/>
      <c r="BV4210" s="18"/>
    </row>
    <row r="4211" spans="1:74">
      <c r="A4211" s="18"/>
      <c r="B4211" s="19"/>
      <c r="BG4211" s="18"/>
      <c r="BH4211" s="18"/>
      <c r="BI4211" s="18"/>
      <c r="BJ4211" s="18"/>
      <c r="BK4211" s="18"/>
      <c r="BL4211" s="18"/>
      <c r="BM4211" s="18"/>
      <c r="BN4211" s="18"/>
      <c r="BO4211" s="18"/>
      <c r="BP4211" s="18"/>
      <c r="BQ4211" s="18"/>
      <c r="BR4211" s="18"/>
      <c r="BS4211" s="18"/>
      <c r="BT4211" s="18"/>
      <c r="BU4211" s="18"/>
      <c r="BV4211" s="18"/>
    </row>
    <row r="4212" spans="1:74">
      <c r="A4212" s="18"/>
      <c r="B4212" s="19"/>
      <c r="BG4212" s="18"/>
      <c r="BH4212" s="18"/>
      <c r="BI4212" s="18"/>
      <c r="BJ4212" s="18"/>
      <c r="BK4212" s="18"/>
      <c r="BL4212" s="18"/>
      <c r="BM4212" s="18"/>
      <c r="BN4212" s="18"/>
      <c r="BO4212" s="18"/>
      <c r="BP4212" s="18"/>
      <c r="BQ4212" s="18"/>
      <c r="BR4212" s="18"/>
      <c r="BS4212" s="18"/>
      <c r="BT4212" s="18"/>
      <c r="BU4212" s="18"/>
      <c r="BV4212" s="18"/>
    </row>
    <row r="4213" spans="1:74">
      <c r="A4213" s="18"/>
      <c r="B4213" s="19"/>
      <c r="BG4213" s="18"/>
      <c r="BH4213" s="18"/>
      <c r="BI4213" s="18"/>
      <c r="BJ4213" s="18"/>
      <c r="BK4213" s="18"/>
      <c r="BL4213" s="18"/>
      <c r="BM4213" s="18"/>
      <c r="BN4213" s="18"/>
      <c r="BO4213" s="18"/>
      <c r="BP4213" s="18"/>
      <c r="BQ4213" s="18"/>
      <c r="BR4213" s="18"/>
      <c r="BS4213" s="18"/>
      <c r="BT4213" s="18"/>
      <c r="BU4213" s="18"/>
      <c r="BV4213" s="18"/>
    </row>
    <row r="4214" spans="1:74">
      <c r="A4214" s="18"/>
      <c r="B4214" s="19"/>
      <c r="BG4214" s="18"/>
      <c r="BH4214" s="18"/>
      <c r="BI4214" s="18"/>
      <c r="BJ4214" s="18"/>
      <c r="BK4214" s="18"/>
      <c r="BL4214" s="18"/>
      <c r="BM4214" s="18"/>
      <c r="BN4214" s="18"/>
      <c r="BO4214" s="18"/>
      <c r="BP4214" s="18"/>
      <c r="BQ4214" s="18"/>
      <c r="BR4214" s="18"/>
      <c r="BS4214" s="18"/>
      <c r="BT4214" s="18"/>
      <c r="BU4214" s="18"/>
      <c r="BV4214" s="18"/>
    </row>
    <row r="4215" spans="1:74">
      <c r="A4215" s="18"/>
      <c r="B4215" s="19"/>
      <c r="BG4215" s="18"/>
      <c r="BH4215" s="18"/>
      <c r="BI4215" s="18"/>
      <c r="BJ4215" s="18"/>
      <c r="BK4215" s="18"/>
      <c r="BL4215" s="18"/>
      <c r="BM4215" s="18"/>
      <c r="BN4215" s="18"/>
      <c r="BO4215" s="18"/>
      <c r="BP4215" s="18"/>
      <c r="BQ4215" s="18"/>
      <c r="BR4215" s="18"/>
      <c r="BS4215" s="18"/>
      <c r="BT4215" s="18"/>
      <c r="BU4215" s="18"/>
      <c r="BV4215" s="18"/>
    </row>
    <row r="4216" spans="1:74">
      <c r="A4216" s="18"/>
      <c r="B4216" s="19"/>
      <c r="BG4216" s="18"/>
      <c r="BH4216" s="18"/>
      <c r="BI4216" s="18"/>
      <c r="BJ4216" s="18"/>
      <c r="BK4216" s="18"/>
      <c r="BL4216" s="18"/>
      <c r="BM4216" s="18"/>
      <c r="BN4216" s="18"/>
      <c r="BO4216" s="18"/>
      <c r="BP4216" s="18"/>
      <c r="BQ4216" s="18"/>
      <c r="BR4216" s="18"/>
      <c r="BS4216" s="18"/>
      <c r="BT4216" s="18"/>
      <c r="BU4216" s="18"/>
      <c r="BV4216" s="18"/>
    </row>
    <row r="4217" spans="1:74">
      <c r="A4217" s="18"/>
      <c r="B4217" s="19"/>
      <c r="BG4217" s="18"/>
      <c r="BH4217" s="18"/>
      <c r="BI4217" s="18"/>
      <c r="BJ4217" s="18"/>
      <c r="BK4217" s="18"/>
      <c r="BL4217" s="18"/>
      <c r="BM4217" s="18"/>
      <c r="BN4217" s="18"/>
      <c r="BO4217" s="18"/>
      <c r="BP4217" s="18"/>
      <c r="BQ4217" s="18"/>
      <c r="BR4217" s="18"/>
      <c r="BS4217" s="18"/>
      <c r="BT4217" s="18"/>
      <c r="BU4217" s="18"/>
      <c r="BV4217" s="18"/>
    </row>
    <row r="4218" spans="1:74">
      <c r="A4218" s="18"/>
      <c r="B4218" s="19"/>
      <c r="BG4218" s="18"/>
      <c r="BH4218" s="18"/>
      <c r="BI4218" s="18"/>
      <c r="BJ4218" s="18"/>
      <c r="BK4218" s="18"/>
      <c r="BL4218" s="18"/>
      <c r="BM4218" s="18"/>
      <c r="BN4218" s="18"/>
      <c r="BO4218" s="18"/>
      <c r="BP4218" s="18"/>
      <c r="BQ4218" s="18"/>
      <c r="BR4218" s="18"/>
      <c r="BS4218" s="18"/>
      <c r="BT4218" s="18"/>
      <c r="BU4218" s="18"/>
      <c r="BV4218" s="18"/>
    </row>
    <row r="4219" spans="1:74">
      <c r="A4219" s="18"/>
      <c r="B4219" s="19"/>
      <c r="BG4219" s="18"/>
      <c r="BH4219" s="18"/>
      <c r="BI4219" s="18"/>
      <c r="BJ4219" s="18"/>
      <c r="BK4219" s="18"/>
      <c r="BL4219" s="18"/>
      <c r="BM4219" s="18"/>
      <c r="BN4219" s="18"/>
      <c r="BO4219" s="18"/>
      <c r="BP4219" s="18"/>
      <c r="BQ4219" s="18"/>
      <c r="BR4219" s="18"/>
      <c r="BS4219" s="18"/>
      <c r="BT4219" s="18"/>
      <c r="BU4219" s="18"/>
      <c r="BV4219" s="18"/>
    </row>
    <row r="4220" spans="1:74">
      <c r="A4220" s="18"/>
      <c r="B4220" s="19"/>
      <c r="BG4220" s="18"/>
      <c r="BH4220" s="18"/>
      <c r="BI4220" s="18"/>
      <c r="BJ4220" s="18"/>
      <c r="BK4220" s="18"/>
      <c r="BL4220" s="18"/>
      <c r="BM4220" s="18"/>
      <c r="BN4220" s="18"/>
      <c r="BO4220" s="18"/>
      <c r="BP4220" s="18"/>
      <c r="BQ4220" s="18"/>
      <c r="BR4220" s="18"/>
      <c r="BS4220" s="18"/>
      <c r="BT4220" s="18"/>
      <c r="BU4220" s="18"/>
      <c r="BV4220" s="18"/>
    </row>
    <row r="4221" spans="1:74">
      <c r="B4221" s="19"/>
      <c r="BG4221" s="18"/>
      <c r="BH4221" s="18"/>
      <c r="BI4221" s="18"/>
      <c r="BJ4221" s="18"/>
      <c r="BK4221" s="18"/>
      <c r="BL4221" s="18"/>
      <c r="BM4221" s="18"/>
      <c r="BN4221" s="18"/>
      <c r="BO4221" s="18"/>
      <c r="BP4221" s="18"/>
      <c r="BQ4221" s="18"/>
      <c r="BR4221" s="18"/>
      <c r="BS4221" s="18"/>
      <c r="BT4221" s="18"/>
      <c r="BU4221" s="18"/>
      <c r="BV4221" s="18"/>
    </row>
    <row r="4222" spans="1:74">
      <c r="B4222" s="19"/>
      <c r="BG4222" s="18"/>
      <c r="BH4222" s="18"/>
      <c r="BI4222" s="18"/>
      <c r="BJ4222" s="18"/>
      <c r="BK4222" s="18"/>
      <c r="BL4222" s="18"/>
      <c r="BM4222" s="18"/>
      <c r="BN4222" s="18"/>
      <c r="BO4222" s="18"/>
      <c r="BP4222" s="18"/>
      <c r="BQ4222" s="18"/>
      <c r="BR4222" s="18"/>
      <c r="BS4222" s="18"/>
      <c r="BT4222" s="18"/>
      <c r="BU4222" s="18"/>
      <c r="BV4222" s="18"/>
    </row>
    <row r="4223" spans="1:74">
      <c r="B4223" s="19"/>
      <c r="BG4223" s="18"/>
      <c r="BH4223" s="18"/>
      <c r="BI4223" s="18"/>
      <c r="BJ4223" s="18"/>
      <c r="BK4223" s="18"/>
      <c r="BL4223" s="18"/>
      <c r="BM4223" s="18"/>
      <c r="BN4223" s="18"/>
      <c r="BO4223" s="18"/>
      <c r="BP4223" s="18"/>
      <c r="BQ4223" s="18"/>
      <c r="BR4223" s="18"/>
      <c r="BS4223" s="18"/>
      <c r="BT4223" s="18"/>
      <c r="BU4223" s="18"/>
      <c r="BV4223" s="18"/>
    </row>
    <row r="4224" spans="1:74">
      <c r="B4224" s="19"/>
      <c r="BG4224" s="18"/>
      <c r="BH4224" s="18"/>
      <c r="BI4224" s="18"/>
      <c r="BJ4224" s="18"/>
      <c r="BK4224" s="18"/>
      <c r="BL4224" s="18"/>
      <c r="BM4224" s="18"/>
      <c r="BN4224" s="18"/>
      <c r="BO4224" s="18"/>
      <c r="BP4224" s="18"/>
      <c r="BQ4224" s="18"/>
      <c r="BR4224" s="18"/>
      <c r="BS4224" s="18"/>
      <c r="BT4224" s="18"/>
      <c r="BU4224" s="18"/>
      <c r="BV4224" s="18"/>
    </row>
    <row r="4225" spans="2:74">
      <c r="B4225" s="19"/>
      <c r="BG4225" s="18"/>
      <c r="BH4225" s="18"/>
      <c r="BI4225" s="18"/>
      <c r="BJ4225" s="18"/>
      <c r="BK4225" s="18"/>
      <c r="BL4225" s="18"/>
      <c r="BM4225" s="18"/>
      <c r="BN4225" s="18"/>
      <c r="BO4225" s="18"/>
      <c r="BP4225" s="18"/>
      <c r="BQ4225" s="18"/>
      <c r="BR4225" s="18"/>
      <c r="BS4225" s="18"/>
      <c r="BT4225" s="18"/>
      <c r="BU4225" s="18"/>
      <c r="BV4225" s="18"/>
    </row>
    <row r="4226" spans="2:74">
      <c r="B4226" s="19"/>
      <c r="BG4226" s="18"/>
      <c r="BH4226" s="18"/>
      <c r="BI4226" s="18"/>
      <c r="BJ4226" s="18"/>
      <c r="BK4226" s="18"/>
      <c r="BL4226" s="18"/>
      <c r="BM4226" s="18"/>
      <c r="BN4226" s="18"/>
      <c r="BO4226" s="18"/>
      <c r="BP4226" s="18"/>
      <c r="BQ4226" s="18"/>
      <c r="BR4226" s="18"/>
      <c r="BS4226" s="18"/>
      <c r="BT4226" s="18"/>
      <c r="BU4226" s="18"/>
      <c r="BV4226" s="18"/>
    </row>
    <row r="4227" spans="2:74">
      <c r="B4227" s="19"/>
      <c r="BG4227" s="18"/>
      <c r="BH4227" s="18"/>
      <c r="BI4227" s="18"/>
      <c r="BJ4227" s="18"/>
      <c r="BK4227" s="18"/>
      <c r="BL4227" s="18"/>
      <c r="BM4227" s="18"/>
      <c r="BN4227" s="18"/>
      <c r="BO4227" s="18"/>
      <c r="BP4227" s="18"/>
      <c r="BQ4227" s="18"/>
      <c r="BR4227" s="18"/>
      <c r="BS4227" s="18"/>
      <c r="BT4227" s="18"/>
      <c r="BU4227" s="18"/>
      <c r="BV4227" s="18"/>
    </row>
    <row r="4228" spans="2:74">
      <c r="B4228" s="19"/>
      <c r="BG4228" s="18"/>
      <c r="BH4228" s="18"/>
      <c r="BI4228" s="18"/>
      <c r="BJ4228" s="18"/>
      <c r="BK4228" s="18"/>
      <c r="BL4228" s="18"/>
      <c r="BM4228" s="18"/>
      <c r="BN4228" s="18"/>
      <c r="BO4228" s="18"/>
      <c r="BP4228" s="18"/>
      <c r="BQ4228" s="18"/>
      <c r="BR4228" s="18"/>
      <c r="BS4228" s="18"/>
      <c r="BT4228" s="18"/>
      <c r="BU4228" s="18"/>
      <c r="BV4228" s="18"/>
    </row>
    <row r="4229" spans="2:74">
      <c r="B4229" s="19"/>
      <c r="BG4229" s="18"/>
      <c r="BH4229" s="18"/>
      <c r="BI4229" s="18"/>
      <c r="BJ4229" s="18"/>
      <c r="BK4229" s="18"/>
      <c r="BL4229" s="18"/>
      <c r="BM4229" s="18"/>
      <c r="BN4229" s="18"/>
      <c r="BO4229" s="18"/>
      <c r="BP4229" s="18"/>
      <c r="BQ4229" s="18"/>
      <c r="BR4229" s="18"/>
      <c r="BS4229" s="18"/>
      <c r="BT4229" s="18"/>
      <c r="BU4229" s="18"/>
      <c r="BV4229" s="18"/>
    </row>
    <row r="4230" spans="2:74">
      <c r="B4230" s="19"/>
      <c r="BG4230" s="18"/>
      <c r="BH4230" s="18"/>
      <c r="BI4230" s="18"/>
      <c r="BJ4230" s="18"/>
      <c r="BK4230" s="18"/>
      <c r="BL4230" s="18"/>
      <c r="BM4230" s="18"/>
      <c r="BN4230" s="18"/>
      <c r="BO4230" s="18"/>
      <c r="BP4230" s="18"/>
      <c r="BQ4230" s="18"/>
      <c r="BR4230" s="18"/>
      <c r="BS4230" s="18"/>
      <c r="BT4230" s="18"/>
      <c r="BU4230" s="18"/>
      <c r="BV4230" s="18"/>
    </row>
    <row r="4231" spans="2:74">
      <c r="B4231" s="19"/>
      <c r="BG4231" s="18"/>
      <c r="BH4231" s="18"/>
      <c r="BI4231" s="18"/>
      <c r="BJ4231" s="18"/>
      <c r="BK4231" s="18"/>
      <c r="BL4231" s="18"/>
      <c r="BM4231" s="18"/>
      <c r="BN4231" s="18"/>
      <c r="BO4231" s="18"/>
      <c r="BP4231" s="18"/>
      <c r="BQ4231" s="18"/>
      <c r="BR4231" s="18"/>
      <c r="BS4231" s="18"/>
      <c r="BT4231" s="18"/>
      <c r="BU4231" s="18"/>
      <c r="BV4231" s="18"/>
    </row>
    <row r="4232" spans="2:74">
      <c r="B4232" s="19"/>
      <c r="BG4232" s="18"/>
      <c r="BH4232" s="18"/>
      <c r="BI4232" s="18"/>
      <c r="BJ4232" s="18"/>
      <c r="BK4232" s="18"/>
      <c r="BL4232" s="18"/>
      <c r="BM4232" s="18"/>
      <c r="BN4232" s="18"/>
      <c r="BO4232" s="18"/>
      <c r="BP4232" s="18"/>
      <c r="BQ4232" s="18"/>
      <c r="BR4232" s="18"/>
      <c r="BS4232" s="18"/>
      <c r="BT4232" s="18"/>
      <c r="BU4232" s="18"/>
      <c r="BV4232" s="18"/>
    </row>
    <row r="4233" spans="2:74">
      <c r="B4233" s="19"/>
      <c r="BG4233" s="18"/>
      <c r="BH4233" s="18"/>
      <c r="BI4233" s="18"/>
      <c r="BJ4233" s="18"/>
      <c r="BK4233" s="18"/>
      <c r="BL4233" s="18"/>
      <c r="BM4233" s="18"/>
      <c r="BN4233" s="18"/>
      <c r="BO4233" s="18"/>
      <c r="BP4233" s="18"/>
      <c r="BQ4233" s="18"/>
      <c r="BR4233" s="18"/>
      <c r="BS4233" s="18"/>
      <c r="BT4233" s="18"/>
      <c r="BU4233" s="18"/>
      <c r="BV4233" s="18"/>
    </row>
    <row r="4234" spans="2:74">
      <c r="B4234" s="19"/>
      <c r="BG4234" s="18"/>
      <c r="BH4234" s="18"/>
      <c r="BI4234" s="18"/>
      <c r="BJ4234" s="18"/>
      <c r="BK4234" s="18"/>
      <c r="BL4234" s="18"/>
      <c r="BM4234" s="18"/>
      <c r="BN4234" s="18"/>
      <c r="BO4234" s="18"/>
      <c r="BP4234" s="18"/>
      <c r="BQ4234" s="18"/>
      <c r="BR4234" s="18"/>
      <c r="BS4234" s="18"/>
      <c r="BT4234" s="18"/>
      <c r="BU4234" s="18"/>
      <c r="BV4234" s="18"/>
    </row>
    <row r="4235" spans="2:74">
      <c r="B4235" s="19"/>
      <c r="BG4235" s="18"/>
      <c r="BH4235" s="18"/>
      <c r="BI4235" s="18"/>
      <c r="BJ4235" s="18"/>
      <c r="BK4235" s="18"/>
      <c r="BL4235" s="18"/>
      <c r="BM4235" s="18"/>
      <c r="BN4235" s="18"/>
      <c r="BO4235" s="18"/>
      <c r="BP4235" s="18"/>
      <c r="BQ4235" s="18"/>
      <c r="BR4235" s="18"/>
      <c r="BS4235" s="18"/>
      <c r="BT4235" s="18"/>
      <c r="BU4235" s="18"/>
      <c r="BV4235" s="18"/>
    </row>
    <row r="4236" spans="2:74">
      <c r="B4236" s="19"/>
      <c r="BG4236" s="18"/>
      <c r="BH4236" s="18"/>
      <c r="BI4236" s="18"/>
      <c r="BJ4236" s="18"/>
      <c r="BK4236" s="18"/>
      <c r="BL4236" s="18"/>
      <c r="BM4236" s="18"/>
      <c r="BN4236" s="18"/>
      <c r="BO4236" s="18"/>
      <c r="BP4236" s="18"/>
      <c r="BQ4236" s="18"/>
      <c r="BR4236" s="18"/>
      <c r="BS4236" s="18"/>
      <c r="BT4236" s="18"/>
      <c r="BU4236" s="18"/>
      <c r="BV4236" s="18"/>
    </row>
    <row r="4237" spans="2:74">
      <c r="B4237" s="19"/>
      <c r="BG4237" s="18"/>
      <c r="BH4237" s="18"/>
      <c r="BI4237" s="18"/>
      <c r="BJ4237" s="18"/>
      <c r="BK4237" s="18"/>
      <c r="BL4237" s="18"/>
      <c r="BM4237" s="18"/>
      <c r="BN4237" s="18"/>
      <c r="BO4237" s="18"/>
      <c r="BP4237" s="18"/>
      <c r="BQ4237" s="18"/>
      <c r="BR4237" s="18"/>
      <c r="BS4237" s="18"/>
      <c r="BT4237" s="18"/>
      <c r="BU4237" s="18"/>
    </row>
    <row r="4238" spans="2:74">
      <c r="B4238" s="19"/>
      <c r="BG4238" s="18"/>
      <c r="BH4238" s="18"/>
      <c r="BI4238" s="18"/>
      <c r="BJ4238" s="18"/>
      <c r="BK4238" s="18"/>
      <c r="BL4238" s="18"/>
      <c r="BM4238" s="18"/>
      <c r="BN4238" s="18"/>
      <c r="BO4238" s="18"/>
      <c r="BP4238" s="18"/>
      <c r="BQ4238" s="18"/>
      <c r="BR4238" s="18"/>
      <c r="BS4238" s="18"/>
      <c r="BT4238" s="18"/>
      <c r="BU4238" s="18"/>
    </row>
    <row r="4239" spans="2:74">
      <c r="B4239" s="19"/>
      <c r="BG4239" s="18"/>
      <c r="BH4239" s="18"/>
      <c r="BI4239" s="18"/>
      <c r="BJ4239" s="18"/>
      <c r="BK4239" s="18"/>
      <c r="BL4239" s="18"/>
      <c r="BM4239" s="18"/>
      <c r="BN4239" s="18"/>
      <c r="BO4239" s="18"/>
      <c r="BP4239" s="18"/>
      <c r="BQ4239" s="18"/>
      <c r="BR4239" s="18"/>
      <c r="BS4239" s="18"/>
      <c r="BT4239" s="18"/>
      <c r="BU4239" s="18"/>
    </row>
    <row r="4240" spans="2:74">
      <c r="B4240" s="19"/>
      <c r="BG4240" s="18"/>
      <c r="BH4240" s="18"/>
      <c r="BI4240" s="18"/>
      <c r="BJ4240" s="18"/>
      <c r="BK4240" s="18"/>
      <c r="BL4240" s="18"/>
      <c r="BM4240" s="18"/>
      <c r="BN4240" s="18"/>
      <c r="BO4240" s="18"/>
      <c r="BP4240" s="18"/>
      <c r="BQ4240" s="18"/>
      <c r="BR4240" s="18"/>
      <c r="BS4240" s="18"/>
      <c r="BT4240" s="18"/>
      <c r="BU4240" s="18"/>
    </row>
    <row r="4241" spans="2:73">
      <c r="B4241" s="19"/>
      <c r="BG4241" s="18"/>
      <c r="BH4241" s="18"/>
      <c r="BI4241" s="18"/>
      <c r="BJ4241" s="18"/>
      <c r="BK4241" s="18"/>
      <c r="BL4241" s="18"/>
      <c r="BM4241" s="18"/>
      <c r="BN4241" s="18"/>
      <c r="BO4241" s="18"/>
      <c r="BP4241" s="18"/>
      <c r="BQ4241" s="18"/>
      <c r="BR4241" s="18"/>
      <c r="BS4241" s="18"/>
      <c r="BT4241" s="18"/>
      <c r="BU4241" s="18"/>
    </row>
    <row r="4242" spans="2:73">
      <c r="B4242" s="19"/>
      <c r="BG4242" s="18"/>
      <c r="BH4242" s="18"/>
      <c r="BL4242" s="18"/>
      <c r="BM4242" s="18"/>
      <c r="BN4242" s="18"/>
      <c r="BO4242" s="18"/>
      <c r="BP4242" s="18"/>
      <c r="BQ4242" s="18"/>
      <c r="BR4242" s="18"/>
      <c r="BS4242" s="18"/>
      <c r="BT4242" s="18"/>
      <c r="BU4242" s="18"/>
    </row>
  </sheetData>
  <phoneticPr fontId="3" type="noConversion"/>
  <pageMargins left="0.75" right="0.75" top="1" bottom="1" header="0.5" footer="0.5"/>
  <pageSetup orientation="portrait" horizontalDpi="200"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B683"/>
  <sheetViews>
    <sheetView showGridLines="0" zoomScale="90" zoomScaleNormal="90" workbookViewId="0">
      <pane ySplit="1" topLeftCell="A2" activePane="bottomLeft" state="frozen"/>
      <selection pane="bottomLeft" activeCell="A2" sqref="A2"/>
    </sheetView>
  </sheetViews>
  <sheetFormatPr defaultRowHeight="12.75"/>
  <cols>
    <col min="1" max="1" width="59.42578125" style="165" customWidth="1"/>
    <col min="2" max="2" width="29.28515625" style="3" bestFit="1" customWidth="1"/>
    <col min="3" max="16384" width="9.140625" style="3"/>
  </cols>
  <sheetData>
    <row r="1" spans="1:2">
      <c r="A1" s="71" t="s">
        <v>1230</v>
      </c>
      <c r="B1" s="70" t="s">
        <v>1229</v>
      </c>
    </row>
    <row r="3" spans="1:2">
      <c r="A3" s="167" t="s">
        <v>744</v>
      </c>
      <c r="B3" s="168" t="s">
        <v>742</v>
      </c>
    </row>
    <row r="4" spans="1:2">
      <c r="A4" s="167" t="s">
        <v>743</v>
      </c>
      <c r="B4" s="168" t="s">
        <v>453</v>
      </c>
    </row>
    <row r="5" spans="1:2">
      <c r="A5" s="169" t="s">
        <v>747</v>
      </c>
      <c r="B5" s="170" t="s">
        <v>745</v>
      </c>
    </row>
    <row r="6" spans="1:2">
      <c r="A6" s="169" t="s">
        <v>748</v>
      </c>
      <c r="B6" s="170" t="s">
        <v>746</v>
      </c>
    </row>
    <row r="7" spans="1:2">
      <c r="A7" s="169" t="s">
        <v>1816</v>
      </c>
      <c r="B7" s="170" t="s">
        <v>1817</v>
      </c>
    </row>
    <row r="8" spans="1:2">
      <c r="A8" s="169" t="s">
        <v>652</v>
      </c>
      <c r="B8" s="170" t="s">
        <v>652</v>
      </c>
    </row>
    <row r="9" spans="1:2">
      <c r="A9" s="169" t="s">
        <v>749</v>
      </c>
      <c r="B9" s="170" t="s">
        <v>750</v>
      </c>
    </row>
    <row r="10" spans="1:2">
      <c r="A10" s="169" t="s">
        <v>751</v>
      </c>
      <c r="B10" s="170" t="s">
        <v>752</v>
      </c>
    </row>
    <row r="11" spans="1:2">
      <c r="A11" s="169" t="s">
        <v>753</v>
      </c>
      <c r="B11" s="170" t="s">
        <v>754</v>
      </c>
    </row>
    <row r="12" spans="1:2">
      <c r="A12" s="169" t="s">
        <v>755</v>
      </c>
      <c r="B12" s="170" t="s">
        <v>756</v>
      </c>
    </row>
    <row r="13" spans="1:2">
      <c r="A13" s="169" t="s">
        <v>685</v>
      </c>
      <c r="B13" s="170" t="s">
        <v>757</v>
      </c>
    </row>
    <row r="14" spans="1:2">
      <c r="A14" s="169" t="s">
        <v>758</v>
      </c>
      <c r="B14" s="170" t="s">
        <v>759</v>
      </c>
    </row>
    <row r="15" spans="1:2">
      <c r="A15" s="169" t="s">
        <v>484</v>
      </c>
      <c r="B15" s="170" t="s">
        <v>760</v>
      </c>
    </row>
    <row r="16" spans="1:2">
      <c r="A16" s="169" t="s">
        <v>761</v>
      </c>
      <c r="B16" s="170" t="s">
        <v>762</v>
      </c>
    </row>
    <row r="17" spans="1:2">
      <c r="A17" s="169" t="s">
        <v>1227</v>
      </c>
      <c r="B17" s="170" t="s">
        <v>763</v>
      </c>
    </row>
    <row r="18" spans="1:2">
      <c r="A18" s="169" t="s">
        <v>764</v>
      </c>
      <c r="B18" s="170" t="s">
        <v>765</v>
      </c>
    </row>
    <row r="19" spans="1:2">
      <c r="A19" s="169" t="s">
        <v>1228</v>
      </c>
      <c r="B19" s="170" t="s">
        <v>766</v>
      </c>
    </row>
    <row r="20" spans="1:2">
      <c r="A20" s="169" t="s">
        <v>767</v>
      </c>
      <c r="B20" s="170" t="s">
        <v>768</v>
      </c>
    </row>
    <row r="21" spans="1:2">
      <c r="A21" s="166"/>
      <c r="B21" s="136"/>
    </row>
    <row r="22" spans="1:2">
      <c r="A22" s="169" t="s">
        <v>775</v>
      </c>
      <c r="B22" s="170" t="s">
        <v>769</v>
      </c>
    </row>
    <row r="23" spans="1:2">
      <c r="A23" s="169" t="s">
        <v>770</v>
      </c>
      <c r="B23" s="170" t="s">
        <v>802</v>
      </c>
    </row>
    <row r="24" spans="1:2">
      <c r="A24" s="169" t="s">
        <v>774</v>
      </c>
      <c r="B24" s="170" t="s">
        <v>776</v>
      </c>
    </row>
    <row r="25" spans="1:2" ht="25.5">
      <c r="A25" s="169" t="s">
        <v>771</v>
      </c>
      <c r="B25" s="170" t="s">
        <v>777</v>
      </c>
    </row>
    <row r="26" spans="1:2" ht="25.5">
      <c r="A26" s="169" t="s">
        <v>772</v>
      </c>
      <c r="B26" s="170" t="s">
        <v>778</v>
      </c>
    </row>
    <row r="27" spans="1:2" ht="25.5">
      <c r="A27" s="169" t="s">
        <v>773</v>
      </c>
      <c r="B27" s="170" t="s">
        <v>779</v>
      </c>
    </row>
    <row r="28" spans="1:2" ht="25.5">
      <c r="A28" s="169" t="s">
        <v>822</v>
      </c>
      <c r="B28" s="170" t="s">
        <v>826</v>
      </c>
    </row>
    <row r="29" spans="1:2" ht="25.5">
      <c r="A29" s="169" t="s">
        <v>823</v>
      </c>
      <c r="B29" s="170" t="s">
        <v>827</v>
      </c>
    </row>
    <row r="30" spans="1:2" ht="25.5">
      <c r="A30" s="169" t="s">
        <v>824</v>
      </c>
      <c r="B30" s="170" t="s">
        <v>828</v>
      </c>
    </row>
    <row r="31" spans="1:2" ht="25.5">
      <c r="A31" s="169" t="s">
        <v>825</v>
      </c>
      <c r="B31" s="170" t="s">
        <v>829</v>
      </c>
    </row>
    <row r="32" spans="1:2">
      <c r="A32" s="169" t="s">
        <v>780</v>
      </c>
      <c r="B32" s="170" t="s">
        <v>786</v>
      </c>
    </row>
    <row r="33" spans="1:2">
      <c r="A33" s="169" t="s">
        <v>781</v>
      </c>
      <c r="B33" s="170" t="s">
        <v>803</v>
      </c>
    </row>
    <row r="34" spans="1:2">
      <c r="A34" s="169" t="s">
        <v>782</v>
      </c>
      <c r="B34" s="170" t="s">
        <v>787</v>
      </c>
    </row>
    <row r="35" spans="1:2" ht="25.5">
      <c r="A35" s="169" t="s">
        <v>783</v>
      </c>
      <c r="B35" s="170" t="s">
        <v>788</v>
      </c>
    </row>
    <row r="36" spans="1:2" ht="25.5">
      <c r="A36" s="169" t="s">
        <v>784</v>
      </c>
      <c r="B36" s="170" t="s">
        <v>789</v>
      </c>
    </row>
    <row r="37" spans="1:2" ht="25.5">
      <c r="A37" s="169" t="s">
        <v>785</v>
      </c>
      <c r="B37" s="170" t="s">
        <v>790</v>
      </c>
    </row>
    <row r="38" spans="1:2" ht="25.5">
      <c r="A38" s="169" t="s">
        <v>830</v>
      </c>
      <c r="B38" s="170" t="s">
        <v>834</v>
      </c>
    </row>
    <row r="39" spans="1:2" ht="25.5">
      <c r="A39" s="169" t="s">
        <v>831</v>
      </c>
      <c r="B39" s="170" t="s">
        <v>835</v>
      </c>
    </row>
    <row r="40" spans="1:2" ht="25.5">
      <c r="A40" s="169" t="s">
        <v>832</v>
      </c>
      <c r="B40" s="170" t="s">
        <v>836</v>
      </c>
    </row>
    <row r="41" spans="1:2" ht="25.5">
      <c r="A41" s="169" t="s">
        <v>833</v>
      </c>
      <c r="B41" s="170" t="s">
        <v>837</v>
      </c>
    </row>
    <row r="42" spans="1:2">
      <c r="A42" s="169" t="s">
        <v>791</v>
      </c>
      <c r="B42" s="170" t="s">
        <v>797</v>
      </c>
    </row>
    <row r="43" spans="1:2">
      <c r="A43" s="169" t="s">
        <v>792</v>
      </c>
      <c r="B43" s="170" t="s">
        <v>804</v>
      </c>
    </row>
    <row r="44" spans="1:2">
      <c r="A44" s="169" t="s">
        <v>793</v>
      </c>
      <c r="B44" s="170" t="s">
        <v>798</v>
      </c>
    </row>
    <row r="45" spans="1:2" ht="25.5">
      <c r="A45" s="169" t="s">
        <v>794</v>
      </c>
      <c r="B45" s="170" t="s">
        <v>799</v>
      </c>
    </row>
    <row r="46" spans="1:2" ht="25.5">
      <c r="A46" s="169" t="s">
        <v>795</v>
      </c>
      <c r="B46" s="170" t="s">
        <v>800</v>
      </c>
    </row>
    <row r="47" spans="1:2" ht="25.5">
      <c r="A47" s="169" t="s">
        <v>796</v>
      </c>
      <c r="B47" s="170" t="s">
        <v>801</v>
      </c>
    </row>
    <row r="48" spans="1:2" ht="25.5">
      <c r="A48" s="169" t="s">
        <v>838</v>
      </c>
      <c r="B48" s="170" t="s">
        <v>842</v>
      </c>
    </row>
    <row r="49" spans="1:2" ht="25.5">
      <c r="A49" s="169" t="s">
        <v>839</v>
      </c>
      <c r="B49" s="170" t="s">
        <v>843</v>
      </c>
    </row>
    <row r="50" spans="1:2" ht="25.5">
      <c r="A50" s="169" t="s">
        <v>840</v>
      </c>
      <c r="B50" s="170" t="s">
        <v>844</v>
      </c>
    </row>
    <row r="51" spans="1:2" ht="25.5">
      <c r="A51" s="169" t="s">
        <v>841</v>
      </c>
      <c r="B51" s="170" t="s">
        <v>845</v>
      </c>
    </row>
    <row r="52" spans="1:2">
      <c r="A52" s="169" t="s">
        <v>846</v>
      </c>
      <c r="B52" s="170" t="s">
        <v>847</v>
      </c>
    </row>
    <row r="53" spans="1:2">
      <c r="A53" s="166"/>
      <c r="B53" s="136"/>
    </row>
    <row r="54" spans="1:2">
      <c r="A54" s="169" t="s">
        <v>805</v>
      </c>
      <c r="B54" s="170" t="s">
        <v>806</v>
      </c>
    </row>
    <row r="55" spans="1:2">
      <c r="A55" s="169" t="s">
        <v>807</v>
      </c>
      <c r="B55" s="170" t="s">
        <v>808</v>
      </c>
    </row>
    <row r="56" spans="1:2">
      <c r="A56" s="169" t="s">
        <v>809</v>
      </c>
      <c r="B56" s="170" t="s">
        <v>810</v>
      </c>
    </row>
    <row r="57" spans="1:2">
      <c r="A57" s="169" t="s">
        <v>811</v>
      </c>
      <c r="B57" s="170" t="s">
        <v>812</v>
      </c>
    </row>
    <row r="58" spans="1:2">
      <c r="A58" s="169" t="s">
        <v>813</v>
      </c>
      <c r="B58" s="170" t="s">
        <v>814</v>
      </c>
    </row>
    <row r="59" spans="1:2">
      <c r="A59" s="169" t="s">
        <v>815</v>
      </c>
      <c r="B59" s="170" t="s">
        <v>816</v>
      </c>
    </row>
    <row r="60" spans="1:2">
      <c r="A60" s="169" t="s">
        <v>817</v>
      </c>
      <c r="B60" s="170" t="s">
        <v>700</v>
      </c>
    </row>
    <row r="61" spans="1:2">
      <c r="A61" s="169" t="s">
        <v>818</v>
      </c>
      <c r="B61" s="170" t="s">
        <v>819</v>
      </c>
    </row>
    <row r="62" spans="1:2">
      <c r="A62" s="169" t="s">
        <v>820</v>
      </c>
      <c r="B62" s="170" t="s">
        <v>821</v>
      </c>
    </row>
    <row r="64" spans="1:2">
      <c r="A64" s="167" t="s">
        <v>848</v>
      </c>
      <c r="B64" s="168" t="s">
        <v>849</v>
      </c>
    </row>
    <row r="65" spans="1:2">
      <c r="A65" s="167" t="s">
        <v>1542</v>
      </c>
      <c r="B65" s="168" t="s">
        <v>1543</v>
      </c>
    </row>
    <row r="66" spans="1:2">
      <c r="A66" s="167" t="s">
        <v>850</v>
      </c>
      <c r="B66" s="168" t="s">
        <v>852</v>
      </c>
    </row>
    <row r="67" spans="1:2">
      <c r="A67" s="167" t="s">
        <v>851</v>
      </c>
      <c r="B67" s="168" t="s">
        <v>853</v>
      </c>
    </row>
    <row r="68" spans="1:2">
      <c r="A68" s="167" t="s">
        <v>854</v>
      </c>
      <c r="B68" s="168" t="s">
        <v>856</v>
      </c>
    </row>
    <row r="69" spans="1:2">
      <c r="A69" s="167" t="s">
        <v>855</v>
      </c>
      <c r="B69" s="168" t="s">
        <v>857</v>
      </c>
    </row>
    <row r="70" spans="1:2">
      <c r="A70" s="167" t="s">
        <v>858</v>
      </c>
      <c r="B70" s="168" t="s">
        <v>859</v>
      </c>
    </row>
    <row r="71" spans="1:2">
      <c r="A71" s="167" t="s">
        <v>860</v>
      </c>
      <c r="B71" s="168" t="s">
        <v>861</v>
      </c>
    </row>
    <row r="72" spans="1:2">
      <c r="A72" s="167" t="s">
        <v>862</v>
      </c>
      <c r="B72" s="168" t="s">
        <v>863</v>
      </c>
    </row>
    <row r="73" spans="1:2">
      <c r="A73" s="167" t="s">
        <v>864</v>
      </c>
      <c r="B73" s="168" t="s">
        <v>1544</v>
      </c>
    </row>
    <row r="74" spans="1:2">
      <c r="A74" s="167" t="s">
        <v>865</v>
      </c>
      <c r="B74" s="168" t="s">
        <v>1545</v>
      </c>
    </row>
    <row r="75" spans="1:2">
      <c r="A75" s="167" t="s">
        <v>866</v>
      </c>
      <c r="B75" s="168" t="s">
        <v>867</v>
      </c>
    </row>
    <row r="76" spans="1:2">
      <c r="A76" s="167" t="s">
        <v>871</v>
      </c>
      <c r="B76" s="168" t="s">
        <v>868</v>
      </c>
    </row>
    <row r="77" spans="1:2">
      <c r="A77" s="167" t="s">
        <v>869</v>
      </c>
      <c r="B77" s="168" t="s">
        <v>870</v>
      </c>
    </row>
    <row r="79" spans="1:2">
      <c r="A79" s="167" t="s">
        <v>1518</v>
      </c>
      <c r="B79" s="168" t="s">
        <v>1519</v>
      </c>
    </row>
    <row r="80" spans="1:2">
      <c r="A80" s="167" t="s">
        <v>1520</v>
      </c>
      <c r="B80" s="168" t="s">
        <v>1521</v>
      </c>
    </row>
    <row r="81" spans="1:2">
      <c r="A81" s="167" t="s">
        <v>1516</v>
      </c>
      <c r="B81" s="168" t="s">
        <v>872</v>
      </c>
    </row>
    <row r="82" spans="1:2">
      <c r="A82" s="167" t="s">
        <v>1517</v>
      </c>
      <c r="B82" s="168" t="s">
        <v>873</v>
      </c>
    </row>
    <row r="83" spans="1:2">
      <c r="A83" s="167" t="s">
        <v>892</v>
      </c>
      <c r="B83" s="168" t="s">
        <v>893</v>
      </c>
    </row>
    <row r="84" spans="1:2">
      <c r="A84" s="167" t="s">
        <v>874</v>
      </c>
      <c r="B84" s="168" t="s">
        <v>875</v>
      </c>
    </row>
    <row r="85" spans="1:2">
      <c r="A85" s="167" t="s">
        <v>876</v>
      </c>
      <c r="B85" s="168" t="s">
        <v>877</v>
      </c>
    </row>
    <row r="86" spans="1:2">
      <c r="A86" s="167" t="s">
        <v>878</v>
      </c>
      <c r="B86" s="168" t="s">
        <v>879</v>
      </c>
    </row>
    <row r="87" spans="1:2">
      <c r="A87" s="167" t="s">
        <v>880</v>
      </c>
      <c r="B87" s="168" t="s">
        <v>881</v>
      </c>
    </row>
    <row r="88" spans="1:2">
      <c r="A88" s="167" t="s">
        <v>883</v>
      </c>
      <c r="B88" s="168" t="s">
        <v>882</v>
      </c>
    </row>
    <row r="89" spans="1:2">
      <c r="A89" s="167" t="s">
        <v>884</v>
      </c>
      <c r="B89" s="168" t="s">
        <v>885</v>
      </c>
    </row>
    <row r="90" spans="1:2">
      <c r="A90" s="167" t="s">
        <v>886</v>
      </c>
      <c r="B90" s="168" t="s">
        <v>887</v>
      </c>
    </row>
    <row r="91" spans="1:2">
      <c r="A91" s="167" t="s">
        <v>888</v>
      </c>
      <c r="B91" s="168" t="s">
        <v>889</v>
      </c>
    </row>
    <row r="92" spans="1:2">
      <c r="A92" s="167" t="s">
        <v>890</v>
      </c>
      <c r="B92" s="168" t="s">
        <v>891</v>
      </c>
    </row>
    <row r="94" spans="1:2">
      <c r="A94" s="167" t="s">
        <v>894</v>
      </c>
      <c r="B94" s="168" t="s">
        <v>896</v>
      </c>
    </row>
    <row r="95" spans="1:2">
      <c r="A95" s="167" t="s">
        <v>895</v>
      </c>
      <c r="B95" s="168" t="s">
        <v>897</v>
      </c>
    </row>
    <row r="96" spans="1:2">
      <c r="A96" s="167" t="s">
        <v>898</v>
      </c>
      <c r="B96" s="168" t="s">
        <v>899</v>
      </c>
    </row>
    <row r="97" spans="1:2">
      <c r="A97" s="167" t="s">
        <v>900</v>
      </c>
      <c r="B97" s="168" t="s">
        <v>901</v>
      </c>
    </row>
    <row r="98" spans="1:2">
      <c r="A98" s="167" t="s">
        <v>902</v>
      </c>
      <c r="B98" s="168" t="s">
        <v>903</v>
      </c>
    </row>
    <row r="99" spans="1:2">
      <c r="A99" s="167" t="s">
        <v>905</v>
      </c>
      <c r="B99" s="168" t="s">
        <v>904</v>
      </c>
    </row>
    <row r="100" spans="1:2">
      <c r="A100" s="167" t="s">
        <v>906</v>
      </c>
      <c r="B100" s="168" t="s">
        <v>907</v>
      </c>
    </row>
    <row r="101" spans="1:2">
      <c r="A101" s="167" t="s">
        <v>909</v>
      </c>
      <c r="B101" s="168" t="s">
        <v>908</v>
      </c>
    </row>
    <row r="102" spans="1:2">
      <c r="A102" s="167" t="s">
        <v>910</v>
      </c>
      <c r="B102" s="168" t="s">
        <v>911</v>
      </c>
    </row>
    <row r="103" spans="1:2">
      <c r="A103" s="167" t="s">
        <v>912</v>
      </c>
      <c r="B103" s="168" t="s">
        <v>913</v>
      </c>
    </row>
    <row r="105" spans="1:2">
      <c r="A105" s="167" t="s">
        <v>914</v>
      </c>
      <c r="B105" s="168" t="s">
        <v>929</v>
      </c>
    </row>
    <row r="106" spans="1:2">
      <c r="A106" s="167" t="s">
        <v>915</v>
      </c>
      <c r="B106" s="168" t="s">
        <v>930</v>
      </c>
    </row>
    <row r="107" spans="1:2">
      <c r="A107" s="167" t="s">
        <v>916</v>
      </c>
      <c r="B107" s="168" t="s">
        <v>931</v>
      </c>
    </row>
    <row r="108" spans="1:2">
      <c r="A108" s="167" t="s">
        <v>917</v>
      </c>
      <c r="B108" s="168" t="s">
        <v>932</v>
      </c>
    </row>
    <row r="109" spans="1:2">
      <c r="A109" s="167" t="s">
        <v>918</v>
      </c>
      <c r="B109" s="168" t="s">
        <v>933</v>
      </c>
    </row>
    <row r="110" spans="1:2">
      <c r="A110" s="167" t="s">
        <v>919</v>
      </c>
      <c r="B110" s="168" t="s">
        <v>934</v>
      </c>
    </row>
    <row r="111" spans="1:2">
      <c r="A111" s="167" t="s">
        <v>920</v>
      </c>
      <c r="B111" s="168" t="s">
        <v>935</v>
      </c>
    </row>
    <row r="112" spans="1:2">
      <c r="A112" s="167" t="s">
        <v>921</v>
      </c>
      <c r="B112" s="168" t="s">
        <v>936</v>
      </c>
    </row>
    <row r="113" spans="1:2">
      <c r="A113" s="167" t="s">
        <v>922</v>
      </c>
      <c r="B113" s="168" t="s">
        <v>937</v>
      </c>
    </row>
    <row r="114" spans="1:2">
      <c r="A114" s="167" t="s">
        <v>923</v>
      </c>
      <c r="B114" s="168" t="s">
        <v>938</v>
      </c>
    </row>
    <row r="115" spans="1:2">
      <c r="A115" s="167" t="s">
        <v>924</v>
      </c>
      <c r="B115" s="168" t="s">
        <v>939</v>
      </c>
    </row>
    <row r="116" spans="1:2">
      <c r="A116" s="167" t="s">
        <v>925</v>
      </c>
      <c r="B116" s="168" t="s">
        <v>940</v>
      </c>
    </row>
    <row r="117" spans="1:2">
      <c r="A117" s="167" t="s">
        <v>926</v>
      </c>
      <c r="B117" s="168" t="s">
        <v>941</v>
      </c>
    </row>
    <row r="118" spans="1:2">
      <c r="A118" s="167" t="s">
        <v>927</v>
      </c>
      <c r="B118" s="168" t="s">
        <v>942</v>
      </c>
    </row>
    <row r="119" spans="1:2">
      <c r="A119" s="167" t="s">
        <v>928</v>
      </c>
      <c r="B119" s="168" t="s">
        <v>943</v>
      </c>
    </row>
    <row r="120" spans="1:2">
      <c r="A120" s="167" t="s">
        <v>944</v>
      </c>
      <c r="B120" s="168" t="s">
        <v>948</v>
      </c>
    </row>
    <row r="121" spans="1:2">
      <c r="A121" s="167" t="s">
        <v>945</v>
      </c>
      <c r="B121" s="168" t="s">
        <v>949</v>
      </c>
    </row>
    <row r="122" spans="1:2">
      <c r="A122" s="167" t="s">
        <v>946</v>
      </c>
      <c r="B122" s="168" t="s">
        <v>950</v>
      </c>
    </row>
    <row r="123" spans="1:2">
      <c r="A123" s="167" t="s">
        <v>947</v>
      </c>
      <c r="B123" s="168" t="s">
        <v>951</v>
      </c>
    </row>
    <row r="124" spans="1:2">
      <c r="A124" s="167" t="s">
        <v>952</v>
      </c>
      <c r="B124" s="168" t="s">
        <v>959</v>
      </c>
    </row>
    <row r="125" spans="1:2">
      <c r="A125" s="167" t="s">
        <v>953</v>
      </c>
      <c r="B125" s="168" t="s">
        <v>960</v>
      </c>
    </row>
    <row r="126" spans="1:2">
      <c r="A126" s="167" t="s">
        <v>954</v>
      </c>
      <c r="B126" s="168" t="s">
        <v>961</v>
      </c>
    </row>
    <row r="127" spans="1:2">
      <c r="A127" s="167" t="s">
        <v>955</v>
      </c>
      <c r="B127" s="168" t="s">
        <v>962</v>
      </c>
    </row>
    <row r="128" spans="1:2">
      <c r="A128" s="167" t="s">
        <v>956</v>
      </c>
      <c r="B128" s="168" t="s">
        <v>963</v>
      </c>
    </row>
    <row r="129" spans="1:2">
      <c r="A129" s="167" t="s">
        <v>957</v>
      </c>
      <c r="B129" s="168" t="s">
        <v>964</v>
      </c>
    </row>
    <row r="130" spans="1:2">
      <c r="A130" s="167" t="s">
        <v>958</v>
      </c>
      <c r="B130" s="168" t="s">
        <v>965</v>
      </c>
    </row>
    <row r="132" spans="1:2">
      <c r="A132" s="167" t="s">
        <v>966</v>
      </c>
      <c r="B132" s="168" t="s">
        <v>977</v>
      </c>
    </row>
    <row r="133" spans="1:2">
      <c r="A133" s="167" t="s">
        <v>967</v>
      </c>
      <c r="B133" s="168" t="s">
        <v>978</v>
      </c>
    </row>
    <row r="134" spans="1:2">
      <c r="A134" s="167" t="s">
        <v>968</v>
      </c>
      <c r="B134" s="168" t="s">
        <v>979</v>
      </c>
    </row>
    <row r="135" spans="1:2">
      <c r="A135" s="167" t="s">
        <v>969</v>
      </c>
      <c r="B135" s="168" t="s">
        <v>980</v>
      </c>
    </row>
    <row r="136" spans="1:2">
      <c r="A136" s="167" t="s">
        <v>970</v>
      </c>
      <c r="B136" s="168" t="s">
        <v>981</v>
      </c>
    </row>
    <row r="137" spans="1:2">
      <c r="A137" s="167" t="s">
        <v>971</v>
      </c>
      <c r="B137" s="168" t="s">
        <v>982</v>
      </c>
    </row>
    <row r="138" spans="1:2">
      <c r="A138" s="167" t="s">
        <v>972</v>
      </c>
      <c r="B138" s="168" t="s">
        <v>983</v>
      </c>
    </row>
    <row r="139" spans="1:2">
      <c r="A139" s="167" t="s">
        <v>973</v>
      </c>
      <c r="B139" s="168" t="s">
        <v>984</v>
      </c>
    </row>
    <row r="140" spans="1:2">
      <c r="A140" s="167" t="s">
        <v>974</v>
      </c>
      <c r="B140" s="168" t="s">
        <v>987</v>
      </c>
    </row>
    <row r="141" spans="1:2">
      <c r="A141" s="167" t="s">
        <v>975</v>
      </c>
      <c r="B141" s="168" t="s">
        <v>985</v>
      </c>
    </row>
    <row r="142" spans="1:2">
      <c r="A142" s="167" t="s">
        <v>976</v>
      </c>
      <c r="B142" s="168" t="s">
        <v>986</v>
      </c>
    </row>
    <row r="144" spans="1:2">
      <c r="A144" s="167" t="s">
        <v>1003</v>
      </c>
      <c r="B144" s="168" t="s">
        <v>1026</v>
      </c>
    </row>
    <row r="145" spans="1:2">
      <c r="A145" s="167" t="s">
        <v>988</v>
      </c>
      <c r="B145" s="168" t="s">
        <v>1027</v>
      </c>
    </row>
    <row r="146" spans="1:2">
      <c r="A146" s="167" t="s">
        <v>989</v>
      </c>
      <c r="B146" s="168" t="s">
        <v>1028</v>
      </c>
    </row>
    <row r="147" spans="1:2">
      <c r="A147" s="167" t="s">
        <v>990</v>
      </c>
      <c r="B147" s="168" t="s">
        <v>1029</v>
      </c>
    </row>
    <row r="148" spans="1:2">
      <c r="A148" s="167" t="s">
        <v>991</v>
      </c>
      <c r="B148" s="168" t="s">
        <v>1030</v>
      </c>
    </row>
    <row r="149" spans="1:2">
      <c r="A149" s="167" t="s">
        <v>992</v>
      </c>
      <c r="B149" s="168" t="s">
        <v>1031</v>
      </c>
    </row>
    <row r="150" spans="1:2">
      <c r="A150" s="167" t="s">
        <v>1004</v>
      </c>
      <c r="B150" s="168" t="s">
        <v>1032</v>
      </c>
    </row>
    <row r="151" spans="1:2">
      <c r="A151" s="167" t="s">
        <v>993</v>
      </c>
      <c r="B151" s="168" t="s">
        <v>1033</v>
      </c>
    </row>
    <row r="152" spans="1:2">
      <c r="A152" s="167" t="s">
        <v>994</v>
      </c>
      <c r="B152" s="168" t="s">
        <v>1034</v>
      </c>
    </row>
    <row r="153" spans="1:2">
      <c r="A153" s="167" t="s">
        <v>995</v>
      </c>
      <c r="B153" s="168" t="s">
        <v>1035</v>
      </c>
    </row>
    <row r="154" spans="1:2">
      <c r="A154" s="167" t="s">
        <v>996</v>
      </c>
      <c r="B154" s="168" t="s">
        <v>1036</v>
      </c>
    </row>
    <row r="155" spans="1:2">
      <c r="A155" s="167" t="s">
        <v>997</v>
      </c>
      <c r="B155" s="168" t="s">
        <v>1037</v>
      </c>
    </row>
    <row r="156" spans="1:2">
      <c r="A156" s="167" t="s">
        <v>1005</v>
      </c>
      <c r="B156" s="168" t="s">
        <v>1038</v>
      </c>
    </row>
    <row r="157" spans="1:2">
      <c r="A157" s="167" t="s">
        <v>998</v>
      </c>
      <c r="B157" s="168" t="s">
        <v>1039</v>
      </c>
    </row>
    <row r="158" spans="1:2">
      <c r="A158" s="167" t="s">
        <v>999</v>
      </c>
      <c r="B158" s="168" t="s">
        <v>1040</v>
      </c>
    </row>
    <row r="159" spans="1:2">
      <c r="A159" s="167" t="s">
        <v>1000</v>
      </c>
      <c r="B159" s="168" t="s">
        <v>1041</v>
      </c>
    </row>
    <row r="160" spans="1:2">
      <c r="A160" s="167" t="s">
        <v>1001</v>
      </c>
      <c r="B160" s="168" t="s">
        <v>1042</v>
      </c>
    </row>
    <row r="161" spans="1:2">
      <c r="A161" s="167" t="s">
        <v>1002</v>
      </c>
      <c r="B161" s="168" t="s">
        <v>1043</v>
      </c>
    </row>
    <row r="162" spans="1:2">
      <c r="A162" s="167" t="s">
        <v>1006</v>
      </c>
      <c r="B162" s="168" t="s">
        <v>1044</v>
      </c>
    </row>
    <row r="163" spans="1:2">
      <c r="A163" s="167" t="s">
        <v>1007</v>
      </c>
      <c r="B163" s="168" t="s">
        <v>1045</v>
      </c>
    </row>
    <row r="164" spans="1:2">
      <c r="A164" s="167" t="s">
        <v>1008</v>
      </c>
      <c r="B164" s="168" t="s">
        <v>1046</v>
      </c>
    </row>
    <row r="165" spans="1:2">
      <c r="A165" s="167" t="s">
        <v>1009</v>
      </c>
      <c r="B165" s="168" t="s">
        <v>1047</v>
      </c>
    </row>
    <row r="166" spans="1:2">
      <c r="A166" s="167" t="s">
        <v>1010</v>
      </c>
      <c r="B166" s="168" t="s">
        <v>1048</v>
      </c>
    </row>
    <row r="167" spans="1:2">
      <c r="A167" s="167" t="s">
        <v>1011</v>
      </c>
      <c r="B167" s="168" t="s">
        <v>1049</v>
      </c>
    </row>
    <row r="168" spans="1:2">
      <c r="A168" s="167" t="s">
        <v>1012</v>
      </c>
      <c r="B168" s="168" t="s">
        <v>1050</v>
      </c>
    </row>
    <row r="169" spans="1:2">
      <c r="A169" s="167" t="s">
        <v>1013</v>
      </c>
      <c r="B169" s="168" t="s">
        <v>1051</v>
      </c>
    </row>
    <row r="170" spans="1:2">
      <c r="A170" s="167" t="s">
        <v>1014</v>
      </c>
      <c r="B170" s="168" t="s">
        <v>1052</v>
      </c>
    </row>
    <row r="171" spans="1:2">
      <c r="A171" s="167" t="s">
        <v>1015</v>
      </c>
      <c r="B171" s="168" t="s">
        <v>1053</v>
      </c>
    </row>
    <row r="172" spans="1:2">
      <c r="A172" s="167" t="s">
        <v>1016</v>
      </c>
      <c r="B172" s="168" t="s">
        <v>1054</v>
      </c>
    </row>
    <row r="173" spans="1:2">
      <c r="A173" s="167" t="s">
        <v>1017</v>
      </c>
      <c r="B173" s="168" t="s">
        <v>1055</v>
      </c>
    </row>
    <row r="174" spans="1:2">
      <c r="A174" s="167" t="s">
        <v>1064</v>
      </c>
      <c r="B174" s="168" t="s">
        <v>1066</v>
      </c>
    </row>
    <row r="175" spans="1:2">
      <c r="A175" s="167" t="s">
        <v>1065</v>
      </c>
      <c r="B175" s="168" t="s">
        <v>1067</v>
      </c>
    </row>
    <row r="176" spans="1:2">
      <c r="A176" s="167" t="s">
        <v>1018</v>
      </c>
      <c r="B176" s="168" t="s">
        <v>1056</v>
      </c>
    </row>
    <row r="177" spans="1:2">
      <c r="A177" s="167" t="s">
        <v>1019</v>
      </c>
      <c r="B177" s="168" t="s">
        <v>1057</v>
      </c>
    </row>
    <row r="178" spans="1:2">
      <c r="A178" s="167" t="s">
        <v>1020</v>
      </c>
      <c r="B178" s="168" t="s">
        <v>1058</v>
      </c>
    </row>
    <row r="179" spans="1:2">
      <c r="A179" s="167" t="s">
        <v>1021</v>
      </c>
      <c r="B179" s="168" t="s">
        <v>1059</v>
      </c>
    </row>
    <row r="180" spans="1:2">
      <c r="A180" s="167" t="s">
        <v>1022</v>
      </c>
      <c r="B180" s="168" t="s">
        <v>1060</v>
      </c>
    </row>
    <row r="181" spans="1:2">
      <c r="A181" s="167" t="s">
        <v>1023</v>
      </c>
      <c r="B181" s="168" t="s">
        <v>1061</v>
      </c>
    </row>
    <row r="182" spans="1:2">
      <c r="A182" s="167" t="s">
        <v>1024</v>
      </c>
      <c r="B182" s="168" t="s">
        <v>1062</v>
      </c>
    </row>
    <row r="183" spans="1:2">
      <c r="A183" s="167" t="s">
        <v>1025</v>
      </c>
      <c r="B183" s="168" t="s">
        <v>1063</v>
      </c>
    </row>
    <row r="185" spans="1:2">
      <c r="A185" s="167" t="s">
        <v>1068</v>
      </c>
      <c r="B185" s="168" t="s">
        <v>1069</v>
      </c>
    </row>
    <row r="187" spans="1:2">
      <c r="A187" s="167" t="s">
        <v>1070</v>
      </c>
      <c r="B187" s="168" t="s">
        <v>1075</v>
      </c>
    </row>
    <row r="188" spans="1:2">
      <c r="A188" s="167" t="s">
        <v>1071</v>
      </c>
      <c r="B188" s="168" t="s">
        <v>1076</v>
      </c>
    </row>
    <row r="189" spans="1:2">
      <c r="A189" s="167" t="s">
        <v>1072</v>
      </c>
      <c r="B189" s="168" t="s">
        <v>1077</v>
      </c>
    </row>
    <row r="190" spans="1:2">
      <c r="A190" s="167" t="s">
        <v>1073</v>
      </c>
      <c r="B190" s="168" t="s">
        <v>1078</v>
      </c>
    </row>
    <row r="191" spans="1:2">
      <c r="A191" s="167" t="s">
        <v>1074</v>
      </c>
      <c r="B191" s="168" t="s">
        <v>1079</v>
      </c>
    </row>
    <row r="193" spans="1:2">
      <c r="A193" s="167" t="s">
        <v>1080</v>
      </c>
      <c r="B193" s="168" t="s">
        <v>1081</v>
      </c>
    </row>
    <row r="194" spans="1:2">
      <c r="A194" s="167" t="s">
        <v>1082</v>
      </c>
      <c r="B194" s="168" t="s">
        <v>1083</v>
      </c>
    </row>
    <row r="195" spans="1:2">
      <c r="A195" s="167" t="s">
        <v>1084</v>
      </c>
      <c r="B195" s="168" t="s">
        <v>1085</v>
      </c>
    </row>
    <row r="197" spans="1:2">
      <c r="A197" s="167" t="s">
        <v>1524</v>
      </c>
      <c r="B197" s="168" t="s">
        <v>1525</v>
      </c>
    </row>
    <row r="198" spans="1:2">
      <c r="A198" s="167" t="s">
        <v>1522</v>
      </c>
      <c r="B198" s="168" t="s">
        <v>1523</v>
      </c>
    </row>
    <row r="199" spans="1:2">
      <c r="A199" s="167" t="s">
        <v>1526</v>
      </c>
      <c r="B199" s="168" t="s">
        <v>1532</v>
      </c>
    </row>
    <row r="200" spans="1:2">
      <c r="A200" s="167" t="s">
        <v>1527</v>
      </c>
      <c r="B200" s="168" t="s">
        <v>1533</v>
      </c>
    </row>
    <row r="201" spans="1:2">
      <c r="A201" s="167" t="s">
        <v>1528</v>
      </c>
      <c r="B201" s="168" t="s">
        <v>1534</v>
      </c>
    </row>
    <row r="202" spans="1:2">
      <c r="A202" s="167" t="s">
        <v>1529</v>
      </c>
      <c r="B202" s="168" t="s">
        <v>1535</v>
      </c>
    </row>
    <row r="203" spans="1:2">
      <c r="A203" s="167" t="s">
        <v>1530</v>
      </c>
      <c r="B203" s="168" t="s">
        <v>1536</v>
      </c>
    </row>
    <row r="204" spans="1:2">
      <c r="A204" s="167" t="s">
        <v>1531</v>
      </c>
      <c r="B204" s="168" t="s">
        <v>1537</v>
      </c>
    </row>
    <row r="206" spans="1:2">
      <c r="A206" s="167" t="s">
        <v>1086</v>
      </c>
      <c r="B206" s="168" t="s">
        <v>1087</v>
      </c>
    </row>
    <row r="207" spans="1:2">
      <c r="A207" s="167" t="s">
        <v>1088</v>
      </c>
      <c r="B207" s="168" t="s">
        <v>1089</v>
      </c>
    </row>
    <row r="209" spans="1:2">
      <c r="A209" s="167" t="s">
        <v>1090</v>
      </c>
      <c r="B209" s="168" t="s">
        <v>1121</v>
      </c>
    </row>
    <row r="210" spans="1:2">
      <c r="A210" s="167" t="s">
        <v>1091</v>
      </c>
      <c r="B210" s="168" t="s">
        <v>1122</v>
      </c>
    </row>
    <row r="211" spans="1:2">
      <c r="A211" s="167" t="s">
        <v>1092</v>
      </c>
      <c r="B211" s="168" t="s">
        <v>1123</v>
      </c>
    </row>
    <row r="212" spans="1:2">
      <c r="A212" s="167" t="s">
        <v>1093</v>
      </c>
      <c r="B212" s="168" t="s">
        <v>1150</v>
      </c>
    </row>
    <row r="213" spans="1:2">
      <c r="A213" s="167" t="s">
        <v>1094</v>
      </c>
      <c r="B213" s="168" t="s">
        <v>1124</v>
      </c>
    </row>
    <row r="214" spans="1:2">
      <c r="A214" s="167" t="s">
        <v>1095</v>
      </c>
      <c r="B214" s="168" t="s">
        <v>1125</v>
      </c>
    </row>
    <row r="215" spans="1:2">
      <c r="A215" s="167" t="s">
        <v>1096</v>
      </c>
      <c r="B215" s="168" t="s">
        <v>1126</v>
      </c>
    </row>
    <row r="216" spans="1:2">
      <c r="A216" s="167" t="s">
        <v>1097</v>
      </c>
      <c r="B216" s="168" t="s">
        <v>1127</v>
      </c>
    </row>
    <row r="217" spans="1:2">
      <c r="A217" s="167" t="s">
        <v>1098</v>
      </c>
      <c r="B217" s="168" t="s">
        <v>1128</v>
      </c>
    </row>
    <row r="218" spans="1:2">
      <c r="A218" s="167" t="s">
        <v>1099</v>
      </c>
      <c r="B218" s="168" t="s">
        <v>1129</v>
      </c>
    </row>
    <row r="219" spans="1:2">
      <c r="A219" s="167" t="s">
        <v>1100</v>
      </c>
      <c r="B219" s="168" t="s">
        <v>1130</v>
      </c>
    </row>
    <row r="220" spans="1:2">
      <c r="A220" s="167" t="s">
        <v>1101</v>
      </c>
      <c r="B220" s="168" t="s">
        <v>1131</v>
      </c>
    </row>
    <row r="221" spans="1:2">
      <c r="A221" s="167" t="s">
        <v>1102</v>
      </c>
      <c r="B221" s="168" t="s">
        <v>1132</v>
      </c>
    </row>
    <row r="222" spans="1:2">
      <c r="A222" s="167" t="s">
        <v>1103</v>
      </c>
      <c r="B222" s="168" t="s">
        <v>1133</v>
      </c>
    </row>
    <row r="223" spans="1:2">
      <c r="A223" s="167" t="s">
        <v>1104</v>
      </c>
      <c r="B223" s="168" t="s">
        <v>1134</v>
      </c>
    </row>
    <row r="224" spans="1:2">
      <c r="A224" s="167" t="s">
        <v>1105</v>
      </c>
      <c r="B224" s="168" t="s">
        <v>1135</v>
      </c>
    </row>
    <row r="225" spans="1:2">
      <c r="A225" s="167" t="s">
        <v>1106</v>
      </c>
      <c r="B225" s="168" t="s">
        <v>1136</v>
      </c>
    </row>
    <row r="226" spans="1:2">
      <c r="A226" s="167" t="s">
        <v>1107</v>
      </c>
      <c r="B226" s="168" t="s">
        <v>1137</v>
      </c>
    </row>
    <row r="227" spans="1:2">
      <c r="A227" s="167" t="s">
        <v>1108</v>
      </c>
      <c r="B227" s="168" t="s">
        <v>1138</v>
      </c>
    </row>
    <row r="228" spans="1:2">
      <c r="A228" s="167" t="s">
        <v>1109</v>
      </c>
      <c r="B228" s="168" t="s">
        <v>1139</v>
      </c>
    </row>
    <row r="229" spans="1:2">
      <c r="A229" s="167" t="s">
        <v>1110</v>
      </c>
      <c r="B229" s="168" t="s">
        <v>1140</v>
      </c>
    </row>
    <row r="230" spans="1:2">
      <c r="A230" s="167" t="s">
        <v>1111</v>
      </c>
      <c r="B230" s="168" t="s">
        <v>1141</v>
      </c>
    </row>
    <row r="231" spans="1:2">
      <c r="A231" s="167" t="s">
        <v>1112</v>
      </c>
      <c r="B231" s="168" t="s">
        <v>1142</v>
      </c>
    </row>
    <row r="232" spans="1:2">
      <c r="A232" s="167" t="s">
        <v>1113</v>
      </c>
      <c r="B232" s="168" t="s">
        <v>1143</v>
      </c>
    </row>
    <row r="233" spans="1:2">
      <c r="A233" s="167" t="s">
        <v>1114</v>
      </c>
      <c r="B233" s="168" t="s">
        <v>1144</v>
      </c>
    </row>
    <row r="234" spans="1:2">
      <c r="A234" s="167" t="s">
        <v>1115</v>
      </c>
      <c r="B234" s="168" t="s">
        <v>1145</v>
      </c>
    </row>
    <row r="235" spans="1:2">
      <c r="A235" s="167" t="s">
        <v>1116</v>
      </c>
      <c r="B235" s="168" t="s">
        <v>1146</v>
      </c>
    </row>
    <row r="236" spans="1:2">
      <c r="A236" s="167" t="s">
        <v>1117</v>
      </c>
      <c r="B236" s="168" t="s">
        <v>1147</v>
      </c>
    </row>
    <row r="237" spans="1:2">
      <c r="A237" s="167" t="s">
        <v>1118</v>
      </c>
      <c r="B237" s="168" t="s">
        <v>1148</v>
      </c>
    </row>
    <row r="238" spans="1:2">
      <c r="A238" s="167" t="s">
        <v>1119</v>
      </c>
      <c r="B238" s="168" t="s">
        <v>1149</v>
      </c>
    </row>
    <row r="239" spans="1:2">
      <c r="A239" s="167" t="s">
        <v>1120</v>
      </c>
      <c r="B239" s="168" t="s">
        <v>1151</v>
      </c>
    </row>
    <row r="241" spans="1:2">
      <c r="A241" s="167" t="s">
        <v>483</v>
      </c>
      <c r="B241" s="168" t="s">
        <v>690</v>
      </c>
    </row>
    <row r="242" spans="1:2">
      <c r="A242" s="167" t="s">
        <v>642</v>
      </c>
      <c r="B242" s="168" t="s">
        <v>1158</v>
      </c>
    </row>
    <row r="243" spans="1:2">
      <c r="A243" s="167" t="s">
        <v>1152</v>
      </c>
      <c r="B243" s="168" t="s">
        <v>1159</v>
      </c>
    </row>
    <row r="244" spans="1:2">
      <c r="A244" s="167" t="s">
        <v>1153</v>
      </c>
      <c r="B244" s="168" t="s">
        <v>1160</v>
      </c>
    </row>
    <row r="245" spans="1:2">
      <c r="A245" s="167" t="s">
        <v>1154</v>
      </c>
      <c r="B245" s="168" t="s">
        <v>1161</v>
      </c>
    </row>
    <row r="246" spans="1:2">
      <c r="A246" s="167" t="s">
        <v>1155</v>
      </c>
      <c r="B246" s="168" t="s">
        <v>1162</v>
      </c>
    </row>
    <row r="247" spans="1:2">
      <c r="A247" s="167" t="s">
        <v>1156</v>
      </c>
      <c r="B247" s="168" t="s">
        <v>1163</v>
      </c>
    </row>
    <row r="248" spans="1:2">
      <c r="A248" s="167" t="s">
        <v>1157</v>
      </c>
      <c r="B248" s="168" t="s">
        <v>1164</v>
      </c>
    </row>
    <row r="249" spans="1:2">
      <c r="A249" s="167" t="s">
        <v>454</v>
      </c>
      <c r="B249" s="168" t="s">
        <v>1165</v>
      </c>
    </row>
    <row r="250" spans="1:2">
      <c r="A250" s="167" t="s">
        <v>482</v>
      </c>
      <c r="B250" s="168" t="s">
        <v>1166</v>
      </c>
    </row>
    <row r="252" spans="1:2">
      <c r="A252" s="167" t="s">
        <v>1167</v>
      </c>
      <c r="B252" s="168" t="s">
        <v>1171</v>
      </c>
    </row>
    <row r="253" spans="1:2">
      <c r="A253" s="167" t="s">
        <v>1168</v>
      </c>
      <c r="B253" s="168" t="s">
        <v>1174</v>
      </c>
    </row>
    <row r="254" spans="1:2">
      <c r="A254" s="167" t="s">
        <v>1169</v>
      </c>
      <c r="B254" s="168" t="s">
        <v>1172</v>
      </c>
    </row>
    <row r="255" spans="1:2">
      <c r="A255" s="167" t="s">
        <v>1170</v>
      </c>
      <c r="B255" s="168" t="s">
        <v>1173</v>
      </c>
    </row>
    <row r="257" spans="1:2">
      <c r="A257" s="167" t="s">
        <v>1205</v>
      </c>
      <c r="B257" s="168" t="s">
        <v>1207</v>
      </c>
    </row>
    <row r="258" spans="1:2">
      <c r="A258" s="167" t="s">
        <v>1206</v>
      </c>
      <c r="B258" s="168" t="s">
        <v>1208</v>
      </c>
    </row>
    <row r="259" spans="1:2">
      <c r="A259" s="167" t="s">
        <v>1175</v>
      </c>
      <c r="B259" s="168" t="s">
        <v>1191</v>
      </c>
    </row>
    <row r="260" spans="1:2">
      <c r="A260" s="167" t="s">
        <v>1176</v>
      </c>
      <c r="B260" s="168" t="s">
        <v>1192</v>
      </c>
    </row>
    <row r="261" spans="1:2">
      <c r="A261" s="167" t="s">
        <v>1177</v>
      </c>
      <c r="B261" s="168" t="s">
        <v>1193</v>
      </c>
    </row>
    <row r="262" spans="1:2">
      <c r="A262" s="167" t="s">
        <v>1178</v>
      </c>
      <c r="B262" s="168" t="s">
        <v>1194</v>
      </c>
    </row>
    <row r="263" spans="1:2">
      <c r="A263" s="167" t="s">
        <v>1179</v>
      </c>
      <c r="B263" s="168" t="s">
        <v>1195</v>
      </c>
    </row>
    <row r="264" spans="1:2">
      <c r="A264" s="167" t="s">
        <v>1180</v>
      </c>
      <c r="B264" s="168" t="s">
        <v>1196</v>
      </c>
    </row>
    <row r="265" spans="1:2">
      <c r="A265" s="167" t="s">
        <v>1181</v>
      </c>
      <c r="B265" s="168" t="s">
        <v>1190</v>
      </c>
    </row>
    <row r="266" spans="1:2">
      <c r="A266" s="167" t="s">
        <v>1182</v>
      </c>
      <c r="B266" s="168" t="s">
        <v>1197</v>
      </c>
    </row>
    <row r="267" spans="1:2">
      <c r="A267" s="167" t="s">
        <v>1183</v>
      </c>
      <c r="B267" s="168" t="s">
        <v>1198</v>
      </c>
    </row>
    <row r="268" spans="1:2">
      <c r="A268" s="167" t="s">
        <v>1184</v>
      </c>
      <c r="B268" s="168" t="s">
        <v>1199</v>
      </c>
    </row>
    <row r="269" spans="1:2">
      <c r="A269" s="167" t="s">
        <v>1185</v>
      </c>
      <c r="B269" s="168" t="s">
        <v>1200</v>
      </c>
    </row>
    <row r="270" spans="1:2">
      <c r="A270" s="167" t="s">
        <v>1186</v>
      </c>
      <c r="B270" s="168" t="s">
        <v>1201</v>
      </c>
    </row>
    <row r="271" spans="1:2">
      <c r="A271" s="167" t="s">
        <v>1187</v>
      </c>
      <c r="B271" s="168" t="s">
        <v>1202</v>
      </c>
    </row>
    <row r="272" spans="1:2">
      <c r="A272" s="167" t="s">
        <v>1188</v>
      </c>
      <c r="B272" s="168" t="s">
        <v>1203</v>
      </c>
    </row>
    <row r="273" spans="1:2">
      <c r="A273" s="167" t="s">
        <v>1189</v>
      </c>
      <c r="B273" s="168" t="s">
        <v>1204</v>
      </c>
    </row>
    <row r="275" spans="1:2">
      <c r="A275" s="167" t="s">
        <v>1538</v>
      </c>
      <c r="B275" s="168" t="s">
        <v>1539</v>
      </c>
    </row>
    <row r="277" spans="1:2">
      <c r="A277" s="167" t="s">
        <v>1234</v>
      </c>
      <c r="B277" s="168" t="s">
        <v>1306</v>
      </c>
    </row>
    <row r="278" spans="1:2">
      <c r="A278" s="167" t="s">
        <v>1235</v>
      </c>
      <c r="B278" s="168" t="s">
        <v>1307</v>
      </c>
    </row>
    <row r="279" spans="1:2">
      <c r="A279" s="167" t="s">
        <v>1236</v>
      </c>
      <c r="B279" s="168" t="s">
        <v>1308</v>
      </c>
    </row>
    <row r="280" spans="1:2">
      <c r="A280" s="167" t="s">
        <v>1237</v>
      </c>
      <c r="B280" s="168" t="s">
        <v>1309</v>
      </c>
    </row>
    <row r="281" spans="1:2">
      <c r="A281" s="167" t="s">
        <v>1238</v>
      </c>
      <c r="B281" s="168" t="s">
        <v>1310</v>
      </c>
    </row>
    <row r="282" spans="1:2">
      <c r="A282" s="167" t="s">
        <v>1239</v>
      </c>
      <c r="B282" s="168" t="s">
        <v>1311</v>
      </c>
    </row>
    <row r="283" spans="1:2">
      <c r="A283" s="167" t="s">
        <v>1240</v>
      </c>
      <c r="B283" s="168" t="s">
        <v>1312</v>
      </c>
    </row>
    <row r="284" spans="1:2">
      <c r="A284" s="167" t="s">
        <v>1241</v>
      </c>
      <c r="B284" s="168" t="s">
        <v>1313</v>
      </c>
    </row>
    <row r="285" spans="1:2">
      <c r="A285" s="167" t="s">
        <v>1242</v>
      </c>
      <c r="B285" s="168" t="s">
        <v>1314</v>
      </c>
    </row>
    <row r="287" spans="1:2">
      <c r="A287" s="167" t="s">
        <v>1243</v>
      </c>
      <c r="B287" s="168" t="s">
        <v>1315</v>
      </c>
    </row>
    <row r="288" spans="1:2">
      <c r="A288" s="167" t="s">
        <v>1244</v>
      </c>
      <c r="B288" s="168" t="s">
        <v>1316</v>
      </c>
    </row>
    <row r="289" spans="1:2">
      <c r="A289" s="167" t="s">
        <v>1245</v>
      </c>
      <c r="B289" s="168" t="s">
        <v>1317</v>
      </c>
    </row>
    <row r="290" spans="1:2">
      <c r="A290" s="167" t="s">
        <v>1246</v>
      </c>
      <c r="B290" s="168" t="s">
        <v>1318</v>
      </c>
    </row>
    <row r="291" spans="1:2">
      <c r="A291" s="167" t="s">
        <v>1247</v>
      </c>
      <c r="B291" s="168" t="s">
        <v>1319</v>
      </c>
    </row>
    <row r="292" spans="1:2">
      <c r="A292" s="167" t="s">
        <v>1248</v>
      </c>
      <c r="B292" s="168" t="s">
        <v>1320</v>
      </c>
    </row>
    <row r="293" spans="1:2">
      <c r="A293" s="167" t="s">
        <v>1249</v>
      </c>
      <c r="B293" s="168" t="s">
        <v>1321</v>
      </c>
    </row>
    <row r="294" spans="1:2">
      <c r="A294" s="167" t="s">
        <v>1250</v>
      </c>
      <c r="B294" s="168" t="s">
        <v>1322</v>
      </c>
    </row>
    <row r="295" spans="1:2">
      <c r="A295" s="167" t="s">
        <v>1251</v>
      </c>
      <c r="B295" s="168" t="s">
        <v>1323</v>
      </c>
    </row>
    <row r="297" spans="1:2">
      <c r="A297" s="167" t="s">
        <v>1252</v>
      </c>
      <c r="B297" s="168" t="s">
        <v>1324</v>
      </c>
    </row>
    <row r="298" spans="1:2">
      <c r="A298" s="167" t="s">
        <v>1253</v>
      </c>
      <c r="B298" s="168" t="s">
        <v>1325</v>
      </c>
    </row>
    <row r="299" spans="1:2">
      <c r="A299" s="167" t="s">
        <v>1254</v>
      </c>
      <c r="B299" s="168" t="s">
        <v>1326</v>
      </c>
    </row>
    <row r="300" spans="1:2">
      <c r="A300" s="167" t="s">
        <v>1255</v>
      </c>
      <c r="B300" s="168" t="s">
        <v>1327</v>
      </c>
    </row>
    <row r="301" spans="1:2">
      <c r="A301" s="167" t="s">
        <v>1256</v>
      </c>
      <c r="B301" s="168" t="s">
        <v>1328</v>
      </c>
    </row>
    <row r="302" spans="1:2">
      <c r="A302" s="167" t="s">
        <v>1257</v>
      </c>
      <c r="B302" s="168" t="s">
        <v>1329</v>
      </c>
    </row>
    <row r="303" spans="1:2">
      <c r="A303" s="167" t="s">
        <v>1258</v>
      </c>
      <c r="B303" s="168" t="s">
        <v>1330</v>
      </c>
    </row>
    <row r="304" spans="1:2">
      <c r="A304" s="167" t="s">
        <v>1259</v>
      </c>
      <c r="B304" s="168" t="s">
        <v>1331</v>
      </c>
    </row>
    <row r="305" spans="1:2">
      <c r="A305" s="167" t="s">
        <v>1260</v>
      </c>
      <c r="B305" s="168" t="s">
        <v>1332</v>
      </c>
    </row>
    <row r="307" spans="1:2">
      <c r="A307" s="167" t="s">
        <v>1261</v>
      </c>
      <c r="B307" s="168" t="s">
        <v>1333</v>
      </c>
    </row>
    <row r="308" spans="1:2">
      <c r="A308" s="167" t="s">
        <v>1262</v>
      </c>
      <c r="B308" s="168" t="s">
        <v>1334</v>
      </c>
    </row>
    <row r="309" spans="1:2">
      <c r="A309" s="167" t="s">
        <v>1263</v>
      </c>
      <c r="B309" s="168" t="s">
        <v>1335</v>
      </c>
    </row>
    <row r="310" spans="1:2">
      <c r="A310" s="167" t="s">
        <v>1264</v>
      </c>
      <c r="B310" s="168" t="s">
        <v>1336</v>
      </c>
    </row>
    <row r="311" spans="1:2">
      <c r="A311" s="167" t="s">
        <v>1265</v>
      </c>
      <c r="B311" s="168" t="s">
        <v>1337</v>
      </c>
    </row>
    <row r="312" spans="1:2">
      <c r="A312" s="167" t="s">
        <v>1268</v>
      </c>
      <c r="B312" s="168" t="s">
        <v>1338</v>
      </c>
    </row>
    <row r="313" spans="1:2">
      <c r="A313" s="167" t="s">
        <v>1269</v>
      </c>
      <c r="B313" s="168" t="s">
        <v>1339</v>
      </c>
    </row>
    <row r="314" spans="1:2">
      <c r="A314" s="167" t="s">
        <v>1270</v>
      </c>
      <c r="B314" s="168" t="s">
        <v>1340</v>
      </c>
    </row>
    <row r="315" spans="1:2">
      <c r="A315" s="167" t="s">
        <v>1271</v>
      </c>
      <c r="B315" s="168" t="s">
        <v>1341</v>
      </c>
    </row>
    <row r="317" spans="1:2">
      <c r="A317" s="167" t="s">
        <v>1272</v>
      </c>
      <c r="B317" s="168" t="s">
        <v>1342</v>
      </c>
    </row>
    <row r="318" spans="1:2">
      <c r="A318" s="167" t="s">
        <v>1273</v>
      </c>
      <c r="B318" s="168" t="s">
        <v>1343</v>
      </c>
    </row>
    <row r="319" spans="1:2">
      <c r="A319" s="167" t="s">
        <v>1274</v>
      </c>
      <c r="B319" s="168" t="s">
        <v>1344</v>
      </c>
    </row>
    <row r="320" spans="1:2">
      <c r="A320" s="167" t="s">
        <v>1275</v>
      </c>
      <c r="B320" s="168" t="s">
        <v>1345</v>
      </c>
    </row>
    <row r="321" spans="1:2">
      <c r="A321" s="167" t="s">
        <v>1276</v>
      </c>
      <c r="B321" s="168" t="s">
        <v>1346</v>
      </c>
    </row>
    <row r="322" spans="1:2">
      <c r="A322" s="167" t="s">
        <v>1266</v>
      </c>
      <c r="B322" s="168" t="s">
        <v>1347</v>
      </c>
    </row>
    <row r="323" spans="1:2">
      <c r="A323" s="167" t="s">
        <v>1277</v>
      </c>
      <c r="B323" s="168" t="s">
        <v>1348</v>
      </c>
    </row>
    <row r="324" spans="1:2">
      <c r="A324" s="167" t="s">
        <v>1278</v>
      </c>
      <c r="B324" s="168" t="s">
        <v>1349</v>
      </c>
    </row>
    <row r="325" spans="1:2">
      <c r="A325" s="167" t="s">
        <v>1279</v>
      </c>
      <c r="B325" s="168" t="s">
        <v>1350</v>
      </c>
    </row>
    <row r="327" spans="1:2">
      <c r="A327" s="167" t="s">
        <v>1280</v>
      </c>
      <c r="B327" s="168" t="s">
        <v>1351</v>
      </c>
    </row>
    <row r="328" spans="1:2">
      <c r="A328" s="167" t="s">
        <v>1281</v>
      </c>
      <c r="B328" s="168" t="s">
        <v>1352</v>
      </c>
    </row>
    <row r="329" spans="1:2">
      <c r="A329" s="167" t="s">
        <v>1282</v>
      </c>
      <c r="B329" s="168" t="s">
        <v>1353</v>
      </c>
    </row>
    <row r="330" spans="1:2">
      <c r="A330" s="167" t="s">
        <v>1283</v>
      </c>
      <c r="B330" s="168" t="s">
        <v>1354</v>
      </c>
    </row>
    <row r="331" spans="1:2">
      <c r="A331" s="167" t="s">
        <v>1284</v>
      </c>
      <c r="B331" s="168" t="s">
        <v>1355</v>
      </c>
    </row>
    <row r="332" spans="1:2">
      <c r="A332" s="167" t="s">
        <v>1285</v>
      </c>
      <c r="B332" s="168" t="s">
        <v>1356</v>
      </c>
    </row>
    <row r="333" spans="1:2">
      <c r="A333" s="167" t="s">
        <v>1267</v>
      </c>
      <c r="B333" s="168" t="s">
        <v>1357</v>
      </c>
    </row>
    <row r="334" spans="1:2">
      <c r="A334" s="167" t="s">
        <v>1286</v>
      </c>
      <c r="B334" s="168" t="s">
        <v>1358</v>
      </c>
    </row>
    <row r="335" spans="1:2">
      <c r="A335" s="167" t="s">
        <v>1287</v>
      </c>
      <c r="B335" s="168" t="s">
        <v>1359</v>
      </c>
    </row>
    <row r="337" spans="1:2">
      <c r="A337" s="167" t="s">
        <v>1288</v>
      </c>
      <c r="B337" s="168" t="s">
        <v>1360</v>
      </c>
    </row>
    <row r="338" spans="1:2">
      <c r="A338" s="167" t="s">
        <v>1289</v>
      </c>
      <c r="B338" s="168" t="s">
        <v>1361</v>
      </c>
    </row>
    <row r="339" spans="1:2">
      <c r="A339" s="167" t="s">
        <v>1290</v>
      </c>
      <c r="B339" s="168" t="s">
        <v>1362</v>
      </c>
    </row>
    <row r="340" spans="1:2">
      <c r="A340" s="167" t="s">
        <v>1291</v>
      </c>
      <c r="B340" s="168" t="s">
        <v>1363</v>
      </c>
    </row>
    <row r="341" spans="1:2">
      <c r="A341" s="167" t="s">
        <v>1292</v>
      </c>
      <c r="B341" s="168" t="s">
        <v>1364</v>
      </c>
    </row>
    <row r="342" spans="1:2">
      <c r="A342" s="167" t="s">
        <v>1293</v>
      </c>
      <c r="B342" s="168" t="s">
        <v>1365</v>
      </c>
    </row>
    <row r="343" spans="1:2">
      <c r="A343" s="167" t="s">
        <v>1294</v>
      </c>
      <c r="B343" s="168" t="s">
        <v>1366</v>
      </c>
    </row>
    <row r="344" spans="1:2">
      <c r="A344" s="167" t="s">
        <v>1295</v>
      </c>
      <c r="B344" s="168" t="s">
        <v>1367</v>
      </c>
    </row>
    <row r="345" spans="1:2">
      <c r="A345" s="167" t="s">
        <v>1296</v>
      </c>
      <c r="B345" s="168" t="s">
        <v>1368</v>
      </c>
    </row>
    <row r="347" spans="1:2">
      <c r="A347" s="167" t="s">
        <v>1297</v>
      </c>
      <c r="B347" s="168" t="s">
        <v>1369</v>
      </c>
    </row>
    <row r="348" spans="1:2">
      <c r="A348" s="167" t="s">
        <v>1298</v>
      </c>
      <c r="B348" s="168" t="s">
        <v>1370</v>
      </c>
    </row>
    <row r="349" spans="1:2">
      <c r="A349" s="167" t="s">
        <v>1299</v>
      </c>
      <c r="B349" s="168" t="s">
        <v>1371</v>
      </c>
    </row>
    <row r="350" spans="1:2">
      <c r="A350" s="167" t="s">
        <v>1300</v>
      </c>
      <c r="B350" s="168" t="s">
        <v>1372</v>
      </c>
    </row>
    <row r="351" spans="1:2">
      <c r="A351" s="167" t="s">
        <v>1301</v>
      </c>
      <c r="B351" s="168" t="s">
        <v>1373</v>
      </c>
    </row>
    <row r="352" spans="1:2">
      <c r="A352" s="167" t="s">
        <v>1302</v>
      </c>
      <c r="B352" s="168" t="s">
        <v>1374</v>
      </c>
    </row>
    <row r="353" spans="1:2">
      <c r="A353" s="167" t="s">
        <v>1303</v>
      </c>
      <c r="B353" s="168" t="s">
        <v>1375</v>
      </c>
    </row>
    <row r="354" spans="1:2">
      <c r="A354" s="167" t="s">
        <v>1304</v>
      </c>
      <c r="B354" s="168" t="s">
        <v>1376</v>
      </c>
    </row>
    <row r="355" spans="1:2">
      <c r="A355" s="167" t="s">
        <v>1305</v>
      </c>
      <c r="B355" s="168" t="s">
        <v>1377</v>
      </c>
    </row>
    <row r="357" spans="1:2">
      <c r="A357" s="167" t="s">
        <v>1378</v>
      </c>
      <c r="B357" s="168" t="s">
        <v>1379</v>
      </c>
    </row>
    <row r="359" spans="1:2">
      <c r="A359" s="167" t="s">
        <v>1380</v>
      </c>
      <c r="B359" s="168" t="s">
        <v>1385</v>
      </c>
    </row>
    <row r="360" spans="1:2">
      <c r="A360" s="167" t="s">
        <v>1381</v>
      </c>
      <c r="B360" s="168" t="s">
        <v>1386</v>
      </c>
    </row>
    <row r="361" spans="1:2">
      <c r="A361" s="167" t="s">
        <v>1382</v>
      </c>
      <c r="B361" s="168" t="s">
        <v>1387</v>
      </c>
    </row>
    <row r="362" spans="1:2">
      <c r="A362" s="167" t="s">
        <v>1383</v>
      </c>
      <c r="B362" s="168" t="s">
        <v>1388</v>
      </c>
    </row>
    <row r="363" spans="1:2">
      <c r="A363" s="167" t="s">
        <v>1384</v>
      </c>
      <c r="B363" s="168" t="s">
        <v>1389</v>
      </c>
    </row>
    <row r="365" spans="1:2">
      <c r="A365" s="167" t="s">
        <v>1390</v>
      </c>
      <c r="B365" s="168" t="s">
        <v>1435</v>
      </c>
    </row>
    <row r="366" spans="1:2">
      <c r="A366" s="167" t="s">
        <v>1391</v>
      </c>
      <c r="B366" s="168" t="s">
        <v>1436</v>
      </c>
    </row>
    <row r="367" spans="1:2">
      <c r="A367" s="167" t="s">
        <v>1392</v>
      </c>
      <c r="B367" s="168" t="s">
        <v>1437</v>
      </c>
    </row>
    <row r="368" spans="1:2">
      <c r="A368" s="167" t="s">
        <v>1393</v>
      </c>
      <c r="B368" s="168" t="s">
        <v>1438</v>
      </c>
    </row>
    <row r="369" spans="1:2">
      <c r="A369" s="167" t="s">
        <v>1394</v>
      </c>
      <c r="B369" s="168" t="s">
        <v>1439</v>
      </c>
    </row>
    <row r="371" spans="1:2">
      <c r="A371" s="167" t="s">
        <v>1395</v>
      </c>
      <c r="B371" s="168" t="s">
        <v>1440</v>
      </c>
    </row>
    <row r="372" spans="1:2">
      <c r="A372" s="167" t="s">
        <v>1396</v>
      </c>
      <c r="B372" s="168" t="s">
        <v>1441</v>
      </c>
    </row>
    <row r="373" spans="1:2">
      <c r="A373" s="167" t="s">
        <v>1397</v>
      </c>
      <c r="B373" s="168" t="s">
        <v>1442</v>
      </c>
    </row>
    <row r="374" spans="1:2">
      <c r="A374" s="167" t="s">
        <v>1398</v>
      </c>
      <c r="B374" s="168" t="s">
        <v>1443</v>
      </c>
    </row>
    <row r="375" spans="1:2">
      <c r="A375" s="167" t="s">
        <v>1399</v>
      </c>
      <c r="B375" s="168" t="s">
        <v>1444</v>
      </c>
    </row>
    <row r="377" spans="1:2">
      <c r="A377" s="167" t="s">
        <v>1400</v>
      </c>
      <c r="B377" s="168" t="s">
        <v>1445</v>
      </c>
    </row>
    <row r="378" spans="1:2">
      <c r="A378" s="167" t="s">
        <v>1401</v>
      </c>
      <c r="B378" s="168" t="s">
        <v>1446</v>
      </c>
    </row>
    <row r="379" spans="1:2">
      <c r="A379" s="167" t="s">
        <v>1402</v>
      </c>
      <c r="B379" s="168" t="s">
        <v>1447</v>
      </c>
    </row>
    <row r="380" spans="1:2">
      <c r="A380" s="167" t="s">
        <v>1403</v>
      </c>
      <c r="B380" s="168" t="s">
        <v>1448</v>
      </c>
    </row>
    <row r="381" spans="1:2">
      <c r="A381" s="167" t="s">
        <v>1404</v>
      </c>
      <c r="B381" s="168" t="s">
        <v>1449</v>
      </c>
    </row>
    <row r="383" spans="1:2">
      <c r="A383" s="167" t="s">
        <v>1405</v>
      </c>
      <c r="B383" s="168" t="s">
        <v>1450</v>
      </c>
    </row>
    <row r="384" spans="1:2">
      <c r="A384" s="167" t="s">
        <v>1406</v>
      </c>
      <c r="B384" s="168" t="s">
        <v>1451</v>
      </c>
    </row>
    <row r="385" spans="1:2">
      <c r="A385" s="167" t="s">
        <v>1407</v>
      </c>
      <c r="B385" s="168" t="s">
        <v>1452</v>
      </c>
    </row>
    <row r="386" spans="1:2">
      <c r="A386" s="167" t="s">
        <v>1408</v>
      </c>
      <c r="B386" s="168" t="s">
        <v>1453</v>
      </c>
    </row>
    <row r="387" spans="1:2">
      <c r="A387" s="167" t="s">
        <v>1409</v>
      </c>
      <c r="B387" s="168" t="s">
        <v>1454</v>
      </c>
    </row>
    <row r="389" spans="1:2">
      <c r="A389" s="167" t="s">
        <v>1411</v>
      </c>
      <c r="B389" s="168" t="s">
        <v>1455</v>
      </c>
    </row>
    <row r="390" spans="1:2">
      <c r="A390" s="167" t="s">
        <v>1412</v>
      </c>
      <c r="B390" s="168" t="s">
        <v>1456</v>
      </c>
    </row>
    <row r="391" spans="1:2">
      <c r="A391" s="167" t="s">
        <v>1413</v>
      </c>
      <c r="B391" s="168" t="s">
        <v>1457</v>
      </c>
    </row>
    <row r="392" spans="1:2">
      <c r="A392" s="167" t="s">
        <v>1414</v>
      </c>
      <c r="B392" s="168" t="s">
        <v>1458</v>
      </c>
    </row>
    <row r="393" spans="1:2">
      <c r="A393" s="167" t="s">
        <v>1415</v>
      </c>
      <c r="B393" s="168" t="s">
        <v>1459</v>
      </c>
    </row>
    <row r="395" spans="1:2">
      <c r="A395" s="167" t="s">
        <v>1410</v>
      </c>
      <c r="B395" s="168" t="s">
        <v>1460</v>
      </c>
    </row>
    <row r="396" spans="1:2">
      <c r="A396" s="167" t="s">
        <v>1416</v>
      </c>
      <c r="B396" s="168" t="s">
        <v>1461</v>
      </c>
    </row>
    <row r="397" spans="1:2">
      <c r="A397" s="167" t="s">
        <v>1417</v>
      </c>
      <c r="B397" s="168" t="s">
        <v>1462</v>
      </c>
    </row>
    <row r="398" spans="1:2">
      <c r="A398" s="167" t="s">
        <v>1418</v>
      </c>
      <c r="B398" s="168" t="s">
        <v>1463</v>
      </c>
    </row>
    <row r="399" spans="1:2">
      <c r="A399" s="167" t="s">
        <v>1419</v>
      </c>
      <c r="B399" s="168" t="s">
        <v>1464</v>
      </c>
    </row>
    <row r="401" spans="1:2">
      <c r="A401" s="167" t="s">
        <v>1420</v>
      </c>
      <c r="B401" s="168" t="s">
        <v>1465</v>
      </c>
    </row>
    <row r="402" spans="1:2">
      <c r="A402" s="167" t="s">
        <v>1421</v>
      </c>
      <c r="B402" s="168" t="s">
        <v>1466</v>
      </c>
    </row>
    <row r="403" spans="1:2">
      <c r="A403" s="167" t="s">
        <v>1422</v>
      </c>
      <c r="B403" s="168" t="s">
        <v>1467</v>
      </c>
    </row>
    <row r="404" spans="1:2">
      <c r="A404" s="167" t="s">
        <v>1423</v>
      </c>
      <c r="B404" s="168" t="s">
        <v>1468</v>
      </c>
    </row>
    <row r="405" spans="1:2">
      <c r="A405" s="167" t="s">
        <v>1424</v>
      </c>
      <c r="B405" s="168" t="s">
        <v>1469</v>
      </c>
    </row>
    <row r="407" spans="1:2">
      <c r="A407" s="167" t="s">
        <v>1425</v>
      </c>
      <c r="B407" s="168" t="s">
        <v>1470</v>
      </c>
    </row>
    <row r="408" spans="1:2">
      <c r="A408" s="167" t="s">
        <v>1426</v>
      </c>
      <c r="B408" s="168" t="s">
        <v>1471</v>
      </c>
    </row>
    <row r="409" spans="1:2">
      <c r="A409" s="167" t="s">
        <v>1427</v>
      </c>
      <c r="B409" s="168" t="s">
        <v>1472</v>
      </c>
    </row>
    <row r="410" spans="1:2">
      <c r="A410" s="167" t="s">
        <v>1428</v>
      </c>
      <c r="B410" s="168" t="s">
        <v>1473</v>
      </c>
    </row>
    <row r="411" spans="1:2">
      <c r="A411" s="167" t="s">
        <v>1429</v>
      </c>
      <c r="B411" s="168" t="s">
        <v>1474</v>
      </c>
    </row>
    <row r="413" spans="1:2">
      <c r="A413" s="167" t="s">
        <v>1430</v>
      </c>
      <c r="B413" s="168" t="s">
        <v>1475</v>
      </c>
    </row>
    <row r="414" spans="1:2">
      <c r="A414" s="167" t="s">
        <v>1431</v>
      </c>
      <c r="B414" s="168" t="s">
        <v>1476</v>
      </c>
    </row>
    <row r="415" spans="1:2">
      <c r="A415" s="167" t="s">
        <v>1432</v>
      </c>
      <c r="B415" s="168" t="s">
        <v>1477</v>
      </c>
    </row>
    <row r="416" spans="1:2">
      <c r="A416" s="167" t="s">
        <v>1433</v>
      </c>
      <c r="B416" s="168" t="s">
        <v>1478</v>
      </c>
    </row>
    <row r="417" spans="1:2">
      <c r="A417" s="167" t="s">
        <v>1434</v>
      </c>
      <c r="B417" s="168" t="s">
        <v>1479</v>
      </c>
    </row>
    <row r="419" spans="1:2">
      <c r="A419" s="167" t="s">
        <v>1547</v>
      </c>
      <c r="B419" s="168" t="s">
        <v>1592</v>
      </c>
    </row>
    <row r="420" spans="1:2">
      <c r="A420" s="167" t="s">
        <v>1548</v>
      </c>
      <c r="B420" s="168" t="s">
        <v>1593</v>
      </c>
    </row>
    <row r="421" spans="1:2">
      <c r="A421" s="167" t="s">
        <v>1549</v>
      </c>
      <c r="B421" s="168" t="s">
        <v>1594</v>
      </c>
    </row>
    <row r="422" spans="1:2">
      <c r="A422" s="167" t="s">
        <v>1550</v>
      </c>
      <c r="B422" s="168" t="s">
        <v>1595</v>
      </c>
    </row>
    <row r="423" spans="1:2">
      <c r="A423" s="167" t="s">
        <v>1551</v>
      </c>
      <c r="B423" s="168" t="s">
        <v>1596</v>
      </c>
    </row>
    <row r="425" spans="1:2">
      <c r="A425" s="167" t="s">
        <v>1552</v>
      </c>
      <c r="B425" s="168" t="s">
        <v>1597</v>
      </c>
    </row>
    <row r="426" spans="1:2">
      <c r="A426" s="167" t="s">
        <v>1553</v>
      </c>
      <c r="B426" s="168" t="s">
        <v>1598</v>
      </c>
    </row>
    <row r="427" spans="1:2">
      <c r="A427" s="167" t="s">
        <v>1554</v>
      </c>
      <c r="B427" s="168" t="s">
        <v>1599</v>
      </c>
    </row>
    <row r="428" spans="1:2">
      <c r="A428" s="167" t="s">
        <v>1555</v>
      </c>
      <c r="B428" s="168" t="s">
        <v>1600</v>
      </c>
    </row>
    <row r="429" spans="1:2">
      <c r="A429" s="167" t="s">
        <v>1556</v>
      </c>
      <c r="B429" s="168" t="s">
        <v>1601</v>
      </c>
    </row>
    <row r="431" spans="1:2">
      <c r="A431" s="167" t="s">
        <v>1557</v>
      </c>
      <c r="B431" s="168" t="s">
        <v>1602</v>
      </c>
    </row>
    <row r="432" spans="1:2">
      <c r="A432" s="167" t="s">
        <v>1558</v>
      </c>
      <c r="B432" s="168" t="s">
        <v>1603</v>
      </c>
    </row>
    <row r="433" spans="1:2">
      <c r="A433" s="167" t="s">
        <v>1559</v>
      </c>
      <c r="B433" s="168" t="s">
        <v>1604</v>
      </c>
    </row>
    <row r="434" spans="1:2">
      <c r="A434" s="167" t="s">
        <v>1560</v>
      </c>
      <c r="B434" s="168" t="s">
        <v>1605</v>
      </c>
    </row>
    <row r="435" spans="1:2">
      <c r="A435" s="167" t="s">
        <v>1561</v>
      </c>
      <c r="B435" s="168" t="s">
        <v>1606</v>
      </c>
    </row>
    <row r="437" spans="1:2">
      <c r="A437" s="167" t="s">
        <v>1562</v>
      </c>
      <c r="B437" s="168" t="s">
        <v>1607</v>
      </c>
    </row>
    <row r="438" spans="1:2">
      <c r="A438" s="167" t="s">
        <v>1563</v>
      </c>
      <c r="B438" s="168" t="s">
        <v>1608</v>
      </c>
    </row>
    <row r="439" spans="1:2">
      <c r="A439" s="167" t="s">
        <v>1564</v>
      </c>
      <c r="B439" s="168" t="s">
        <v>1609</v>
      </c>
    </row>
    <row r="440" spans="1:2">
      <c r="A440" s="167" t="s">
        <v>1565</v>
      </c>
      <c r="B440" s="168" t="s">
        <v>1610</v>
      </c>
    </row>
    <row r="441" spans="1:2">
      <c r="A441" s="167" t="s">
        <v>1566</v>
      </c>
      <c r="B441" s="168" t="s">
        <v>1611</v>
      </c>
    </row>
    <row r="443" spans="1:2">
      <c r="A443" s="167" t="s">
        <v>1567</v>
      </c>
      <c r="B443" s="168" t="s">
        <v>1612</v>
      </c>
    </row>
    <row r="444" spans="1:2">
      <c r="A444" s="167" t="s">
        <v>1568</v>
      </c>
      <c r="B444" s="168" t="s">
        <v>1613</v>
      </c>
    </row>
    <row r="445" spans="1:2">
      <c r="A445" s="167" t="s">
        <v>1569</v>
      </c>
      <c r="B445" s="168" t="s">
        <v>1614</v>
      </c>
    </row>
    <row r="446" spans="1:2">
      <c r="A446" s="167" t="s">
        <v>1570</v>
      </c>
      <c r="B446" s="168" t="s">
        <v>1615</v>
      </c>
    </row>
    <row r="447" spans="1:2">
      <c r="A447" s="167" t="s">
        <v>1571</v>
      </c>
      <c r="B447" s="168" t="s">
        <v>1616</v>
      </c>
    </row>
    <row r="449" spans="1:2">
      <c r="A449" s="167" t="s">
        <v>1572</v>
      </c>
      <c r="B449" s="168" t="s">
        <v>1617</v>
      </c>
    </row>
    <row r="450" spans="1:2">
      <c r="A450" s="167" t="s">
        <v>1573</v>
      </c>
      <c r="B450" s="168" t="s">
        <v>1618</v>
      </c>
    </row>
    <row r="451" spans="1:2">
      <c r="A451" s="167" t="s">
        <v>1574</v>
      </c>
      <c r="B451" s="168" t="s">
        <v>1619</v>
      </c>
    </row>
    <row r="452" spans="1:2">
      <c r="A452" s="167" t="s">
        <v>1575</v>
      </c>
      <c r="B452" s="168" t="s">
        <v>1620</v>
      </c>
    </row>
    <row r="453" spans="1:2">
      <c r="A453" s="167" t="s">
        <v>1576</v>
      </c>
      <c r="B453" s="168" t="s">
        <v>1621</v>
      </c>
    </row>
    <row r="455" spans="1:2">
      <c r="A455" s="167" t="s">
        <v>1577</v>
      </c>
      <c r="B455" s="168" t="s">
        <v>1622</v>
      </c>
    </row>
    <row r="456" spans="1:2">
      <c r="A456" s="167" t="s">
        <v>1578</v>
      </c>
      <c r="B456" s="168" t="s">
        <v>1623</v>
      </c>
    </row>
    <row r="457" spans="1:2">
      <c r="A457" s="167" t="s">
        <v>1579</v>
      </c>
      <c r="B457" s="168" t="s">
        <v>1624</v>
      </c>
    </row>
    <row r="458" spans="1:2">
      <c r="A458" s="167" t="s">
        <v>1580</v>
      </c>
      <c r="B458" s="168" t="s">
        <v>1625</v>
      </c>
    </row>
    <row r="459" spans="1:2">
      <c r="A459" s="167" t="s">
        <v>1581</v>
      </c>
      <c r="B459" s="168" t="s">
        <v>1626</v>
      </c>
    </row>
    <row r="461" spans="1:2">
      <c r="A461" s="167" t="s">
        <v>1582</v>
      </c>
      <c r="B461" s="168" t="s">
        <v>1627</v>
      </c>
    </row>
    <row r="462" spans="1:2">
      <c r="A462" s="167" t="s">
        <v>1583</v>
      </c>
      <c r="B462" s="168" t="s">
        <v>1628</v>
      </c>
    </row>
    <row r="463" spans="1:2">
      <c r="A463" s="167" t="s">
        <v>1584</v>
      </c>
      <c r="B463" s="168" t="s">
        <v>1629</v>
      </c>
    </row>
    <row r="464" spans="1:2">
      <c r="A464" s="167" t="s">
        <v>1585</v>
      </c>
      <c r="B464" s="168" t="s">
        <v>1630</v>
      </c>
    </row>
    <row r="465" spans="1:2">
      <c r="A465" s="167" t="s">
        <v>1586</v>
      </c>
      <c r="B465" s="168" t="s">
        <v>1631</v>
      </c>
    </row>
    <row r="467" spans="1:2">
      <c r="A467" s="167" t="s">
        <v>1587</v>
      </c>
      <c r="B467" s="168" t="s">
        <v>1632</v>
      </c>
    </row>
    <row r="468" spans="1:2">
      <c r="A468" s="167" t="s">
        <v>1588</v>
      </c>
      <c r="B468" s="168" t="s">
        <v>1633</v>
      </c>
    </row>
    <row r="469" spans="1:2">
      <c r="A469" s="167" t="s">
        <v>1589</v>
      </c>
      <c r="B469" s="168" t="s">
        <v>1634</v>
      </c>
    </row>
    <row r="470" spans="1:2">
      <c r="A470" s="167" t="s">
        <v>1590</v>
      </c>
      <c r="B470" s="168" t="s">
        <v>1635</v>
      </c>
    </row>
    <row r="471" spans="1:2">
      <c r="A471" s="167" t="s">
        <v>1591</v>
      </c>
      <c r="B471" s="168" t="s">
        <v>1636</v>
      </c>
    </row>
    <row r="473" spans="1:2">
      <c r="A473" s="167" t="s">
        <v>1637</v>
      </c>
      <c r="B473" s="168" t="s">
        <v>1642</v>
      </c>
    </row>
    <row r="474" spans="1:2">
      <c r="A474" s="167" t="s">
        <v>1638</v>
      </c>
      <c r="B474" s="168" t="s">
        <v>1643</v>
      </c>
    </row>
    <row r="475" spans="1:2">
      <c r="A475" s="167" t="s">
        <v>1639</v>
      </c>
      <c r="B475" s="168" t="s">
        <v>1644</v>
      </c>
    </row>
    <row r="476" spans="1:2">
      <c r="A476" s="167" t="s">
        <v>1640</v>
      </c>
      <c r="B476" s="168" t="s">
        <v>1645</v>
      </c>
    </row>
    <row r="477" spans="1:2">
      <c r="A477" s="167" t="s">
        <v>1641</v>
      </c>
      <c r="B477" s="168" t="s">
        <v>1646</v>
      </c>
    </row>
    <row r="479" spans="1:2">
      <c r="A479" s="167" t="s">
        <v>1647</v>
      </c>
      <c r="B479" s="168" t="s">
        <v>1692</v>
      </c>
    </row>
    <row r="480" spans="1:2">
      <c r="A480" s="167" t="s">
        <v>1648</v>
      </c>
      <c r="B480" s="168" t="s">
        <v>1693</v>
      </c>
    </row>
    <row r="481" spans="1:2">
      <c r="A481" s="167" t="s">
        <v>1649</v>
      </c>
      <c r="B481" s="168" t="s">
        <v>1694</v>
      </c>
    </row>
    <row r="482" spans="1:2">
      <c r="A482" s="167" t="s">
        <v>1650</v>
      </c>
      <c r="B482" s="168" t="s">
        <v>1695</v>
      </c>
    </row>
    <row r="483" spans="1:2">
      <c r="A483" s="167" t="s">
        <v>1651</v>
      </c>
      <c r="B483" s="168" t="s">
        <v>1696</v>
      </c>
    </row>
    <row r="485" spans="1:2">
      <c r="A485" s="167" t="s">
        <v>1652</v>
      </c>
      <c r="B485" s="168" t="s">
        <v>1697</v>
      </c>
    </row>
    <row r="486" spans="1:2">
      <c r="A486" s="167" t="s">
        <v>1653</v>
      </c>
      <c r="B486" s="168" t="s">
        <v>1698</v>
      </c>
    </row>
    <row r="487" spans="1:2">
      <c r="A487" s="167" t="s">
        <v>1654</v>
      </c>
      <c r="B487" s="168" t="s">
        <v>1699</v>
      </c>
    </row>
    <row r="488" spans="1:2">
      <c r="A488" s="167" t="s">
        <v>1655</v>
      </c>
      <c r="B488" s="168" t="s">
        <v>1700</v>
      </c>
    </row>
    <row r="489" spans="1:2">
      <c r="A489" s="167" t="s">
        <v>1656</v>
      </c>
      <c r="B489" s="168" t="s">
        <v>1701</v>
      </c>
    </row>
    <row r="491" spans="1:2">
      <c r="A491" s="167" t="s">
        <v>1657</v>
      </c>
      <c r="B491" s="168" t="s">
        <v>1702</v>
      </c>
    </row>
    <row r="492" spans="1:2">
      <c r="A492" s="167" t="s">
        <v>1658</v>
      </c>
      <c r="B492" s="168" t="s">
        <v>1703</v>
      </c>
    </row>
    <row r="493" spans="1:2">
      <c r="A493" s="167" t="s">
        <v>1659</v>
      </c>
      <c r="B493" s="168" t="s">
        <v>1704</v>
      </c>
    </row>
    <row r="494" spans="1:2">
      <c r="A494" s="167" t="s">
        <v>1660</v>
      </c>
      <c r="B494" s="168" t="s">
        <v>1705</v>
      </c>
    </row>
    <row r="495" spans="1:2">
      <c r="A495" s="167" t="s">
        <v>1661</v>
      </c>
      <c r="B495" s="168" t="s">
        <v>1706</v>
      </c>
    </row>
    <row r="497" spans="1:2">
      <c r="A497" s="167" t="s">
        <v>1662</v>
      </c>
      <c r="B497" s="168" t="s">
        <v>1707</v>
      </c>
    </row>
    <row r="498" spans="1:2">
      <c r="A498" s="167" t="s">
        <v>1663</v>
      </c>
      <c r="B498" s="168" t="s">
        <v>1708</v>
      </c>
    </row>
    <row r="499" spans="1:2">
      <c r="A499" s="167" t="s">
        <v>1664</v>
      </c>
      <c r="B499" s="168" t="s">
        <v>1709</v>
      </c>
    </row>
    <row r="500" spans="1:2">
      <c r="A500" s="167" t="s">
        <v>1665</v>
      </c>
      <c r="B500" s="168" t="s">
        <v>1710</v>
      </c>
    </row>
    <row r="501" spans="1:2">
      <c r="A501" s="167" t="s">
        <v>1666</v>
      </c>
      <c r="B501" s="168" t="s">
        <v>1711</v>
      </c>
    </row>
    <row r="503" spans="1:2">
      <c r="A503" s="167" t="s">
        <v>1667</v>
      </c>
      <c r="B503" s="168" t="s">
        <v>1712</v>
      </c>
    </row>
    <row r="504" spans="1:2">
      <c r="A504" s="167" t="s">
        <v>1668</v>
      </c>
      <c r="B504" s="168" t="s">
        <v>1713</v>
      </c>
    </row>
    <row r="505" spans="1:2">
      <c r="A505" s="167" t="s">
        <v>1669</v>
      </c>
      <c r="B505" s="168" t="s">
        <v>1714</v>
      </c>
    </row>
    <row r="506" spans="1:2">
      <c r="A506" s="167" t="s">
        <v>1670</v>
      </c>
      <c r="B506" s="168" t="s">
        <v>1715</v>
      </c>
    </row>
    <row r="507" spans="1:2">
      <c r="A507" s="167" t="s">
        <v>1671</v>
      </c>
      <c r="B507" s="168" t="s">
        <v>1716</v>
      </c>
    </row>
    <row r="509" spans="1:2">
      <c r="A509" s="167" t="s">
        <v>1672</v>
      </c>
      <c r="B509" s="168" t="s">
        <v>1717</v>
      </c>
    </row>
    <row r="510" spans="1:2">
      <c r="A510" s="167" t="s">
        <v>1673</v>
      </c>
      <c r="B510" s="168" t="s">
        <v>1718</v>
      </c>
    </row>
    <row r="511" spans="1:2">
      <c r="A511" s="167" t="s">
        <v>1674</v>
      </c>
      <c r="B511" s="168" t="s">
        <v>1719</v>
      </c>
    </row>
    <row r="512" spans="1:2">
      <c r="A512" s="167" t="s">
        <v>1675</v>
      </c>
      <c r="B512" s="168" t="s">
        <v>1720</v>
      </c>
    </row>
    <row r="513" spans="1:2">
      <c r="A513" s="167" t="s">
        <v>1676</v>
      </c>
      <c r="B513" s="168" t="s">
        <v>1721</v>
      </c>
    </row>
    <row r="515" spans="1:2">
      <c r="A515" s="167" t="s">
        <v>1677</v>
      </c>
      <c r="B515" s="168" t="s">
        <v>1722</v>
      </c>
    </row>
    <row r="516" spans="1:2">
      <c r="A516" s="167" t="s">
        <v>1678</v>
      </c>
      <c r="B516" s="168" t="s">
        <v>1723</v>
      </c>
    </row>
    <row r="517" spans="1:2">
      <c r="A517" s="167" t="s">
        <v>1679</v>
      </c>
      <c r="B517" s="168" t="s">
        <v>1724</v>
      </c>
    </row>
    <row r="518" spans="1:2">
      <c r="A518" s="167" t="s">
        <v>1680</v>
      </c>
      <c r="B518" s="168" t="s">
        <v>1725</v>
      </c>
    </row>
    <row r="519" spans="1:2">
      <c r="A519" s="167" t="s">
        <v>1681</v>
      </c>
      <c r="B519" s="168" t="s">
        <v>1726</v>
      </c>
    </row>
    <row r="521" spans="1:2">
      <c r="A521" s="167" t="s">
        <v>1682</v>
      </c>
      <c r="B521" s="168" t="s">
        <v>1727</v>
      </c>
    </row>
    <row r="522" spans="1:2">
      <c r="A522" s="167" t="s">
        <v>1683</v>
      </c>
      <c r="B522" s="168" t="s">
        <v>1728</v>
      </c>
    </row>
    <row r="523" spans="1:2">
      <c r="A523" s="167" t="s">
        <v>1684</v>
      </c>
      <c r="B523" s="168" t="s">
        <v>1729</v>
      </c>
    </row>
    <row r="524" spans="1:2">
      <c r="A524" s="167" t="s">
        <v>1685</v>
      </c>
      <c r="B524" s="168" t="s">
        <v>1730</v>
      </c>
    </row>
    <row r="525" spans="1:2">
      <c r="A525" s="167" t="s">
        <v>1686</v>
      </c>
      <c r="B525" s="168" t="s">
        <v>1731</v>
      </c>
    </row>
    <row r="527" spans="1:2">
      <c r="A527" s="167" t="s">
        <v>1687</v>
      </c>
      <c r="B527" s="168" t="s">
        <v>1732</v>
      </c>
    </row>
    <row r="528" spans="1:2">
      <c r="A528" s="167" t="s">
        <v>1688</v>
      </c>
      <c r="B528" s="168" t="s">
        <v>1733</v>
      </c>
    </row>
    <row r="529" spans="1:2">
      <c r="A529" s="167" t="s">
        <v>1689</v>
      </c>
      <c r="B529" s="168" t="s">
        <v>1734</v>
      </c>
    </row>
    <row r="530" spans="1:2">
      <c r="A530" s="167" t="s">
        <v>1690</v>
      </c>
      <c r="B530" s="168" t="s">
        <v>1735</v>
      </c>
    </row>
    <row r="531" spans="1:2">
      <c r="A531" s="167" t="s">
        <v>1691</v>
      </c>
      <c r="B531" s="168" t="s">
        <v>1736</v>
      </c>
    </row>
    <row r="533" spans="1:2">
      <c r="A533" s="167" t="s">
        <v>1737</v>
      </c>
      <c r="B533" s="168" t="s">
        <v>1742</v>
      </c>
    </row>
    <row r="534" spans="1:2">
      <c r="A534" s="167" t="s">
        <v>1738</v>
      </c>
      <c r="B534" s="168" t="s">
        <v>1743</v>
      </c>
    </row>
    <row r="535" spans="1:2">
      <c r="A535" s="167" t="s">
        <v>1739</v>
      </c>
      <c r="B535" s="168" t="s">
        <v>1744</v>
      </c>
    </row>
    <row r="536" spans="1:2">
      <c r="A536" s="167" t="s">
        <v>1740</v>
      </c>
      <c r="B536" s="168" t="s">
        <v>1745</v>
      </c>
    </row>
    <row r="537" spans="1:2">
      <c r="A537" s="167" t="s">
        <v>1741</v>
      </c>
      <c r="B537" s="168" t="s">
        <v>1746</v>
      </c>
    </row>
    <row r="539" spans="1:2">
      <c r="A539" s="167" t="s">
        <v>1540</v>
      </c>
      <c r="B539" s="168" t="s">
        <v>1541</v>
      </c>
    </row>
    <row r="541" spans="1:2">
      <c r="A541" s="167" t="s">
        <v>1480</v>
      </c>
      <c r="B541" s="168" t="s">
        <v>1481</v>
      </c>
    </row>
    <row r="542" spans="1:2" ht="25.5">
      <c r="A542" s="167" t="s">
        <v>1483</v>
      </c>
      <c r="B542" s="168" t="s">
        <v>1482</v>
      </c>
    </row>
    <row r="543" spans="1:2" ht="25.5">
      <c r="A543" s="167" t="s">
        <v>1829</v>
      </c>
      <c r="B543" s="168" t="s">
        <v>1484</v>
      </c>
    </row>
    <row r="544" spans="1:2" ht="25.5">
      <c r="A544" s="167" t="s">
        <v>1486</v>
      </c>
      <c r="B544" s="168" t="s">
        <v>1485</v>
      </c>
    </row>
    <row r="545" spans="1:2" ht="25.5">
      <c r="A545" s="167" t="s">
        <v>1490</v>
      </c>
      <c r="B545" s="168" t="s">
        <v>1487</v>
      </c>
    </row>
    <row r="546" spans="1:2" ht="25.5">
      <c r="A546" s="167" t="s">
        <v>1491</v>
      </c>
      <c r="B546" s="168" t="s">
        <v>1488</v>
      </c>
    </row>
    <row r="547" spans="1:2" ht="25.5">
      <c r="A547" s="167" t="s">
        <v>1492</v>
      </c>
      <c r="B547" s="168" t="s">
        <v>1489</v>
      </c>
    </row>
    <row r="548" spans="1:2" ht="38.25">
      <c r="A548" s="167" t="s">
        <v>1493</v>
      </c>
      <c r="B548" s="168" t="s">
        <v>614</v>
      </c>
    </row>
    <row r="549" spans="1:2" ht="25.5">
      <c r="A549" s="167" t="s">
        <v>1495</v>
      </c>
      <c r="B549" s="168" t="s">
        <v>1494</v>
      </c>
    </row>
    <row r="550" spans="1:2" ht="25.5">
      <c r="A550" s="167" t="s">
        <v>1497</v>
      </c>
      <c r="B550" s="168" t="s">
        <v>1496</v>
      </c>
    </row>
    <row r="551" spans="1:2">
      <c r="A551" s="167" t="s">
        <v>1499</v>
      </c>
      <c r="B551" s="168" t="s">
        <v>1498</v>
      </c>
    </row>
    <row r="552" spans="1:2" ht="66.75" customHeight="1">
      <c r="A552" s="167" t="s">
        <v>1501</v>
      </c>
      <c r="B552" s="168" t="s">
        <v>1500</v>
      </c>
    </row>
    <row r="553" spans="1:2">
      <c r="A553" s="167" t="s">
        <v>1503</v>
      </c>
      <c r="B553" s="168" t="s">
        <v>1502</v>
      </c>
    </row>
    <row r="554" spans="1:2" ht="38.25">
      <c r="A554" s="167" t="s">
        <v>1505</v>
      </c>
      <c r="B554" s="168" t="s">
        <v>1504</v>
      </c>
    </row>
    <row r="555" spans="1:2">
      <c r="A555" s="167" t="s">
        <v>1753</v>
      </c>
      <c r="B555" s="168" t="s">
        <v>1748</v>
      </c>
    </row>
    <row r="556" spans="1:2">
      <c r="A556" s="167" t="s">
        <v>1754</v>
      </c>
      <c r="B556" s="168" t="s">
        <v>1749</v>
      </c>
    </row>
    <row r="557" spans="1:2" ht="25.5">
      <c r="A557" s="167" t="s">
        <v>1755</v>
      </c>
      <c r="B557" s="168" t="s">
        <v>1750</v>
      </c>
    </row>
    <row r="558" spans="1:2">
      <c r="A558" s="167" t="s">
        <v>1756</v>
      </c>
      <c r="B558" s="168" t="s">
        <v>1751</v>
      </c>
    </row>
    <row r="559" spans="1:2">
      <c r="A559" s="167" t="s">
        <v>1757</v>
      </c>
      <c r="B559" s="168" t="s">
        <v>1752</v>
      </c>
    </row>
    <row r="560" spans="1:2">
      <c r="A560" s="167" t="s">
        <v>1767</v>
      </c>
      <c r="B560" s="168" t="s">
        <v>1766</v>
      </c>
    </row>
    <row r="561" spans="1:2" ht="25.5">
      <c r="A561" s="167" t="s">
        <v>1831</v>
      </c>
      <c r="B561" s="168" t="s">
        <v>1830</v>
      </c>
    </row>
    <row r="563" spans="1:2">
      <c r="A563" s="167" t="s">
        <v>1832</v>
      </c>
      <c r="B563" s="168" t="s">
        <v>1832</v>
      </c>
    </row>
    <row r="564" spans="1:2">
      <c r="A564" s="167" t="s">
        <v>1833</v>
      </c>
      <c r="B564" s="168" t="s">
        <v>1833</v>
      </c>
    </row>
    <row r="565" spans="1:2">
      <c r="A565" s="167" t="s">
        <v>1834</v>
      </c>
      <c r="B565" s="168" t="s">
        <v>1834</v>
      </c>
    </row>
    <row r="566" spans="1:2">
      <c r="A566" s="167" t="s">
        <v>1835</v>
      </c>
      <c r="B566" s="168" t="s">
        <v>1835</v>
      </c>
    </row>
    <row r="567" spans="1:2">
      <c r="A567" s="167" t="s">
        <v>1836</v>
      </c>
      <c r="B567" s="168" t="s">
        <v>1836</v>
      </c>
    </row>
    <row r="568" spans="1:2">
      <c r="A568" s="167" t="s">
        <v>1837</v>
      </c>
      <c r="B568" s="168" t="s">
        <v>1837</v>
      </c>
    </row>
    <row r="569" spans="1:2">
      <c r="A569" s="167" t="s">
        <v>1838</v>
      </c>
      <c r="B569" s="168" t="s">
        <v>1838</v>
      </c>
    </row>
    <row r="570" spans="1:2">
      <c r="A570" s="167" t="s">
        <v>1839</v>
      </c>
      <c r="B570" s="168" t="s">
        <v>1839</v>
      </c>
    </row>
    <row r="571" spans="1:2">
      <c r="A571" s="167" t="s">
        <v>1840</v>
      </c>
      <c r="B571" s="168" t="s">
        <v>1840</v>
      </c>
    </row>
    <row r="572" spans="1:2">
      <c r="A572" s="167" t="s">
        <v>1841</v>
      </c>
      <c r="B572" s="168" t="s">
        <v>1841</v>
      </c>
    </row>
    <row r="573" spans="1:2">
      <c r="A573" s="167" t="s">
        <v>1842</v>
      </c>
      <c r="B573" s="168" t="s">
        <v>1842</v>
      </c>
    </row>
    <row r="574" spans="1:2">
      <c r="A574" s="167" t="s">
        <v>1843</v>
      </c>
      <c r="B574" s="168" t="s">
        <v>1843</v>
      </c>
    </row>
    <row r="575" spans="1:2">
      <c r="A575" s="167" t="s">
        <v>1844</v>
      </c>
      <c r="B575" s="168" t="s">
        <v>1844</v>
      </c>
    </row>
    <row r="576" spans="1:2">
      <c r="A576" s="167" t="s">
        <v>1845</v>
      </c>
      <c r="B576" s="168" t="s">
        <v>1845</v>
      </c>
    </row>
    <row r="577" spans="1:2">
      <c r="A577" s="167" t="s">
        <v>1846</v>
      </c>
      <c r="B577" s="168" t="s">
        <v>1846</v>
      </c>
    </row>
    <row r="578" spans="1:2">
      <c r="A578" s="167" t="s">
        <v>1847</v>
      </c>
      <c r="B578" s="168" t="s">
        <v>1847</v>
      </c>
    </row>
    <row r="579" spans="1:2">
      <c r="A579" s="167" t="s">
        <v>1848</v>
      </c>
      <c r="B579" s="168" t="s">
        <v>1848</v>
      </c>
    </row>
    <row r="580" spans="1:2">
      <c r="A580" s="167" t="s">
        <v>1849</v>
      </c>
      <c r="B580" s="168" t="s">
        <v>1849</v>
      </c>
    </row>
    <row r="581" spans="1:2">
      <c r="A581" s="167" t="s">
        <v>1850</v>
      </c>
      <c r="B581" s="168" t="s">
        <v>1850</v>
      </c>
    </row>
    <row r="582" spans="1:2">
      <c r="A582" s="167" t="s">
        <v>1851</v>
      </c>
      <c r="B582" s="168" t="s">
        <v>1851</v>
      </c>
    </row>
    <row r="583" spans="1:2">
      <c r="A583" s="167" t="s">
        <v>1852</v>
      </c>
      <c r="B583" s="168" t="s">
        <v>1852</v>
      </c>
    </row>
    <row r="584" spans="1:2">
      <c r="A584" s="167" t="s">
        <v>1853</v>
      </c>
      <c r="B584" s="168" t="s">
        <v>1853</v>
      </c>
    </row>
    <row r="585" spans="1:2">
      <c r="A585" s="167" t="s">
        <v>1854</v>
      </c>
      <c r="B585" s="168" t="s">
        <v>1854</v>
      </c>
    </row>
    <row r="586" spans="1:2">
      <c r="A586" s="167" t="s">
        <v>1855</v>
      </c>
      <c r="B586" s="168" t="s">
        <v>1855</v>
      </c>
    </row>
    <row r="587" spans="1:2">
      <c r="A587" s="167" t="s">
        <v>1856</v>
      </c>
      <c r="B587" s="168" t="s">
        <v>1856</v>
      </c>
    </row>
    <row r="588" spans="1:2">
      <c r="A588" s="167" t="s">
        <v>1857</v>
      </c>
      <c r="B588" s="168" t="s">
        <v>1857</v>
      </c>
    </row>
    <row r="589" spans="1:2">
      <c r="A589" s="167" t="s">
        <v>1858</v>
      </c>
      <c r="B589" s="168" t="s">
        <v>1858</v>
      </c>
    </row>
    <row r="590" spans="1:2">
      <c r="A590" s="167" t="s">
        <v>1859</v>
      </c>
      <c r="B590" s="168" t="s">
        <v>1859</v>
      </c>
    </row>
    <row r="591" spans="1:2">
      <c r="A591" s="167" t="s">
        <v>1860</v>
      </c>
      <c r="B591" s="168" t="s">
        <v>1860</v>
      </c>
    </row>
    <row r="592" spans="1:2">
      <c r="A592" s="167" t="s">
        <v>1861</v>
      </c>
      <c r="B592" s="168" t="s">
        <v>1861</v>
      </c>
    </row>
    <row r="593" spans="1:2">
      <c r="A593" s="167" t="s">
        <v>1862</v>
      </c>
      <c r="B593" s="168" t="s">
        <v>1862</v>
      </c>
    </row>
    <row r="594" spans="1:2">
      <c r="A594" s="167" t="s">
        <v>1863</v>
      </c>
      <c r="B594" s="168" t="s">
        <v>1863</v>
      </c>
    </row>
    <row r="595" spans="1:2">
      <c r="A595" s="167" t="s">
        <v>1864</v>
      </c>
      <c r="B595" s="168" t="s">
        <v>1864</v>
      </c>
    </row>
    <row r="596" spans="1:2">
      <c r="A596" s="167" t="s">
        <v>1865</v>
      </c>
      <c r="B596" s="168" t="s">
        <v>1865</v>
      </c>
    </row>
    <row r="597" spans="1:2">
      <c r="A597" s="167" t="s">
        <v>1866</v>
      </c>
      <c r="B597" s="168" t="s">
        <v>1866</v>
      </c>
    </row>
    <row r="598" spans="1:2">
      <c r="A598" s="167" t="s">
        <v>1867</v>
      </c>
      <c r="B598" s="168" t="s">
        <v>1867</v>
      </c>
    </row>
    <row r="599" spans="1:2">
      <c r="A599" s="167" t="s">
        <v>1868</v>
      </c>
      <c r="B599" s="168" t="s">
        <v>1868</v>
      </c>
    </row>
    <row r="600" spans="1:2">
      <c r="A600" s="167" t="s">
        <v>1869</v>
      </c>
      <c r="B600" s="168" t="s">
        <v>1869</v>
      </c>
    </row>
    <row r="601" spans="1:2">
      <c r="A601" s="167" t="s">
        <v>1870</v>
      </c>
      <c r="B601" s="168" t="s">
        <v>1870</v>
      </c>
    </row>
    <row r="602" spans="1:2">
      <c r="A602" s="167" t="s">
        <v>1871</v>
      </c>
      <c r="B602" s="168" t="s">
        <v>1871</v>
      </c>
    </row>
    <row r="603" spans="1:2">
      <c r="A603" s="167" t="s">
        <v>1872</v>
      </c>
      <c r="B603" s="168" t="s">
        <v>1872</v>
      </c>
    </row>
    <row r="604" spans="1:2">
      <c r="A604" s="167" t="s">
        <v>1873</v>
      </c>
      <c r="B604" s="168" t="s">
        <v>1873</v>
      </c>
    </row>
    <row r="605" spans="1:2">
      <c r="A605" s="167" t="s">
        <v>1874</v>
      </c>
      <c r="B605" s="168" t="s">
        <v>1874</v>
      </c>
    </row>
    <row r="606" spans="1:2">
      <c r="A606" s="167" t="s">
        <v>1875</v>
      </c>
      <c r="B606" s="168" t="s">
        <v>1875</v>
      </c>
    </row>
    <row r="607" spans="1:2">
      <c r="A607" s="167" t="s">
        <v>1876</v>
      </c>
      <c r="B607" s="168" t="s">
        <v>1876</v>
      </c>
    </row>
    <row r="608" spans="1:2">
      <c r="A608" s="167" t="s">
        <v>1877</v>
      </c>
      <c r="B608" s="168" t="s">
        <v>1877</v>
      </c>
    </row>
    <row r="609" spans="1:2">
      <c r="A609" s="167" t="s">
        <v>1878</v>
      </c>
      <c r="B609" s="168" t="s">
        <v>1878</v>
      </c>
    </row>
    <row r="610" spans="1:2">
      <c r="A610" s="167" t="s">
        <v>1879</v>
      </c>
      <c r="B610" s="168" t="s">
        <v>1879</v>
      </c>
    </row>
    <row r="611" spans="1:2">
      <c r="A611" s="167" t="s">
        <v>1880</v>
      </c>
      <c r="B611" s="168" t="s">
        <v>1880</v>
      </c>
    </row>
    <row r="612" spans="1:2">
      <c r="A612" s="167" t="s">
        <v>1881</v>
      </c>
      <c r="B612" s="168" t="s">
        <v>1881</v>
      </c>
    </row>
    <row r="613" spans="1:2">
      <c r="A613" s="167" t="s">
        <v>1882</v>
      </c>
      <c r="B613" s="168" t="s">
        <v>1882</v>
      </c>
    </row>
    <row r="614" spans="1:2">
      <c r="A614" s="167" t="s">
        <v>1883</v>
      </c>
      <c r="B614" s="168" t="s">
        <v>1883</v>
      </c>
    </row>
    <row r="615" spans="1:2">
      <c r="A615" s="167" t="s">
        <v>1884</v>
      </c>
      <c r="B615" s="168" t="s">
        <v>1884</v>
      </c>
    </row>
    <row r="616" spans="1:2">
      <c r="A616" s="167" t="s">
        <v>1885</v>
      </c>
      <c r="B616" s="168" t="s">
        <v>1885</v>
      </c>
    </row>
    <row r="617" spans="1:2">
      <c r="A617" s="167" t="s">
        <v>1886</v>
      </c>
      <c r="B617" s="168" t="s">
        <v>1886</v>
      </c>
    </row>
    <row r="618" spans="1:2">
      <c r="A618" s="167" t="s">
        <v>1887</v>
      </c>
      <c r="B618" s="168" t="s">
        <v>1887</v>
      </c>
    </row>
    <row r="619" spans="1:2">
      <c r="A619" s="167" t="s">
        <v>1888</v>
      </c>
      <c r="B619" s="168" t="s">
        <v>1888</v>
      </c>
    </row>
    <row r="620" spans="1:2">
      <c r="A620" s="167" t="s">
        <v>1889</v>
      </c>
      <c r="B620" s="168" t="s">
        <v>1889</v>
      </c>
    </row>
    <row r="621" spans="1:2">
      <c r="A621" s="167" t="s">
        <v>1890</v>
      </c>
      <c r="B621" s="168" t="s">
        <v>1890</v>
      </c>
    </row>
    <row r="622" spans="1:2">
      <c r="A622" s="167" t="s">
        <v>1891</v>
      </c>
      <c r="B622" s="168" t="s">
        <v>1891</v>
      </c>
    </row>
    <row r="624" spans="1:2">
      <c r="A624" s="167" t="s">
        <v>1892</v>
      </c>
      <c r="B624" s="168" t="s">
        <v>1892</v>
      </c>
    </row>
    <row r="625" spans="1:2">
      <c r="A625" s="167" t="s">
        <v>1893</v>
      </c>
      <c r="B625" s="168" t="s">
        <v>1893</v>
      </c>
    </row>
    <row r="626" spans="1:2">
      <c r="A626" s="167" t="s">
        <v>1894</v>
      </c>
      <c r="B626" s="168" t="s">
        <v>1894</v>
      </c>
    </row>
    <row r="627" spans="1:2">
      <c r="A627" s="167" t="s">
        <v>1895</v>
      </c>
      <c r="B627" s="168" t="s">
        <v>1895</v>
      </c>
    </row>
    <row r="628" spans="1:2">
      <c r="A628" s="167" t="s">
        <v>1896</v>
      </c>
      <c r="B628" s="168" t="s">
        <v>1896</v>
      </c>
    </row>
    <row r="629" spans="1:2">
      <c r="A629" s="167" t="s">
        <v>1897</v>
      </c>
      <c r="B629" s="168" t="s">
        <v>1897</v>
      </c>
    </row>
    <row r="630" spans="1:2">
      <c r="A630" s="167" t="s">
        <v>1898</v>
      </c>
      <c r="B630" s="168" t="s">
        <v>1898</v>
      </c>
    </row>
    <row r="631" spans="1:2">
      <c r="A631" s="167" t="s">
        <v>1899</v>
      </c>
      <c r="B631" s="168" t="s">
        <v>1899</v>
      </c>
    </row>
    <row r="632" spans="1:2">
      <c r="A632" s="167" t="s">
        <v>1900</v>
      </c>
      <c r="B632" s="168" t="s">
        <v>1900</v>
      </c>
    </row>
    <row r="633" spans="1:2">
      <c r="A633" s="167" t="s">
        <v>1901</v>
      </c>
      <c r="B633" s="168" t="s">
        <v>1901</v>
      </c>
    </row>
    <row r="634" spans="1:2">
      <c r="A634" s="167" t="s">
        <v>1902</v>
      </c>
      <c r="B634" s="168" t="s">
        <v>1902</v>
      </c>
    </row>
    <row r="635" spans="1:2">
      <c r="A635" s="167" t="s">
        <v>1903</v>
      </c>
      <c r="B635" s="168" t="s">
        <v>1903</v>
      </c>
    </row>
    <row r="636" spans="1:2">
      <c r="A636" s="167" t="s">
        <v>1904</v>
      </c>
      <c r="B636" s="168" t="s">
        <v>1904</v>
      </c>
    </row>
    <row r="637" spans="1:2">
      <c r="A637" s="167" t="s">
        <v>1905</v>
      </c>
      <c r="B637" s="168" t="s">
        <v>1905</v>
      </c>
    </row>
    <row r="638" spans="1:2">
      <c r="A638" s="167" t="s">
        <v>1906</v>
      </c>
      <c r="B638" s="168" t="s">
        <v>1906</v>
      </c>
    </row>
    <row r="639" spans="1:2">
      <c r="A639" s="167" t="s">
        <v>1907</v>
      </c>
      <c r="B639" s="168" t="s">
        <v>1907</v>
      </c>
    </row>
    <row r="640" spans="1:2">
      <c r="A640" s="167" t="s">
        <v>1908</v>
      </c>
      <c r="B640" s="168" t="s">
        <v>1908</v>
      </c>
    </row>
    <row r="641" spans="1:2">
      <c r="A641" s="167" t="s">
        <v>1909</v>
      </c>
      <c r="B641" s="168" t="s">
        <v>1909</v>
      </c>
    </row>
    <row r="642" spans="1:2">
      <c r="A642" s="167" t="s">
        <v>1910</v>
      </c>
      <c r="B642" s="168" t="s">
        <v>1910</v>
      </c>
    </row>
    <row r="643" spans="1:2">
      <c r="A643" s="167" t="s">
        <v>1911</v>
      </c>
      <c r="B643" s="168" t="s">
        <v>1911</v>
      </c>
    </row>
    <row r="644" spans="1:2">
      <c r="A644" s="167" t="s">
        <v>1912</v>
      </c>
      <c r="B644" s="168" t="s">
        <v>1912</v>
      </c>
    </row>
    <row r="645" spans="1:2">
      <c r="A645" s="167" t="s">
        <v>1913</v>
      </c>
      <c r="B645" s="168" t="s">
        <v>1913</v>
      </c>
    </row>
    <row r="646" spans="1:2">
      <c r="A646" s="167" t="s">
        <v>1914</v>
      </c>
      <c r="B646" s="168" t="s">
        <v>1914</v>
      </c>
    </row>
    <row r="647" spans="1:2">
      <c r="A647" s="167" t="s">
        <v>1915</v>
      </c>
      <c r="B647" s="168" t="s">
        <v>1915</v>
      </c>
    </row>
    <row r="648" spans="1:2">
      <c r="A648" s="167" t="s">
        <v>1916</v>
      </c>
      <c r="B648" s="168" t="s">
        <v>1916</v>
      </c>
    </row>
    <row r="649" spans="1:2">
      <c r="A649" s="167" t="s">
        <v>1917</v>
      </c>
      <c r="B649" s="168" t="s">
        <v>1917</v>
      </c>
    </row>
    <row r="650" spans="1:2">
      <c r="A650" s="167" t="s">
        <v>1918</v>
      </c>
      <c r="B650" s="168" t="s">
        <v>1918</v>
      </c>
    </row>
    <row r="651" spans="1:2">
      <c r="A651" s="167" t="s">
        <v>1919</v>
      </c>
      <c r="B651" s="168" t="s">
        <v>1919</v>
      </c>
    </row>
    <row r="652" spans="1:2">
      <c r="A652" s="167" t="s">
        <v>1920</v>
      </c>
      <c r="B652" s="168" t="s">
        <v>1920</v>
      </c>
    </row>
    <row r="653" spans="1:2">
      <c r="A653" s="167" t="s">
        <v>1921</v>
      </c>
      <c r="B653" s="168" t="s">
        <v>1921</v>
      </c>
    </row>
    <row r="654" spans="1:2">
      <c r="A654" s="167" t="s">
        <v>1922</v>
      </c>
      <c r="B654" s="168" t="s">
        <v>1922</v>
      </c>
    </row>
    <row r="655" spans="1:2">
      <c r="A655" s="167" t="s">
        <v>1923</v>
      </c>
      <c r="B655" s="168" t="s">
        <v>1923</v>
      </c>
    </row>
    <row r="656" spans="1:2">
      <c r="A656" s="167" t="s">
        <v>1924</v>
      </c>
      <c r="B656" s="168" t="s">
        <v>1924</v>
      </c>
    </row>
    <row r="657" spans="1:2">
      <c r="A657" s="167" t="s">
        <v>1925</v>
      </c>
      <c r="B657" s="168" t="s">
        <v>1925</v>
      </c>
    </row>
    <row r="658" spans="1:2">
      <c r="A658" s="167" t="s">
        <v>1926</v>
      </c>
      <c r="B658" s="168" t="s">
        <v>1926</v>
      </c>
    </row>
    <row r="659" spans="1:2">
      <c r="A659" s="167" t="s">
        <v>1927</v>
      </c>
      <c r="B659" s="168" t="s">
        <v>1927</v>
      </c>
    </row>
    <row r="660" spans="1:2">
      <c r="A660" s="167" t="s">
        <v>1928</v>
      </c>
      <c r="B660" s="168" t="s">
        <v>1928</v>
      </c>
    </row>
    <row r="661" spans="1:2">
      <c r="A661" s="167" t="s">
        <v>1929</v>
      </c>
      <c r="B661" s="168" t="s">
        <v>1929</v>
      </c>
    </row>
    <row r="662" spans="1:2">
      <c r="A662" s="167" t="s">
        <v>1930</v>
      </c>
      <c r="B662" s="168" t="s">
        <v>1930</v>
      </c>
    </row>
    <row r="663" spans="1:2">
      <c r="A663" s="167" t="s">
        <v>1931</v>
      </c>
      <c r="B663" s="168" t="s">
        <v>1931</v>
      </c>
    </row>
    <row r="664" spans="1:2">
      <c r="A664" s="167" t="s">
        <v>1932</v>
      </c>
      <c r="B664" s="168" t="s">
        <v>1932</v>
      </c>
    </row>
    <row r="665" spans="1:2">
      <c r="A665" s="167" t="s">
        <v>1933</v>
      </c>
      <c r="B665" s="168" t="s">
        <v>1933</v>
      </c>
    </row>
    <row r="666" spans="1:2">
      <c r="A666" s="167" t="s">
        <v>1934</v>
      </c>
      <c r="B666" s="168" t="s">
        <v>1934</v>
      </c>
    </row>
    <row r="667" spans="1:2">
      <c r="A667" s="167" t="s">
        <v>1935</v>
      </c>
      <c r="B667" s="168" t="s">
        <v>1935</v>
      </c>
    </row>
    <row r="668" spans="1:2">
      <c r="A668" s="167" t="s">
        <v>1936</v>
      </c>
      <c r="B668" s="168" t="s">
        <v>1936</v>
      </c>
    </row>
    <row r="669" spans="1:2">
      <c r="A669" s="167" t="s">
        <v>1937</v>
      </c>
      <c r="B669" s="168" t="s">
        <v>1937</v>
      </c>
    </row>
    <row r="670" spans="1:2">
      <c r="A670" s="167" t="s">
        <v>1938</v>
      </c>
      <c r="B670" s="168" t="s">
        <v>1938</v>
      </c>
    </row>
    <row r="671" spans="1:2">
      <c r="A671" s="167" t="s">
        <v>1939</v>
      </c>
      <c r="B671" s="168" t="s">
        <v>1939</v>
      </c>
    </row>
    <row r="672" spans="1:2">
      <c r="A672" s="167" t="s">
        <v>1940</v>
      </c>
      <c r="B672" s="168" t="s">
        <v>1940</v>
      </c>
    </row>
    <row r="673" spans="1:2">
      <c r="A673" s="167" t="s">
        <v>1941</v>
      </c>
      <c r="B673" s="168" t="s">
        <v>1941</v>
      </c>
    </row>
    <row r="674" spans="1:2">
      <c r="A674" s="167" t="s">
        <v>1942</v>
      </c>
      <c r="B674" s="168" t="s">
        <v>1942</v>
      </c>
    </row>
    <row r="675" spans="1:2">
      <c r="A675" s="167" t="s">
        <v>1943</v>
      </c>
      <c r="B675" s="168" t="s">
        <v>1943</v>
      </c>
    </row>
    <row r="676" spans="1:2">
      <c r="A676" s="167" t="s">
        <v>1944</v>
      </c>
      <c r="B676" s="168" t="s">
        <v>1944</v>
      </c>
    </row>
    <row r="677" spans="1:2">
      <c r="A677" s="167" t="s">
        <v>1945</v>
      </c>
      <c r="B677" s="168" t="s">
        <v>1945</v>
      </c>
    </row>
    <row r="678" spans="1:2">
      <c r="A678" s="167" t="s">
        <v>1946</v>
      </c>
      <c r="B678" s="168" t="s">
        <v>1946</v>
      </c>
    </row>
    <row r="679" spans="1:2">
      <c r="A679" s="167" t="s">
        <v>1947</v>
      </c>
      <c r="B679" s="168" t="s">
        <v>1947</v>
      </c>
    </row>
    <row r="680" spans="1:2">
      <c r="A680" s="167" t="s">
        <v>1948</v>
      </c>
      <c r="B680" s="168" t="s">
        <v>1948</v>
      </c>
    </row>
    <row r="681" spans="1:2">
      <c r="A681" s="167" t="s">
        <v>1949</v>
      </c>
      <c r="B681" s="168" t="s">
        <v>1949</v>
      </c>
    </row>
    <row r="682" spans="1:2">
      <c r="A682" s="167" t="s">
        <v>1950</v>
      </c>
      <c r="B682" s="168" t="s">
        <v>1950</v>
      </c>
    </row>
    <row r="683" spans="1:2">
      <c r="A683" s="167" t="s">
        <v>1951</v>
      </c>
      <c r="B683" s="168" t="s">
        <v>1951</v>
      </c>
    </row>
  </sheetData>
  <pageMargins left="0.7" right="0.7" top="0.75" bottom="0.75" header="0.3" footer="0.3"/>
  <pageSetup fitToHeight="0" orientation="portrait" horizontalDpi="200" verticalDpi="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WSNotesAndRating">
    <tabColor rgb="FFFFFF00"/>
    <pageSetUpPr fitToPage="1"/>
  </sheetPr>
  <dimension ref="A1:GR697"/>
  <sheetViews>
    <sheetView showGridLines="0" tabSelected="1" zoomScale="91" zoomScaleNormal="91" zoomScaleSheetLayoutView="50" workbookViewId="0">
      <selection activeCell="I4" sqref="I4:Q4"/>
    </sheetView>
  </sheetViews>
  <sheetFormatPr defaultColWidth="7.140625" defaultRowHeight="12.75"/>
  <cols>
    <col min="1" max="6" width="2.85546875" style="32" customWidth="1"/>
    <col min="7" max="7" width="4.140625" style="32" customWidth="1"/>
    <col min="8" max="11" width="2.85546875" style="32" customWidth="1"/>
    <col min="12" max="12" width="5.5703125" style="32" customWidth="1"/>
    <col min="13" max="23" width="2.85546875" style="32" customWidth="1"/>
    <col min="24" max="24" width="5.5703125" style="32" customWidth="1"/>
    <col min="25" max="33" width="2.85546875" style="32" customWidth="1"/>
    <col min="34" max="34" width="4.140625" style="32" customWidth="1"/>
    <col min="35" max="44" width="2.85546875" style="32" customWidth="1"/>
    <col min="45" max="45" width="5" style="32" customWidth="1"/>
    <col min="46" max="52" width="2.85546875" style="32" customWidth="1"/>
    <col min="53" max="53" width="3.5703125" style="32" customWidth="1"/>
    <col min="54" max="60" width="2.85546875" style="32" customWidth="1"/>
    <col min="61" max="61" width="7.140625" style="137"/>
    <col min="62" max="185" width="7.140625" style="32"/>
    <col min="186" max="200" width="7.140625" style="1"/>
    <col min="201" max="16384" width="7.140625" style="32"/>
  </cols>
  <sheetData>
    <row r="1" spans="1:176" ht="15" customHeight="1">
      <c r="A1" s="460" t="s">
        <v>1991</v>
      </c>
      <c r="B1" s="461"/>
      <c r="C1" s="461"/>
      <c r="D1" s="461"/>
      <c r="E1" s="461"/>
      <c r="F1" s="461"/>
      <c r="G1" s="461"/>
      <c r="H1" s="461"/>
      <c r="I1" s="461"/>
      <c r="J1" s="461"/>
      <c r="K1" s="461"/>
      <c r="L1" s="461"/>
      <c r="M1" s="461"/>
      <c r="N1" s="461"/>
      <c r="O1" s="461"/>
      <c r="P1" s="461"/>
      <c r="Q1" s="461"/>
      <c r="R1" s="461"/>
      <c r="S1" s="461"/>
      <c r="T1" s="461"/>
      <c r="U1" s="461"/>
      <c r="V1" s="461"/>
      <c r="W1" s="461"/>
      <c r="X1" s="461"/>
      <c r="Y1" s="461"/>
      <c r="Z1" s="461"/>
      <c r="AA1" s="461"/>
      <c r="AB1" s="461"/>
      <c r="AC1" s="461"/>
      <c r="AD1" s="461"/>
      <c r="AE1" s="461"/>
      <c r="AF1" s="461"/>
      <c r="AG1" s="461"/>
      <c r="AH1" s="461"/>
      <c r="AI1" s="461"/>
      <c r="AJ1" s="461"/>
      <c r="AK1" s="461"/>
      <c r="AL1" s="461"/>
      <c r="AM1" s="461"/>
      <c r="AN1" s="461"/>
      <c r="AO1" s="461"/>
      <c r="AP1" s="461"/>
      <c r="AQ1" s="461"/>
      <c r="AR1" s="461"/>
      <c r="AS1" s="461"/>
      <c r="AT1" s="461"/>
      <c r="AU1" s="461"/>
      <c r="AV1" s="461"/>
      <c r="AW1" s="461"/>
      <c r="AX1" s="461"/>
      <c r="AY1" s="461"/>
      <c r="AZ1" s="461"/>
      <c r="BA1" s="461"/>
      <c r="BB1" s="461"/>
      <c r="BC1" s="461"/>
      <c r="BD1" s="461"/>
      <c r="BE1" s="461"/>
      <c r="BF1" s="461"/>
      <c r="BG1" s="461"/>
      <c r="BH1" s="462"/>
    </row>
    <row r="2" spans="1:176" s="141" customFormat="1" ht="15.75">
      <c r="A2" s="451" t="s">
        <v>1993</v>
      </c>
      <c r="B2" s="452"/>
      <c r="C2" s="452"/>
      <c r="D2" s="452"/>
      <c r="E2" s="452"/>
      <c r="F2" s="452"/>
      <c r="G2" s="452"/>
      <c r="H2" s="452"/>
      <c r="I2" s="452"/>
      <c r="J2" s="452"/>
      <c r="K2" s="452"/>
      <c r="L2" s="452"/>
      <c r="M2" s="452"/>
      <c r="N2" s="452"/>
      <c r="O2" s="452"/>
      <c r="P2" s="452"/>
      <c r="Q2" s="452"/>
      <c r="R2" s="452"/>
      <c r="S2" s="452"/>
      <c r="T2" s="452"/>
      <c r="U2" s="452"/>
      <c r="V2" s="452"/>
      <c r="W2" s="452"/>
      <c r="X2" s="452"/>
      <c r="Y2" s="452"/>
      <c r="Z2" s="452"/>
      <c r="AA2" s="452"/>
      <c r="AB2" s="452"/>
      <c r="AC2" s="452"/>
      <c r="AD2" s="452"/>
      <c r="AE2" s="452"/>
      <c r="AF2" s="452"/>
      <c r="AG2" s="452"/>
      <c r="AH2" s="452"/>
      <c r="AI2" s="452"/>
      <c r="AJ2" s="452"/>
      <c r="AK2" s="452"/>
      <c r="AL2" s="452"/>
      <c r="AM2" s="452"/>
      <c r="AN2" s="452"/>
      <c r="AO2" s="452"/>
      <c r="AP2" s="452"/>
      <c r="AQ2" s="452"/>
      <c r="AR2" s="452"/>
      <c r="AS2" s="452"/>
      <c r="AT2" s="452"/>
      <c r="AU2" s="452"/>
      <c r="AV2" s="452"/>
      <c r="AW2" s="452"/>
      <c r="AX2" s="452"/>
      <c r="AY2" s="452"/>
      <c r="AZ2" s="452"/>
      <c r="BA2" s="452"/>
      <c r="BB2" s="452"/>
      <c r="BC2" s="452"/>
      <c r="BD2" s="452"/>
      <c r="BE2" s="452"/>
      <c r="BF2" s="452"/>
      <c r="BG2" s="452"/>
      <c r="BH2" s="453"/>
      <c r="BI2" s="140"/>
    </row>
    <row r="3" spans="1:176" s="141" customFormat="1" ht="15">
      <c r="A3" s="35"/>
      <c r="B3" s="138"/>
      <c r="C3" s="138"/>
      <c r="D3" s="138"/>
      <c r="E3" s="138"/>
      <c r="F3" s="138"/>
      <c r="G3" s="138"/>
      <c r="H3" s="143"/>
      <c r="I3" s="204"/>
      <c r="J3" s="204"/>
      <c r="K3" s="204"/>
      <c r="L3" s="204"/>
      <c r="M3" s="204"/>
      <c r="N3" s="204"/>
      <c r="O3" s="204"/>
      <c r="P3" s="204"/>
      <c r="Q3" s="204"/>
      <c r="R3" s="23"/>
      <c r="S3" s="139"/>
      <c r="T3" s="139"/>
      <c r="U3" s="139"/>
      <c r="V3" s="139"/>
      <c r="W3" s="139"/>
      <c r="X3" s="139"/>
      <c r="Y3" s="143" t="s">
        <v>319</v>
      </c>
      <c r="Z3" s="417"/>
      <c r="AA3" s="418"/>
      <c r="AB3" s="418"/>
      <c r="AC3" s="418"/>
      <c r="AD3" s="418"/>
      <c r="AE3" s="418"/>
      <c r="AF3" s="418"/>
      <c r="AG3" s="418"/>
      <c r="AH3" s="418"/>
      <c r="AI3" s="418"/>
      <c r="AJ3" s="418"/>
      <c r="AK3" s="418"/>
      <c r="AL3" s="418"/>
      <c r="AM3" s="418"/>
      <c r="AN3" s="418"/>
      <c r="AO3" s="418"/>
      <c r="AP3" s="418"/>
      <c r="AQ3" s="418"/>
      <c r="AR3" s="418"/>
      <c r="AS3" s="419"/>
      <c r="AT3" s="139"/>
      <c r="AU3" s="139"/>
      <c r="AV3" s="139"/>
      <c r="AW3" s="139"/>
      <c r="AX3" s="139"/>
      <c r="AY3" s="139"/>
      <c r="AZ3" s="139"/>
      <c r="BA3" s="143" t="s">
        <v>4</v>
      </c>
      <c r="BB3" s="473"/>
      <c r="BC3" s="474"/>
      <c r="BD3" s="474"/>
      <c r="BE3" s="474"/>
      <c r="BF3" s="474"/>
      <c r="BG3" s="474"/>
      <c r="BH3" s="475"/>
      <c r="BI3" s="140"/>
    </row>
    <row r="4" spans="1:176" s="149" customFormat="1" ht="15" customHeight="1">
      <c r="A4" s="144"/>
      <c r="B4" s="145"/>
      <c r="C4" s="145"/>
      <c r="D4" s="145"/>
      <c r="E4" s="145"/>
      <c r="F4" s="145"/>
      <c r="G4" s="145"/>
      <c r="H4" s="142" t="s">
        <v>273</v>
      </c>
      <c r="I4" s="442"/>
      <c r="J4" s="442"/>
      <c r="K4" s="442"/>
      <c r="L4" s="442"/>
      <c r="M4" s="442"/>
      <c r="N4" s="442"/>
      <c r="O4" s="442"/>
      <c r="P4" s="442"/>
      <c r="Q4" s="442"/>
      <c r="R4" s="146"/>
      <c r="S4" s="145"/>
      <c r="T4" s="145"/>
      <c r="U4" s="145"/>
      <c r="V4" s="145"/>
      <c r="W4" s="145"/>
      <c r="X4" s="145"/>
      <c r="Y4" s="143" t="s">
        <v>298</v>
      </c>
      <c r="Z4" s="417"/>
      <c r="AA4" s="434"/>
      <c r="AB4" s="434"/>
      <c r="AC4" s="434"/>
      <c r="AD4" s="434"/>
      <c r="AE4" s="434"/>
      <c r="AF4" s="434"/>
      <c r="AG4" s="435"/>
      <c r="AH4" s="34"/>
      <c r="AI4" s="34"/>
      <c r="AJ4" s="34"/>
      <c r="AK4" s="143" t="s">
        <v>193</v>
      </c>
      <c r="AL4" s="436"/>
      <c r="AM4" s="418"/>
      <c r="AN4" s="418"/>
      <c r="AO4" s="418"/>
      <c r="AP4" s="418"/>
      <c r="AQ4" s="418"/>
      <c r="AR4" s="418"/>
      <c r="AS4" s="419"/>
      <c r="AT4" s="145"/>
      <c r="AU4" s="145"/>
      <c r="AV4" s="145"/>
      <c r="AW4" s="145"/>
      <c r="AX4" s="145"/>
      <c r="AY4" s="145"/>
      <c r="AZ4" s="145"/>
      <c r="BA4" s="143" t="s">
        <v>1977</v>
      </c>
      <c r="BB4" s="468"/>
      <c r="BC4" s="469"/>
      <c r="BD4" s="469"/>
      <c r="BE4" s="469"/>
      <c r="BF4" s="469"/>
      <c r="BG4" s="469"/>
      <c r="BH4" s="470"/>
      <c r="BI4" s="148"/>
    </row>
    <row r="5" spans="1:176" s="149" customFormat="1" ht="15" customHeight="1">
      <c r="A5" s="144"/>
      <c r="B5" s="145"/>
      <c r="C5" s="145"/>
      <c r="D5" s="145"/>
      <c r="E5" s="145"/>
      <c r="F5" s="145"/>
      <c r="G5" s="145"/>
      <c r="H5" s="145"/>
      <c r="I5" s="145"/>
      <c r="J5" s="145"/>
      <c r="K5" s="145"/>
      <c r="L5" s="145"/>
      <c r="M5" s="145"/>
      <c r="N5" s="145"/>
      <c r="O5" s="145"/>
      <c r="P5" s="145"/>
      <c r="Q5" s="145"/>
      <c r="R5" s="145"/>
      <c r="S5" s="145"/>
      <c r="T5" s="145"/>
      <c r="U5" s="145"/>
      <c r="V5" s="145"/>
      <c r="W5" s="145"/>
      <c r="X5" s="145"/>
      <c r="Y5" s="145"/>
      <c r="Z5" s="145"/>
      <c r="AA5" s="145"/>
      <c r="AB5" s="145"/>
      <c r="AC5" s="145"/>
      <c r="AD5" s="145"/>
      <c r="AE5" s="145"/>
      <c r="AF5" s="145"/>
      <c r="AG5" s="145"/>
      <c r="AH5" s="145"/>
      <c r="AI5" s="145"/>
      <c r="AJ5" s="145"/>
      <c r="AK5" s="145"/>
      <c r="AL5" s="145"/>
      <c r="AM5" s="145"/>
      <c r="AN5" s="145"/>
      <c r="AO5" s="145"/>
      <c r="AP5" s="145"/>
      <c r="AQ5" s="145"/>
      <c r="AR5" s="145"/>
      <c r="AS5" s="145"/>
      <c r="AT5" s="145"/>
      <c r="AU5" s="150"/>
      <c r="AV5" s="150"/>
      <c r="AW5" s="150"/>
      <c r="AX5" s="150"/>
      <c r="AY5" s="150"/>
      <c r="AZ5" s="150"/>
      <c r="BA5" s="150"/>
      <c r="BB5" s="150"/>
      <c r="BC5" s="150"/>
      <c r="BD5" s="150"/>
      <c r="BE5" s="150"/>
      <c r="BF5" s="150"/>
      <c r="BG5" s="150"/>
      <c r="BH5" s="151"/>
      <c r="BI5" s="148"/>
    </row>
    <row r="6" spans="1:176" s="149" customFormat="1" ht="15" customHeight="1">
      <c r="A6" s="144"/>
      <c r="B6" s="145"/>
      <c r="C6" s="145"/>
      <c r="D6" s="145"/>
      <c r="E6" s="145"/>
      <c r="F6" s="145"/>
      <c r="G6" s="145"/>
      <c r="H6" s="142" t="s">
        <v>304</v>
      </c>
      <c r="I6" s="449" t="s">
        <v>440</v>
      </c>
      <c r="J6" s="449"/>
      <c r="K6" s="449"/>
      <c r="L6" s="449"/>
      <c r="M6" s="449"/>
      <c r="N6" s="449"/>
      <c r="O6" s="449"/>
      <c r="P6" s="449"/>
      <c r="Q6" s="449"/>
      <c r="R6" s="138"/>
      <c r="S6" s="145"/>
      <c r="T6" s="145"/>
      <c r="U6" s="145"/>
      <c r="V6" s="145"/>
      <c r="W6" s="145"/>
      <c r="X6" s="145"/>
      <c r="Y6" s="143" t="s">
        <v>62</v>
      </c>
      <c r="Z6" s="417"/>
      <c r="AA6" s="418"/>
      <c r="AB6" s="418"/>
      <c r="AC6" s="418"/>
      <c r="AD6" s="418"/>
      <c r="AE6" s="418"/>
      <c r="AF6" s="418"/>
      <c r="AG6" s="418"/>
      <c r="AH6" s="418"/>
      <c r="AI6" s="418"/>
      <c r="AJ6" s="418"/>
      <c r="AK6" s="418"/>
      <c r="AL6" s="418"/>
      <c r="AM6" s="418"/>
      <c r="AN6" s="418"/>
      <c r="AO6" s="418"/>
      <c r="AP6" s="418"/>
      <c r="AQ6" s="418"/>
      <c r="AR6" s="418"/>
      <c r="AS6" s="419"/>
      <c r="AT6" s="145"/>
      <c r="AU6" s="145"/>
      <c r="AV6" s="145"/>
      <c r="AW6" s="145"/>
      <c r="AX6" s="145"/>
      <c r="AY6" s="145"/>
      <c r="AZ6" s="145"/>
      <c r="BA6" s="143" t="s">
        <v>218</v>
      </c>
      <c r="BB6" s="446"/>
      <c r="BC6" s="447"/>
      <c r="BD6" s="447"/>
      <c r="BE6" s="447"/>
      <c r="BF6" s="447"/>
      <c r="BG6" s="447"/>
      <c r="BH6" s="448"/>
      <c r="BI6" s="148"/>
    </row>
    <row r="7" spans="1:176" s="149" customFormat="1" ht="15" customHeight="1">
      <c r="A7" s="144"/>
      <c r="B7" s="145"/>
      <c r="C7" s="145"/>
      <c r="D7" s="145"/>
      <c r="E7" s="145"/>
      <c r="F7" s="145"/>
      <c r="G7" s="145"/>
      <c r="H7" s="143" t="str">
        <f>IF(New?="Renewal","Expiring Policy #:","")</f>
        <v/>
      </c>
      <c r="I7" s="532"/>
      <c r="J7" s="532"/>
      <c r="K7" s="532"/>
      <c r="L7" s="532"/>
      <c r="M7" s="532"/>
      <c r="N7" s="532"/>
      <c r="O7" s="532"/>
      <c r="P7" s="532"/>
      <c r="Q7" s="532"/>
      <c r="R7" s="23"/>
      <c r="S7" s="145"/>
      <c r="T7" s="145"/>
      <c r="U7" s="145"/>
      <c r="V7" s="145"/>
      <c r="W7" s="145"/>
      <c r="X7" s="145"/>
      <c r="Y7" s="143" t="s">
        <v>683</v>
      </c>
      <c r="Z7" s="450"/>
      <c r="AA7" s="418"/>
      <c r="AB7" s="418"/>
      <c r="AC7" s="418"/>
      <c r="AD7" s="418"/>
      <c r="AE7" s="418"/>
      <c r="AF7" s="418"/>
      <c r="AG7" s="418"/>
      <c r="AH7" s="418"/>
      <c r="AI7" s="418"/>
      <c r="AJ7" s="418"/>
      <c r="AK7" s="418"/>
      <c r="AL7" s="418"/>
      <c r="AM7" s="418"/>
      <c r="AN7" s="418"/>
      <c r="AO7" s="418"/>
      <c r="AP7" s="418"/>
      <c r="AQ7" s="418"/>
      <c r="AR7" s="418"/>
      <c r="AS7" s="419"/>
      <c r="AT7" s="145"/>
      <c r="AU7" s="145"/>
      <c r="AV7" s="145"/>
      <c r="AW7" s="145"/>
      <c r="AX7" s="145"/>
      <c r="AY7" s="145"/>
      <c r="AZ7" s="145"/>
      <c r="BA7" s="143" t="s">
        <v>619</v>
      </c>
      <c r="BB7" s="526"/>
      <c r="BC7" s="527"/>
      <c r="BD7" s="527"/>
      <c r="BE7" s="527"/>
      <c r="BF7" s="527"/>
      <c r="BG7" s="527"/>
      <c r="BH7" s="528"/>
      <c r="BI7" s="148"/>
    </row>
    <row r="8" spans="1:176" s="149" customFormat="1" ht="15" customHeight="1">
      <c r="A8" s="144"/>
      <c r="B8" s="145"/>
      <c r="C8" s="145"/>
      <c r="D8" s="145"/>
      <c r="E8" s="145"/>
      <c r="F8" s="145"/>
      <c r="G8" s="145"/>
      <c r="H8" s="145"/>
      <c r="I8" s="145"/>
      <c r="J8" s="145"/>
      <c r="K8" s="145"/>
      <c r="L8" s="145"/>
      <c r="M8" s="145"/>
      <c r="N8" s="145"/>
      <c r="O8" s="145"/>
      <c r="P8" s="145"/>
      <c r="Q8" s="145"/>
      <c r="R8" s="145"/>
      <c r="S8" s="145"/>
      <c r="T8" s="145"/>
      <c r="U8" s="145"/>
      <c r="V8" s="145"/>
      <c r="W8" s="145"/>
      <c r="X8" s="145"/>
      <c r="Y8" s="145"/>
      <c r="Z8" s="145"/>
      <c r="AA8" s="145"/>
      <c r="AB8" s="145"/>
      <c r="AC8" s="145"/>
      <c r="AD8" s="145"/>
      <c r="AE8" s="145"/>
      <c r="AF8" s="145"/>
      <c r="AG8" s="145"/>
      <c r="AH8" s="145"/>
      <c r="AI8" s="145"/>
      <c r="AJ8" s="145"/>
      <c r="AK8" s="145"/>
      <c r="AL8" s="145"/>
      <c r="AM8" s="145"/>
      <c r="AN8" s="145"/>
      <c r="AO8" s="145"/>
      <c r="AP8" s="145"/>
      <c r="AQ8" s="145"/>
      <c r="AR8" s="145"/>
      <c r="AS8" s="145"/>
      <c r="AT8" s="145"/>
      <c r="AU8" s="145"/>
      <c r="AV8" s="145"/>
      <c r="AW8" s="145"/>
      <c r="AX8" s="145"/>
      <c r="AY8" s="145"/>
      <c r="AZ8" s="145"/>
      <c r="BA8" s="145"/>
      <c r="BB8" s="145"/>
      <c r="BC8" s="145"/>
      <c r="BD8" s="145"/>
      <c r="BE8" s="145"/>
      <c r="BF8" s="145"/>
      <c r="BG8" s="145"/>
      <c r="BH8" s="147"/>
      <c r="BI8" s="148"/>
    </row>
    <row r="9" spans="1:176" s="149" customFormat="1" ht="15" customHeight="1">
      <c r="A9" s="144"/>
      <c r="B9" s="145"/>
      <c r="C9" s="145"/>
      <c r="D9" s="145"/>
      <c r="E9" s="145"/>
      <c r="F9" s="145"/>
      <c r="G9" s="145"/>
      <c r="H9" s="142" t="s">
        <v>2</v>
      </c>
      <c r="I9" s="428"/>
      <c r="J9" s="428"/>
      <c r="K9" s="428"/>
      <c r="L9" s="428"/>
      <c r="M9" s="428"/>
      <c r="N9" s="428"/>
      <c r="O9" s="428"/>
      <c r="P9" s="428"/>
      <c r="Q9" s="428"/>
      <c r="R9" s="138"/>
      <c r="S9" s="145"/>
      <c r="T9" s="145"/>
      <c r="U9" s="145"/>
      <c r="V9" s="145"/>
      <c r="W9" s="145"/>
      <c r="X9" s="145"/>
      <c r="Y9" s="143"/>
      <c r="Z9" s="429"/>
      <c r="AA9" s="430"/>
      <c r="AB9" s="430"/>
      <c r="AC9" s="430"/>
      <c r="AD9" s="430"/>
      <c r="AE9" s="430"/>
      <c r="AF9" s="430"/>
      <c r="AG9" s="430"/>
      <c r="AH9" s="430"/>
      <c r="AI9" s="430"/>
      <c r="AJ9" s="430"/>
      <c r="AK9" s="430"/>
      <c r="AL9" s="430"/>
      <c r="AM9" s="430"/>
      <c r="AN9" s="430"/>
      <c r="AO9" s="430"/>
      <c r="AP9" s="430"/>
      <c r="AQ9" s="430"/>
      <c r="AR9" s="430"/>
      <c r="AS9" s="430"/>
      <c r="AT9" s="145"/>
      <c r="AU9" s="145"/>
      <c r="AV9" s="145"/>
      <c r="AW9" s="145"/>
      <c r="AX9" s="145"/>
      <c r="AY9" s="145"/>
      <c r="AZ9" s="145"/>
      <c r="BA9" s="152" t="s">
        <v>269</v>
      </c>
      <c r="BB9" s="531"/>
      <c r="BC9" s="447"/>
      <c r="BD9" s="447"/>
      <c r="BE9" s="447"/>
      <c r="BF9" s="447"/>
      <c r="BG9" s="447"/>
      <c r="BH9" s="448"/>
      <c r="BI9" s="148"/>
    </row>
    <row r="10" spans="1:176" s="148" customFormat="1" ht="15" customHeight="1" thickBot="1">
      <c r="A10" s="338"/>
      <c r="B10" s="339"/>
      <c r="C10" s="339"/>
      <c r="D10" s="339"/>
      <c r="E10" s="339"/>
      <c r="F10" s="339"/>
      <c r="G10" s="339"/>
      <c r="H10" s="340" t="s">
        <v>2876</v>
      </c>
      <c r="I10" s="519"/>
      <c r="J10" s="520"/>
      <c r="K10" s="520"/>
      <c r="L10" s="520"/>
      <c r="M10" s="520"/>
      <c r="N10" s="520"/>
      <c r="O10" s="520"/>
      <c r="P10" s="520"/>
      <c r="Q10" s="521"/>
      <c r="R10" s="339"/>
      <c r="S10" s="210"/>
      <c r="T10" s="210"/>
      <c r="U10" s="210"/>
      <c r="V10" s="210"/>
      <c r="W10" s="210"/>
      <c r="X10" s="210"/>
      <c r="Y10" s="209"/>
      <c r="Z10" s="431"/>
      <c r="AA10" s="431"/>
      <c r="AB10" s="431"/>
      <c r="AC10" s="431"/>
      <c r="AD10" s="431"/>
      <c r="AE10" s="216"/>
      <c r="AF10" s="216"/>
      <c r="AG10" s="216"/>
      <c r="AH10" s="216"/>
      <c r="AI10" s="210"/>
      <c r="AJ10" s="210"/>
      <c r="AK10" s="210"/>
      <c r="AL10" s="210"/>
      <c r="AM10" s="210"/>
      <c r="AN10" s="210"/>
      <c r="AO10" s="210"/>
      <c r="AP10" s="210"/>
      <c r="AQ10" s="210"/>
      <c r="AR10" s="210"/>
      <c r="AS10" s="210"/>
      <c r="AT10" s="210"/>
      <c r="AU10" s="210"/>
      <c r="AV10" s="210"/>
      <c r="AW10" s="210"/>
      <c r="AX10" s="210"/>
      <c r="AY10" s="210"/>
      <c r="AZ10" s="210"/>
      <c r="BA10" s="210"/>
      <c r="BB10" s="210"/>
      <c r="BC10" s="210"/>
      <c r="BD10" s="210"/>
      <c r="BE10" s="210"/>
      <c r="BF10" s="210"/>
      <c r="BG10" s="210"/>
      <c r="BH10" s="217"/>
      <c r="BI10" s="61"/>
      <c r="BJ10" s="61"/>
      <c r="BK10" s="61"/>
      <c r="BL10" s="61"/>
      <c r="BM10" s="61"/>
      <c r="BN10" s="61"/>
      <c r="BO10" s="61"/>
      <c r="BP10" s="61"/>
      <c r="BQ10" s="61"/>
      <c r="BR10" s="61"/>
      <c r="BS10" s="61"/>
      <c r="BT10" s="61"/>
      <c r="BU10" s="61"/>
      <c r="BV10" s="61"/>
      <c r="BW10" s="61"/>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1"/>
      <c r="CW10" s="61"/>
      <c r="CX10" s="61"/>
      <c r="CY10" s="61"/>
      <c r="CZ10" s="61"/>
      <c r="DA10" s="61"/>
      <c r="DB10" s="61"/>
      <c r="DC10" s="61"/>
      <c r="DD10" s="61"/>
      <c r="DE10" s="61"/>
      <c r="DF10" s="61"/>
      <c r="DG10" s="61"/>
      <c r="DH10" s="61"/>
      <c r="DI10" s="61"/>
      <c r="DJ10" s="61"/>
      <c r="DK10" s="61"/>
      <c r="DL10" s="61"/>
      <c r="DM10" s="61"/>
      <c r="DN10" s="61"/>
      <c r="DO10" s="61"/>
      <c r="DP10" s="61"/>
      <c r="DQ10" s="61"/>
      <c r="DR10" s="61"/>
      <c r="DS10" s="61"/>
      <c r="DT10" s="61"/>
      <c r="DU10" s="61"/>
      <c r="DV10" s="61"/>
      <c r="DW10" s="61"/>
      <c r="DX10" s="61"/>
      <c r="DY10" s="61"/>
      <c r="DZ10" s="61"/>
      <c r="EA10" s="61"/>
      <c r="EB10" s="61"/>
      <c r="EC10" s="61"/>
      <c r="ED10" s="61"/>
      <c r="EE10" s="61"/>
      <c r="EF10" s="61"/>
      <c r="EG10" s="61"/>
      <c r="EH10" s="61"/>
      <c r="EI10" s="61"/>
      <c r="EJ10" s="61"/>
      <c r="EK10" s="61"/>
      <c r="EL10" s="61"/>
      <c r="EM10" s="61"/>
      <c r="EN10" s="61"/>
      <c r="EO10" s="61"/>
      <c r="EP10" s="61"/>
      <c r="EQ10" s="61"/>
      <c r="ER10" s="61"/>
      <c r="ES10" s="61"/>
      <c r="ET10" s="61"/>
      <c r="EU10" s="61"/>
      <c r="EV10" s="61"/>
      <c r="EW10" s="61"/>
      <c r="EX10" s="61"/>
      <c r="EY10" s="61"/>
      <c r="EZ10" s="61"/>
      <c r="FA10" s="61"/>
      <c r="FB10" s="61"/>
      <c r="FC10" s="61"/>
      <c r="FD10" s="61"/>
      <c r="FE10" s="61"/>
      <c r="FF10" s="61"/>
      <c r="FG10" s="61"/>
      <c r="FH10" s="61"/>
      <c r="FI10" s="61"/>
      <c r="FJ10" s="61"/>
      <c r="FK10" s="61"/>
      <c r="FL10" s="61"/>
      <c r="FM10" s="61"/>
      <c r="FN10" s="61"/>
      <c r="FO10" s="61"/>
      <c r="FP10" s="61"/>
      <c r="FQ10" s="61"/>
      <c r="FR10" s="61"/>
      <c r="FS10" s="61"/>
      <c r="FT10" s="61"/>
    </row>
    <row r="11" spans="1:176" s="148" customFormat="1" ht="15" customHeight="1">
      <c r="A11" s="463" t="s">
        <v>2005</v>
      </c>
      <c r="B11" s="372"/>
      <c r="C11" s="372"/>
      <c r="D11" s="372"/>
      <c r="E11" s="372"/>
      <c r="F11" s="372"/>
      <c r="G11" s="372"/>
      <c r="H11" s="372"/>
      <c r="I11" s="372"/>
      <c r="J11" s="372"/>
      <c r="K11" s="372"/>
      <c r="L11" s="372"/>
      <c r="M11" s="372"/>
      <c r="N11" s="372"/>
      <c r="O11" s="372"/>
      <c r="P11" s="372"/>
      <c r="Q11" s="372"/>
      <c r="R11" s="372"/>
      <c r="S11" s="372"/>
      <c r="T11" s="372"/>
      <c r="U11" s="372"/>
      <c r="V11" s="372"/>
      <c r="W11" s="372"/>
      <c r="X11" s="372"/>
      <c r="Y11" s="372"/>
      <c r="Z11" s="372"/>
      <c r="AA11" s="372"/>
      <c r="AB11" s="372"/>
      <c r="AC11" s="372"/>
      <c r="AD11" s="372"/>
      <c r="AE11" s="372"/>
      <c r="AF11" s="372"/>
      <c r="AG11" s="372"/>
      <c r="AH11" s="372"/>
      <c r="AI11" s="464"/>
      <c r="AJ11" s="343"/>
      <c r="AK11" s="344"/>
      <c r="AL11" s="344"/>
      <c r="AM11" s="344"/>
      <c r="AN11" s="344"/>
      <c r="AO11" s="344"/>
      <c r="AP11" s="421" t="s">
        <v>349</v>
      </c>
      <c r="AQ11" s="422"/>
      <c r="AR11" s="422"/>
      <c r="AS11" s="422"/>
      <c r="AT11" s="422"/>
      <c r="AU11" s="422"/>
      <c r="AV11" s="422"/>
      <c r="AW11" s="422"/>
      <c r="AX11" s="422"/>
      <c r="AY11" s="422"/>
      <c r="AZ11" s="422"/>
      <c r="BA11" s="422"/>
      <c r="BB11" s="422"/>
      <c r="BC11" s="422"/>
      <c r="BD11" s="422"/>
      <c r="BE11" s="422"/>
      <c r="BF11" s="422"/>
      <c r="BG11" s="422"/>
      <c r="BH11" s="423"/>
    </row>
    <row r="12" spans="1:176" s="148" customFormat="1" ht="15" customHeight="1">
      <c r="A12" s="443" t="s">
        <v>2004</v>
      </c>
      <c r="B12" s="413"/>
      <c r="C12" s="413"/>
      <c r="D12" s="413"/>
      <c r="E12" s="413"/>
      <c r="F12" s="413"/>
      <c r="G12" s="465"/>
      <c r="H12" s="465"/>
      <c r="I12" s="465"/>
      <c r="J12" s="465"/>
      <c r="K12" s="465"/>
      <c r="L12" s="465"/>
      <c r="M12" s="465"/>
      <c r="N12" s="465"/>
      <c r="O12" s="465"/>
      <c r="P12" s="465"/>
      <c r="Q12" s="465"/>
      <c r="R12" s="465"/>
      <c r="S12" s="465"/>
      <c r="T12" s="465"/>
      <c r="U12" s="465"/>
      <c r="V12" s="465"/>
      <c r="W12" s="465"/>
      <c r="X12" s="465"/>
      <c r="Y12" s="465"/>
      <c r="Z12" s="465"/>
      <c r="AA12" s="465"/>
      <c r="AB12" s="145"/>
      <c r="AC12" s="145"/>
      <c r="AD12" s="145"/>
      <c r="AE12" s="145"/>
      <c r="AF12" s="145"/>
      <c r="AG12" s="145"/>
      <c r="AH12" s="145"/>
      <c r="AI12" s="208"/>
      <c r="AJ12" s="345"/>
      <c r="AK12" s="145"/>
      <c r="AL12" s="145"/>
      <c r="AM12" s="145"/>
      <c r="AN12" s="247"/>
      <c r="AO12" s="247"/>
      <c r="AP12" s="345"/>
      <c r="AQ12" s="145"/>
      <c r="AR12" s="145"/>
      <c r="AS12" s="145"/>
      <c r="AT12" s="145"/>
      <c r="AU12" s="145"/>
      <c r="AV12" s="145"/>
      <c r="AW12" s="145"/>
      <c r="AX12" s="145"/>
      <c r="AY12" s="145"/>
      <c r="AZ12" s="145"/>
      <c r="BA12" s="143" t="s">
        <v>704</v>
      </c>
      <c r="BB12" s="424"/>
      <c r="BC12" s="424"/>
      <c r="BD12" s="424"/>
      <c r="BE12" s="424"/>
      <c r="BF12" s="424"/>
      <c r="BG12" s="424"/>
      <c r="BH12" s="425"/>
    </row>
    <row r="13" spans="1:176" s="148" customFormat="1" ht="15" customHeight="1">
      <c r="A13" s="376" t="s">
        <v>2003</v>
      </c>
      <c r="B13" s="377"/>
      <c r="C13" s="377"/>
      <c r="D13" s="377"/>
      <c r="E13" s="377"/>
      <c r="F13" s="377"/>
      <c r="G13" s="465"/>
      <c r="H13" s="465"/>
      <c r="I13" s="465"/>
      <c r="J13" s="465"/>
      <c r="K13" s="465"/>
      <c r="L13" s="465"/>
      <c r="M13" s="465"/>
      <c r="N13" s="465"/>
      <c r="O13" s="465"/>
      <c r="P13" s="465"/>
      <c r="Q13" s="465"/>
      <c r="R13" s="465"/>
      <c r="S13" s="465"/>
      <c r="T13" s="465"/>
      <c r="U13" s="465"/>
      <c r="V13" s="465"/>
      <c r="W13" s="465"/>
      <c r="X13" s="465"/>
      <c r="Y13" s="465"/>
      <c r="Z13" s="465"/>
      <c r="AA13" s="465"/>
      <c r="AB13" s="145"/>
      <c r="AC13" s="145"/>
      <c r="AD13" s="145"/>
      <c r="AE13" s="145"/>
      <c r="AF13" s="145"/>
      <c r="AG13" s="145"/>
      <c r="AH13" s="145"/>
      <c r="AI13" s="208"/>
      <c r="AJ13" s="345"/>
      <c r="AK13" s="145"/>
      <c r="AL13" s="145"/>
      <c r="AM13" s="145"/>
      <c r="AN13" s="247"/>
      <c r="AO13" s="247"/>
      <c r="AP13" s="345"/>
      <c r="AQ13" s="145"/>
      <c r="AR13" s="145"/>
      <c r="AS13" s="145"/>
      <c r="AT13" s="145"/>
      <c r="AU13" s="145"/>
      <c r="AV13" s="145"/>
      <c r="AW13" s="145"/>
      <c r="AX13" s="145"/>
      <c r="AY13" s="145"/>
      <c r="AZ13" s="145"/>
      <c r="BA13" s="143" t="s">
        <v>2006</v>
      </c>
      <c r="BB13" s="424"/>
      <c r="BC13" s="424"/>
      <c r="BD13" s="424"/>
      <c r="BE13" s="424"/>
      <c r="BF13" s="424"/>
      <c r="BG13" s="424"/>
      <c r="BH13" s="425"/>
    </row>
    <row r="14" spans="1:176" s="149" customFormat="1" ht="15" customHeight="1">
      <c r="A14" s="224"/>
      <c r="B14" s="207"/>
      <c r="C14" s="207"/>
      <c r="D14" s="207"/>
      <c r="E14" s="207"/>
      <c r="F14" s="207"/>
      <c r="G14" s="207"/>
      <c r="H14" s="207"/>
      <c r="I14" s="207"/>
      <c r="J14" s="207"/>
      <c r="K14" s="207"/>
      <c r="L14" s="207"/>
      <c r="M14" s="207"/>
      <c r="N14" s="207"/>
      <c r="O14" s="207"/>
      <c r="P14" s="207"/>
      <c r="Q14" s="207"/>
      <c r="R14" s="207"/>
      <c r="S14" s="207"/>
      <c r="T14" s="207"/>
      <c r="U14" s="207"/>
      <c r="V14" s="207"/>
      <c r="W14" s="207"/>
      <c r="X14" s="207"/>
      <c r="Y14" s="207"/>
      <c r="Z14" s="207"/>
      <c r="AA14" s="207"/>
      <c r="AB14" s="207"/>
      <c r="AC14" s="207"/>
      <c r="AD14" s="207"/>
      <c r="AE14" s="207"/>
      <c r="AF14" s="207"/>
      <c r="AG14" s="207"/>
      <c r="AH14" s="207"/>
      <c r="AI14" s="215"/>
      <c r="AJ14" s="345"/>
      <c r="AK14" s="145"/>
      <c r="AL14" s="145"/>
      <c r="AM14" s="145"/>
      <c r="AN14" s="247"/>
      <c r="AO14" s="247"/>
      <c r="AP14" s="345"/>
      <c r="AQ14" s="145"/>
      <c r="AR14" s="145"/>
      <c r="AS14" s="145"/>
      <c r="AT14" s="145"/>
      <c r="AU14" s="145"/>
      <c r="AV14" s="145"/>
      <c r="AW14" s="145"/>
      <c r="AX14" s="145"/>
      <c r="AY14" s="145"/>
      <c r="AZ14" s="145"/>
      <c r="BA14" s="143" t="s">
        <v>295</v>
      </c>
      <c r="BB14" s="424"/>
      <c r="BC14" s="424"/>
      <c r="BD14" s="424"/>
      <c r="BE14" s="424"/>
      <c r="BF14" s="424"/>
      <c r="BG14" s="424"/>
      <c r="BH14" s="425"/>
      <c r="BI14" s="148"/>
    </row>
    <row r="15" spans="1:176" s="154" customFormat="1" ht="15" customHeight="1">
      <c r="A15" s="225"/>
      <c r="B15" s="211"/>
      <c r="C15" s="211"/>
      <c r="D15" s="211"/>
      <c r="E15" s="211"/>
      <c r="F15" s="211"/>
      <c r="G15" s="211"/>
      <c r="H15" s="211"/>
      <c r="I15" s="211"/>
      <c r="J15" s="211"/>
      <c r="K15" s="211"/>
      <c r="L15" s="211"/>
      <c r="M15" s="211"/>
      <c r="N15" s="211"/>
      <c r="O15" s="211"/>
      <c r="P15" s="211"/>
      <c r="Q15" s="211"/>
      <c r="R15" s="211"/>
      <c r="S15" s="211"/>
      <c r="T15" s="211"/>
      <c r="U15" s="211"/>
      <c r="V15" s="211"/>
      <c r="W15" s="211"/>
      <c r="X15" s="211"/>
      <c r="Y15" s="211"/>
      <c r="Z15" s="211"/>
      <c r="AA15" s="211"/>
      <c r="AB15" s="211"/>
      <c r="AC15" s="211"/>
      <c r="AD15" s="211"/>
      <c r="AE15" s="211"/>
      <c r="AF15" s="211"/>
      <c r="AG15" s="211"/>
      <c r="AH15" s="211"/>
      <c r="AI15" s="211"/>
      <c r="AJ15" s="211"/>
      <c r="AK15" s="211"/>
      <c r="AL15" s="211"/>
      <c r="AM15" s="211"/>
      <c r="AN15" s="347"/>
      <c r="AO15" s="347"/>
      <c r="AP15" s="346"/>
      <c r="AQ15" s="153"/>
      <c r="AR15" s="153"/>
      <c r="AS15" s="153"/>
      <c r="AT15" s="153"/>
      <c r="AU15" s="153"/>
      <c r="AV15" s="153"/>
      <c r="AW15" s="153"/>
      <c r="AX15" s="153"/>
      <c r="AY15" s="153"/>
      <c r="AZ15" s="153"/>
      <c r="BA15" s="143" t="s">
        <v>2880</v>
      </c>
      <c r="BB15" s="424"/>
      <c r="BC15" s="424"/>
      <c r="BD15" s="424"/>
      <c r="BE15" s="424"/>
      <c r="BF15" s="424"/>
      <c r="BG15" s="424"/>
      <c r="BH15" s="425"/>
    </row>
    <row r="16" spans="1:176" s="149" customFormat="1" ht="15" customHeight="1">
      <c r="A16" s="437" t="s">
        <v>348</v>
      </c>
      <c r="B16" s="438"/>
      <c r="C16" s="438"/>
      <c r="D16" s="438"/>
      <c r="E16" s="438"/>
      <c r="F16" s="438"/>
      <c r="G16" s="438"/>
      <c r="H16" s="438"/>
      <c r="I16" s="438"/>
      <c r="J16" s="438"/>
      <c r="K16" s="438"/>
      <c r="L16" s="438"/>
      <c r="M16" s="438"/>
      <c r="N16" s="438"/>
      <c r="O16" s="438"/>
      <c r="P16" s="438"/>
      <c r="Q16" s="438"/>
      <c r="R16" s="438"/>
      <c r="S16" s="438"/>
      <c r="T16" s="438"/>
      <c r="U16" s="438"/>
      <c r="V16" s="438"/>
      <c r="W16" s="438"/>
      <c r="X16" s="438"/>
      <c r="Y16" s="438"/>
      <c r="Z16" s="438"/>
      <c r="AA16" s="438"/>
      <c r="AB16" s="438"/>
      <c r="AC16" s="438"/>
      <c r="AD16" s="438"/>
      <c r="AE16" s="438"/>
      <c r="AF16" s="438"/>
      <c r="AG16" s="438"/>
      <c r="AH16" s="438"/>
      <c r="AI16" s="438"/>
      <c r="AJ16" s="438"/>
      <c r="AK16" s="438"/>
      <c r="AL16" s="438"/>
      <c r="AM16" s="438"/>
      <c r="AN16" s="438"/>
      <c r="AO16" s="438"/>
      <c r="AP16" s="348"/>
      <c r="AQ16" s="344"/>
      <c r="AR16" s="145"/>
      <c r="AS16" s="145"/>
      <c r="AT16" s="145"/>
      <c r="AU16" s="145"/>
      <c r="AV16" s="145"/>
      <c r="AW16" s="145"/>
      <c r="AX16" s="145"/>
      <c r="AY16" s="145"/>
      <c r="AZ16" s="145"/>
      <c r="BA16" s="143" t="s">
        <v>296</v>
      </c>
      <c r="BB16" s="424"/>
      <c r="BC16" s="424"/>
      <c r="BD16" s="424"/>
      <c r="BE16" s="424"/>
      <c r="BF16" s="424"/>
      <c r="BG16" s="424"/>
      <c r="BH16" s="425"/>
      <c r="BI16" s="148"/>
    </row>
    <row r="17" spans="1:176" s="148" customFormat="1" ht="15" customHeight="1">
      <c r="A17" s="444" t="s">
        <v>2012</v>
      </c>
      <c r="B17" s="445"/>
      <c r="C17" s="445"/>
      <c r="D17" s="445"/>
      <c r="E17" s="445"/>
      <c r="F17" s="145"/>
      <c r="G17" s="145"/>
      <c r="H17" s="145"/>
      <c r="I17" s="432" t="s">
        <v>321</v>
      </c>
      <c r="J17" s="432"/>
      <c r="K17" s="432"/>
      <c r="L17" s="432"/>
      <c r="M17" s="432"/>
      <c r="N17" s="432"/>
      <c r="O17" s="432"/>
      <c r="P17" s="432"/>
      <c r="Q17" s="432"/>
      <c r="R17" s="433" t="s">
        <v>323</v>
      </c>
      <c r="S17" s="426"/>
      <c r="T17" s="426"/>
      <c r="U17" s="426"/>
      <c r="V17" s="426"/>
      <c r="W17" s="426"/>
      <c r="X17" s="426"/>
      <c r="Y17" s="426"/>
      <c r="Z17" s="426"/>
      <c r="AA17" s="426" t="s">
        <v>325</v>
      </c>
      <c r="AB17" s="426"/>
      <c r="AC17" s="426"/>
      <c r="AD17" s="426"/>
      <c r="AE17" s="426"/>
      <c r="AF17" s="426"/>
      <c r="AG17" s="426"/>
      <c r="AH17" s="426"/>
      <c r="AI17" s="427"/>
      <c r="AJ17" s="439" t="s">
        <v>338</v>
      </c>
      <c r="AK17" s="440"/>
      <c r="AL17" s="440"/>
      <c r="AM17" s="440"/>
      <c r="AN17" s="440"/>
      <c r="AO17" s="441"/>
      <c r="AP17" s="321"/>
      <c r="AQ17" s="321"/>
      <c r="AR17" s="247"/>
      <c r="AS17" s="145"/>
      <c r="AT17" s="145"/>
      <c r="AU17" s="145"/>
      <c r="AV17" s="145"/>
      <c r="AW17" s="145"/>
      <c r="AX17" s="145"/>
      <c r="AY17" s="145"/>
      <c r="AZ17" s="145"/>
      <c r="BA17" s="143"/>
      <c r="BB17" s="471"/>
      <c r="BC17" s="471"/>
      <c r="BD17" s="471"/>
      <c r="BE17" s="471"/>
      <c r="BF17" s="471"/>
      <c r="BG17" s="471"/>
      <c r="BH17" s="472"/>
    </row>
    <row r="18" spans="1:176" s="148" customFormat="1" ht="15" customHeight="1">
      <c r="A18" s="507" t="str">
        <f>IF(fmSales=0,"",(fmPayroll+fmContractCosts)/fmSales)</f>
        <v/>
      </c>
      <c r="B18" s="508"/>
      <c r="C18" s="508"/>
      <c r="D18" s="508"/>
      <c r="E18" s="408" t="str">
        <f>IF(EffectiveDate="","",YEAR(EffectiveDate) &amp; " - " &amp; YEAR(EffectiveDate)+1&amp;":")</f>
        <v/>
      </c>
      <c r="F18" s="409"/>
      <c r="G18" s="409"/>
      <c r="H18" s="410"/>
      <c r="I18" s="357">
        <v>0</v>
      </c>
      <c r="J18" s="358"/>
      <c r="K18" s="358"/>
      <c r="L18" s="358"/>
      <c r="M18" s="358"/>
      <c r="N18" s="358"/>
      <c r="O18" s="358"/>
      <c r="P18" s="358"/>
      <c r="Q18" s="411"/>
      <c r="R18" s="358">
        <v>0</v>
      </c>
      <c r="S18" s="420"/>
      <c r="T18" s="420"/>
      <c r="U18" s="420"/>
      <c r="V18" s="420"/>
      <c r="W18" s="420"/>
      <c r="X18" s="420"/>
      <c r="Y18" s="359"/>
      <c r="Z18" s="360"/>
      <c r="AA18" s="357">
        <v>0</v>
      </c>
      <c r="AB18" s="420"/>
      <c r="AC18" s="420"/>
      <c r="AD18" s="420"/>
      <c r="AE18" s="420"/>
      <c r="AF18" s="420"/>
      <c r="AG18" s="420"/>
      <c r="AH18" s="359"/>
      <c r="AI18" s="524"/>
      <c r="AJ18" s="350">
        <v>0</v>
      </c>
      <c r="AK18" s="351"/>
      <c r="AL18" s="351"/>
      <c r="AM18" s="351"/>
      <c r="AN18" s="351"/>
      <c r="AO18" s="352"/>
      <c r="AP18" s="247"/>
      <c r="AQ18" s="247"/>
      <c r="AR18" s="247"/>
      <c r="AS18" s="145"/>
      <c r="AT18" s="145"/>
      <c r="AU18" s="145"/>
      <c r="AV18" s="145"/>
      <c r="AW18" s="145"/>
      <c r="AX18" s="145"/>
      <c r="AY18" s="145"/>
      <c r="AZ18" s="145"/>
      <c r="BA18" s="143"/>
      <c r="BB18" s="471"/>
      <c r="BC18" s="471"/>
      <c r="BD18" s="471"/>
      <c r="BE18" s="471"/>
      <c r="BF18" s="471"/>
      <c r="BG18" s="471"/>
      <c r="BH18" s="472"/>
    </row>
    <row r="19" spans="1:176" s="148" customFormat="1" ht="15" customHeight="1">
      <c r="A19" s="507" t="str">
        <f>IF(HPEFirstCurrent=0,"",(HPESecondCurrent+HPEThirdCurrent)/HPEFirstCurrent)</f>
        <v/>
      </c>
      <c r="B19" s="508"/>
      <c r="C19" s="508"/>
      <c r="D19" s="508"/>
      <c r="E19" s="408" t="str">
        <f>IF(EffectiveDate="","",YEAR(EffectiveDate)-1 &amp; " - " &amp; YEAR(EffectiveDate)&amp;":")</f>
        <v/>
      </c>
      <c r="F19" s="409"/>
      <c r="G19" s="409"/>
      <c r="H19" s="410"/>
      <c r="I19" s="357">
        <v>0</v>
      </c>
      <c r="J19" s="358"/>
      <c r="K19" s="358"/>
      <c r="L19" s="358"/>
      <c r="M19" s="358"/>
      <c r="N19" s="358"/>
      <c r="O19" s="358"/>
      <c r="P19" s="358"/>
      <c r="Q19" s="411"/>
      <c r="R19" s="358">
        <v>0</v>
      </c>
      <c r="S19" s="420"/>
      <c r="T19" s="420"/>
      <c r="U19" s="420"/>
      <c r="V19" s="420"/>
      <c r="W19" s="420"/>
      <c r="X19" s="420"/>
      <c r="Y19" s="359"/>
      <c r="Z19" s="360"/>
      <c r="AA19" s="357">
        <v>0</v>
      </c>
      <c r="AB19" s="420"/>
      <c r="AC19" s="420"/>
      <c r="AD19" s="420"/>
      <c r="AE19" s="420"/>
      <c r="AF19" s="420"/>
      <c r="AG19" s="420"/>
      <c r="AH19" s="359"/>
      <c r="AI19" s="524"/>
      <c r="AJ19" s="350">
        <v>0</v>
      </c>
      <c r="AK19" s="351"/>
      <c r="AL19" s="351"/>
      <c r="AM19" s="351"/>
      <c r="AN19" s="351"/>
      <c r="AO19" s="352"/>
      <c r="AP19" s="247"/>
      <c r="AQ19" s="247"/>
      <c r="AR19" s="247"/>
      <c r="AS19" s="145"/>
      <c r="AT19" s="145"/>
      <c r="AU19" s="145"/>
      <c r="AV19" s="145"/>
      <c r="AW19" s="145"/>
      <c r="AX19" s="145"/>
      <c r="AY19" s="145"/>
      <c r="AZ19" s="145"/>
      <c r="BA19" s="143"/>
      <c r="BB19" s="471"/>
      <c r="BC19" s="471"/>
      <c r="BD19" s="471"/>
      <c r="BE19" s="471"/>
      <c r="BF19" s="471"/>
      <c r="BG19" s="471"/>
      <c r="BH19" s="472"/>
    </row>
    <row r="20" spans="1:176" s="148" customFormat="1" ht="15" customHeight="1">
      <c r="A20" s="507" t="str">
        <f>IF(HPEFirst2YearsBack=0,"",(HPESecond2YearsBack+HPEThird2YearsBack)/HPEFirst2YearsBack)</f>
        <v/>
      </c>
      <c r="B20" s="508"/>
      <c r="C20" s="508"/>
      <c r="D20" s="508"/>
      <c r="E20" s="408" t="str">
        <f>IF(EffectiveDate="","",YEAR(EffectiveDate)-2 &amp; " - " &amp; YEAR(EffectiveDate)-1&amp;":")</f>
        <v/>
      </c>
      <c r="F20" s="409"/>
      <c r="G20" s="409"/>
      <c r="H20" s="410"/>
      <c r="I20" s="357">
        <v>0</v>
      </c>
      <c r="J20" s="358"/>
      <c r="K20" s="358"/>
      <c r="L20" s="358"/>
      <c r="M20" s="358"/>
      <c r="N20" s="358"/>
      <c r="O20" s="358"/>
      <c r="P20" s="358"/>
      <c r="Q20" s="411"/>
      <c r="R20" s="358">
        <v>0</v>
      </c>
      <c r="S20" s="420"/>
      <c r="T20" s="420"/>
      <c r="U20" s="420"/>
      <c r="V20" s="420"/>
      <c r="W20" s="420"/>
      <c r="X20" s="420"/>
      <c r="Y20" s="359"/>
      <c r="Z20" s="360"/>
      <c r="AA20" s="357">
        <v>0</v>
      </c>
      <c r="AB20" s="420"/>
      <c r="AC20" s="420"/>
      <c r="AD20" s="420"/>
      <c r="AE20" s="420"/>
      <c r="AF20" s="420"/>
      <c r="AG20" s="420"/>
      <c r="AH20" s="359"/>
      <c r="AI20" s="524"/>
      <c r="AJ20" s="350">
        <v>0</v>
      </c>
      <c r="AK20" s="351"/>
      <c r="AL20" s="351"/>
      <c r="AM20" s="351"/>
      <c r="AN20" s="351"/>
      <c r="AO20" s="352"/>
      <c r="AP20" s="247"/>
      <c r="AQ20" s="247"/>
      <c r="AR20" s="247"/>
      <c r="AS20" s="145"/>
      <c r="AT20" s="145"/>
      <c r="AU20" s="145"/>
      <c r="AV20" s="145"/>
      <c r="AW20" s="145"/>
      <c r="AX20" s="145"/>
      <c r="AY20" s="145"/>
      <c r="AZ20" s="145"/>
      <c r="BA20" s="143"/>
      <c r="BB20" s="529"/>
      <c r="BC20" s="529"/>
      <c r="BD20" s="529"/>
      <c r="BE20" s="529"/>
      <c r="BF20" s="529"/>
      <c r="BG20" s="529"/>
      <c r="BH20" s="530"/>
    </row>
    <row r="21" spans="1:176" s="148" customFormat="1" ht="15" customHeight="1">
      <c r="A21" s="507" t="str">
        <f>IF(HPEFirst3YearsBack=0,"",(R21+HPEThird3YearsBack)/HPEFirst3YearsBack)</f>
        <v/>
      </c>
      <c r="B21" s="508"/>
      <c r="C21" s="508"/>
      <c r="D21" s="508"/>
      <c r="E21" s="408" t="str">
        <f>IF(EffectiveDate="","",YEAR(EffectiveDate)-3 &amp; " - " &amp; YEAR(EffectiveDate)-2&amp;":")</f>
        <v/>
      </c>
      <c r="F21" s="409"/>
      <c r="G21" s="409"/>
      <c r="H21" s="410"/>
      <c r="I21" s="357">
        <v>0</v>
      </c>
      <c r="J21" s="358"/>
      <c r="K21" s="358"/>
      <c r="L21" s="358"/>
      <c r="M21" s="358"/>
      <c r="N21" s="358"/>
      <c r="O21" s="358"/>
      <c r="P21" s="358"/>
      <c r="Q21" s="411"/>
      <c r="R21" s="466">
        <v>0</v>
      </c>
      <c r="S21" s="467"/>
      <c r="T21" s="467"/>
      <c r="U21" s="467"/>
      <c r="V21" s="467"/>
      <c r="W21" s="467"/>
      <c r="X21" s="467"/>
      <c r="Y21" s="253"/>
      <c r="Z21" s="254"/>
      <c r="AA21" s="357">
        <v>0</v>
      </c>
      <c r="AB21" s="358"/>
      <c r="AC21" s="358"/>
      <c r="AD21" s="358"/>
      <c r="AE21" s="358"/>
      <c r="AF21" s="358"/>
      <c r="AG21" s="358"/>
      <c r="AH21" s="253"/>
      <c r="AI21" s="255"/>
      <c r="AJ21" s="350">
        <v>0</v>
      </c>
      <c r="AK21" s="351"/>
      <c r="AL21" s="351"/>
      <c r="AM21" s="351"/>
      <c r="AN21" s="351"/>
      <c r="AO21" s="352"/>
      <c r="AP21" s="247"/>
      <c r="AQ21" s="247"/>
      <c r="AR21" s="247"/>
      <c r="AS21" s="145"/>
      <c r="AT21" s="145"/>
      <c r="AU21" s="145"/>
      <c r="AV21" s="145"/>
      <c r="AW21" s="145"/>
      <c r="AX21" s="145"/>
      <c r="AY21" s="145"/>
      <c r="AZ21" s="145"/>
      <c r="BA21" s="143"/>
      <c r="BB21" s="529"/>
      <c r="BC21" s="529"/>
      <c r="BD21" s="529"/>
      <c r="BE21" s="529"/>
      <c r="BF21" s="529"/>
      <c r="BG21" s="529"/>
      <c r="BH21" s="530"/>
    </row>
    <row r="22" spans="1:176" s="148" customFormat="1" ht="15" customHeight="1">
      <c r="A22" s="507" t="str">
        <f>IF(HPEFirst4YearsBack=0,"",(HPESecond4YearsBack+HPEThird4YearsBack)/HPEFirst4YearsBack)</f>
        <v/>
      </c>
      <c r="B22" s="508"/>
      <c r="C22" s="508"/>
      <c r="D22" s="508"/>
      <c r="E22" s="405" t="str">
        <f>IF(EffectiveDate="","",YEAR(EffectiveDate)-4 &amp; " - " &amp; YEAR(EffectiveDate)-3&amp;":")</f>
        <v/>
      </c>
      <c r="F22" s="406"/>
      <c r="G22" s="406"/>
      <c r="H22" s="407"/>
      <c r="I22" s="357">
        <v>0</v>
      </c>
      <c r="J22" s="358"/>
      <c r="K22" s="358"/>
      <c r="L22" s="358"/>
      <c r="M22" s="358"/>
      <c r="N22" s="358"/>
      <c r="O22" s="358"/>
      <c r="P22" s="358"/>
      <c r="Q22" s="411"/>
      <c r="R22" s="357">
        <v>0</v>
      </c>
      <c r="S22" s="358"/>
      <c r="T22" s="358"/>
      <c r="U22" s="358"/>
      <c r="V22" s="358"/>
      <c r="W22" s="358"/>
      <c r="X22" s="358"/>
      <c r="Y22" s="212"/>
      <c r="Z22" s="213"/>
      <c r="AA22" s="357">
        <v>0</v>
      </c>
      <c r="AB22" s="358"/>
      <c r="AC22" s="358"/>
      <c r="AD22" s="358"/>
      <c r="AE22" s="358"/>
      <c r="AF22" s="358"/>
      <c r="AG22" s="358"/>
      <c r="AH22" s="212"/>
      <c r="AI22" s="214"/>
      <c r="AJ22" s="350">
        <v>0</v>
      </c>
      <c r="AK22" s="351"/>
      <c r="AL22" s="351"/>
      <c r="AM22" s="351"/>
      <c r="AN22" s="351"/>
      <c r="AO22" s="352"/>
      <c r="AP22" s="247"/>
      <c r="AQ22" s="247"/>
      <c r="AR22" s="247"/>
      <c r="AS22" s="145"/>
      <c r="AT22" s="145"/>
      <c r="AU22" s="145"/>
      <c r="AV22" s="145"/>
      <c r="AW22" s="145"/>
      <c r="AX22" s="145"/>
      <c r="AY22" s="145"/>
      <c r="AZ22" s="145"/>
      <c r="BA22" s="145"/>
      <c r="BB22" s="145"/>
      <c r="BC22" s="145"/>
      <c r="BD22" s="145"/>
      <c r="BE22" s="145"/>
      <c r="BF22" s="145"/>
      <c r="BG22" s="145"/>
      <c r="BH22" s="147"/>
    </row>
    <row r="23" spans="1:176" ht="15" customHeight="1">
      <c r="A23" s="463" t="s">
        <v>2755</v>
      </c>
      <c r="B23" s="372"/>
      <c r="C23" s="372"/>
      <c r="D23" s="486"/>
      <c r="E23" s="486"/>
      <c r="F23" s="486"/>
      <c r="G23" s="486"/>
      <c r="H23" s="486"/>
      <c r="I23" s="486"/>
      <c r="J23" s="486"/>
      <c r="K23" s="486"/>
      <c r="L23" s="486"/>
      <c r="M23" s="486"/>
      <c r="N23" s="486"/>
      <c r="O23" s="486"/>
      <c r="P23" s="486"/>
      <c r="Q23" s="486"/>
      <c r="R23" s="486"/>
      <c r="S23" s="486"/>
      <c r="T23" s="486"/>
      <c r="U23" s="486"/>
      <c r="V23" s="486"/>
      <c r="W23" s="486"/>
      <c r="X23" s="486"/>
      <c r="Y23" s="486"/>
      <c r="Z23" s="486"/>
      <c r="AA23" s="486"/>
      <c r="AB23" s="486"/>
      <c r="AC23" s="486"/>
      <c r="AD23" s="486"/>
      <c r="AE23" s="486"/>
      <c r="AF23" s="486"/>
      <c r="AG23" s="486"/>
      <c r="AH23" s="486"/>
      <c r="AI23" s="486"/>
      <c r="AJ23" s="486"/>
      <c r="AK23" s="486"/>
      <c r="AL23" s="486"/>
      <c r="AM23" s="486"/>
      <c r="AN23" s="486"/>
      <c r="AO23" s="486"/>
      <c r="AP23" s="372"/>
      <c r="AQ23" s="372"/>
      <c r="AR23" s="372"/>
      <c r="AS23" s="486"/>
      <c r="AT23" s="486"/>
      <c r="AU23" s="486"/>
      <c r="AV23" s="486"/>
      <c r="AW23" s="486"/>
      <c r="AX23" s="486"/>
      <c r="AY23" s="486"/>
      <c r="AZ23" s="486"/>
      <c r="BA23" s="486"/>
      <c r="BB23" s="486"/>
      <c r="BC23" s="486"/>
      <c r="BD23" s="486"/>
      <c r="BE23" s="486"/>
      <c r="BF23" s="486"/>
      <c r="BG23" s="486"/>
      <c r="BH23" s="525"/>
    </row>
    <row r="24" spans="1:176" ht="141" customHeight="1">
      <c r="A24" s="354"/>
      <c r="B24" s="355"/>
      <c r="C24" s="355"/>
      <c r="D24" s="355"/>
      <c r="E24" s="355"/>
      <c r="F24" s="355"/>
      <c r="G24" s="355"/>
      <c r="H24" s="355"/>
      <c r="I24" s="355"/>
      <c r="J24" s="355"/>
      <c r="K24" s="355"/>
      <c r="L24" s="355"/>
      <c r="M24" s="355"/>
      <c r="N24" s="355"/>
      <c r="O24" s="355"/>
      <c r="P24" s="355"/>
      <c r="Q24" s="355"/>
      <c r="R24" s="355"/>
      <c r="S24" s="355"/>
      <c r="T24" s="355"/>
      <c r="U24" s="355"/>
      <c r="V24" s="355"/>
      <c r="W24" s="355"/>
      <c r="X24" s="355"/>
      <c r="Y24" s="355"/>
      <c r="Z24" s="355"/>
      <c r="AA24" s="355"/>
      <c r="AB24" s="355"/>
      <c r="AC24" s="355"/>
      <c r="AD24" s="355"/>
      <c r="AE24" s="355"/>
      <c r="AF24" s="355"/>
      <c r="AG24" s="355"/>
      <c r="AH24" s="355"/>
      <c r="AI24" s="355"/>
      <c r="AJ24" s="355"/>
      <c r="AK24" s="355"/>
      <c r="AL24" s="355"/>
      <c r="AM24" s="355"/>
      <c r="AN24" s="355"/>
      <c r="AO24" s="355"/>
      <c r="AP24" s="355"/>
      <c r="AQ24" s="355"/>
      <c r="AR24" s="355"/>
      <c r="AS24" s="355"/>
      <c r="AT24" s="355"/>
      <c r="AU24" s="355"/>
      <c r="AV24" s="355"/>
      <c r="AW24" s="355"/>
      <c r="AX24" s="355"/>
      <c r="AY24" s="355"/>
      <c r="AZ24" s="355"/>
      <c r="BA24" s="355"/>
      <c r="BB24" s="355"/>
      <c r="BC24" s="355"/>
      <c r="BD24" s="355"/>
      <c r="BE24" s="355"/>
      <c r="BF24" s="355"/>
      <c r="BG24" s="355"/>
      <c r="BH24" s="356"/>
    </row>
    <row r="25" spans="1:176" s="148" customFormat="1" ht="15" customHeight="1">
      <c r="A25" s="537" t="s">
        <v>2757</v>
      </c>
      <c r="B25" s="538"/>
      <c r="C25" s="538"/>
      <c r="D25" s="538"/>
      <c r="E25" s="538"/>
      <c r="F25" s="538"/>
      <c r="G25" s="538"/>
      <c r="H25" s="538"/>
      <c r="I25" s="538"/>
      <c r="J25" s="538"/>
      <c r="K25" s="538"/>
      <c r="L25" s="538"/>
      <c r="M25" s="538"/>
      <c r="N25" s="538"/>
      <c r="O25" s="538"/>
      <c r="P25" s="538"/>
      <c r="Q25" s="538"/>
      <c r="R25" s="538"/>
      <c r="S25" s="538"/>
      <c r="T25" s="538"/>
      <c r="U25" s="538"/>
      <c r="V25" s="538"/>
      <c r="W25" s="538"/>
      <c r="X25" s="538"/>
      <c r="Y25" s="538"/>
      <c r="Z25" s="538"/>
      <c r="AA25" s="538"/>
      <c r="AB25" s="538"/>
      <c r="AC25" s="538"/>
      <c r="AD25" s="538"/>
      <c r="AE25" s="538"/>
      <c r="AF25" s="538"/>
      <c r="AG25" s="538"/>
      <c r="AH25" s="538"/>
      <c r="AI25" s="538"/>
      <c r="AJ25" s="538"/>
      <c r="AK25" s="538"/>
      <c r="AL25" s="538"/>
      <c r="AM25" s="538"/>
      <c r="AN25" s="538"/>
      <c r="AO25" s="538"/>
      <c r="AP25" s="538"/>
      <c r="AQ25" s="538"/>
      <c r="AR25" s="538"/>
      <c r="AS25" s="538"/>
      <c r="AT25" s="538"/>
      <c r="AU25" s="538"/>
      <c r="AV25" s="538"/>
      <c r="AW25" s="538"/>
      <c r="AX25" s="538"/>
      <c r="AY25" s="538"/>
      <c r="AZ25" s="538"/>
      <c r="BA25" s="538"/>
      <c r="BB25" s="538"/>
      <c r="BC25" s="538"/>
      <c r="BD25" s="538"/>
      <c r="BE25" s="538"/>
      <c r="BF25" s="538"/>
      <c r="BG25" s="538"/>
      <c r="BH25" s="539"/>
    </row>
    <row r="26" spans="1:176" ht="141" customHeight="1">
      <c r="A26" s="540"/>
      <c r="B26" s="541"/>
      <c r="C26" s="541"/>
      <c r="D26" s="541"/>
      <c r="E26" s="541"/>
      <c r="F26" s="541"/>
      <c r="G26" s="541"/>
      <c r="H26" s="541"/>
      <c r="I26" s="541"/>
      <c r="J26" s="541"/>
      <c r="K26" s="541"/>
      <c r="L26" s="541"/>
      <c r="M26" s="541"/>
      <c r="N26" s="541"/>
      <c r="O26" s="541"/>
      <c r="P26" s="541"/>
      <c r="Q26" s="541"/>
      <c r="R26" s="541"/>
      <c r="S26" s="541"/>
      <c r="T26" s="541"/>
      <c r="U26" s="541"/>
      <c r="V26" s="541"/>
      <c r="W26" s="541"/>
      <c r="X26" s="541"/>
      <c r="Y26" s="541"/>
      <c r="Z26" s="541"/>
      <c r="AA26" s="541"/>
      <c r="AB26" s="541"/>
      <c r="AC26" s="541"/>
      <c r="AD26" s="541"/>
      <c r="AE26" s="541"/>
      <c r="AF26" s="541"/>
      <c r="AG26" s="541"/>
      <c r="AH26" s="541"/>
      <c r="AI26" s="541"/>
      <c r="AJ26" s="541"/>
      <c r="AK26" s="541"/>
      <c r="AL26" s="541"/>
      <c r="AM26" s="541"/>
      <c r="AN26" s="541"/>
      <c r="AO26" s="541"/>
      <c r="AP26" s="541"/>
      <c r="AQ26" s="541"/>
      <c r="AR26" s="541"/>
      <c r="AS26" s="541"/>
      <c r="AT26" s="541"/>
      <c r="AU26" s="541"/>
      <c r="AV26" s="541"/>
      <c r="AW26" s="541"/>
      <c r="AX26" s="541"/>
      <c r="AY26" s="541"/>
      <c r="AZ26" s="541"/>
      <c r="BA26" s="541"/>
      <c r="BB26" s="541"/>
      <c r="BC26" s="541"/>
      <c r="BD26" s="541"/>
      <c r="BE26" s="541"/>
      <c r="BF26" s="541"/>
      <c r="BG26" s="541"/>
      <c r="BH26" s="542"/>
    </row>
    <row r="27" spans="1:176" s="205" customFormat="1" ht="15" customHeight="1">
      <c r="A27" s="560" t="s">
        <v>691</v>
      </c>
      <c r="B27" s="561"/>
      <c r="C27" s="561"/>
      <c r="D27" s="561"/>
      <c r="E27" s="561"/>
      <c r="F27" s="561"/>
      <c r="G27" s="561"/>
      <c r="H27" s="561"/>
      <c r="I27" s="561"/>
      <c r="J27" s="561"/>
      <c r="K27" s="561"/>
      <c r="L27" s="561"/>
      <c r="M27" s="561"/>
      <c r="N27" s="561"/>
      <c r="O27" s="561"/>
      <c r="P27" s="561"/>
      <c r="Q27" s="561"/>
      <c r="R27" s="561"/>
      <c r="S27" s="561"/>
      <c r="T27" s="561"/>
      <c r="U27" s="561"/>
      <c r="V27" s="561"/>
      <c r="W27" s="561"/>
      <c r="X27" s="561"/>
      <c r="Y27" s="561"/>
      <c r="Z27" s="561"/>
      <c r="AA27" s="561"/>
      <c r="AB27" s="561"/>
      <c r="AC27" s="561"/>
      <c r="AD27" s="561"/>
      <c r="AE27" s="561"/>
      <c r="AF27" s="561"/>
      <c r="AG27" s="561"/>
      <c r="AH27" s="561"/>
      <c r="AI27" s="561"/>
      <c r="AJ27" s="561"/>
      <c r="AK27" s="561"/>
      <c r="AL27" s="561"/>
      <c r="AM27" s="561"/>
      <c r="AN27" s="561"/>
      <c r="AO27" s="561"/>
      <c r="AP27" s="561"/>
      <c r="AQ27" s="561"/>
      <c r="AR27" s="561"/>
      <c r="AS27" s="561"/>
      <c r="AT27" s="561"/>
      <c r="AU27" s="561"/>
      <c r="AV27" s="561"/>
      <c r="AW27" s="561"/>
      <c r="AX27" s="561"/>
      <c r="AY27" s="561"/>
      <c r="AZ27" s="561"/>
      <c r="BA27" s="561"/>
      <c r="BB27" s="561"/>
      <c r="BC27" s="561"/>
      <c r="BD27" s="561"/>
      <c r="BE27" s="561"/>
      <c r="BF27" s="561"/>
      <c r="BG27" s="561"/>
      <c r="BH27" s="562"/>
      <c r="BI27" s="536"/>
      <c r="BJ27" s="536"/>
      <c r="BK27" s="536"/>
      <c r="BL27" s="536"/>
      <c r="BM27" s="536"/>
      <c r="BN27" s="536"/>
      <c r="BO27" s="536"/>
      <c r="BP27" s="155"/>
      <c r="BQ27" s="155"/>
      <c r="BR27" s="155"/>
      <c r="BS27" s="155"/>
      <c r="BT27" s="155"/>
      <c r="BU27" s="155"/>
      <c r="BV27" s="155"/>
      <c r="BW27" s="155"/>
      <c r="BX27" s="155"/>
      <c r="BY27" s="155"/>
      <c r="BZ27" s="155"/>
      <c r="CA27" s="155"/>
      <c r="CB27" s="155"/>
      <c r="CC27" s="155"/>
      <c r="CD27" s="155"/>
      <c r="CE27" s="155"/>
      <c r="CF27" s="155"/>
      <c r="CG27" s="155"/>
      <c r="CH27" s="155"/>
      <c r="CI27" s="155"/>
      <c r="CJ27" s="155"/>
      <c r="CK27" s="155"/>
      <c r="CL27" s="155"/>
      <c r="CM27" s="155"/>
      <c r="CN27" s="155"/>
      <c r="CO27" s="155"/>
      <c r="CP27" s="155"/>
      <c r="CQ27" s="155"/>
      <c r="CR27" s="155"/>
      <c r="CS27" s="155"/>
      <c r="CT27" s="155"/>
      <c r="CU27" s="155"/>
      <c r="CV27" s="155"/>
      <c r="CW27" s="155"/>
      <c r="CX27" s="155"/>
      <c r="CY27" s="155"/>
      <c r="CZ27" s="155"/>
      <c r="DA27" s="155"/>
      <c r="DB27" s="155"/>
      <c r="DC27" s="155"/>
      <c r="DD27" s="155"/>
      <c r="DE27" s="155"/>
      <c r="DF27" s="155"/>
      <c r="DG27" s="155"/>
      <c r="DH27" s="155"/>
      <c r="DI27" s="155"/>
      <c r="DJ27" s="155"/>
      <c r="DK27" s="155"/>
      <c r="DL27" s="155"/>
      <c r="DM27" s="155"/>
      <c r="DN27" s="155"/>
      <c r="DO27" s="155"/>
      <c r="DP27" s="155"/>
      <c r="DQ27" s="155"/>
      <c r="DR27" s="155"/>
      <c r="DS27" s="155"/>
      <c r="DT27" s="155"/>
      <c r="DU27" s="155"/>
      <c r="DV27" s="155"/>
      <c r="DW27" s="155"/>
      <c r="DX27" s="155"/>
      <c r="DY27" s="155"/>
      <c r="DZ27" s="155"/>
      <c r="EA27" s="155"/>
      <c r="EB27" s="155"/>
      <c r="EC27" s="155"/>
      <c r="ED27" s="155"/>
      <c r="EE27" s="155"/>
      <c r="EF27" s="155"/>
      <c r="EG27" s="155"/>
      <c r="EH27" s="155"/>
      <c r="EI27" s="155"/>
      <c r="EJ27" s="155"/>
      <c r="EK27" s="155"/>
      <c r="EL27" s="155"/>
      <c r="EM27" s="155"/>
      <c r="EN27" s="155"/>
      <c r="EO27" s="155"/>
      <c r="EP27" s="155"/>
      <c r="EQ27" s="155"/>
      <c r="ER27" s="155"/>
      <c r="ES27" s="155"/>
      <c r="ET27" s="155"/>
      <c r="EU27" s="155"/>
      <c r="EV27" s="155"/>
      <c r="EW27" s="155"/>
      <c r="EX27" s="155"/>
      <c r="EY27" s="155"/>
      <c r="EZ27" s="155"/>
      <c r="FA27" s="155"/>
      <c r="FB27" s="155"/>
      <c r="FC27" s="155"/>
      <c r="FD27" s="155"/>
      <c r="FE27" s="155"/>
      <c r="FF27" s="155"/>
      <c r="FG27" s="155"/>
      <c r="FH27" s="155"/>
      <c r="FI27" s="155"/>
      <c r="FJ27" s="155"/>
      <c r="FK27" s="155"/>
      <c r="FL27" s="155"/>
      <c r="FM27" s="155"/>
      <c r="FN27" s="155"/>
      <c r="FO27" s="155"/>
      <c r="FP27" s="155"/>
      <c r="FQ27" s="155"/>
      <c r="FR27" s="155"/>
      <c r="FS27" s="155"/>
      <c r="FT27" s="155"/>
    </row>
    <row r="28" spans="1:176" s="205" customFormat="1" ht="15" customHeight="1">
      <c r="A28" s="509" t="s">
        <v>2877</v>
      </c>
      <c r="B28" s="509"/>
      <c r="C28" s="509"/>
      <c r="D28" s="509"/>
      <c r="E28" s="509"/>
      <c r="F28" s="509"/>
      <c r="G28" s="509"/>
      <c r="H28" s="510"/>
      <c r="I28" s="511"/>
      <c r="J28" s="511"/>
      <c r="K28" s="511"/>
      <c r="L28" s="512"/>
      <c r="M28" s="513" t="s">
        <v>2878</v>
      </c>
      <c r="N28" s="509"/>
      <c r="O28" s="509"/>
      <c r="P28" s="509"/>
      <c r="Q28" s="509"/>
      <c r="R28" s="509"/>
      <c r="S28" s="509"/>
      <c r="T28" s="543">
        <f>HPEFirstCurrent</f>
        <v>0</v>
      </c>
      <c r="U28" s="544"/>
      <c r="V28" s="544"/>
      <c r="W28" s="544"/>
      <c r="X28" s="545"/>
      <c r="Y28" s="513" t="s">
        <v>2879</v>
      </c>
      <c r="Z28" s="509"/>
      <c r="AA28" s="509"/>
      <c r="AB28" s="509"/>
      <c r="AC28" s="509"/>
      <c r="AD28" s="546" t="e">
        <f>(H28/(T28/1000))</f>
        <v>#DIV/0!</v>
      </c>
      <c r="AE28" s="547"/>
      <c r="AF28" s="547"/>
      <c r="AG28" s="547"/>
      <c r="AH28" s="548"/>
      <c r="AI28" s="341"/>
      <c r="AJ28" s="341"/>
      <c r="AK28" s="341"/>
      <c r="AL28" s="341"/>
      <c r="AM28" s="341"/>
      <c r="AN28" s="341"/>
      <c r="AO28" s="342"/>
      <c r="AP28" s="342"/>
      <c r="AQ28" s="342"/>
      <c r="AR28" s="342"/>
      <c r="AS28" s="342"/>
      <c r="AT28" s="321" t="s">
        <v>2881</v>
      </c>
      <c r="AU28" s="321"/>
      <c r="AV28" s="321"/>
      <c r="AW28" s="321"/>
      <c r="AX28" s="321"/>
      <c r="AY28" s="247"/>
      <c r="AZ28" s="247"/>
      <c r="BA28" s="353" t="e">
        <f>(T30-AD28)/AD28</f>
        <v>#DIV/0!</v>
      </c>
      <c r="BB28" s="353"/>
      <c r="BC28" s="353"/>
      <c r="BD28" s="353"/>
      <c r="BE28" s="353"/>
      <c r="BF28" s="341"/>
      <c r="BG28" s="341"/>
      <c r="BH28" s="341"/>
      <c r="BI28" s="315"/>
      <c r="BJ28" s="315"/>
      <c r="BK28" s="315"/>
      <c r="BL28" s="315"/>
      <c r="BM28" s="315"/>
      <c r="BN28" s="315"/>
      <c r="BO28" s="315"/>
      <c r="BP28" s="155"/>
      <c r="BQ28" s="155"/>
      <c r="BR28" s="155"/>
      <c r="BS28" s="155"/>
      <c r="BT28" s="155"/>
      <c r="BU28" s="155"/>
      <c r="BV28" s="155"/>
      <c r="BW28" s="155"/>
      <c r="BX28" s="155"/>
      <c r="BY28" s="155"/>
      <c r="BZ28" s="155"/>
      <c r="CA28" s="155"/>
      <c r="CB28" s="155"/>
      <c r="CC28" s="155"/>
      <c r="CD28" s="155"/>
      <c r="CE28" s="155"/>
      <c r="CF28" s="155"/>
      <c r="CG28" s="155"/>
      <c r="CH28" s="155"/>
      <c r="CI28" s="155"/>
      <c r="CJ28" s="155"/>
      <c r="CK28" s="155"/>
      <c r="CL28" s="155"/>
      <c r="CM28" s="155"/>
      <c r="CN28" s="155"/>
      <c r="CO28" s="155"/>
      <c r="CP28" s="155"/>
      <c r="CQ28" s="155"/>
      <c r="CR28" s="155"/>
      <c r="CS28" s="155"/>
      <c r="CT28" s="155"/>
      <c r="CU28" s="155"/>
      <c r="CV28" s="155"/>
      <c r="CW28" s="155"/>
      <c r="CX28" s="155"/>
      <c r="CY28" s="155"/>
      <c r="CZ28" s="155"/>
      <c r="DA28" s="155"/>
      <c r="DB28" s="155"/>
      <c r="DC28" s="155"/>
      <c r="DD28" s="155"/>
      <c r="DE28" s="155"/>
      <c r="DF28" s="155"/>
      <c r="DG28" s="155"/>
      <c r="DH28" s="155"/>
      <c r="DI28" s="155"/>
      <c r="DJ28" s="155"/>
      <c r="DK28" s="155"/>
      <c r="DL28" s="155"/>
      <c r="DM28" s="155"/>
      <c r="DN28" s="155"/>
      <c r="DO28" s="155"/>
      <c r="DP28" s="155"/>
      <c r="DQ28" s="155"/>
      <c r="DR28" s="155"/>
      <c r="DS28" s="155"/>
      <c r="DT28" s="155"/>
      <c r="DU28" s="155"/>
      <c r="DV28" s="155"/>
      <c r="DW28" s="155"/>
      <c r="DX28" s="155"/>
      <c r="DY28" s="155"/>
      <c r="DZ28" s="155"/>
      <c r="EA28" s="155"/>
      <c r="EB28" s="155"/>
      <c r="EC28" s="155"/>
      <c r="ED28" s="155"/>
      <c r="EE28" s="155"/>
      <c r="EF28" s="155"/>
      <c r="EG28" s="155"/>
      <c r="EH28" s="155"/>
      <c r="EI28" s="155"/>
      <c r="EJ28" s="155"/>
      <c r="EK28" s="155"/>
      <c r="EL28" s="155"/>
      <c r="EM28" s="155"/>
      <c r="EN28" s="155"/>
      <c r="EO28" s="155"/>
      <c r="EP28" s="155"/>
      <c r="EQ28" s="155"/>
      <c r="ER28" s="155"/>
      <c r="ES28" s="155"/>
      <c r="ET28" s="155"/>
      <c r="EU28" s="155"/>
      <c r="EV28" s="155"/>
      <c r="EW28" s="155"/>
      <c r="EX28" s="155"/>
      <c r="EY28" s="155"/>
      <c r="EZ28" s="155"/>
      <c r="FA28" s="155"/>
      <c r="FB28" s="155"/>
      <c r="FC28" s="155"/>
      <c r="FD28" s="155"/>
      <c r="FE28" s="155"/>
      <c r="FF28" s="155"/>
      <c r="FG28" s="155"/>
      <c r="FH28" s="155"/>
      <c r="FI28" s="155"/>
      <c r="FJ28" s="155"/>
      <c r="FK28" s="155"/>
      <c r="FL28" s="155"/>
      <c r="FM28" s="155"/>
      <c r="FN28" s="155"/>
      <c r="FO28" s="155"/>
      <c r="FP28" s="155"/>
      <c r="FQ28" s="155"/>
      <c r="FR28" s="155"/>
      <c r="FS28" s="155"/>
      <c r="FT28" s="155"/>
    </row>
    <row r="29" spans="1:176" s="157" customFormat="1" ht="15" customHeight="1">
      <c r="A29" s="404" t="s">
        <v>2072</v>
      </c>
      <c r="B29" s="392"/>
      <c r="C29" s="392"/>
      <c r="D29" s="392"/>
      <c r="E29" s="392"/>
      <c r="F29" s="392"/>
      <c r="G29" s="392"/>
      <c r="H29" s="389"/>
      <c r="I29" s="390"/>
      <c r="J29" s="390"/>
      <c r="K29" s="390"/>
      <c r="L29" s="391"/>
      <c r="M29" s="392" t="s">
        <v>1990</v>
      </c>
      <c r="N29" s="392"/>
      <c r="O29" s="392"/>
      <c r="P29" s="392"/>
      <c r="Q29" s="392"/>
      <c r="R29" s="392"/>
      <c r="S29" s="392"/>
      <c r="T29" s="389"/>
      <c r="U29" s="390"/>
      <c r="V29" s="390"/>
      <c r="W29" s="390"/>
      <c r="X29" s="391"/>
      <c r="Y29" s="392" t="s">
        <v>1747</v>
      </c>
      <c r="Z29" s="392"/>
      <c r="AA29" s="392"/>
      <c r="AB29" s="392"/>
      <c r="AC29" s="392"/>
      <c r="AD29" s="414">
        <f>SUM(H29,T29)</f>
        <v>0</v>
      </c>
      <c r="AE29" s="415"/>
      <c r="AF29" s="415"/>
      <c r="AG29" s="415"/>
      <c r="AH29" s="416"/>
      <c r="AI29" s="392" t="s">
        <v>2756</v>
      </c>
      <c r="AJ29" s="392"/>
      <c r="AK29" s="392"/>
      <c r="AL29" s="392"/>
      <c r="AM29" s="392"/>
      <c r="AN29" s="392"/>
      <c r="AO29" s="389"/>
      <c r="AP29" s="390"/>
      <c r="AQ29" s="390"/>
      <c r="AR29" s="390"/>
      <c r="AS29" s="391"/>
      <c r="AT29" s="146" t="s">
        <v>2882</v>
      </c>
      <c r="AU29" s="258"/>
      <c r="AV29" s="258"/>
      <c r="AW29" s="258"/>
      <c r="AX29" s="258"/>
      <c r="AY29" s="258"/>
      <c r="AZ29" s="258"/>
      <c r="BA29" s="353" t="e">
        <f>(fmSales-HPEFirstCurrent)/HPEFirstCurrent</f>
        <v>#DIV/0!</v>
      </c>
      <c r="BB29" s="353"/>
      <c r="BC29" s="353"/>
      <c r="BD29" s="353"/>
      <c r="BE29" s="353"/>
      <c r="BF29" s="374"/>
      <c r="BG29" s="374"/>
      <c r="BH29" s="375"/>
      <c r="BI29" s="252"/>
      <c r="BJ29" s="252"/>
      <c r="BK29" s="252"/>
      <c r="BL29" s="252"/>
      <c r="BM29" s="252"/>
      <c r="BN29" s="252"/>
      <c r="BO29" s="252"/>
      <c r="BP29" s="158"/>
      <c r="BQ29" s="158"/>
      <c r="BR29" s="158"/>
      <c r="BS29" s="158"/>
      <c r="BT29" s="158"/>
      <c r="BU29" s="158"/>
      <c r="BV29" s="158"/>
      <c r="BW29" s="158"/>
      <c r="BX29" s="158"/>
      <c r="BY29" s="158"/>
      <c r="BZ29" s="158"/>
      <c r="CA29" s="158"/>
      <c r="CB29" s="158"/>
      <c r="CC29" s="158"/>
      <c r="CD29" s="158"/>
      <c r="CE29" s="158"/>
      <c r="CF29" s="158"/>
      <c r="CG29" s="158"/>
      <c r="CH29" s="158"/>
      <c r="CI29" s="158"/>
      <c r="CJ29" s="158"/>
      <c r="CK29" s="158"/>
      <c r="CL29" s="158"/>
      <c r="CM29" s="158"/>
      <c r="CN29" s="158"/>
      <c r="CO29" s="158"/>
      <c r="CP29" s="158"/>
      <c r="CQ29" s="158"/>
      <c r="CR29" s="158"/>
      <c r="CS29" s="158"/>
      <c r="CT29" s="158"/>
      <c r="CU29" s="158"/>
      <c r="CV29" s="158"/>
      <c r="CW29" s="158"/>
      <c r="CX29" s="158"/>
      <c r="CY29" s="158"/>
      <c r="CZ29" s="158"/>
      <c r="DA29" s="158"/>
      <c r="DB29" s="158"/>
      <c r="DC29" s="158"/>
      <c r="DD29" s="158"/>
      <c r="DE29" s="158"/>
      <c r="DF29" s="158"/>
      <c r="DG29" s="158"/>
      <c r="DH29" s="158"/>
      <c r="DI29" s="158"/>
      <c r="DJ29" s="158"/>
      <c r="DK29" s="158"/>
      <c r="DL29" s="158"/>
      <c r="DM29" s="158"/>
      <c r="DN29" s="158"/>
      <c r="DO29" s="158"/>
      <c r="DP29" s="158"/>
      <c r="DQ29" s="158"/>
      <c r="DR29" s="158"/>
      <c r="DS29" s="158"/>
      <c r="DT29" s="158"/>
      <c r="DU29" s="158"/>
      <c r="DV29" s="158"/>
      <c r="DW29" s="158"/>
      <c r="DX29" s="158"/>
      <c r="DY29" s="158"/>
      <c r="DZ29" s="158"/>
      <c r="EA29" s="158"/>
      <c r="EB29" s="158"/>
      <c r="EC29" s="158"/>
      <c r="ED29" s="158"/>
      <c r="EE29" s="158"/>
      <c r="EF29" s="158"/>
      <c r="EG29" s="158"/>
      <c r="EH29" s="158"/>
      <c r="EI29" s="158"/>
      <c r="EJ29" s="158"/>
      <c r="EK29" s="158"/>
      <c r="EL29" s="158"/>
      <c r="EM29" s="158"/>
      <c r="EN29" s="158"/>
      <c r="EO29" s="158"/>
      <c r="EP29" s="158"/>
      <c r="EQ29" s="158"/>
      <c r="ER29" s="158"/>
      <c r="ES29" s="158"/>
      <c r="ET29" s="158"/>
      <c r="EU29" s="158"/>
      <c r="EV29" s="158"/>
      <c r="EW29" s="158"/>
      <c r="EX29" s="158"/>
      <c r="EY29" s="158"/>
      <c r="EZ29" s="158"/>
      <c r="FA29" s="158"/>
      <c r="FB29" s="158"/>
      <c r="FC29" s="158"/>
      <c r="FD29" s="158"/>
      <c r="FE29" s="158"/>
      <c r="FF29" s="158"/>
      <c r="FG29" s="158"/>
      <c r="FH29" s="158"/>
      <c r="FI29" s="158"/>
      <c r="FJ29" s="158"/>
      <c r="FK29" s="158"/>
      <c r="FL29" s="158"/>
      <c r="FM29" s="158"/>
      <c r="FN29" s="158"/>
      <c r="FO29" s="158"/>
      <c r="FP29" s="158"/>
      <c r="FQ29" s="158"/>
      <c r="FR29" s="158"/>
      <c r="FS29" s="158"/>
      <c r="FT29" s="158"/>
    </row>
    <row r="30" spans="1:176" s="157" customFormat="1" ht="15" customHeight="1">
      <c r="A30" s="256" t="s">
        <v>1992</v>
      </c>
      <c r="B30" s="206"/>
      <c r="C30" s="206"/>
      <c r="D30" s="206"/>
      <c r="E30" s="206"/>
      <c r="F30" s="206"/>
      <c r="G30" s="206"/>
      <c r="H30" s="564">
        <f>AO29-AD29</f>
        <v>0</v>
      </c>
      <c r="I30" s="565"/>
      <c r="J30" s="565"/>
      <c r="K30" s="565"/>
      <c r="L30" s="566"/>
      <c r="M30" s="257" t="s">
        <v>2013</v>
      </c>
      <c r="N30" s="206"/>
      <c r="O30" s="206"/>
      <c r="P30" s="206"/>
      <c r="Q30" s="206"/>
      <c r="R30" s="206"/>
      <c r="S30" s="206"/>
      <c r="T30" s="567" t="e">
        <f>AO29/(I18/1000)</f>
        <v>#DIV/0!</v>
      </c>
      <c r="U30" s="568"/>
      <c r="V30" s="568"/>
      <c r="W30" s="568"/>
      <c r="X30" s="569"/>
      <c r="Y30" s="257" t="s">
        <v>2758</v>
      </c>
      <c r="Z30" s="206"/>
      <c r="AA30" s="206"/>
      <c r="AB30" s="206"/>
      <c r="AC30" s="206"/>
      <c r="AD30" s="396">
        <f>SUM(AN37,AN38)</f>
        <v>0</v>
      </c>
      <c r="AE30" s="397"/>
      <c r="AF30" s="397"/>
      <c r="AG30" s="397"/>
      <c r="AH30" s="398"/>
      <c r="AI30" s="257" t="s">
        <v>2014</v>
      </c>
      <c r="AJ30" s="206"/>
      <c r="AK30" s="206"/>
      <c r="AL30" s="206"/>
      <c r="AM30" s="206"/>
      <c r="AN30" s="206"/>
      <c r="AO30" s="396">
        <f>SUM(AO29,AD30)</f>
        <v>0</v>
      </c>
      <c r="AP30" s="397"/>
      <c r="AQ30" s="397"/>
      <c r="AR30" s="397"/>
      <c r="AS30" s="398"/>
      <c r="AT30" s="156"/>
      <c r="AU30" s="259"/>
      <c r="AV30" s="260"/>
      <c r="AW30" s="260"/>
      <c r="AX30" s="260"/>
      <c r="AY30" s="260"/>
      <c r="AZ30" s="260"/>
      <c r="BA30" s="260"/>
      <c r="BB30" s="563"/>
      <c r="BC30" s="563"/>
      <c r="BD30" s="563"/>
      <c r="BE30" s="563"/>
      <c r="BF30" s="261"/>
      <c r="BG30" s="261"/>
      <c r="BH30" s="264"/>
      <c r="BI30" s="158"/>
      <c r="BJ30" s="158"/>
      <c r="BK30" s="158"/>
      <c r="BL30" s="158"/>
      <c r="BM30" s="158"/>
      <c r="BN30" s="158"/>
      <c r="BO30" s="158"/>
      <c r="BP30" s="158"/>
      <c r="BQ30" s="158"/>
      <c r="BR30" s="158"/>
      <c r="BS30" s="158"/>
      <c r="BT30" s="158"/>
      <c r="BU30" s="158"/>
      <c r="BV30" s="158"/>
      <c r="BW30" s="158"/>
      <c r="BX30" s="158"/>
      <c r="BY30" s="158"/>
      <c r="BZ30" s="158"/>
      <c r="CA30" s="158"/>
      <c r="CB30" s="158"/>
      <c r="CC30" s="158"/>
      <c r="CD30" s="158"/>
      <c r="CE30" s="158"/>
      <c r="CF30" s="158"/>
      <c r="CG30" s="158"/>
      <c r="CH30" s="158"/>
      <c r="CI30" s="158"/>
      <c r="CJ30" s="158"/>
      <c r="CK30" s="158"/>
      <c r="CL30" s="158"/>
      <c r="CM30" s="158"/>
      <c r="CN30" s="158"/>
      <c r="CO30" s="158"/>
      <c r="CP30" s="158"/>
      <c r="CQ30" s="158"/>
      <c r="CR30" s="158"/>
      <c r="CS30" s="158"/>
      <c r="CT30" s="158"/>
      <c r="CU30" s="158"/>
      <c r="CV30" s="158"/>
      <c r="CW30" s="158"/>
      <c r="CX30" s="158"/>
      <c r="CY30" s="158"/>
      <c r="CZ30" s="158"/>
      <c r="DA30" s="158"/>
      <c r="DB30" s="158"/>
      <c r="DC30" s="158"/>
      <c r="DD30" s="158"/>
      <c r="DE30" s="158"/>
      <c r="DF30" s="158"/>
      <c r="DG30" s="158"/>
      <c r="DH30" s="158"/>
      <c r="DI30" s="158"/>
      <c r="DJ30" s="158"/>
      <c r="DK30" s="158"/>
      <c r="DL30" s="158"/>
      <c r="DM30" s="158"/>
      <c r="DN30" s="158"/>
      <c r="DO30" s="158"/>
      <c r="DP30" s="158"/>
      <c r="DQ30" s="158"/>
      <c r="DR30" s="158"/>
      <c r="DS30" s="158"/>
      <c r="DT30" s="158"/>
      <c r="DU30" s="158"/>
      <c r="DV30" s="158"/>
      <c r="DW30" s="158"/>
      <c r="DX30" s="158"/>
      <c r="DY30" s="158"/>
      <c r="DZ30" s="158"/>
      <c r="EA30" s="158"/>
      <c r="EB30" s="158"/>
      <c r="EC30" s="158"/>
      <c r="ED30" s="158"/>
      <c r="EE30" s="158"/>
      <c r="EF30" s="158"/>
      <c r="EG30" s="158"/>
      <c r="EH30" s="158"/>
      <c r="EI30" s="158"/>
      <c r="EJ30" s="158"/>
      <c r="EK30" s="158"/>
      <c r="EL30" s="158"/>
      <c r="EM30" s="158"/>
      <c r="EN30" s="158"/>
      <c r="EO30" s="158"/>
      <c r="EP30" s="158"/>
      <c r="EQ30" s="158"/>
      <c r="ER30" s="158"/>
      <c r="ES30" s="158"/>
      <c r="ET30" s="158"/>
      <c r="EU30" s="158"/>
      <c r="EV30" s="158"/>
      <c r="EW30" s="158"/>
      <c r="EX30" s="158"/>
      <c r="EY30" s="158"/>
      <c r="EZ30" s="158"/>
      <c r="FA30" s="158"/>
      <c r="FB30" s="158"/>
      <c r="FC30" s="158"/>
      <c r="FD30" s="158"/>
      <c r="FE30" s="158"/>
      <c r="FF30" s="158"/>
      <c r="FG30" s="158"/>
      <c r="FH30" s="158"/>
      <c r="FI30" s="158"/>
      <c r="FJ30" s="158"/>
      <c r="FK30" s="158"/>
      <c r="FL30" s="158"/>
      <c r="FM30" s="158"/>
      <c r="FN30" s="158"/>
      <c r="FO30" s="158"/>
      <c r="FP30" s="158"/>
      <c r="FQ30" s="158"/>
      <c r="FR30" s="158"/>
      <c r="FS30" s="158"/>
      <c r="FT30" s="158"/>
    </row>
    <row r="31" spans="1:176" s="149" customFormat="1" ht="15" customHeight="1">
      <c r="A31" s="248"/>
      <c r="B31" s="247"/>
      <c r="C31" s="247"/>
      <c r="D31" s="247"/>
      <c r="E31" s="247"/>
      <c r="F31" s="247"/>
      <c r="G31" s="247"/>
      <c r="H31" s="385" t="e">
        <f>(H30/AO29)</f>
        <v>#DIV/0!</v>
      </c>
      <c r="I31" s="385"/>
      <c r="J31" s="385"/>
      <c r="K31" s="385"/>
      <c r="L31" s="385"/>
      <c r="M31" s="321"/>
      <c r="N31" s="321"/>
      <c r="O31" s="321"/>
      <c r="P31" s="321"/>
      <c r="Q31" s="321"/>
      <c r="R31" s="247"/>
      <c r="S31" s="247"/>
      <c r="T31" s="349"/>
      <c r="U31" s="349"/>
      <c r="V31" s="349"/>
      <c r="W31" s="349"/>
      <c r="X31" s="349"/>
      <c r="Y31" s="296"/>
      <c r="Z31" s="296"/>
      <c r="AA31" s="296"/>
      <c r="AB31" s="296"/>
      <c r="AC31" s="247"/>
      <c r="AD31" s="247"/>
      <c r="AE31" s="247"/>
      <c r="AF31" s="247"/>
      <c r="AG31" s="247"/>
      <c r="AH31" s="247"/>
      <c r="AI31" s="247"/>
      <c r="AJ31" s="247"/>
      <c r="AK31" s="247"/>
      <c r="AL31" s="247"/>
      <c r="AM31" s="247"/>
      <c r="AN31" s="247"/>
      <c r="AO31" s="247"/>
      <c r="AP31" s="247"/>
      <c r="AQ31" s="247"/>
      <c r="AR31" s="247"/>
      <c r="AS31" s="247"/>
      <c r="AT31" s="145"/>
      <c r="AU31" s="259"/>
      <c r="AV31" s="260"/>
      <c r="AW31" s="260"/>
      <c r="AX31" s="260"/>
      <c r="AY31" s="260"/>
      <c r="AZ31" s="260"/>
      <c r="BA31" s="260"/>
      <c r="BB31" s="555"/>
      <c r="BC31" s="555"/>
      <c r="BD31" s="555"/>
      <c r="BE31" s="555"/>
      <c r="BF31" s="206"/>
      <c r="BG31" s="206"/>
      <c r="BH31" s="265"/>
      <c r="BI31" s="148"/>
      <c r="BJ31" s="148"/>
      <c r="BK31" s="148"/>
      <c r="BL31" s="148"/>
      <c r="BM31" s="148"/>
      <c r="BN31" s="148"/>
      <c r="BO31" s="148"/>
      <c r="BP31" s="148"/>
      <c r="BQ31" s="148"/>
      <c r="BR31" s="148"/>
      <c r="BS31" s="148"/>
      <c r="BT31" s="148"/>
      <c r="BU31" s="148"/>
      <c r="BV31" s="148"/>
      <c r="BW31" s="148"/>
      <c r="BX31" s="148"/>
      <c r="BY31" s="148"/>
      <c r="BZ31" s="148"/>
      <c r="CA31" s="148"/>
      <c r="CB31" s="148"/>
      <c r="CC31" s="148"/>
      <c r="CD31" s="148"/>
      <c r="CE31" s="148"/>
      <c r="CF31" s="148"/>
      <c r="CG31" s="148"/>
      <c r="CH31" s="148"/>
      <c r="CI31" s="148"/>
      <c r="CJ31" s="148"/>
      <c r="CK31" s="148"/>
      <c r="CL31" s="148"/>
      <c r="CM31" s="148"/>
      <c r="CN31" s="148"/>
      <c r="CO31" s="148"/>
      <c r="CP31" s="148"/>
      <c r="CQ31" s="148"/>
      <c r="CR31" s="148"/>
      <c r="CS31" s="148"/>
      <c r="CT31" s="148"/>
      <c r="CU31" s="148"/>
      <c r="CV31" s="148"/>
      <c r="CW31" s="148"/>
      <c r="CX31" s="148"/>
      <c r="CY31" s="148"/>
      <c r="CZ31" s="148"/>
      <c r="DA31" s="148"/>
      <c r="DB31" s="148"/>
      <c r="DC31" s="148"/>
      <c r="DD31" s="148"/>
      <c r="DE31" s="148"/>
      <c r="DF31" s="148"/>
      <c r="DG31" s="148"/>
      <c r="DH31" s="148"/>
      <c r="DI31" s="148"/>
      <c r="DJ31" s="148"/>
      <c r="DK31" s="148"/>
      <c r="DL31" s="148"/>
      <c r="DM31" s="148"/>
      <c r="DN31" s="148"/>
      <c r="DO31" s="148"/>
      <c r="DP31" s="148"/>
      <c r="DQ31" s="148"/>
      <c r="DR31" s="148"/>
      <c r="DS31" s="148"/>
      <c r="DT31" s="148"/>
      <c r="DU31" s="148"/>
      <c r="DV31" s="148"/>
      <c r="DW31" s="148"/>
      <c r="DX31" s="148"/>
      <c r="DY31" s="148"/>
      <c r="DZ31" s="148"/>
      <c r="EA31" s="148"/>
      <c r="EB31" s="148"/>
      <c r="EC31" s="148"/>
      <c r="ED31" s="148"/>
      <c r="EE31" s="148"/>
      <c r="EF31" s="148"/>
      <c r="EG31" s="148"/>
      <c r="EH31" s="148"/>
      <c r="EI31" s="148"/>
      <c r="EJ31" s="148"/>
      <c r="EK31" s="148"/>
      <c r="EL31" s="148"/>
      <c r="EM31" s="148"/>
      <c r="EN31" s="148"/>
      <c r="EO31" s="148"/>
      <c r="EP31" s="148"/>
      <c r="EQ31" s="148"/>
      <c r="ER31" s="148"/>
      <c r="ES31" s="148"/>
      <c r="ET31" s="148"/>
      <c r="EU31" s="148"/>
      <c r="EV31" s="148"/>
      <c r="EW31" s="148"/>
      <c r="EX31" s="148"/>
      <c r="EY31" s="148"/>
      <c r="EZ31" s="148"/>
      <c r="FA31" s="148"/>
      <c r="FB31" s="148"/>
      <c r="FC31" s="148"/>
      <c r="FD31" s="148"/>
      <c r="FE31" s="148"/>
      <c r="FF31" s="148"/>
      <c r="FG31" s="148"/>
      <c r="FH31" s="148"/>
      <c r="FI31" s="148"/>
      <c r="FJ31" s="148"/>
      <c r="FK31" s="148"/>
      <c r="FL31" s="148"/>
      <c r="FM31" s="148"/>
      <c r="FN31" s="148"/>
      <c r="FO31" s="148"/>
      <c r="FP31" s="148"/>
      <c r="FQ31" s="148"/>
      <c r="FR31" s="148"/>
      <c r="FS31" s="148"/>
      <c r="FT31" s="148"/>
    </row>
    <row r="32" spans="1:176" s="33" customFormat="1" ht="15" customHeight="1">
      <c r="A32" s="485" t="s">
        <v>2007</v>
      </c>
      <c r="B32" s="486"/>
      <c r="C32" s="486"/>
      <c r="D32" s="486"/>
      <c r="E32" s="486"/>
      <c r="F32" s="486"/>
      <c r="G32" s="486"/>
      <c r="H32" s="486"/>
      <c r="I32" s="486"/>
      <c r="J32" s="486"/>
      <c r="K32" s="486"/>
      <c r="L32" s="486"/>
      <c r="M32" s="486"/>
      <c r="N32" s="486"/>
      <c r="O32" s="486"/>
      <c r="P32" s="486"/>
      <c r="Q32" s="486"/>
      <c r="R32" s="486"/>
      <c r="S32" s="486"/>
      <c r="T32" s="372"/>
      <c r="U32" s="372"/>
      <c r="V32" s="372"/>
      <c r="W32" s="372"/>
      <c r="X32" s="372"/>
      <c r="Y32" s="372"/>
      <c r="Z32" s="372"/>
      <c r="AA32" s="372"/>
      <c r="AB32" s="372"/>
      <c r="AC32" s="486"/>
      <c r="AD32" s="486"/>
      <c r="AE32" s="486"/>
      <c r="AF32" s="486"/>
      <c r="AG32" s="486"/>
      <c r="AH32" s="486"/>
      <c r="AI32" s="486"/>
      <c r="AJ32" s="486"/>
      <c r="AK32" s="486"/>
      <c r="AL32" s="486"/>
      <c r="AM32" s="486"/>
      <c r="AN32" s="486"/>
      <c r="AO32" s="486"/>
      <c r="AP32" s="486"/>
      <c r="AQ32" s="486"/>
      <c r="AR32" s="486"/>
      <c r="AS32" s="486"/>
      <c r="AT32" s="486"/>
      <c r="AU32" s="372"/>
      <c r="AV32" s="372"/>
      <c r="AW32" s="372"/>
      <c r="AX32" s="372"/>
      <c r="AY32" s="372"/>
      <c r="AZ32" s="372"/>
      <c r="BA32" s="372"/>
      <c r="BB32" s="372"/>
      <c r="BC32" s="372"/>
      <c r="BD32" s="372"/>
      <c r="BE32" s="372"/>
      <c r="BF32" s="372"/>
      <c r="BG32" s="372"/>
      <c r="BH32" s="373"/>
      <c r="BI32" s="61"/>
    </row>
    <row r="33" spans="1:176" s="33" customFormat="1" ht="76.5" customHeight="1" thickBot="1">
      <c r="A33" s="393"/>
      <c r="B33" s="394"/>
      <c r="C33" s="394"/>
      <c r="D33" s="394"/>
      <c r="E33" s="394"/>
      <c r="F33" s="394"/>
      <c r="G33" s="394"/>
      <c r="H33" s="394"/>
      <c r="I33" s="394"/>
      <c r="J33" s="394"/>
      <c r="K33" s="394"/>
      <c r="L33" s="394"/>
      <c r="M33" s="394"/>
      <c r="N33" s="394"/>
      <c r="O33" s="394"/>
      <c r="P33" s="394"/>
      <c r="Q33" s="394"/>
      <c r="R33" s="394"/>
      <c r="S33" s="394"/>
      <c r="T33" s="394"/>
      <c r="U33" s="394"/>
      <c r="V33" s="394"/>
      <c r="W33" s="394"/>
      <c r="X33" s="394"/>
      <c r="Y33" s="394"/>
      <c r="Z33" s="394"/>
      <c r="AA33" s="394"/>
      <c r="AB33" s="394"/>
      <c r="AC33" s="394"/>
      <c r="AD33" s="394"/>
      <c r="AE33" s="394"/>
      <c r="AF33" s="394"/>
      <c r="AG33" s="394"/>
      <c r="AH33" s="394"/>
      <c r="AI33" s="394"/>
      <c r="AJ33" s="394"/>
      <c r="AK33" s="394"/>
      <c r="AL33" s="394"/>
      <c r="AM33" s="394"/>
      <c r="AN33" s="394"/>
      <c r="AO33" s="394"/>
      <c r="AP33" s="394"/>
      <c r="AQ33" s="394"/>
      <c r="AR33" s="394"/>
      <c r="AS33" s="394"/>
      <c r="AT33" s="394"/>
      <c r="AU33" s="394"/>
      <c r="AV33" s="394"/>
      <c r="AW33" s="394"/>
      <c r="AX33" s="394"/>
      <c r="AY33" s="394"/>
      <c r="AZ33" s="394"/>
      <c r="BA33" s="394"/>
      <c r="BB33" s="394"/>
      <c r="BC33" s="394"/>
      <c r="BD33" s="394"/>
      <c r="BE33" s="394"/>
      <c r="BF33" s="394"/>
      <c r="BG33" s="394"/>
      <c r="BH33" s="395"/>
      <c r="BI33" s="61"/>
    </row>
    <row r="34" spans="1:176" ht="15" customHeight="1">
      <c r="A34" s="399" t="s">
        <v>2008</v>
      </c>
      <c r="B34" s="400"/>
      <c r="C34" s="400"/>
      <c r="D34" s="400"/>
      <c r="E34" s="400"/>
      <c r="F34" s="400"/>
      <c r="G34" s="400"/>
      <c r="H34" s="400"/>
      <c r="I34" s="400"/>
      <c r="J34" s="400"/>
      <c r="K34" s="400"/>
      <c r="L34" s="400"/>
      <c r="M34" s="400"/>
      <c r="N34" s="400"/>
      <c r="O34" s="400"/>
      <c r="P34" s="400"/>
      <c r="Q34" s="400"/>
      <c r="R34" s="400"/>
      <c r="S34" s="400"/>
      <c r="T34" s="400"/>
      <c r="U34" s="400"/>
      <c r="V34" s="400"/>
      <c r="W34" s="400"/>
      <c r="X34" s="400"/>
      <c r="Y34" s="400"/>
      <c r="Z34" s="400"/>
      <c r="AA34" s="400"/>
      <c r="AB34" s="400"/>
      <c r="AC34" s="400"/>
      <c r="AD34" s="400"/>
      <c r="AE34" s="400"/>
      <c r="AF34" s="400"/>
      <c r="AG34" s="400"/>
      <c r="AH34" s="400"/>
      <c r="AI34" s="400"/>
      <c r="AJ34" s="400"/>
      <c r="AK34" s="400"/>
      <c r="AL34" s="400"/>
      <c r="AM34" s="400"/>
      <c r="AN34" s="400"/>
      <c r="AO34" s="400"/>
      <c r="AP34" s="400"/>
      <c r="AQ34" s="400"/>
      <c r="AR34" s="400"/>
      <c r="AS34" s="400"/>
      <c r="AT34" s="400"/>
      <c r="AU34" s="400"/>
      <c r="AV34" s="400"/>
      <c r="AW34" s="400"/>
      <c r="AX34" s="400"/>
      <c r="AY34" s="400"/>
      <c r="AZ34" s="400"/>
      <c r="BA34" s="400"/>
      <c r="BB34" s="400"/>
      <c r="BC34" s="400"/>
      <c r="BD34" s="400"/>
      <c r="BE34" s="400"/>
      <c r="BF34" s="400"/>
      <c r="BG34" s="400"/>
      <c r="BH34" s="401"/>
    </row>
    <row r="35" spans="1:176" ht="63" customHeight="1" thickBot="1">
      <c r="A35" s="487"/>
      <c r="B35" s="488"/>
      <c r="C35" s="488"/>
      <c r="D35" s="488"/>
      <c r="E35" s="488"/>
      <c r="F35" s="488"/>
      <c r="G35" s="488"/>
      <c r="H35" s="488"/>
      <c r="I35" s="488"/>
      <c r="J35" s="488"/>
      <c r="K35" s="488"/>
      <c r="L35" s="488"/>
      <c r="M35" s="488"/>
      <c r="N35" s="488"/>
      <c r="O35" s="488"/>
      <c r="P35" s="488"/>
      <c r="Q35" s="488"/>
      <c r="R35" s="488"/>
      <c r="S35" s="488"/>
      <c r="T35" s="488"/>
      <c r="U35" s="488"/>
      <c r="V35" s="488"/>
      <c r="W35" s="488"/>
      <c r="X35" s="488"/>
      <c r="Y35" s="488"/>
      <c r="Z35" s="488"/>
      <c r="AA35" s="488"/>
      <c r="AB35" s="488"/>
      <c r="AC35" s="488"/>
      <c r="AD35" s="488"/>
      <c r="AE35" s="488"/>
      <c r="AF35" s="488"/>
      <c r="AG35" s="488"/>
      <c r="AH35" s="488"/>
      <c r="AI35" s="488"/>
      <c r="AJ35" s="488"/>
      <c r="AK35" s="488"/>
      <c r="AL35" s="488"/>
      <c r="AM35" s="488"/>
      <c r="AN35" s="488"/>
      <c r="AO35" s="488"/>
      <c r="AP35" s="488"/>
      <c r="AQ35" s="488"/>
      <c r="AR35" s="488"/>
      <c r="AS35" s="488"/>
      <c r="AT35" s="488"/>
      <c r="AU35" s="488"/>
      <c r="AV35" s="488"/>
      <c r="AW35" s="488"/>
      <c r="AX35" s="488"/>
      <c r="AY35" s="488"/>
      <c r="AZ35" s="488"/>
      <c r="BA35" s="488"/>
      <c r="BB35" s="488"/>
      <c r="BC35" s="488"/>
      <c r="BD35" s="488"/>
      <c r="BE35" s="488"/>
      <c r="BF35" s="488"/>
      <c r="BG35" s="488"/>
      <c r="BH35" s="489"/>
    </row>
    <row r="36" spans="1:176" s="205" customFormat="1" ht="15" customHeight="1">
      <c r="A36" s="386" t="s">
        <v>302</v>
      </c>
      <c r="B36" s="387"/>
      <c r="C36" s="387"/>
      <c r="D36" s="387"/>
      <c r="E36" s="387"/>
      <c r="F36" s="387"/>
      <c r="G36" s="387"/>
      <c r="H36" s="387"/>
      <c r="I36" s="387"/>
      <c r="J36" s="387"/>
      <c r="K36" s="387"/>
      <c r="L36" s="387"/>
      <c r="M36" s="387"/>
      <c r="N36" s="387"/>
      <c r="O36" s="387"/>
      <c r="P36" s="387"/>
      <c r="Q36" s="387"/>
      <c r="R36" s="387"/>
      <c r="S36" s="387"/>
      <c r="T36" s="387"/>
      <c r="U36" s="387"/>
      <c r="V36" s="387"/>
      <c r="W36" s="387"/>
      <c r="X36" s="387"/>
      <c r="Y36" s="387"/>
      <c r="Z36" s="387"/>
      <c r="AA36" s="387"/>
      <c r="AB36" s="387"/>
      <c r="AC36" s="387"/>
      <c r="AD36" s="387"/>
      <c r="AE36" s="387"/>
      <c r="AF36" s="387"/>
      <c r="AG36" s="387"/>
      <c r="AH36" s="387"/>
      <c r="AI36" s="387"/>
      <c r="AJ36" s="387"/>
      <c r="AK36" s="387"/>
      <c r="AL36" s="387"/>
      <c r="AM36" s="387"/>
      <c r="AN36" s="387"/>
      <c r="AO36" s="387"/>
      <c r="AP36" s="387"/>
      <c r="AQ36" s="387"/>
      <c r="AR36" s="387"/>
      <c r="AS36" s="387"/>
      <c r="AT36" s="387"/>
      <c r="AU36" s="387"/>
      <c r="AV36" s="387"/>
      <c r="AW36" s="387"/>
      <c r="AX36" s="387"/>
      <c r="AY36" s="387"/>
      <c r="AZ36" s="387"/>
      <c r="BA36" s="387"/>
      <c r="BB36" s="387"/>
      <c r="BC36" s="387"/>
      <c r="BD36" s="387"/>
      <c r="BE36" s="387"/>
      <c r="BF36" s="387"/>
      <c r="BG36" s="387"/>
      <c r="BH36" s="388"/>
      <c r="BI36" s="155"/>
      <c r="BJ36" s="155"/>
      <c r="BK36" s="155"/>
      <c r="BL36" s="155"/>
      <c r="BM36" s="155"/>
      <c r="BN36" s="155"/>
      <c r="BO36" s="155"/>
      <c r="BP36" s="155"/>
      <c r="BQ36" s="155"/>
      <c r="BR36" s="155"/>
      <c r="BS36" s="155"/>
      <c r="BT36" s="155"/>
      <c r="BU36" s="155"/>
      <c r="BV36" s="155"/>
      <c r="BW36" s="155"/>
      <c r="BX36" s="155"/>
      <c r="BY36" s="155"/>
      <c r="BZ36" s="155"/>
      <c r="CA36" s="155"/>
      <c r="CB36" s="155"/>
      <c r="CC36" s="155"/>
      <c r="CD36" s="155"/>
      <c r="CE36" s="155"/>
      <c r="CF36" s="155"/>
      <c r="CG36" s="155"/>
      <c r="CH36" s="155"/>
      <c r="CI36" s="155"/>
      <c r="CJ36" s="155"/>
      <c r="CK36" s="155"/>
      <c r="CL36" s="155"/>
      <c r="CM36" s="155"/>
      <c r="CN36" s="155"/>
      <c r="CO36" s="155"/>
      <c r="CP36" s="155"/>
      <c r="CQ36" s="155"/>
      <c r="CR36" s="155"/>
      <c r="CS36" s="155"/>
      <c r="CT36" s="155"/>
      <c r="CU36" s="155"/>
      <c r="CV36" s="155"/>
      <c r="CW36" s="155"/>
      <c r="CX36" s="155"/>
      <c r="CY36" s="155"/>
      <c r="CZ36" s="155"/>
      <c r="DA36" s="155"/>
      <c r="DB36" s="155"/>
      <c r="DC36" s="155"/>
      <c r="DD36" s="155"/>
      <c r="DE36" s="155"/>
      <c r="DF36" s="155"/>
      <c r="DG36" s="155"/>
      <c r="DH36" s="155"/>
      <c r="DI36" s="155"/>
      <c r="DJ36" s="155"/>
      <c r="DK36" s="155"/>
      <c r="DL36" s="155"/>
      <c r="DM36" s="155"/>
      <c r="DN36" s="155"/>
      <c r="DO36" s="155"/>
      <c r="DP36" s="155"/>
      <c r="DQ36" s="155"/>
      <c r="DR36" s="155"/>
      <c r="DS36" s="155"/>
      <c r="DT36" s="155"/>
      <c r="DU36" s="155"/>
      <c r="DV36" s="155"/>
      <c r="DW36" s="155"/>
      <c r="DX36" s="155"/>
      <c r="DY36" s="155"/>
      <c r="DZ36" s="155"/>
      <c r="EA36" s="155"/>
      <c r="EB36" s="155"/>
      <c r="EC36" s="155"/>
      <c r="ED36" s="155"/>
      <c r="EE36" s="155"/>
      <c r="EF36" s="155"/>
      <c r="EG36" s="155"/>
      <c r="EH36" s="155"/>
      <c r="EI36" s="155"/>
      <c r="EJ36" s="155"/>
      <c r="EK36" s="155"/>
      <c r="EL36" s="155"/>
      <c r="EM36" s="155"/>
      <c r="EN36" s="155"/>
      <c r="EO36" s="155"/>
      <c r="EP36" s="155"/>
      <c r="EQ36" s="155"/>
      <c r="ER36" s="155"/>
      <c r="ES36" s="155"/>
      <c r="ET36" s="155"/>
      <c r="EU36" s="155"/>
      <c r="EV36" s="155"/>
      <c r="EW36" s="155"/>
      <c r="EX36" s="155"/>
      <c r="EY36" s="155"/>
      <c r="EZ36" s="155"/>
      <c r="FA36" s="155"/>
      <c r="FB36" s="155"/>
      <c r="FC36" s="155"/>
      <c r="FD36" s="155"/>
      <c r="FE36" s="155"/>
      <c r="FF36" s="155"/>
      <c r="FG36" s="155"/>
      <c r="FH36" s="155"/>
      <c r="FI36" s="155"/>
      <c r="FJ36" s="155"/>
      <c r="FK36" s="155"/>
      <c r="FL36" s="155"/>
      <c r="FM36" s="155"/>
      <c r="FN36" s="155"/>
      <c r="FO36" s="155"/>
      <c r="FP36" s="155"/>
      <c r="FQ36" s="155"/>
      <c r="FR36" s="155"/>
      <c r="FS36" s="155"/>
      <c r="FT36" s="155"/>
    </row>
    <row r="37" spans="1:176" s="205" customFormat="1" ht="15" customHeight="1">
      <c r="A37" s="383" t="s">
        <v>280</v>
      </c>
      <c r="B37" s="384"/>
      <c r="C37" s="384"/>
      <c r="D37" s="384"/>
      <c r="E37" s="384"/>
      <c r="F37" s="384"/>
      <c r="G37" s="384"/>
      <c r="H37" s="384"/>
      <c r="I37" s="384"/>
      <c r="J37" s="458">
        <v>0.25</v>
      </c>
      <c r="K37" s="459"/>
      <c r="L37" s="459"/>
      <c r="M37" s="459"/>
      <c r="N37" s="459"/>
      <c r="O37" s="459"/>
      <c r="P37" s="479" t="s">
        <v>2010</v>
      </c>
      <c r="Q37" s="479"/>
      <c r="R37" s="480"/>
      <c r="S37" s="480"/>
      <c r="T37" s="480"/>
      <c r="U37" s="480"/>
      <c r="V37" s="480"/>
      <c r="W37" s="480"/>
      <c r="X37" s="480"/>
      <c r="Y37" s="454"/>
      <c r="Z37" s="454"/>
      <c r="AA37" s="455"/>
      <c r="AB37" s="455"/>
      <c r="AC37" s="455"/>
      <c r="AD37" s="455"/>
      <c r="AE37" s="412" t="s">
        <v>267</v>
      </c>
      <c r="AF37" s="413"/>
      <c r="AG37" s="413"/>
      <c r="AH37" s="413"/>
      <c r="AI37" s="413"/>
      <c r="AJ37" s="413"/>
      <c r="AK37" s="413"/>
      <c r="AL37" s="413"/>
      <c r="AM37" s="413"/>
      <c r="AN37" s="382"/>
      <c r="AO37" s="382"/>
      <c r="AP37" s="382"/>
      <c r="AQ37" s="382"/>
      <c r="AR37" s="382"/>
      <c r="AS37" s="382"/>
      <c r="AT37" s="156"/>
      <c r="AU37" s="556" t="s">
        <v>1</v>
      </c>
      <c r="AV37" s="406"/>
      <c r="AW37" s="406"/>
      <c r="AX37" s="406"/>
      <c r="AY37" s="406"/>
      <c r="AZ37" s="557"/>
      <c r="BA37" s="558"/>
      <c r="BB37" s="558"/>
      <c r="BC37" s="558"/>
      <c r="BD37" s="558"/>
      <c r="BE37" s="559"/>
      <c r="BF37" s="206"/>
      <c r="BG37" s="206"/>
      <c r="BH37" s="265"/>
      <c r="BJ37" s="61"/>
      <c r="BK37" s="61"/>
      <c r="BL37" s="61"/>
      <c r="BM37" s="61"/>
      <c r="BN37" s="61"/>
      <c r="BO37" s="61"/>
      <c r="BP37" s="155"/>
      <c r="BQ37" s="155"/>
      <c r="BR37" s="155"/>
      <c r="BS37" s="155"/>
      <c r="BT37" s="155"/>
      <c r="BU37" s="155"/>
      <c r="BV37" s="155"/>
      <c r="BW37" s="155"/>
      <c r="BX37" s="155"/>
      <c r="BY37" s="155"/>
      <c r="BZ37" s="155"/>
      <c r="CA37" s="155"/>
      <c r="CB37" s="155"/>
      <c r="CC37" s="155"/>
      <c r="CD37" s="155"/>
      <c r="CE37" s="155"/>
      <c r="CF37" s="155"/>
      <c r="CG37" s="155"/>
      <c r="CH37" s="155"/>
      <c r="CI37" s="155"/>
      <c r="CJ37" s="155"/>
      <c r="CK37" s="155"/>
      <c r="CL37" s="155"/>
      <c r="CM37" s="155"/>
      <c r="CN37" s="155"/>
      <c r="CO37" s="155"/>
      <c r="CP37" s="155"/>
      <c r="CQ37" s="155"/>
      <c r="CR37" s="155"/>
      <c r="CS37" s="155"/>
      <c r="CT37" s="155"/>
      <c r="CU37" s="155"/>
      <c r="CV37" s="155"/>
      <c r="CW37" s="155"/>
      <c r="CX37" s="155"/>
      <c r="CY37" s="155"/>
      <c r="CZ37" s="155"/>
      <c r="DA37" s="155"/>
      <c r="DB37" s="155"/>
      <c r="DC37" s="155"/>
      <c r="DD37" s="155"/>
      <c r="DE37" s="155"/>
      <c r="DF37" s="155"/>
      <c r="DG37" s="155"/>
      <c r="DH37" s="155"/>
      <c r="DI37" s="155"/>
      <c r="DJ37" s="155"/>
      <c r="DK37" s="155"/>
      <c r="DL37" s="155"/>
      <c r="DM37" s="155"/>
      <c r="DN37" s="155"/>
      <c r="DO37" s="155"/>
      <c r="DP37" s="155"/>
      <c r="DQ37" s="155"/>
      <c r="DR37" s="155"/>
      <c r="DS37" s="155"/>
      <c r="DT37" s="155"/>
      <c r="DU37" s="155"/>
      <c r="DV37" s="155"/>
      <c r="DW37" s="155"/>
      <c r="DX37" s="155"/>
      <c r="DY37" s="155"/>
      <c r="DZ37" s="155"/>
      <c r="EA37" s="155"/>
      <c r="EB37" s="155"/>
      <c r="EC37" s="155"/>
      <c r="ED37" s="155"/>
      <c r="EE37" s="155"/>
      <c r="EF37" s="155"/>
      <c r="EG37" s="155"/>
      <c r="EH37" s="155"/>
      <c r="EI37" s="155"/>
      <c r="EJ37" s="155"/>
      <c r="EK37" s="155"/>
      <c r="EL37" s="155"/>
      <c r="EM37" s="155"/>
      <c r="EN37" s="155"/>
      <c r="EO37" s="155"/>
      <c r="EP37" s="155"/>
      <c r="EQ37" s="155"/>
      <c r="ER37" s="155"/>
      <c r="ES37" s="155"/>
      <c r="ET37" s="155"/>
      <c r="EU37" s="155"/>
      <c r="EV37" s="155"/>
      <c r="EW37" s="155"/>
      <c r="EX37" s="155"/>
      <c r="EY37" s="155"/>
      <c r="EZ37" s="155"/>
      <c r="FA37" s="155"/>
      <c r="FB37" s="155"/>
      <c r="FC37" s="155"/>
      <c r="FD37" s="155"/>
      <c r="FE37" s="155"/>
      <c r="FF37" s="155"/>
      <c r="FG37" s="155"/>
      <c r="FH37" s="155"/>
      <c r="FI37" s="155"/>
      <c r="FJ37" s="155"/>
      <c r="FK37" s="155"/>
      <c r="FL37" s="155"/>
      <c r="FM37" s="155"/>
      <c r="FN37" s="155"/>
      <c r="FO37" s="155"/>
      <c r="FP37" s="155"/>
      <c r="FQ37" s="155"/>
      <c r="FR37" s="155"/>
      <c r="FS37" s="155"/>
      <c r="FT37" s="155"/>
    </row>
    <row r="38" spans="1:176" s="205" customFormat="1" ht="15" customHeight="1">
      <c r="A38" s="376" t="s">
        <v>281</v>
      </c>
      <c r="B38" s="456"/>
      <c r="C38" s="456"/>
      <c r="D38" s="456"/>
      <c r="E38" s="456"/>
      <c r="F38" s="456"/>
      <c r="G38" s="456"/>
      <c r="H38" s="456"/>
      <c r="I38" s="457"/>
      <c r="J38" s="481">
        <v>1</v>
      </c>
      <c r="K38" s="403"/>
      <c r="L38" s="403"/>
      <c r="M38" s="403"/>
      <c r="N38" s="403"/>
      <c r="O38" s="403"/>
      <c r="P38" s="377" t="s">
        <v>2009</v>
      </c>
      <c r="Q38" s="377"/>
      <c r="R38" s="377"/>
      <c r="S38" s="377"/>
      <c r="T38" s="377"/>
      <c r="U38" s="377"/>
      <c r="V38" s="377"/>
      <c r="W38" s="377"/>
      <c r="X38" s="377"/>
      <c r="Y38" s="382"/>
      <c r="Z38" s="382"/>
      <c r="AA38" s="382"/>
      <c r="AB38" s="382"/>
      <c r="AC38" s="382"/>
      <c r="AD38" s="382"/>
      <c r="AE38" s="476" t="s">
        <v>194</v>
      </c>
      <c r="AF38" s="377"/>
      <c r="AG38" s="377"/>
      <c r="AH38" s="377"/>
      <c r="AI38" s="377"/>
      <c r="AJ38" s="377"/>
      <c r="AK38" s="377"/>
      <c r="AL38" s="377"/>
      <c r="AM38" s="377"/>
      <c r="AN38" s="402"/>
      <c r="AO38" s="403"/>
      <c r="AP38" s="403"/>
      <c r="AQ38" s="403"/>
      <c r="AR38" s="403"/>
      <c r="AS38" s="403"/>
      <c r="AT38" s="156"/>
      <c r="AU38" s="553"/>
      <c r="AV38" s="554"/>
      <c r="AW38" s="554"/>
      <c r="AX38" s="554"/>
      <c r="AY38" s="554"/>
      <c r="AZ38" s="554"/>
      <c r="BA38" s="554"/>
      <c r="BB38" s="552"/>
      <c r="BC38" s="552"/>
      <c r="BD38" s="552"/>
      <c r="BE38" s="552"/>
      <c r="BF38" s="262"/>
      <c r="BG38" s="262"/>
      <c r="BH38" s="263"/>
      <c r="BI38" s="535"/>
      <c r="BJ38" s="536"/>
      <c r="BK38" s="536"/>
      <c r="BL38" s="536"/>
      <c r="BM38" s="536"/>
      <c r="BN38" s="536"/>
      <c r="BO38" s="536"/>
      <c r="BP38" s="155"/>
      <c r="BQ38" s="155"/>
      <c r="BR38" s="155"/>
      <c r="BS38" s="155"/>
      <c r="BT38" s="155"/>
      <c r="BU38" s="155"/>
      <c r="BV38" s="155"/>
      <c r="BW38" s="155"/>
      <c r="BX38" s="155"/>
      <c r="BY38" s="155"/>
      <c r="BZ38" s="155"/>
      <c r="CA38" s="155"/>
      <c r="CB38" s="155"/>
      <c r="CC38" s="155"/>
      <c r="CD38" s="155"/>
      <c r="CE38" s="155"/>
      <c r="CF38" s="155"/>
      <c r="CG38" s="155"/>
      <c r="CH38" s="155"/>
      <c r="CI38" s="155"/>
      <c r="CJ38" s="155"/>
      <c r="CK38" s="155"/>
      <c r="CL38" s="155"/>
      <c r="CM38" s="155"/>
      <c r="CN38" s="155"/>
      <c r="CO38" s="155"/>
      <c r="CP38" s="155"/>
      <c r="CQ38" s="155"/>
      <c r="CR38" s="155"/>
      <c r="CS38" s="155"/>
      <c r="CT38" s="155"/>
      <c r="CU38" s="155"/>
      <c r="CV38" s="155"/>
      <c r="CW38" s="155"/>
      <c r="CX38" s="155"/>
      <c r="CY38" s="155"/>
      <c r="CZ38" s="155"/>
      <c r="DA38" s="155"/>
      <c r="DB38" s="155"/>
      <c r="DC38" s="155"/>
      <c r="DD38" s="155"/>
      <c r="DE38" s="155"/>
      <c r="DF38" s="155"/>
      <c r="DG38" s="155"/>
      <c r="DH38" s="155"/>
      <c r="DI38" s="155"/>
      <c r="DJ38" s="155"/>
      <c r="DK38" s="155"/>
      <c r="DL38" s="155"/>
      <c r="DM38" s="155"/>
      <c r="DN38" s="155"/>
      <c r="DO38" s="155"/>
      <c r="DP38" s="155"/>
      <c r="DQ38" s="155"/>
      <c r="DR38" s="155"/>
      <c r="DS38" s="155"/>
      <c r="DT38" s="155"/>
      <c r="DU38" s="155"/>
      <c r="DV38" s="155"/>
      <c r="DW38" s="155"/>
      <c r="DX38" s="155"/>
      <c r="DY38" s="155"/>
      <c r="DZ38" s="155"/>
      <c r="EA38" s="155"/>
      <c r="EB38" s="155"/>
      <c r="EC38" s="155"/>
      <c r="ED38" s="155"/>
      <c r="EE38" s="155"/>
      <c r="EF38" s="155"/>
      <c r="EG38" s="155"/>
      <c r="EH38" s="155"/>
      <c r="EI38" s="155"/>
      <c r="EJ38" s="155"/>
      <c r="EK38" s="155"/>
      <c r="EL38" s="155"/>
      <c r="EM38" s="155"/>
      <c r="EN38" s="155"/>
      <c r="EO38" s="155"/>
      <c r="EP38" s="155"/>
      <c r="EQ38" s="155"/>
      <c r="ER38" s="155"/>
      <c r="ES38" s="155"/>
      <c r="ET38" s="155"/>
      <c r="EU38" s="155"/>
      <c r="EV38" s="155"/>
      <c r="EW38" s="155"/>
      <c r="EX38" s="155"/>
      <c r="EY38" s="155"/>
      <c r="EZ38" s="155"/>
      <c r="FA38" s="155"/>
      <c r="FB38" s="155"/>
      <c r="FC38" s="155"/>
      <c r="FD38" s="155"/>
      <c r="FE38" s="155"/>
      <c r="FF38" s="155"/>
      <c r="FG38" s="155"/>
      <c r="FH38" s="155"/>
      <c r="FI38" s="155"/>
      <c r="FJ38" s="155"/>
      <c r="FK38" s="155"/>
      <c r="FL38" s="155"/>
      <c r="FM38" s="155"/>
      <c r="FN38" s="155"/>
      <c r="FO38" s="155"/>
      <c r="FP38" s="155"/>
      <c r="FQ38" s="155"/>
      <c r="FR38" s="155"/>
      <c r="FS38" s="155"/>
      <c r="FT38" s="155"/>
    </row>
    <row r="39" spans="1:176" s="205" customFormat="1" ht="15" customHeight="1" thickBot="1">
      <c r="A39" s="266"/>
      <c r="B39" s="267"/>
      <c r="C39" s="267"/>
      <c r="D39" s="267"/>
      <c r="E39" s="267"/>
      <c r="F39" s="267"/>
      <c r="G39" s="267"/>
      <c r="H39" s="267"/>
      <c r="I39" s="267"/>
      <c r="J39" s="267"/>
      <c r="K39" s="267"/>
      <c r="L39" s="267"/>
      <c r="M39" s="267"/>
      <c r="N39" s="267"/>
      <c r="O39" s="267"/>
      <c r="P39" s="483"/>
      <c r="Q39" s="483"/>
      <c r="R39" s="484"/>
      <c r="S39" s="484"/>
      <c r="T39" s="484"/>
      <c r="U39" s="484"/>
      <c r="V39" s="484"/>
      <c r="W39" s="484"/>
      <c r="X39" s="484"/>
      <c r="Y39" s="492"/>
      <c r="Z39" s="492"/>
      <c r="AA39" s="493"/>
      <c r="AB39" s="493"/>
      <c r="AC39" s="493"/>
      <c r="AD39" s="493"/>
      <c r="AE39" s="482"/>
      <c r="AF39" s="482"/>
      <c r="AG39" s="482"/>
      <c r="AH39" s="482"/>
      <c r="AI39" s="482"/>
      <c r="AJ39" s="482"/>
      <c r="AK39" s="482"/>
      <c r="AL39" s="482"/>
      <c r="AM39" s="482"/>
      <c r="AN39" s="550"/>
      <c r="AO39" s="551"/>
      <c r="AP39" s="551"/>
      <c r="AQ39" s="551"/>
      <c r="AR39" s="551"/>
      <c r="AS39" s="551"/>
      <c r="AT39" s="268"/>
      <c r="AU39" s="533"/>
      <c r="AV39" s="533"/>
      <c r="AW39" s="533"/>
      <c r="AX39" s="533"/>
      <c r="AY39" s="533"/>
      <c r="AZ39" s="533"/>
      <c r="BA39" s="533"/>
      <c r="BB39" s="534"/>
      <c r="BC39" s="534"/>
      <c r="BD39" s="534"/>
      <c r="BE39" s="534"/>
      <c r="BF39" s="269"/>
      <c r="BG39" s="269"/>
      <c r="BH39" s="270"/>
      <c r="BI39" s="549"/>
      <c r="BJ39" s="549"/>
      <c r="BK39" s="549"/>
      <c r="BL39" s="549"/>
      <c r="BM39" s="549"/>
      <c r="BN39" s="549"/>
      <c r="BO39" s="549"/>
      <c r="BP39" s="155"/>
      <c r="BQ39" s="155"/>
      <c r="BR39" s="155"/>
      <c r="BS39" s="155"/>
      <c r="BT39" s="155"/>
      <c r="BU39" s="155"/>
      <c r="BV39" s="155"/>
      <c r="BW39" s="155"/>
      <c r="BX39" s="155"/>
      <c r="BY39" s="155"/>
      <c r="BZ39" s="155"/>
      <c r="CA39" s="155"/>
      <c r="CB39" s="155"/>
      <c r="CC39" s="155"/>
      <c r="CD39" s="155"/>
      <c r="CE39" s="155"/>
      <c r="CF39" s="155"/>
      <c r="CG39" s="155"/>
      <c r="CH39" s="155"/>
      <c r="CI39" s="155"/>
      <c r="CJ39" s="155"/>
      <c r="CK39" s="155"/>
      <c r="CL39" s="155"/>
      <c r="CM39" s="155"/>
      <c r="CN39" s="155"/>
      <c r="CO39" s="155"/>
      <c r="CP39" s="155"/>
      <c r="CQ39" s="155"/>
      <c r="CR39" s="155"/>
      <c r="CS39" s="155"/>
      <c r="CT39" s="155"/>
      <c r="CU39" s="155"/>
      <c r="CV39" s="155"/>
      <c r="CW39" s="155"/>
      <c r="CX39" s="155"/>
      <c r="CY39" s="155"/>
      <c r="CZ39" s="155"/>
      <c r="DA39" s="155"/>
      <c r="DB39" s="155"/>
      <c r="DC39" s="155"/>
      <c r="DD39" s="155"/>
      <c r="DE39" s="155"/>
      <c r="DF39" s="155"/>
      <c r="DG39" s="155"/>
      <c r="DH39" s="155"/>
      <c r="DI39" s="155"/>
      <c r="DJ39" s="155"/>
      <c r="DK39" s="155"/>
      <c r="DL39" s="155"/>
      <c r="DM39" s="155"/>
      <c r="DN39" s="155"/>
      <c r="DO39" s="155"/>
      <c r="DP39" s="155"/>
      <c r="DQ39" s="155"/>
      <c r="DR39" s="155"/>
      <c r="DS39" s="155"/>
      <c r="DT39" s="155"/>
      <c r="DU39" s="155"/>
      <c r="DV39" s="155"/>
      <c r="DW39" s="155"/>
      <c r="DX39" s="155"/>
      <c r="DY39" s="155"/>
      <c r="DZ39" s="155"/>
      <c r="EA39" s="155"/>
      <c r="EB39" s="155"/>
      <c r="EC39" s="155"/>
      <c r="ED39" s="155"/>
      <c r="EE39" s="155"/>
      <c r="EF39" s="155"/>
      <c r="EG39" s="155"/>
      <c r="EH39" s="155"/>
      <c r="EI39" s="155"/>
      <c r="EJ39" s="155"/>
      <c r="EK39" s="155"/>
      <c r="EL39" s="155"/>
      <c r="EM39" s="155"/>
      <c r="EN39" s="155"/>
      <c r="EO39" s="155"/>
      <c r="EP39" s="155"/>
      <c r="EQ39" s="155"/>
      <c r="ER39" s="155"/>
      <c r="ES39" s="155"/>
      <c r="ET39" s="155"/>
      <c r="EU39" s="155"/>
      <c r="EV39" s="155"/>
      <c r="EW39" s="155"/>
      <c r="EX39" s="155"/>
      <c r="EY39" s="155"/>
      <c r="EZ39" s="155"/>
      <c r="FA39" s="155"/>
      <c r="FB39" s="155"/>
      <c r="FC39" s="155"/>
      <c r="FD39" s="155"/>
      <c r="FE39" s="155"/>
      <c r="FF39" s="155"/>
      <c r="FG39" s="155"/>
      <c r="FH39" s="155"/>
      <c r="FI39" s="155"/>
      <c r="FJ39" s="155"/>
      <c r="FK39" s="155"/>
      <c r="FL39" s="155"/>
      <c r="FM39" s="155"/>
      <c r="FN39" s="155"/>
      <c r="FO39" s="155"/>
      <c r="FP39" s="155"/>
      <c r="FQ39" s="155"/>
      <c r="FR39" s="155"/>
      <c r="FS39" s="155"/>
      <c r="FT39" s="155"/>
    </row>
    <row r="40" spans="1:176" s="160" customFormat="1" ht="15" hidden="1" customHeight="1">
      <c r="A40" s="463" t="s">
        <v>301</v>
      </c>
      <c r="B40" s="372"/>
      <c r="C40" s="372"/>
      <c r="D40" s="372"/>
      <c r="E40" s="372"/>
      <c r="F40" s="372"/>
      <c r="G40" s="372"/>
      <c r="H40" s="372"/>
      <c r="I40" s="372"/>
      <c r="J40" s="372"/>
      <c r="K40" s="372"/>
      <c r="L40" s="372"/>
      <c r="M40" s="372"/>
      <c r="N40" s="372"/>
      <c r="O40" s="372"/>
      <c r="P40" s="372"/>
      <c r="Q40" s="372"/>
      <c r="R40" s="372"/>
      <c r="S40" s="372"/>
      <c r="T40" s="372"/>
      <c r="U40" s="372"/>
      <c r="V40" s="372"/>
      <c r="W40" s="372"/>
      <c r="X40" s="372"/>
      <c r="Y40" s="372"/>
      <c r="Z40" s="372"/>
      <c r="AA40" s="464"/>
      <c r="AB40" s="371" t="s">
        <v>691</v>
      </c>
      <c r="AC40" s="372"/>
      <c r="AD40" s="372"/>
      <c r="AE40" s="372"/>
      <c r="AF40" s="372"/>
      <c r="AG40" s="372"/>
      <c r="AH40" s="372"/>
      <c r="AI40" s="372"/>
      <c r="AJ40" s="372"/>
      <c r="AK40" s="372"/>
      <c r="AL40" s="372"/>
      <c r="AM40" s="372"/>
      <c r="AN40" s="372"/>
      <c r="AO40" s="372"/>
      <c r="AP40" s="372"/>
      <c r="AQ40" s="372"/>
      <c r="AR40" s="372"/>
      <c r="AS40" s="372"/>
      <c r="AT40" s="372"/>
      <c r="AU40" s="372"/>
      <c r="AV40" s="372"/>
      <c r="AW40" s="372"/>
      <c r="AX40" s="372"/>
      <c r="AY40" s="372"/>
      <c r="AZ40" s="372"/>
      <c r="BA40" s="372"/>
      <c r="BB40" s="372"/>
      <c r="BC40" s="372"/>
      <c r="BD40" s="372"/>
      <c r="BE40" s="372"/>
      <c r="BF40" s="372"/>
      <c r="BG40" s="372"/>
      <c r="BH40" s="373"/>
      <c r="BI40" s="159"/>
    </row>
    <row r="41" spans="1:176" s="160" customFormat="1" ht="15" hidden="1" customHeight="1">
      <c r="A41" s="443" t="s">
        <v>270</v>
      </c>
      <c r="B41" s="413"/>
      <c r="C41" s="413"/>
      <c r="D41" s="413"/>
      <c r="E41" s="413"/>
      <c r="F41" s="413"/>
      <c r="G41" s="413"/>
      <c r="H41" s="413"/>
      <c r="I41" s="478"/>
      <c r="J41" s="379" t="str">
        <f>IF(EffectiveDate="","",YEAR(EffectiveDate)-1)</f>
        <v/>
      </c>
      <c r="K41" s="477"/>
      <c r="L41" s="380"/>
      <c r="M41" s="380"/>
      <c r="N41" s="380"/>
      <c r="O41" s="381"/>
      <c r="P41" s="379" t="str">
        <f>IF(EffectiveDate="","",YEAR(EffectiveDate))</f>
        <v/>
      </c>
      <c r="Q41" s="380"/>
      <c r="R41" s="380"/>
      <c r="S41" s="380"/>
      <c r="T41" s="380"/>
      <c r="U41" s="381"/>
      <c r="V41" s="379" t="s">
        <v>300</v>
      </c>
      <c r="W41" s="380"/>
      <c r="X41" s="380"/>
      <c r="Y41" s="380"/>
      <c r="Z41" s="380"/>
      <c r="AA41" s="380"/>
      <c r="AB41" s="362"/>
      <c r="AC41" s="363"/>
      <c r="AD41" s="363"/>
      <c r="AE41" s="363"/>
      <c r="AF41" s="363"/>
      <c r="AG41" s="363"/>
      <c r="AH41" s="363"/>
      <c r="AI41" s="363"/>
      <c r="AJ41" s="363"/>
      <c r="AK41" s="363"/>
      <c r="AL41" s="363"/>
      <c r="AM41" s="363"/>
      <c r="AN41" s="363"/>
      <c r="AO41" s="363"/>
      <c r="AP41" s="363"/>
      <c r="AQ41" s="363"/>
      <c r="AR41" s="363"/>
      <c r="AS41" s="363"/>
      <c r="AT41" s="363"/>
      <c r="AU41" s="363"/>
      <c r="AV41" s="363"/>
      <c r="AW41" s="363"/>
      <c r="AX41" s="363"/>
      <c r="AY41" s="363"/>
      <c r="AZ41" s="363"/>
      <c r="BA41" s="363"/>
      <c r="BB41" s="363"/>
      <c r="BC41" s="363"/>
      <c r="BD41" s="363"/>
      <c r="BE41" s="363"/>
      <c r="BF41" s="363"/>
      <c r="BG41" s="363"/>
      <c r="BH41" s="364"/>
      <c r="BI41" s="159"/>
    </row>
    <row r="42" spans="1:176" s="137" customFormat="1" ht="15" hidden="1" customHeight="1">
      <c r="A42" s="376" t="s">
        <v>0</v>
      </c>
      <c r="B42" s="377"/>
      <c r="C42" s="377"/>
      <c r="D42" s="377"/>
      <c r="E42" s="377"/>
      <c r="F42" s="377"/>
      <c r="G42" s="377"/>
      <c r="H42" s="377"/>
      <c r="I42" s="378"/>
      <c r="J42" s="504" t="e">
        <f>IF(OR(RVEExpiringExposure="",FMrate=""),"",FMrate/RVEExpiringExposure/VLOOKUP(Rating1ExposureBasis,ExposureMatrix,2,FALSE))</f>
        <v>#REF!</v>
      </c>
      <c r="K42" s="505"/>
      <c r="L42" s="496"/>
      <c r="M42" s="496"/>
      <c r="N42" s="496"/>
      <c r="O42" s="497"/>
      <c r="P42" s="506" t="e">
        <f>IF(FMEISrate="","",FMEISrate)</f>
        <v>#REF!</v>
      </c>
      <c r="Q42" s="380"/>
      <c r="R42" s="380"/>
      <c r="S42" s="380"/>
      <c r="T42" s="380"/>
      <c r="U42" s="381"/>
      <c r="V42" s="491" t="e">
        <f>IF(OR(J42="",P42=""),"",IF(AND(J42="Flat",P42="Flat"),"No Change",IF(AND(J42=0,P42=0),"No Change",IF(OR(J42="Flat",P42="Flat",J42=0,P42=0,J42="Split",P42="Split",J42="Split Rate",P42="Split Rate"),"",(P42/J42)-1))))</f>
        <v>#REF!</v>
      </c>
      <c r="W42" s="380"/>
      <c r="X42" s="380"/>
      <c r="Y42" s="380"/>
      <c r="Z42" s="380"/>
      <c r="AA42" s="380"/>
      <c r="AB42" s="365"/>
      <c r="AC42" s="366"/>
      <c r="AD42" s="366"/>
      <c r="AE42" s="366"/>
      <c r="AF42" s="366"/>
      <c r="AG42" s="366"/>
      <c r="AH42" s="366"/>
      <c r="AI42" s="366"/>
      <c r="AJ42" s="366"/>
      <c r="AK42" s="366"/>
      <c r="AL42" s="366"/>
      <c r="AM42" s="366"/>
      <c r="AN42" s="366"/>
      <c r="AO42" s="366"/>
      <c r="AP42" s="366"/>
      <c r="AQ42" s="366"/>
      <c r="AR42" s="366"/>
      <c r="AS42" s="366"/>
      <c r="AT42" s="366"/>
      <c r="AU42" s="366"/>
      <c r="AV42" s="366"/>
      <c r="AW42" s="366"/>
      <c r="AX42" s="366"/>
      <c r="AY42" s="366"/>
      <c r="AZ42" s="366"/>
      <c r="BA42" s="366"/>
      <c r="BB42" s="366"/>
      <c r="BC42" s="366"/>
      <c r="BD42" s="366"/>
      <c r="BE42" s="366"/>
      <c r="BF42" s="366"/>
      <c r="BG42" s="366"/>
      <c r="BH42" s="367"/>
    </row>
    <row r="43" spans="1:176" s="137" customFormat="1" ht="15" hidden="1" customHeight="1">
      <c r="A43" s="376" t="e">
        <f>"Exposure - " &amp;Rating1ExposureBasis&amp; ":"</f>
        <v>#REF!</v>
      </c>
      <c r="B43" s="377"/>
      <c r="C43" s="377"/>
      <c r="D43" s="377"/>
      <c r="E43" s="377"/>
      <c r="F43" s="377"/>
      <c r="G43" s="377"/>
      <c r="H43" s="377"/>
      <c r="I43" s="378"/>
      <c r="J43" s="494" t="e">
        <f>IF(AND(Rating1ExposureBasis&lt;&gt;HPEFirstChosen,Rating1ExposureBasis&lt;&gt;HPESecondChosen,Rating1ExposureBasis&lt;&gt;HPEThirdChosen),"",IF(Rating1ExposureBasis="","",IF((HLOOKUP(Rating1ExposureBasis,HistoricalProjectedRange,3,FALSE))="","",HLOOKUP(Rating1ExposureBasis,HistoricalProjectedRange,3,FALSE))))</f>
        <v>#REF!</v>
      </c>
      <c r="K43" s="495"/>
      <c r="L43" s="496"/>
      <c r="M43" s="496"/>
      <c r="N43" s="496"/>
      <c r="O43" s="497"/>
      <c r="P43" s="490" t="e">
        <f>Rating1ExposureAmount</f>
        <v>#REF!</v>
      </c>
      <c r="Q43" s="380"/>
      <c r="R43" s="380"/>
      <c r="S43" s="380"/>
      <c r="T43" s="380"/>
      <c r="U43" s="381"/>
      <c r="V43" s="491" t="e">
        <f>IF(OR(RVEExpiringExposure="",RVERenewalExposure=""),"",IF(AND(RVEExpiringExposure=0,RVERenewalExposure=0),0,IF(AND(RVEExpiringExposure=0,RVERenewalExposure&gt;0),1,(RVERenewalExposure-RVEExpiringExposure)/ABS(RVEExpiringExposure))))</f>
        <v>#REF!</v>
      </c>
      <c r="W43" s="380"/>
      <c r="X43" s="380"/>
      <c r="Y43" s="380"/>
      <c r="Z43" s="380"/>
      <c r="AA43" s="380"/>
      <c r="AB43" s="365"/>
      <c r="AC43" s="366"/>
      <c r="AD43" s="366"/>
      <c r="AE43" s="366"/>
      <c r="AF43" s="366"/>
      <c r="AG43" s="366"/>
      <c r="AH43" s="366"/>
      <c r="AI43" s="366"/>
      <c r="AJ43" s="366"/>
      <c r="AK43" s="366"/>
      <c r="AL43" s="366"/>
      <c r="AM43" s="366"/>
      <c r="AN43" s="366"/>
      <c r="AO43" s="366"/>
      <c r="AP43" s="366"/>
      <c r="AQ43" s="366"/>
      <c r="AR43" s="366"/>
      <c r="AS43" s="366"/>
      <c r="AT43" s="366"/>
      <c r="AU43" s="366"/>
      <c r="AV43" s="366"/>
      <c r="AW43" s="366"/>
      <c r="AX43" s="366"/>
      <c r="AY43" s="366"/>
      <c r="AZ43" s="366"/>
      <c r="BA43" s="366"/>
      <c r="BB43" s="366"/>
      <c r="BC43" s="366"/>
      <c r="BD43" s="366"/>
      <c r="BE43" s="366"/>
      <c r="BF43" s="366"/>
      <c r="BG43" s="366"/>
      <c r="BH43" s="367"/>
    </row>
    <row r="44" spans="1:176" s="137" customFormat="1" ht="15" hidden="1" customHeight="1">
      <c r="A44" s="376" t="s">
        <v>217</v>
      </c>
      <c r="B44" s="377"/>
      <c r="C44" s="377"/>
      <c r="D44" s="377"/>
      <c r="E44" s="377"/>
      <c r="F44" s="377"/>
      <c r="G44" s="377"/>
      <c r="H44" s="377"/>
      <c r="I44" s="378"/>
      <c r="J44" s="498"/>
      <c r="K44" s="496"/>
      <c r="L44" s="496"/>
      <c r="M44" s="496"/>
      <c r="N44" s="496"/>
      <c r="O44" s="497"/>
      <c r="P44" s="503" t="str">
        <f>IF(Policy_Premium="","",Policy_Premium)</f>
        <v/>
      </c>
      <c r="Q44" s="380"/>
      <c r="R44" s="380"/>
      <c r="S44" s="380"/>
      <c r="T44" s="380"/>
      <c r="U44" s="381"/>
      <c r="V44" s="491" t="str">
        <f>IF(OR(FMrate="",RVERenewalPremium=""),"",IF(AND(FMrate=0,RVERenewalPremium=0),0,IF(AND(FMrate=0,RVERenewalPremium&gt;0),1,(RVERenewalPremium-FMrate)/ABS(FMrate))))</f>
        <v/>
      </c>
      <c r="W44" s="380"/>
      <c r="X44" s="380"/>
      <c r="Y44" s="380"/>
      <c r="Z44" s="380"/>
      <c r="AA44" s="380"/>
      <c r="AB44" s="365"/>
      <c r="AC44" s="366"/>
      <c r="AD44" s="366"/>
      <c r="AE44" s="366"/>
      <c r="AF44" s="366"/>
      <c r="AG44" s="366"/>
      <c r="AH44" s="366"/>
      <c r="AI44" s="366"/>
      <c r="AJ44" s="366"/>
      <c r="AK44" s="366"/>
      <c r="AL44" s="366"/>
      <c r="AM44" s="366"/>
      <c r="AN44" s="366"/>
      <c r="AO44" s="366"/>
      <c r="AP44" s="366"/>
      <c r="AQ44" s="366"/>
      <c r="AR44" s="366"/>
      <c r="AS44" s="366"/>
      <c r="AT44" s="366"/>
      <c r="AU44" s="366"/>
      <c r="AV44" s="366"/>
      <c r="AW44" s="366"/>
      <c r="AX44" s="366"/>
      <c r="AY44" s="366"/>
      <c r="AZ44" s="366"/>
      <c r="BA44" s="366"/>
      <c r="BB44" s="366"/>
      <c r="BC44" s="366"/>
      <c r="BD44" s="366"/>
      <c r="BE44" s="366"/>
      <c r="BF44" s="366"/>
      <c r="BG44" s="366"/>
      <c r="BH44" s="367"/>
    </row>
    <row r="45" spans="1:176" s="137" customFormat="1" ht="15" hidden="1" customHeight="1">
      <c r="A45" s="376" t="str">
        <f>A37</f>
        <v>Min. Earned At Inception:</v>
      </c>
      <c r="B45" s="377"/>
      <c r="C45" s="377"/>
      <c r="D45" s="377"/>
      <c r="E45" s="377"/>
      <c r="F45" s="377"/>
      <c r="G45" s="377"/>
      <c r="H45" s="377"/>
      <c r="I45" s="378"/>
      <c r="J45" s="517" t="str">
        <f>IF(ISNA(VLOOKUP(Underwriter,UWPrefs,29,FALSE)),"",VLOOKUP(Underwriter,UWPrefs,29,FALSE))</f>
        <v/>
      </c>
      <c r="K45" s="518"/>
      <c r="L45" s="496"/>
      <c r="M45" s="496"/>
      <c r="N45" s="496"/>
      <c r="O45" s="497"/>
      <c r="P45" s="503">
        <f>IF(Retention="Split Deductible:","Split Deductible",IF(Attachment="","",Attachment))</f>
        <v>0.25</v>
      </c>
      <c r="Q45" s="380"/>
      <c r="R45" s="380"/>
      <c r="S45" s="380"/>
      <c r="T45" s="380"/>
      <c r="U45" s="381"/>
      <c r="V45" s="503" t="str">
        <f>IF(OR(RVEExpiringRetention="",RVEExpiringRetention=" ",RVERenewalRetention="",RVERenewalRetention=" "),"",IF(AND(RVEExpiringRetention="Split Deductible",RVERenewalRetention&lt;&gt;"Split Deductible"),"",IF(AND(RVEExpiringRetention&lt;&gt;"Split Deductible",RVERenewalRetention="Split Deductible"),"",IF(AND(RVEExpiringRetention="Split Deductible",RVERenewalRetention="Split Deductible"),"",IF(RVEExpiringRetention=RVERenewalRetention,"No Change",RVERenewalRetention-RVEExpiringRetention)))))</f>
        <v/>
      </c>
      <c r="W45" s="380"/>
      <c r="X45" s="380"/>
      <c r="Y45" s="380"/>
      <c r="Z45" s="380"/>
      <c r="AA45" s="380"/>
      <c r="AB45" s="365"/>
      <c r="AC45" s="366"/>
      <c r="AD45" s="366"/>
      <c r="AE45" s="366"/>
      <c r="AF45" s="366"/>
      <c r="AG45" s="366"/>
      <c r="AH45" s="366"/>
      <c r="AI45" s="366"/>
      <c r="AJ45" s="366"/>
      <c r="AK45" s="366"/>
      <c r="AL45" s="366"/>
      <c r="AM45" s="366"/>
      <c r="AN45" s="366"/>
      <c r="AO45" s="366"/>
      <c r="AP45" s="366"/>
      <c r="AQ45" s="366"/>
      <c r="AR45" s="366"/>
      <c r="AS45" s="366"/>
      <c r="AT45" s="366"/>
      <c r="AU45" s="366"/>
      <c r="AV45" s="366"/>
      <c r="AW45" s="366"/>
      <c r="AX45" s="366"/>
      <c r="AY45" s="366"/>
      <c r="AZ45" s="366"/>
      <c r="BA45" s="366"/>
      <c r="BB45" s="366"/>
      <c r="BC45" s="366"/>
      <c r="BD45" s="366"/>
      <c r="BE45" s="366"/>
      <c r="BF45" s="366"/>
      <c r="BG45" s="366"/>
      <c r="BH45" s="367"/>
    </row>
    <row r="46" spans="1:176" s="137" customFormat="1" ht="15" hidden="1" customHeight="1" thickBot="1">
      <c r="A46" s="522" t="s">
        <v>4</v>
      </c>
      <c r="B46" s="482"/>
      <c r="C46" s="482"/>
      <c r="D46" s="482"/>
      <c r="E46" s="482"/>
      <c r="F46" s="482"/>
      <c r="G46" s="482"/>
      <c r="H46" s="482"/>
      <c r="I46" s="523"/>
      <c r="J46" s="499" t="str">
        <f>IF(ISNA(VLOOKUP(Underwriter,UWPrefs,12,FALSE)),"",VLOOKUP(Underwriter,UWPrefs,12,FALSE))</f>
        <v/>
      </c>
      <c r="K46" s="500"/>
      <c r="L46" s="501"/>
      <c r="M46" s="501"/>
      <c r="N46" s="501"/>
      <c r="O46" s="502"/>
      <c r="P46" s="514" t="str">
        <f>IF(Commission="","",Commission)</f>
        <v/>
      </c>
      <c r="Q46" s="515"/>
      <c r="R46" s="515"/>
      <c r="S46" s="515"/>
      <c r="T46" s="515"/>
      <c r="U46" s="516"/>
      <c r="V46" s="514" t="str">
        <f>IF(OR(J46="",J46=" ",P46=""),"",IF(J46=P46,"No Change",P46-J46))</f>
        <v/>
      </c>
      <c r="W46" s="515"/>
      <c r="X46" s="515"/>
      <c r="Y46" s="515"/>
      <c r="Z46" s="515"/>
      <c r="AA46" s="515"/>
      <c r="AB46" s="368"/>
      <c r="AC46" s="369"/>
      <c r="AD46" s="369"/>
      <c r="AE46" s="369"/>
      <c r="AF46" s="369"/>
      <c r="AG46" s="369"/>
      <c r="AH46" s="369"/>
      <c r="AI46" s="369"/>
      <c r="AJ46" s="369"/>
      <c r="AK46" s="369"/>
      <c r="AL46" s="369"/>
      <c r="AM46" s="369"/>
      <c r="AN46" s="369"/>
      <c r="AO46" s="369"/>
      <c r="AP46" s="369"/>
      <c r="AQ46" s="369"/>
      <c r="AR46" s="369"/>
      <c r="AS46" s="369"/>
      <c r="AT46" s="369"/>
      <c r="AU46" s="369"/>
      <c r="AV46" s="369"/>
      <c r="AW46" s="369"/>
      <c r="AX46" s="369"/>
      <c r="AY46" s="369"/>
      <c r="AZ46" s="369"/>
      <c r="BA46" s="369"/>
      <c r="BB46" s="369"/>
      <c r="BC46" s="369"/>
      <c r="BD46" s="369"/>
      <c r="BE46" s="369"/>
      <c r="BF46" s="369"/>
      <c r="BG46" s="369"/>
      <c r="BH46" s="370"/>
    </row>
    <row r="47" spans="1:176" s="137" customFormat="1" ht="0.75" customHeight="1" thickBot="1">
      <c r="A47" s="361"/>
      <c r="B47" s="361"/>
      <c r="C47" s="361"/>
      <c r="D47" s="361"/>
      <c r="E47" s="361"/>
      <c r="F47" s="361"/>
      <c r="G47" s="361"/>
      <c r="H47" s="361"/>
      <c r="I47" s="361"/>
      <c r="J47" s="361"/>
      <c r="K47" s="361"/>
      <c r="L47" s="361"/>
      <c r="M47" s="361"/>
      <c r="N47" s="361"/>
      <c r="O47" s="361"/>
      <c r="P47" s="361"/>
      <c r="Q47" s="361"/>
      <c r="R47" s="361"/>
      <c r="S47" s="361"/>
      <c r="T47" s="361"/>
      <c r="U47" s="361"/>
      <c r="V47" s="361"/>
      <c r="W47" s="361"/>
      <c r="X47" s="361"/>
      <c r="Y47" s="361"/>
      <c r="Z47" s="361"/>
      <c r="AA47" s="361"/>
      <c r="AB47" s="361"/>
      <c r="AC47" s="361"/>
      <c r="AD47" s="361"/>
      <c r="AE47" s="361"/>
      <c r="AF47" s="361"/>
      <c r="AG47" s="361"/>
      <c r="AH47" s="361"/>
      <c r="AI47" s="361"/>
      <c r="AJ47" s="361"/>
      <c r="AK47" s="361"/>
      <c r="AL47" s="361"/>
      <c r="AM47" s="361"/>
      <c r="AN47" s="361"/>
      <c r="AO47" s="361"/>
      <c r="AP47" s="361"/>
      <c r="AQ47" s="361"/>
      <c r="AR47" s="361"/>
      <c r="AS47" s="361"/>
      <c r="AT47" s="361"/>
      <c r="AU47" s="361"/>
      <c r="AV47" s="361"/>
      <c r="AW47" s="361"/>
      <c r="AX47" s="361"/>
      <c r="AY47" s="361"/>
      <c r="AZ47" s="361"/>
      <c r="BA47" s="361"/>
      <c r="BB47" s="361"/>
      <c r="BC47" s="361"/>
      <c r="BD47" s="361"/>
      <c r="BE47" s="361"/>
      <c r="BF47" s="361"/>
      <c r="BG47" s="361"/>
      <c r="BH47" s="361"/>
    </row>
    <row r="48" spans="1:176" s="137" customFormat="1" ht="15" customHeight="1">
      <c r="AB48" s="161"/>
      <c r="AC48" s="161"/>
      <c r="AD48" s="161"/>
      <c r="AE48" s="161"/>
      <c r="AF48" s="161"/>
      <c r="AG48" s="161"/>
      <c r="AH48" s="161"/>
      <c r="AI48" s="161"/>
      <c r="AJ48" s="161"/>
      <c r="AK48" s="161"/>
      <c r="AL48" s="161"/>
      <c r="AM48" s="161"/>
      <c r="AN48" s="161"/>
      <c r="AO48" s="161"/>
      <c r="AP48" s="161"/>
      <c r="AQ48" s="161"/>
      <c r="AR48" s="161"/>
      <c r="AS48" s="161"/>
      <c r="AT48" s="161"/>
      <c r="AU48" s="161"/>
      <c r="AV48" s="161"/>
      <c r="AW48" s="161"/>
      <c r="AX48" s="161"/>
      <c r="AY48" s="161"/>
      <c r="AZ48" s="161"/>
      <c r="BA48" s="161"/>
      <c r="BB48" s="161"/>
      <c r="BC48" s="161"/>
      <c r="BD48" s="161"/>
      <c r="BE48" s="161"/>
      <c r="BF48" s="161"/>
      <c r="BG48" s="161"/>
      <c r="BH48" s="161"/>
    </row>
    <row r="49" spans="28:60" s="137" customFormat="1" ht="15" customHeight="1">
      <c r="AB49" s="161"/>
      <c r="AC49" s="161"/>
      <c r="AD49" s="161"/>
      <c r="AE49" s="161"/>
      <c r="AF49" s="161"/>
      <c r="AG49" s="161"/>
      <c r="AH49" s="161"/>
      <c r="AI49" s="161"/>
      <c r="AJ49" s="161"/>
      <c r="AK49" s="161"/>
      <c r="AL49" s="161"/>
      <c r="AM49" s="161"/>
      <c r="AN49" s="161"/>
      <c r="AO49" s="161"/>
      <c r="AP49" s="161"/>
      <c r="AQ49" s="161"/>
      <c r="AR49" s="161"/>
      <c r="AS49" s="161"/>
      <c r="AT49" s="161"/>
      <c r="AU49" s="161"/>
      <c r="AV49" s="161"/>
      <c r="AW49" s="161"/>
      <c r="AX49" s="161"/>
      <c r="AY49" s="161"/>
      <c r="AZ49" s="161"/>
      <c r="BA49" s="161"/>
      <c r="BB49" s="161"/>
      <c r="BC49" s="161"/>
      <c r="BD49" s="161"/>
      <c r="BE49" s="161"/>
      <c r="BF49" s="161"/>
      <c r="BG49" s="161"/>
      <c r="BH49" s="161"/>
    </row>
    <row r="50" spans="28:60" s="137" customFormat="1" ht="15" customHeight="1">
      <c r="AB50" s="161"/>
      <c r="AC50" s="161"/>
      <c r="AD50" s="161"/>
      <c r="AE50" s="161"/>
      <c r="AF50" s="161"/>
      <c r="AG50" s="161"/>
      <c r="AH50" s="161"/>
      <c r="AI50" s="161"/>
      <c r="AJ50" s="161"/>
      <c r="AK50" s="161"/>
      <c r="AL50" s="161"/>
      <c r="AM50" s="161"/>
      <c r="AN50" s="161"/>
      <c r="AO50" s="161"/>
      <c r="AP50" s="161"/>
      <c r="AQ50" s="161"/>
      <c r="AR50" s="161"/>
      <c r="AS50" s="161"/>
      <c r="AT50" s="161"/>
      <c r="AU50" s="161"/>
      <c r="AV50" s="161"/>
      <c r="AW50" s="161"/>
      <c r="AX50" s="161"/>
      <c r="AY50" s="161"/>
      <c r="AZ50" s="161"/>
      <c r="BA50" s="161"/>
      <c r="BB50" s="161"/>
      <c r="BC50" s="161"/>
      <c r="BD50" s="161"/>
      <c r="BE50" s="161"/>
      <c r="BF50" s="161"/>
      <c r="BG50" s="161"/>
      <c r="BH50" s="161"/>
    </row>
    <row r="51" spans="28:60" s="137" customFormat="1" ht="15" customHeight="1"/>
    <row r="52" spans="28:60" s="137" customFormat="1" ht="15" customHeight="1"/>
    <row r="53" spans="28:60" s="137" customFormat="1" ht="15" customHeight="1"/>
    <row r="54" spans="28:60" s="137" customFormat="1" ht="15" customHeight="1"/>
    <row r="55" spans="28:60" s="137" customFormat="1" ht="15" customHeight="1"/>
    <row r="56" spans="28:60" s="137" customFormat="1" ht="15" customHeight="1"/>
    <row r="57" spans="28:60" s="137" customFormat="1" ht="15" customHeight="1"/>
    <row r="58" spans="28:60" s="137" customFormat="1" ht="15" customHeight="1"/>
    <row r="59" spans="28:60" s="137" customFormat="1" ht="15" customHeight="1"/>
    <row r="60" spans="28:60" s="137" customFormat="1" ht="15" customHeight="1"/>
    <row r="61" spans="28:60" s="137" customFormat="1" ht="15" customHeight="1"/>
    <row r="62" spans="28:60" s="137" customFormat="1" ht="15" customHeight="1"/>
    <row r="63" spans="28:60" s="137" customFormat="1" ht="15" customHeight="1"/>
    <row r="64" spans="28:60" s="137" customFormat="1"/>
    <row r="65" s="137" customFormat="1"/>
    <row r="66" s="137" customFormat="1" ht="15" customHeight="1"/>
    <row r="67" s="137" customFormat="1" ht="15" customHeight="1"/>
    <row r="68" s="137" customFormat="1" ht="15" customHeight="1"/>
    <row r="69" s="137" customFormat="1" ht="15" customHeight="1"/>
    <row r="70" s="137" customFormat="1" ht="15" customHeight="1"/>
    <row r="71" s="137" customFormat="1" ht="15" customHeight="1"/>
    <row r="72" s="137" customFormat="1" ht="15" customHeight="1"/>
    <row r="73" s="137" customFormat="1" ht="15" customHeight="1"/>
    <row r="74" s="137" customFormat="1"/>
    <row r="75" s="137" customFormat="1"/>
    <row r="76" s="137" customFormat="1" ht="15" customHeight="1"/>
    <row r="77" s="137" customFormat="1" ht="15" customHeight="1"/>
    <row r="78" s="137" customFormat="1" ht="15" customHeight="1"/>
    <row r="79" s="137" customFormat="1" ht="15" customHeight="1"/>
    <row r="80" s="137" customFormat="1" ht="15" customHeight="1"/>
    <row r="81" s="137" customFormat="1" ht="15" customHeight="1"/>
    <row r="82" s="137" customFormat="1" ht="15" customHeight="1"/>
    <row r="83" s="137" customFormat="1" ht="15" customHeight="1"/>
    <row r="84" s="137" customFormat="1" ht="15" customHeight="1"/>
    <row r="85" s="137" customFormat="1" ht="15" customHeight="1"/>
    <row r="86" s="137" customFormat="1" ht="15" customHeight="1"/>
    <row r="87" s="137" customFormat="1" ht="15" customHeight="1"/>
    <row r="88" s="137" customFormat="1" ht="15" customHeight="1"/>
    <row r="89" s="137" customFormat="1" ht="15" customHeight="1"/>
    <row r="90" s="137" customFormat="1" ht="15" customHeight="1"/>
    <row r="91" s="137" customFormat="1" ht="15" customHeight="1"/>
    <row r="92" s="137" customFormat="1" ht="15" customHeight="1"/>
    <row r="93" s="137" customFormat="1" ht="15" customHeight="1"/>
    <row r="94" s="137" customFormat="1" ht="15" customHeight="1"/>
    <row r="95" s="137" customFormat="1" ht="15" customHeight="1"/>
    <row r="96" s="137" customFormat="1" ht="15" customHeight="1"/>
    <row r="97" s="137" customFormat="1" ht="15" customHeight="1"/>
    <row r="98" s="137" customFormat="1" ht="15" customHeight="1"/>
    <row r="99" s="137" customFormat="1" ht="15" customHeight="1"/>
    <row r="100" s="137" customFormat="1" ht="15" customHeight="1"/>
    <row r="101" s="137" customFormat="1" ht="15" customHeight="1"/>
    <row r="102" s="137" customFormat="1" ht="15" customHeight="1"/>
    <row r="103" s="137" customFormat="1" ht="15" customHeight="1"/>
    <row r="104" s="137" customFormat="1" ht="15" customHeight="1"/>
    <row r="105" s="137" customFormat="1" ht="15" customHeight="1"/>
    <row r="106" s="137" customFormat="1" ht="15" customHeight="1"/>
    <row r="107" s="137" customFormat="1" ht="15" customHeight="1"/>
    <row r="108" s="137" customFormat="1" ht="15" customHeight="1"/>
    <row r="109" s="137" customFormat="1" ht="15" customHeight="1"/>
    <row r="110" s="137" customFormat="1" ht="15" customHeight="1"/>
    <row r="111" s="137" customFormat="1" ht="15" customHeight="1"/>
    <row r="112" s="137" customFormat="1" ht="15" customHeight="1"/>
    <row r="113" s="137" customFormat="1" ht="15" customHeight="1"/>
    <row r="114" s="137" customFormat="1" ht="15" customHeight="1"/>
    <row r="115" s="137" customFormat="1" ht="15" customHeight="1"/>
    <row r="116" s="137" customFormat="1" ht="15" customHeight="1"/>
    <row r="117" s="137" customFormat="1" ht="15" customHeight="1"/>
    <row r="118" s="137" customFormat="1" ht="15" customHeight="1"/>
    <row r="119" s="137" customFormat="1" ht="15" customHeight="1"/>
    <row r="120" s="137" customFormat="1" ht="15" customHeight="1"/>
    <row r="121" s="137" customFormat="1" ht="15" customHeight="1"/>
    <row r="122" s="137" customFormat="1" ht="15" customHeight="1"/>
    <row r="123" s="137" customFormat="1" ht="15" customHeight="1"/>
    <row r="124" s="137" customFormat="1" ht="15" customHeight="1"/>
    <row r="125" s="137" customFormat="1" ht="15" customHeight="1"/>
    <row r="126" s="137" customFormat="1" ht="15" customHeight="1"/>
    <row r="127" s="137" customFormat="1" ht="15" customHeight="1"/>
    <row r="128" s="137" customFormat="1" ht="15" customHeight="1"/>
    <row r="129" s="137" customFormat="1" ht="15" customHeight="1"/>
    <row r="130" s="137" customFormat="1" ht="15" customHeight="1"/>
    <row r="131" s="137" customFormat="1" ht="15" customHeight="1"/>
    <row r="132" s="137" customFormat="1" ht="15" customHeight="1"/>
    <row r="133" s="137" customFormat="1" ht="15" customHeight="1"/>
    <row r="134" s="137" customFormat="1" ht="15" customHeight="1"/>
    <row r="135" s="137" customFormat="1" ht="15" customHeight="1"/>
    <row r="136" s="137" customFormat="1" ht="15" customHeight="1"/>
    <row r="137" s="137" customFormat="1" ht="15" customHeight="1"/>
    <row r="138" s="137" customFormat="1" ht="15" customHeight="1"/>
    <row r="139" s="137" customFormat="1" ht="15" customHeight="1"/>
    <row r="140" s="137" customFormat="1" ht="15" customHeight="1"/>
    <row r="141" s="137" customFormat="1" ht="15" customHeight="1"/>
    <row r="142" s="137" customFormat="1" ht="15" customHeight="1"/>
    <row r="143" s="137" customFormat="1" ht="15" customHeight="1"/>
    <row r="144" s="137" customFormat="1" ht="15" customHeight="1"/>
    <row r="145" s="137" customFormat="1" ht="15" customHeight="1"/>
    <row r="146" s="137" customFormat="1" ht="15" customHeight="1"/>
    <row r="147" s="137" customFormat="1" ht="15" customHeight="1"/>
    <row r="148" s="137" customFormat="1" ht="15" customHeight="1"/>
    <row r="149" s="137" customFormat="1" ht="15" customHeight="1"/>
    <row r="150" s="137" customFormat="1" ht="15" customHeight="1"/>
    <row r="151" s="137" customFormat="1" ht="15" customHeight="1"/>
    <row r="152" s="137" customFormat="1" ht="15" customHeight="1"/>
    <row r="153" s="137" customFormat="1" ht="15" customHeight="1"/>
    <row r="154" s="137" customFormat="1" ht="15" customHeight="1"/>
    <row r="155" s="137" customFormat="1" ht="15" customHeight="1"/>
    <row r="156" s="137" customFormat="1" ht="15" customHeight="1"/>
    <row r="157" s="137" customFormat="1" ht="15" customHeight="1"/>
    <row r="158" s="137" customFormat="1" ht="15" customHeight="1"/>
    <row r="159" s="137" customFormat="1" ht="15" customHeight="1"/>
    <row r="160" s="137" customFormat="1" ht="15" customHeight="1"/>
    <row r="161" s="137" customFormat="1" ht="15" customHeight="1"/>
    <row r="162" s="137" customFormat="1" ht="15" customHeight="1"/>
    <row r="163" s="137" customFormat="1" ht="15" customHeight="1"/>
    <row r="164" s="137" customFormat="1" ht="15" customHeight="1"/>
    <row r="165" s="137" customFormat="1" ht="15" customHeight="1"/>
    <row r="166" s="137" customFormat="1" ht="15" customHeight="1"/>
    <row r="167" s="137" customFormat="1" ht="15" customHeight="1"/>
    <row r="168" s="137" customFormat="1" ht="15" customHeight="1"/>
    <row r="169" s="137" customFormat="1" ht="15" customHeight="1"/>
    <row r="170" s="137" customFormat="1" ht="15" customHeight="1"/>
    <row r="171" s="137" customFormat="1" ht="15" customHeight="1"/>
    <row r="172" s="137" customFormat="1" ht="15" customHeight="1"/>
    <row r="173" s="137" customFormat="1" ht="15" customHeight="1"/>
    <row r="174" s="137" customFormat="1" ht="15" customHeight="1"/>
    <row r="175" s="137" customFormat="1" ht="15" customHeight="1"/>
    <row r="176" s="137" customFormat="1" ht="15" customHeight="1"/>
    <row r="177" s="137" customFormat="1" ht="15" customHeight="1"/>
    <row r="178" s="137" customFormat="1" ht="15" customHeight="1"/>
    <row r="179" s="137" customFormat="1" ht="15" customHeight="1"/>
    <row r="180" s="137" customFormat="1" ht="15" customHeight="1"/>
    <row r="181" s="137" customFormat="1" ht="15" customHeight="1"/>
    <row r="182" s="137" customFormat="1" ht="15" customHeight="1"/>
    <row r="183" s="137" customFormat="1" ht="15" customHeight="1"/>
    <row r="184" s="137" customFormat="1" ht="15" customHeight="1"/>
    <row r="185" s="137" customFormat="1" ht="15" customHeight="1"/>
    <row r="186" s="137" customFormat="1" ht="15" customHeight="1"/>
    <row r="187" s="137" customFormat="1" ht="15" customHeight="1"/>
    <row r="188" s="137" customFormat="1" ht="15" customHeight="1"/>
    <row r="189" s="137" customFormat="1" ht="15" customHeight="1"/>
    <row r="190" s="137" customFormat="1" ht="15" customHeight="1"/>
    <row r="191" s="137" customFormat="1" ht="15" customHeight="1"/>
    <row r="192" s="137" customFormat="1" ht="15" customHeight="1"/>
    <row r="193" s="137" customFormat="1" ht="15" customHeight="1"/>
    <row r="194" s="137" customFormat="1" ht="15" customHeight="1"/>
    <row r="195" s="137" customFormat="1" ht="15" customHeight="1"/>
    <row r="196" s="137" customFormat="1" ht="15" customHeight="1"/>
    <row r="197" s="137" customFormat="1" ht="15" customHeight="1"/>
    <row r="198" s="137" customFormat="1" ht="15" customHeight="1"/>
    <row r="199" s="137" customFormat="1" ht="15" customHeight="1"/>
    <row r="200" s="137" customFormat="1" ht="15" customHeight="1"/>
    <row r="201" s="137" customFormat="1" ht="15" customHeight="1"/>
    <row r="202" s="137" customFormat="1" ht="15" customHeight="1"/>
    <row r="203" s="137" customFormat="1" ht="15" customHeight="1"/>
    <row r="204" s="137" customFormat="1" ht="15" customHeight="1"/>
    <row r="205" s="137" customFormat="1" ht="15" customHeight="1"/>
    <row r="206" s="137" customFormat="1" ht="15" customHeight="1"/>
    <row r="207" s="137" customFormat="1" ht="15" customHeight="1"/>
    <row r="208" s="137" customFormat="1" ht="15" customHeight="1"/>
    <row r="209" s="137" customFormat="1" ht="15" customHeight="1"/>
    <row r="210" s="137" customFormat="1" ht="15" customHeight="1"/>
    <row r="211" s="137" customFormat="1" ht="15" customHeight="1"/>
    <row r="212" s="137" customFormat="1" ht="15" customHeight="1"/>
    <row r="213" s="137" customFormat="1" ht="15" customHeight="1"/>
    <row r="214" s="137" customFormat="1" ht="15" customHeight="1"/>
    <row r="215" s="137" customFormat="1" ht="15" customHeight="1"/>
    <row r="216" s="137" customFormat="1" ht="15" customHeight="1"/>
    <row r="217" s="137" customFormat="1" ht="15" customHeight="1"/>
    <row r="218" s="137" customFormat="1" ht="15" customHeight="1"/>
    <row r="219" s="137" customFormat="1" ht="15" customHeight="1"/>
    <row r="220" s="137" customFormat="1" ht="15" customHeight="1"/>
    <row r="221" s="137" customFormat="1" ht="15" customHeight="1"/>
    <row r="222" s="137" customFormat="1" ht="15" customHeight="1"/>
    <row r="223" s="137" customFormat="1" ht="15" customHeight="1"/>
    <row r="224" s="137" customFormat="1"/>
    <row r="225" s="137" customFormat="1"/>
    <row r="226" s="137" customFormat="1"/>
    <row r="227" s="137" customFormat="1"/>
    <row r="228" s="137" customFormat="1"/>
    <row r="229" s="137" customFormat="1"/>
    <row r="230" s="137" customFormat="1"/>
    <row r="231" s="137" customFormat="1"/>
    <row r="232" s="137" customFormat="1"/>
    <row r="233" s="137" customFormat="1"/>
    <row r="234" s="137" customFormat="1"/>
    <row r="235" s="137" customFormat="1"/>
    <row r="236" s="137" customFormat="1"/>
    <row r="237" s="137" customFormat="1"/>
    <row r="238" s="137" customFormat="1"/>
    <row r="239" s="137" customFormat="1"/>
    <row r="240" s="137" customFormat="1"/>
    <row r="241" s="137" customFormat="1"/>
    <row r="242" s="137" customFormat="1"/>
    <row r="243" s="137" customFormat="1"/>
    <row r="244" s="137" customFormat="1"/>
    <row r="245" s="137" customFormat="1"/>
    <row r="246" s="137" customFormat="1"/>
    <row r="247" s="137" customFormat="1"/>
    <row r="248" s="137" customFormat="1"/>
    <row r="249" s="137" customFormat="1"/>
    <row r="250" s="137" customFormat="1"/>
    <row r="251" s="137" customFormat="1"/>
    <row r="252" s="137" customFormat="1"/>
    <row r="253" s="137" customFormat="1"/>
    <row r="254" s="137" customFormat="1"/>
    <row r="255" s="137" customFormat="1"/>
    <row r="256" s="137" customFormat="1"/>
    <row r="257" s="137" customFormat="1"/>
    <row r="258" s="137" customFormat="1"/>
    <row r="259" s="137" customFormat="1"/>
    <row r="260" s="137" customFormat="1"/>
    <row r="261" s="137" customFormat="1"/>
    <row r="262" s="137" customFormat="1"/>
    <row r="263" s="137" customFormat="1"/>
    <row r="264" s="137" customFormat="1"/>
    <row r="265" s="137" customFormat="1"/>
    <row r="266" s="137" customFormat="1"/>
    <row r="267" s="137" customFormat="1"/>
    <row r="268" s="137" customFormat="1"/>
    <row r="269" s="137" customFormat="1"/>
    <row r="270" s="137" customFormat="1"/>
    <row r="271" s="137" customFormat="1"/>
    <row r="272" s="137" customFormat="1"/>
    <row r="273" s="137" customFormat="1"/>
    <row r="274" s="137" customFormat="1"/>
    <row r="275" s="137" customFormat="1"/>
    <row r="276" s="137" customFormat="1"/>
    <row r="277" s="137" customFormat="1"/>
    <row r="278" s="137" customFormat="1"/>
    <row r="279" s="137" customFormat="1"/>
    <row r="280" s="137" customFormat="1"/>
    <row r="281" s="137" customFormat="1"/>
    <row r="282" s="137" customFormat="1"/>
    <row r="283" s="137" customFormat="1"/>
    <row r="284" s="137" customFormat="1"/>
    <row r="285" s="137" customFormat="1"/>
    <row r="286" s="137" customFormat="1"/>
    <row r="287" s="137" customFormat="1"/>
    <row r="288" s="137" customFormat="1"/>
    <row r="289" s="137" customFormat="1"/>
    <row r="290" s="137" customFormat="1"/>
    <row r="291" s="137" customFormat="1"/>
    <row r="292" s="137" customFormat="1"/>
    <row r="293" s="137" customFormat="1"/>
    <row r="294" s="137" customFormat="1"/>
    <row r="295" s="137" customFormat="1"/>
    <row r="296" s="137" customFormat="1"/>
    <row r="297" s="137" customFormat="1"/>
    <row r="298" s="137" customFormat="1"/>
    <row r="299" s="137" customFormat="1"/>
    <row r="300" s="137" customFormat="1"/>
    <row r="301" s="137" customFormat="1"/>
    <row r="302" s="137" customFormat="1"/>
    <row r="303" s="137" customFormat="1"/>
    <row r="304" s="137" customFormat="1"/>
    <row r="305" s="137" customFormat="1"/>
    <row r="306" s="137" customFormat="1"/>
    <row r="307" s="137" customFormat="1"/>
    <row r="308" s="137" customFormat="1"/>
    <row r="309" s="137" customFormat="1"/>
    <row r="310" s="137" customFormat="1"/>
    <row r="311" s="137" customFormat="1"/>
    <row r="312" s="137" customFormat="1"/>
    <row r="313" s="137" customFormat="1"/>
    <row r="314" s="137" customFormat="1"/>
    <row r="315" s="137" customFormat="1"/>
    <row r="316" s="137" customFormat="1"/>
    <row r="317" s="137" customFormat="1"/>
    <row r="318" s="137" customFormat="1"/>
    <row r="319" s="137" customFormat="1"/>
    <row r="320" s="137" customFormat="1"/>
    <row r="321" s="137" customFormat="1"/>
    <row r="322" s="137" customFormat="1"/>
    <row r="323" s="137" customFormat="1"/>
    <row r="324" s="137" customFormat="1"/>
    <row r="325" s="137" customFormat="1"/>
    <row r="326" s="137" customFormat="1"/>
    <row r="327" s="137" customFormat="1"/>
    <row r="328" s="137" customFormat="1"/>
    <row r="329" s="137" customFormat="1"/>
    <row r="330" s="137" customFormat="1"/>
    <row r="331" s="137" customFormat="1"/>
    <row r="332" s="137" customFormat="1"/>
    <row r="333" s="137" customFormat="1"/>
    <row r="334" s="137" customFormat="1"/>
    <row r="335" s="137" customFormat="1"/>
    <row r="336" s="137" customFormat="1"/>
    <row r="337" s="137" customFormat="1"/>
    <row r="338" s="137" customFormat="1"/>
    <row r="339" s="137" customFormat="1"/>
    <row r="340" s="137" customFormat="1"/>
    <row r="341" s="137" customFormat="1"/>
    <row r="342" s="137" customFormat="1"/>
    <row r="343" s="137" customFormat="1"/>
    <row r="344" s="137" customFormat="1"/>
    <row r="345" s="137" customFormat="1"/>
    <row r="346" s="137" customFormat="1"/>
    <row r="347" s="137" customFormat="1"/>
    <row r="348" s="137" customFormat="1"/>
    <row r="349" s="137" customFormat="1"/>
    <row r="350" s="137" customFormat="1"/>
    <row r="351" s="137" customFormat="1"/>
    <row r="352" s="137" customFormat="1"/>
    <row r="353" s="137" customFormat="1"/>
    <row r="354" s="137" customFormat="1"/>
    <row r="355" s="137" customFormat="1"/>
    <row r="356" s="137" customFormat="1"/>
    <row r="357" s="137" customFormat="1"/>
    <row r="358" s="137" customFormat="1"/>
    <row r="359" s="137" customFormat="1"/>
    <row r="360" s="137" customFormat="1"/>
    <row r="361" s="137" customFormat="1"/>
    <row r="362" s="137" customFormat="1"/>
    <row r="363" s="137" customFormat="1"/>
    <row r="364" s="137" customFormat="1"/>
    <row r="365" s="137" customFormat="1"/>
    <row r="366" s="137" customFormat="1"/>
    <row r="367" s="137" customFormat="1"/>
    <row r="368" s="137" customFormat="1"/>
    <row r="369" s="137" customFormat="1"/>
    <row r="370" s="137" customFormat="1"/>
    <row r="371" s="137" customFormat="1"/>
    <row r="372" s="137" customFormat="1"/>
    <row r="373" s="137" customFormat="1"/>
    <row r="374" s="137" customFormat="1"/>
    <row r="375" s="137" customFormat="1"/>
    <row r="376" s="137" customFormat="1"/>
    <row r="377" s="137" customFormat="1"/>
    <row r="378" s="137" customFormat="1"/>
    <row r="379" s="137" customFormat="1"/>
    <row r="380" s="137" customFormat="1"/>
    <row r="381" s="137" customFormat="1"/>
    <row r="382" s="137" customFormat="1"/>
    <row r="383" s="137" customFormat="1"/>
    <row r="384" s="137" customFormat="1"/>
    <row r="385" s="137" customFormat="1"/>
    <row r="386" s="137" customFormat="1"/>
    <row r="387" s="137" customFormat="1"/>
    <row r="388" s="137" customFormat="1"/>
    <row r="389" s="137" customFormat="1"/>
    <row r="390" s="137" customFormat="1"/>
    <row r="391" s="137" customFormat="1"/>
    <row r="392" s="137" customFormat="1"/>
    <row r="393" s="137" customFormat="1"/>
    <row r="394" s="137" customFormat="1"/>
    <row r="395" s="137" customFormat="1"/>
    <row r="396" s="137" customFormat="1"/>
    <row r="397" s="137" customFormat="1"/>
    <row r="398" s="137" customFormat="1"/>
    <row r="399" s="137" customFormat="1"/>
    <row r="400" s="137" customFormat="1"/>
    <row r="401" s="137" customFormat="1"/>
    <row r="402" s="137" customFormat="1"/>
    <row r="403" s="137" customFormat="1"/>
    <row r="404" s="137" customFormat="1"/>
    <row r="405" s="137" customFormat="1"/>
    <row r="406" s="137" customFormat="1"/>
    <row r="407" s="137" customFormat="1"/>
    <row r="408" s="137" customFormat="1"/>
    <row r="409" s="137" customFormat="1"/>
    <row r="410" s="137" customFormat="1"/>
    <row r="411" s="137" customFormat="1"/>
    <row r="412" s="137" customFormat="1"/>
    <row r="413" s="137" customFormat="1"/>
    <row r="414" s="137" customFormat="1"/>
    <row r="415" s="137" customFormat="1"/>
    <row r="416" s="137" customFormat="1"/>
    <row r="417" s="137" customFormat="1"/>
    <row r="418" s="137" customFormat="1"/>
    <row r="419" s="137" customFormat="1"/>
    <row r="420" s="137" customFormat="1"/>
    <row r="421" s="137" customFormat="1"/>
    <row r="422" s="137" customFormat="1"/>
    <row r="423" s="137" customFormat="1"/>
    <row r="424" s="137" customFormat="1"/>
    <row r="425" s="137" customFormat="1"/>
    <row r="426" s="137" customFormat="1"/>
    <row r="427" s="137" customFormat="1"/>
    <row r="428" s="137" customFormat="1"/>
    <row r="429" s="137" customFormat="1"/>
    <row r="430" s="137" customFormat="1"/>
    <row r="431" s="137" customFormat="1"/>
    <row r="432" s="137" customFormat="1"/>
    <row r="433" s="137" customFormat="1"/>
    <row r="434" s="137" customFormat="1"/>
    <row r="435" s="137" customFormat="1"/>
    <row r="436" s="137" customFormat="1"/>
    <row r="437" s="137" customFormat="1"/>
    <row r="438" s="137" customFormat="1"/>
    <row r="439" s="137" customFormat="1"/>
    <row r="440" s="137" customFormat="1"/>
    <row r="441" s="137" customFormat="1"/>
    <row r="442" s="137" customFormat="1"/>
    <row r="443" s="137" customFormat="1"/>
    <row r="444" s="137" customFormat="1"/>
    <row r="445" s="137" customFormat="1"/>
    <row r="446" s="137" customFormat="1"/>
    <row r="447" s="137" customFormat="1"/>
    <row r="448" s="137" customFormat="1"/>
    <row r="449" s="137" customFormat="1"/>
    <row r="450" s="137" customFormat="1"/>
    <row r="451" s="137" customFormat="1"/>
    <row r="452" s="137" customFormat="1"/>
    <row r="453" s="137" customFormat="1"/>
    <row r="454" s="137" customFormat="1"/>
    <row r="455" s="137" customFormat="1"/>
    <row r="456" s="137" customFormat="1"/>
    <row r="457" s="137" customFormat="1"/>
    <row r="458" s="137" customFormat="1"/>
    <row r="459" s="137" customFormat="1"/>
    <row r="460" s="137" customFormat="1"/>
    <row r="461" s="137" customFormat="1"/>
    <row r="462" s="137" customFormat="1"/>
    <row r="463" s="137" customFormat="1"/>
    <row r="464" s="137" customFormat="1"/>
    <row r="465" s="137" customFormat="1"/>
    <row r="466" s="137" customFormat="1"/>
    <row r="467" s="137" customFormat="1"/>
    <row r="468" s="137" customFormat="1"/>
    <row r="469" s="137" customFormat="1"/>
    <row r="470" s="137" customFormat="1"/>
    <row r="471" s="137" customFormat="1"/>
    <row r="472" s="137" customFormat="1"/>
    <row r="473" s="137" customFormat="1"/>
    <row r="474" s="137" customFormat="1"/>
    <row r="475" s="137" customFormat="1"/>
    <row r="476" s="137" customFormat="1"/>
    <row r="477" s="137" customFormat="1"/>
    <row r="478" s="137" customFormat="1"/>
    <row r="479" s="137" customFormat="1"/>
    <row r="480" s="137" customFormat="1"/>
    <row r="481" s="137" customFormat="1"/>
    <row r="482" s="137" customFormat="1"/>
    <row r="483" s="137" customFormat="1"/>
    <row r="484" s="137" customFormat="1"/>
    <row r="485" s="137" customFormat="1"/>
    <row r="486" s="137" customFormat="1"/>
    <row r="487" s="137" customFormat="1"/>
    <row r="488" s="137" customFormat="1"/>
    <row r="489" s="137" customFormat="1"/>
    <row r="490" s="137" customFormat="1"/>
    <row r="491" s="137" customFormat="1"/>
    <row r="492" s="137" customFormat="1"/>
    <row r="493" s="137" customFormat="1"/>
    <row r="494" s="137" customFormat="1"/>
    <row r="495" s="137" customFormat="1"/>
    <row r="496" s="137" customFormat="1"/>
    <row r="497" s="137" customFormat="1"/>
    <row r="498" s="137" customFormat="1"/>
    <row r="499" s="137" customFormat="1"/>
    <row r="500" s="137" customFormat="1"/>
    <row r="501" s="137" customFormat="1"/>
    <row r="502" s="137" customFormat="1"/>
    <row r="503" s="137" customFormat="1"/>
    <row r="504" s="137" customFormat="1"/>
    <row r="505" s="137" customFormat="1"/>
    <row r="506" s="137" customFormat="1"/>
    <row r="507" s="137" customFormat="1"/>
    <row r="508" s="137" customFormat="1"/>
    <row r="509" s="137" customFormat="1"/>
    <row r="510" s="137" customFormat="1"/>
    <row r="511" s="137" customFormat="1"/>
    <row r="512" s="137" customFormat="1"/>
    <row r="513" s="137" customFormat="1"/>
    <row r="514" s="137" customFormat="1"/>
    <row r="515" s="137" customFormat="1"/>
    <row r="516" s="137" customFormat="1"/>
    <row r="517" s="137" customFormat="1"/>
    <row r="518" s="137" customFormat="1"/>
    <row r="519" s="137" customFormat="1"/>
    <row r="520" s="137" customFormat="1"/>
    <row r="521" s="137" customFormat="1"/>
    <row r="522" s="137" customFormat="1"/>
    <row r="523" s="137" customFormat="1"/>
    <row r="524" s="137" customFormat="1"/>
    <row r="525" s="137" customFormat="1"/>
    <row r="526" s="137" customFormat="1"/>
    <row r="527" s="137" customFormat="1"/>
    <row r="528" s="137" customFormat="1"/>
    <row r="529" s="137" customFormat="1"/>
    <row r="530" s="137" customFormat="1"/>
    <row r="531" s="137" customFormat="1"/>
    <row r="532" s="137" customFormat="1"/>
    <row r="533" s="137" customFormat="1"/>
    <row r="534" s="137" customFormat="1"/>
    <row r="535" s="137" customFormat="1"/>
    <row r="536" s="137" customFormat="1"/>
    <row r="537" s="137" customFormat="1"/>
    <row r="538" s="137" customFormat="1"/>
    <row r="539" s="137" customFormat="1"/>
    <row r="540" s="137" customFormat="1"/>
    <row r="541" s="137" customFormat="1"/>
    <row r="542" s="137" customFormat="1"/>
    <row r="543" s="137" customFormat="1"/>
    <row r="544" s="137" customFormat="1"/>
    <row r="545" s="137" customFormat="1"/>
    <row r="546" s="137" customFormat="1"/>
    <row r="547" s="137" customFormat="1"/>
    <row r="548" s="137" customFormat="1"/>
    <row r="549" s="137" customFormat="1"/>
    <row r="550" s="137" customFormat="1"/>
    <row r="551" s="137" customFormat="1"/>
    <row r="552" s="137" customFormat="1"/>
    <row r="553" s="137" customFormat="1"/>
    <row r="554" s="137" customFormat="1"/>
    <row r="555" s="137" customFormat="1"/>
    <row r="556" s="137" customFormat="1"/>
    <row r="557" s="137" customFormat="1"/>
    <row r="558" s="137" customFormat="1"/>
    <row r="559" s="137" customFormat="1"/>
    <row r="560" s="137" customFormat="1"/>
    <row r="561" s="137" customFormat="1"/>
    <row r="562" s="137" customFormat="1"/>
    <row r="563" s="137" customFormat="1"/>
    <row r="564" s="137" customFormat="1"/>
    <row r="565" s="137" customFormat="1"/>
    <row r="566" s="137" customFormat="1"/>
    <row r="567" s="137" customFormat="1"/>
    <row r="568" s="137" customFormat="1"/>
    <row r="569" s="137" customFormat="1"/>
    <row r="570" s="137" customFormat="1"/>
    <row r="571" s="137" customFormat="1"/>
    <row r="572" s="137" customFormat="1"/>
    <row r="573" s="137" customFormat="1"/>
    <row r="574" s="137" customFormat="1"/>
    <row r="575" s="137" customFormat="1"/>
    <row r="576" s="137" customFormat="1"/>
    <row r="577" s="137" customFormat="1"/>
    <row r="578" s="137" customFormat="1"/>
    <row r="579" s="137" customFormat="1"/>
    <row r="580" s="137" customFormat="1"/>
    <row r="581" s="137" customFormat="1"/>
    <row r="582" s="137" customFormat="1"/>
    <row r="583" s="137" customFormat="1"/>
    <row r="584" s="137" customFormat="1"/>
    <row r="585" s="137" customFormat="1"/>
    <row r="586" s="137" customFormat="1"/>
    <row r="587" s="137" customFormat="1"/>
    <row r="588" s="137" customFormat="1"/>
    <row r="589" s="137" customFormat="1"/>
    <row r="590" s="137" customFormat="1"/>
    <row r="591" s="137" customFormat="1"/>
    <row r="592" s="137" customFormat="1"/>
    <row r="593" s="137" customFormat="1"/>
    <row r="594" s="137" customFormat="1"/>
    <row r="595" s="137" customFormat="1"/>
    <row r="596" s="137" customFormat="1"/>
    <row r="597" s="137" customFormat="1"/>
    <row r="598" s="137" customFormat="1"/>
    <row r="599" s="137" customFormat="1"/>
    <row r="600" s="137" customFormat="1"/>
    <row r="601" s="137" customFormat="1"/>
    <row r="602" s="137" customFormat="1"/>
    <row r="603" s="137" customFormat="1"/>
    <row r="604" s="137" customFormat="1"/>
    <row r="605" s="137" customFormat="1"/>
    <row r="606" s="137" customFormat="1"/>
    <row r="607" s="137" customFormat="1"/>
    <row r="608" s="137" customFormat="1"/>
    <row r="609" s="137" customFormat="1"/>
    <row r="610" s="137" customFormat="1"/>
    <row r="611" s="137" customFormat="1"/>
    <row r="612" s="137" customFormat="1"/>
    <row r="613" s="137" customFormat="1"/>
    <row r="614" s="137" customFormat="1"/>
    <row r="615" s="137" customFormat="1"/>
    <row r="616" s="137" customFormat="1"/>
    <row r="617" s="137" customFormat="1"/>
    <row r="618" s="137" customFormat="1"/>
    <row r="619" s="137" customFormat="1"/>
    <row r="620" s="137" customFormat="1"/>
    <row r="621" s="137" customFormat="1"/>
    <row r="622" s="137" customFormat="1"/>
    <row r="623" s="137" customFormat="1"/>
    <row r="624" s="137" customFormat="1"/>
    <row r="625" s="137" customFormat="1"/>
    <row r="626" s="137" customFormat="1"/>
    <row r="627" s="137" customFormat="1"/>
    <row r="628" s="137" customFormat="1"/>
    <row r="629" s="137" customFormat="1"/>
    <row r="630" s="137" customFormat="1"/>
    <row r="631" s="137" customFormat="1"/>
    <row r="632" s="137" customFormat="1"/>
    <row r="633" s="137" customFormat="1"/>
    <row r="634" s="137" customFormat="1"/>
    <row r="635" s="137" customFormat="1"/>
    <row r="636" s="137" customFormat="1"/>
    <row r="637" s="137" customFormat="1"/>
    <row r="638" s="137" customFormat="1"/>
    <row r="639" s="137" customFormat="1"/>
    <row r="640" s="137" customFormat="1"/>
    <row r="641" s="137" customFormat="1"/>
    <row r="642" s="137" customFormat="1"/>
    <row r="643" s="137" customFormat="1"/>
    <row r="644" s="137" customFormat="1"/>
    <row r="645" s="137" customFormat="1"/>
    <row r="646" s="137" customFormat="1"/>
    <row r="647" s="137" customFormat="1"/>
    <row r="648" s="137" customFormat="1"/>
    <row r="649" s="137" customFormat="1"/>
    <row r="650" s="137" customFormat="1"/>
    <row r="651" s="137" customFormat="1"/>
    <row r="652" s="137" customFormat="1"/>
    <row r="653" s="137" customFormat="1"/>
    <row r="654" s="137" customFormat="1"/>
    <row r="655" s="137" customFormat="1"/>
    <row r="656" s="137" customFormat="1"/>
    <row r="657" s="137" customFormat="1"/>
    <row r="658" s="137" customFormat="1"/>
    <row r="659" s="137" customFormat="1"/>
    <row r="660" s="137" customFormat="1"/>
    <row r="661" s="137" customFormat="1"/>
    <row r="662" s="137" customFormat="1"/>
    <row r="663" s="137" customFormat="1"/>
    <row r="664" s="137" customFormat="1"/>
    <row r="665" s="137" customFormat="1"/>
    <row r="666" s="137" customFormat="1"/>
    <row r="667" s="137" customFormat="1"/>
    <row r="668" s="137" customFormat="1"/>
    <row r="669" s="137" customFormat="1"/>
    <row r="670" s="137" customFormat="1"/>
    <row r="671" s="137" customFormat="1"/>
    <row r="672" s="137" customFormat="1"/>
    <row r="673" s="137" customFormat="1"/>
    <row r="674" s="137" customFormat="1"/>
    <row r="675" s="137" customFormat="1"/>
    <row r="676" s="137" customFormat="1"/>
    <row r="677" s="137" customFormat="1"/>
    <row r="678" s="137" customFormat="1"/>
    <row r="679" s="137" customFormat="1"/>
    <row r="680" s="137" customFormat="1"/>
    <row r="681" s="137" customFormat="1"/>
    <row r="682" s="137" customFormat="1"/>
    <row r="683" s="137" customFormat="1"/>
    <row r="684" s="137" customFormat="1"/>
    <row r="685" s="137" customFormat="1"/>
    <row r="686" s="137" customFormat="1"/>
    <row r="687" s="137" customFormat="1"/>
    <row r="688" s="137" customFormat="1"/>
    <row r="689" s="137" customFormat="1"/>
    <row r="690" s="137" customFormat="1"/>
    <row r="691" s="137" customFormat="1"/>
    <row r="692" s="137" customFormat="1"/>
    <row r="693" s="137" customFormat="1"/>
    <row r="694" s="137" customFormat="1"/>
    <row r="695" s="137" customFormat="1"/>
    <row r="696" s="137" customFormat="1"/>
    <row r="697" s="137" customFormat="1"/>
  </sheetData>
  <sheetProtection insertHyperlinks="0" selectLockedCells="1"/>
  <protectedRanges>
    <protectedRange sqref="Z7:AA7" name="Range1"/>
  </protectedRanges>
  <dataConsolidate/>
  <mergeCells count="169">
    <mergeCell ref="AA18:AG18"/>
    <mergeCell ref="BB31:BE31"/>
    <mergeCell ref="AU37:AY37"/>
    <mergeCell ref="AZ37:BE37"/>
    <mergeCell ref="A27:BH27"/>
    <mergeCell ref="A22:D22"/>
    <mergeCell ref="AA19:AG19"/>
    <mergeCell ref="BB30:BE30"/>
    <mergeCell ref="H30:L30"/>
    <mergeCell ref="T30:X30"/>
    <mergeCell ref="AD30:AH30"/>
    <mergeCell ref="T28:X28"/>
    <mergeCell ref="AD28:AH28"/>
    <mergeCell ref="Y28:AC28"/>
    <mergeCell ref="BI39:BO39"/>
    <mergeCell ref="BI27:BO27"/>
    <mergeCell ref="AN39:AS39"/>
    <mergeCell ref="BB38:BE38"/>
    <mergeCell ref="AU38:BA38"/>
    <mergeCell ref="AO29:AS29"/>
    <mergeCell ref="AU39:BA39"/>
    <mergeCell ref="BB39:BE39"/>
    <mergeCell ref="BA29:BE29"/>
    <mergeCell ref="BI38:BO38"/>
    <mergeCell ref="BB21:BH21"/>
    <mergeCell ref="BB16:BH16"/>
    <mergeCell ref="BB19:BH19"/>
    <mergeCell ref="A25:BH25"/>
    <mergeCell ref="A26:BH26"/>
    <mergeCell ref="E20:H20"/>
    <mergeCell ref="A23:BH23"/>
    <mergeCell ref="A19:D19"/>
    <mergeCell ref="A20:D20"/>
    <mergeCell ref="E18:H18"/>
    <mergeCell ref="BB7:BH7"/>
    <mergeCell ref="BB20:BH20"/>
    <mergeCell ref="BB18:BH18"/>
    <mergeCell ref="BB9:BH9"/>
    <mergeCell ref="I7:Q7"/>
    <mergeCell ref="Y20:Z20"/>
    <mergeCell ref="R20:X20"/>
    <mergeCell ref="I10:Q10"/>
    <mergeCell ref="I19:N19"/>
    <mergeCell ref="AJ20:AO20"/>
    <mergeCell ref="A46:I46"/>
    <mergeCell ref="R18:X18"/>
    <mergeCell ref="AH18:AI18"/>
    <mergeCell ref="AH19:AI19"/>
    <mergeCell ref="AH20:AI20"/>
    <mergeCell ref="A21:D21"/>
    <mergeCell ref="A18:D18"/>
    <mergeCell ref="A28:G28"/>
    <mergeCell ref="H28:L28"/>
    <mergeCell ref="M28:S28"/>
    <mergeCell ref="V41:AA41"/>
    <mergeCell ref="V46:AA46"/>
    <mergeCell ref="P44:U44"/>
    <mergeCell ref="P45:U45"/>
    <mergeCell ref="P46:U46"/>
    <mergeCell ref="J45:O45"/>
    <mergeCell ref="J43:O43"/>
    <mergeCell ref="J44:O44"/>
    <mergeCell ref="J46:O46"/>
    <mergeCell ref="V44:AA44"/>
    <mergeCell ref="V45:AA45"/>
    <mergeCell ref="J42:O42"/>
    <mergeCell ref="P42:U42"/>
    <mergeCell ref="A32:BH32"/>
    <mergeCell ref="A45:I45"/>
    <mergeCell ref="A44:I44"/>
    <mergeCell ref="A42:I42"/>
    <mergeCell ref="A35:BH35"/>
    <mergeCell ref="P43:U43"/>
    <mergeCell ref="V42:AA42"/>
    <mergeCell ref="V43:AA43"/>
    <mergeCell ref="AN37:AS37"/>
    <mergeCell ref="Y39:AD39"/>
    <mergeCell ref="AE38:AM38"/>
    <mergeCell ref="A40:AA40"/>
    <mergeCell ref="J41:O41"/>
    <mergeCell ref="A41:I41"/>
    <mergeCell ref="P37:X37"/>
    <mergeCell ref="J38:O38"/>
    <mergeCell ref="AE39:AM39"/>
    <mergeCell ref="P39:X39"/>
    <mergeCell ref="A1:BH1"/>
    <mergeCell ref="A11:AI11"/>
    <mergeCell ref="G12:AA12"/>
    <mergeCell ref="G13:AA13"/>
    <mergeCell ref="R21:X21"/>
    <mergeCell ref="BB4:BH4"/>
    <mergeCell ref="BB13:BH13"/>
    <mergeCell ref="BB15:BH15"/>
    <mergeCell ref="BB17:BH17"/>
    <mergeCell ref="BB3:BH3"/>
    <mergeCell ref="BB6:BH6"/>
    <mergeCell ref="I6:Q6"/>
    <mergeCell ref="Z7:AS7"/>
    <mergeCell ref="A2:BH2"/>
    <mergeCell ref="P38:X38"/>
    <mergeCell ref="Y37:AD37"/>
    <mergeCell ref="A38:I38"/>
    <mergeCell ref="J37:O37"/>
    <mergeCell ref="BB14:BH14"/>
    <mergeCell ref="Z6:AS6"/>
    <mergeCell ref="Z4:AG4"/>
    <mergeCell ref="AL4:AS4"/>
    <mergeCell ref="A16:AO16"/>
    <mergeCell ref="AJ17:AO17"/>
    <mergeCell ref="I4:Q4"/>
    <mergeCell ref="A12:F12"/>
    <mergeCell ref="A13:F13"/>
    <mergeCell ref="A17:E17"/>
    <mergeCell ref="E19:H19"/>
    <mergeCell ref="I17:Q17"/>
    <mergeCell ref="Y18:Z18"/>
    <mergeCell ref="O18:Q18"/>
    <mergeCell ref="O19:Q19"/>
    <mergeCell ref="R17:Z17"/>
    <mergeCell ref="Z3:AS3"/>
    <mergeCell ref="R19:X19"/>
    <mergeCell ref="AA20:AG20"/>
    <mergeCell ref="O20:Q20"/>
    <mergeCell ref="AP11:BH11"/>
    <mergeCell ref="BB12:BH12"/>
    <mergeCell ref="AA17:AI17"/>
    <mergeCell ref="I9:Q9"/>
    <mergeCell ref="Z9:AS9"/>
    <mergeCell ref="Z10:AD10"/>
    <mergeCell ref="AN38:AS38"/>
    <mergeCell ref="A29:G29"/>
    <mergeCell ref="E22:H22"/>
    <mergeCell ref="AA21:AG21"/>
    <mergeCell ref="E21:H21"/>
    <mergeCell ref="O21:Q21"/>
    <mergeCell ref="O22:Q22"/>
    <mergeCell ref="I21:N21"/>
    <mergeCell ref="AE37:AM37"/>
    <mergeCell ref="AD29:AH29"/>
    <mergeCell ref="H31:L31"/>
    <mergeCell ref="A36:BH36"/>
    <mergeCell ref="H29:L29"/>
    <mergeCell ref="M29:S29"/>
    <mergeCell ref="T29:X29"/>
    <mergeCell ref="Y29:AC29"/>
    <mergeCell ref="A33:BH33"/>
    <mergeCell ref="AI29:AN29"/>
    <mergeCell ref="AO30:AS30"/>
    <mergeCell ref="A34:BH34"/>
    <mergeCell ref="AJ21:AO21"/>
    <mergeCell ref="AJ22:AO22"/>
    <mergeCell ref="A47:BH47"/>
    <mergeCell ref="AB41:BH46"/>
    <mergeCell ref="AB40:BH40"/>
    <mergeCell ref="BF29:BH29"/>
    <mergeCell ref="A43:I43"/>
    <mergeCell ref="P41:U41"/>
    <mergeCell ref="Y38:AD38"/>
    <mergeCell ref="A37:I37"/>
    <mergeCell ref="AJ18:AO18"/>
    <mergeCell ref="AJ19:AO19"/>
    <mergeCell ref="BA28:BE28"/>
    <mergeCell ref="A24:BH24"/>
    <mergeCell ref="R22:X22"/>
    <mergeCell ref="AA22:AG22"/>
    <mergeCell ref="Y19:Z19"/>
    <mergeCell ref="I22:N22"/>
    <mergeCell ref="I20:N20"/>
    <mergeCell ref="I18:N18"/>
  </mergeCells>
  <phoneticPr fontId="3" type="noConversion"/>
  <conditionalFormatting sqref="I7:Q7">
    <cfRule type="expression" dxfId="141" priority="544" stopIfTrue="1">
      <formula>$I$6="Renewal"</formula>
    </cfRule>
  </conditionalFormatting>
  <conditionalFormatting sqref="Y18:Y21 AH18:AH21">
    <cfRule type="expression" dxfId="140" priority="259" stopIfTrue="1">
      <formula>Y18&lt;0</formula>
    </cfRule>
    <cfRule type="expression" dxfId="139" priority="260" stopIfTrue="1">
      <formula>Y18&gt;0</formula>
    </cfRule>
  </conditionalFormatting>
  <conditionalFormatting sqref="AU5">
    <cfRule type="expression" dxfId="138" priority="90" stopIfTrue="1">
      <formula>AU5="*** The effective date is prior to today. ***"</formula>
    </cfRule>
  </conditionalFormatting>
  <conditionalFormatting sqref="J37">
    <cfRule type="expression" dxfId="137" priority="1950" stopIfTrue="1">
      <formula>AND(A37="Split Deductible:",#REF!="Oil &amp; Gas")</formula>
    </cfRule>
    <cfRule type="expression" dxfId="136" priority="1951" stopIfTrue="1">
      <formula>AND(A37="Split Deductible:",#REF!="Construction")</formula>
    </cfRule>
    <cfRule type="expression" dxfId="135" priority="1952" stopIfTrue="1">
      <formula>AND(A37="Split Deductible:",#REF!="Specialty")</formula>
    </cfRule>
    <cfRule type="expression" dxfId="134" priority="1953" stopIfTrue="1">
      <formula>A37="Split Deductible:"</formula>
    </cfRule>
  </conditionalFormatting>
  <dataValidations xWindow="934" yWindow="445" count="23">
    <dataValidation type="date" allowBlank="1" showErrorMessage="1" sqref="BB7">
      <formula1>1</formula1>
      <formula2>73051</formula2>
    </dataValidation>
    <dataValidation type="list" allowBlank="1" showInputMessage="1" showErrorMessage="1" sqref="I6:Q6">
      <formula1>"New, Renewal"</formula1>
    </dataValidation>
    <dataValidation allowBlank="1" showErrorMessage="1" promptTitle="If a RENEWAL" prompt="Fill in the &quot;Expiring Information&quot; below to help calculate the ERC." sqref="I7"/>
    <dataValidation type="list" allowBlank="1" showInputMessage="1" showErrorMessage="1" sqref="AZ37">
      <formula1>"Inside Limits, Outside Limits"</formula1>
    </dataValidation>
    <dataValidation type="list" allowBlank="1" showInputMessage="1" showErrorMessage="1" sqref="AA17 R17 I17 AJ17">
      <formula1>ExposureBases</formula1>
    </dataValidation>
    <dataValidation type="whole" allowBlank="1" showInputMessage="1" showErrorMessage="1" error="You must enter whole numbers." sqref="I18:I22 AA18:AA22 R18:R20 R22">
      <formula1>0</formula1>
      <formula2>999999999999999000</formula2>
    </dataValidation>
    <dataValidation type="list" allowBlank="1" showInputMessage="1" showErrorMessage="1" sqref="I4">
      <formula1>UWs</formula1>
    </dataValidation>
    <dataValidation type="decimal" allowBlank="1" showInputMessage="1" showErrorMessage="1" sqref="BB3:BH3 J38:O38">
      <formula1>0</formula1>
      <formula2>1</formula2>
    </dataValidation>
    <dataValidation type="date" allowBlank="1" showInputMessage="1" showErrorMessage="1" sqref="BB6">
      <formula1>1</formula1>
      <formula2>73051</formula2>
    </dataValidation>
    <dataValidation type="custom" allowBlank="1" showInputMessage="1" showErrorMessage="1" errorTitle="Invalid Entry" error="Please enter either a $ figure or Excluded." sqref="BB12:BB13 BB15:BB21">
      <formula1>OR(BB12&lt;5000001,BB12="Excluded",BB12="")</formula1>
    </dataValidation>
    <dataValidation type="custom" allowBlank="1" showInputMessage="1" showErrorMessage="1" errorTitle="Invalid Entry" error="Please enter either a $ figure, Included In Gen Agg or Excluded." sqref="BB14">
      <formula1>OR(BB14&lt;5000001,BB14="Included In Gen Agg",BB14="Excluded",BB14="")</formula1>
    </dataValidation>
    <dataValidation type="list" allowBlank="1" showInputMessage="1" showErrorMessage="1" sqref="Z3">
      <formula1>CurrentBrokers</formula1>
    </dataValidation>
    <dataValidation allowBlank="1" showErrorMessage="1" promptTitle="IF CLAIMS MADE FORM" prompt="You must have a Retroactive Date Filled in or &quot;NONE&quot;" sqref="Y9"/>
    <dataValidation type="whole" allowBlank="1" showInputMessage="1" showErrorMessage="1" error="Please enter a value between 0-250." sqref="BB9:BH9">
      <formula1>0</formula1>
      <formula2>250</formula2>
    </dataValidation>
    <dataValidation type="whole" allowBlank="1" showInputMessage="1" showErrorMessage="1" sqref="I3:Q3">
      <formula1>0</formula1>
      <formula2>999999999</formula2>
    </dataValidation>
    <dataValidation type="date" allowBlank="1" showInputMessage="1" showErrorMessage="1" sqref="Z10:AD10">
      <formula1>367</formula1>
      <formula2>EffectiveDate</formula2>
    </dataValidation>
    <dataValidation type="decimal" allowBlank="1" showInputMessage="1" showErrorMessage="1" error="Please enter a $ value." sqref="J37:O37">
      <formula1>0</formula1>
      <formula2>100000000000000</formula2>
    </dataValidation>
    <dataValidation type="decimal" allowBlank="1" showInputMessage="1" showErrorMessage="1" error="Please enter a $ value." sqref="BB4:BH4">
      <formula1>0</formula1>
      <formula2>10000000000000000</formula2>
    </dataValidation>
    <dataValidation type="list" allowBlank="1" showInputMessage="1" showErrorMessage="1" sqref="Y37:AD37">
      <formula1>"Deductible, SIR"</formula1>
    </dataValidation>
    <dataValidation type="list" allowBlank="1" showInputMessage="1" showErrorMessage="1" sqref="Y38:AD38">
      <formula1>InsuredRetAmt</formula1>
    </dataValidation>
    <dataValidation type="list" allowBlank="1" showInputMessage="1" showErrorMessage="1" sqref="G12:AA12">
      <formula1>WCISClassCodes</formula1>
    </dataValidation>
    <dataValidation type="list" allowBlank="1" showInputMessage="1" showErrorMessage="1" sqref="G13:AA13">
      <formula1>ISOClassCodes</formula1>
    </dataValidation>
    <dataValidation type="list" allowBlank="1" showInputMessage="1" showErrorMessage="1" sqref="I9:Q9">
      <formula1>StateList</formula1>
    </dataValidation>
  </dataValidations>
  <printOptions horizontalCentered="1"/>
  <pageMargins left="0.25" right="0.1" top="0.25" bottom="0.25" header="0.5" footer="0.5"/>
  <pageSetup scale="57"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29" r:id="rId5" name="Check Box 5">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30" r:id="rId6" name="Check Box 6">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31" r:id="rId7" name="Check Box 7">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32" r:id="rId8" name="Check Box 8">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33" r:id="rId9" name="Check Box 9">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34" r:id="rId10" name="Check Box 10">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35" r:id="rId11" name="Check Box 11">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36" r:id="rId12" name="Check Box 12">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37" r:id="rId13" name="Check Box 13">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38" r:id="rId14" name="Check Box 14">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39" r:id="rId15" name="Check Box 15">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40" r:id="rId16" name="Check Box 16">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41" r:id="rId17" name="Check Box 17">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42" r:id="rId18" name="Check Box 18">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43" r:id="rId19" name="Check Box 19">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44" r:id="rId20" name="Check Box 20">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45" r:id="rId21" name="Check Box 21">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46" r:id="rId22" name="Check Box 22">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47" r:id="rId23" name="Check Box 23">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48" r:id="rId24" name="Check Box 24">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49" r:id="rId25" name="Check Box 25">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50" r:id="rId26" name="Check Box 26">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51" r:id="rId27" name="Check Box 27">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52" r:id="rId28" name="Check Box 28">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53" r:id="rId29" name="Check Box 29">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54" r:id="rId30" name="Check Box 30">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55" r:id="rId31" name="Check Box 31">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56" r:id="rId32" name="Check Box 32">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57" r:id="rId33" name="Check Box 33">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58" r:id="rId34" name="Check Box 34">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59" r:id="rId35" name="Check Box 35">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60" r:id="rId36" name="Check Box 36">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61" r:id="rId37" name="Check Box 37">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62" r:id="rId38" name="Check Box 38">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63" r:id="rId39" name="Check Box 39">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64" r:id="rId40" name="Check Box 40">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28" r:id="rId41" name="Check Box 4">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76" r:id="rId42" name="Check Box 52">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77" r:id="rId43" name="Check Box 53">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78" r:id="rId44" name="Check Box 54">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mc:AlternateContent xmlns:mc="http://schemas.openxmlformats.org/markup-compatibility/2006">
          <mc:Choice Requires="x14">
            <control shapeId="1079" r:id="rId45" name="Check Box 55">
              <controlPr locked="0" defaultSize="0" autoFill="0" autoLine="0" autoPict="0">
                <anchor moveWithCells="1">
                  <from>
                    <xdr:col>61</xdr:col>
                    <xdr:colOff>0</xdr:colOff>
                    <xdr:row>2470</xdr:row>
                    <xdr:rowOff>9525</xdr:rowOff>
                  </from>
                  <to>
                    <xdr:col>61</xdr:col>
                    <xdr:colOff>304800</xdr:colOff>
                    <xdr:row>2471</xdr:row>
                    <xdr:rowOff>66675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WSNotesAndRating1">
    <tabColor rgb="FFFFFF00"/>
    <pageSetUpPr fitToPage="1"/>
  </sheetPr>
  <dimension ref="A1:GD670"/>
  <sheetViews>
    <sheetView showGridLines="0" zoomScale="91" zoomScaleNormal="91" zoomScaleSheetLayoutView="50" workbookViewId="0">
      <selection activeCell="AN16" sqref="AN16:AR19"/>
    </sheetView>
  </sheetViews>
  <sheetFormatPr defaultColWidth="7.140625" defaultRowHeight="12.75"/>
  <cols>
    <col min="1" max="1" width="4.42578125" style="32" customWidth="1"/>
    <col min="2" max="5" width="2.85546875" style="32" customWidth="1"/>
    <col min="6" max="6" width="5.140625" style="32" customWidth="1"/>
    <col min="7" max="7" width="6.85546875" style="32" customWidth="1"/>
    <col min="8" max="8" width="4.5703125" style="32" customWidth="1"/>
    <col min="9" max="9" width="7.5703125" style="32" customWidth="1"/>
    <col min="10" max="13" width="2.85546875" style="32" customWidth="1"/>
    <col min="14" max="14" width="3.42578125" style="32" customWidth="1"/>
    <col min="15" max="15" width="3.7109375" style="32" customWidth="1"/>
    <col min="16" max="16" width="4.7109375" style="32" customWidth="1"/>
    <col min="17" max="17" width="3.5703125" style="32" customWidth="1"/>
    <col min="18" max="18" width="4.28515625" style="32" customWidth="1"/>
    <col min="19" max="19" width="4.140625" style="32" customWidth="1"/>
    <col min="20" max="20" width="2.85546875" style="32" customWidth="1"/>
    <col min="21" max="21" width="3.140625" style="32" customWidth="1"/>
    <col min="22" max="22" width="2.85546875" style="32" customWidth="1"/>
    <col min="23" max="24" width="3.5703125" style="32" customWidth="1"/>
    <col min="25" max="26" width="4.140625" style="32" customWidth="1"/>
    <col min="27" max="27" width="4.5703125" style="32" customWidth="1"/>
    <col min="28" max="28" width="5.85546875" style="32" customWidth="1"/>
    <col min="29" max="29" width="2.85546875" style="32" customWidth="1"/>
    <col min="30" max="30" width="3.42578125" style="32" customWidth="1"/>
    <col min="31" max="31" width="4.5703125" style="32" customWidth="1"/>
    <col min="32" max="32" width="2.85546875" style="32" customWidth="1"/>
    <col min="33" max="33" width="2.7109375" style="32" customWidth="1"/>
    <col min="34" max="34" width="2.85546875" style="32" customWidth="1"/>
    <col min="35" max="35" width="3.28515625" style="32" customWidth="1"/>
    <col min="36" max="52" width="2.85546875" style="32" customWidth="1"/>
    <col min="53" max="53" width="3.85546875" style="32" customWidth="1"/>
    <col min="54" max="54" width="3.7109375" style="32" customWidth="1"/>
    <col min="55" max="55" width="5.140625" style="32" customWidth="1"/>
    <col min="56" max="60" width="2.85546875" style="32" customWidth="1"/>
    <col min="61" max="171" width="7.140625" style="32"/>
    <col min="172" max="186" width="7.140625" style="1"/>
    <col min="187" max="16384" width="7.140625" style="32"/>
  </cols>
  <sheetData>
    <row r="1" spans="1:162" ht="15" customHeight="1">
      <c r="A1" s="460" t="s">
        <v>1991</v>
      </c>
      <c r="B1" s="461"/>
      <c r="C1" s="461"/>
      <c r="D1" s="461"/>
      <c r="E1" s="461"/>
      <c r="F1" s="461"/>
      <c r="G1" s="461"/>
      <c r="H1" s="461"/>
      <c r="I1" s="461"/>
      <c r="J1" s="461"/>
      <c r="K1" s="461"/>
      <c r="L1" s="461"/>
      <c r="M1" s="461"/>
      <c r="N1" s="461"/>
      <c r="O1" s="461"/>
      <c r="P1" s="461"/>
      <c r="Q1" s="461"/>
      <c r="R1" s="461"/>
      <c r="S1" s="461"/>
      <c r="T1" s="461"/>
      <c r="U1" s="461"/>
      <c r="V1" s="461"/>
      <c r="W1" s="461"/>
      <c r="X1" s="461"/>
      <c r="Y1" s="461"/>
      <c r="Z1" s="461"/>
      <c r="AA1" s="461"/>
      <c r="AB1" s="461"/>
      <c r="AC1" s="461"/>
      <c r="AD1" s="461"/>
      <c r="AE1" s="461"/>
      <c r="AF1" s="461"/>
      <c r="AG1" s="461"/>
      <c r="AH1" s="461"/>
      <c r="AI1" s="461"/>
      <c r="AJ1" s="461"/>
      <c r="AK1" s="461"/>
      <c r="AL1" s="461"/>
      <c r="AM1" s="461"/>
      <c r="AN1" s="461"/>
      <c r="AO1" s="461"/>
      <c r="AP1" s="461"/>
      <c r="AQ1" s="461"/>
      <c r="AR1" s="461"/>
      <c r="AS1" s="461"/>
      <c r="AT1" s="461"/>
      <c r="AU1" s="461"/>
      <c r="AV1" s="461"/>
      <c r="AW1" s="461"/>
      <c r="AX1" s="461"/>
      <c r="AY1" s="461"/>
      <c r="AZ1" s="461"/>
      <c r="BA1" s="461"/>
      <c r="BB1" s="461"/>
      <c r="BC1" s="461"/>
      <c r="BD1" s="461"/>
      <c r="BE1" s="461"/>
      <c r="BF1" s="461"/>
      <c r="BG1" s="461"/>
      <c r="BH1" s="462"/>
    </row>
    <row r="2" spans="1:162" s="141" customFormat="1" ht="15.75" customHeight="1">
      <c r="A2" s="578" t="s">
        <v>1994</v>
      </c>
      <c r="B2" s="579"/>
      <c r="C2" s="579"/>
      <c r="D2" s="579"/>
      <c r="E2" s="579"/>
      <c r="F2" s="579"/>
      <c r="G2" s="579"/>
      <c r="H2" s="579"/>
      <c r="I2" s="579"/>
      <c r="J2" s="579"/>
      <c r="K2" s="579"/>
      <c r="L2" s="579"/>
      <c r="M2" s="579"/>
      <c r="N2" s="579"/>
      <c r="O2" s="579"/>
      <c r="P2" s="579"/>
      <c r="Q2" s="579"/>
      <c r="R2" s="579"/>
      <c r="S2" s="579"/>
      <c r="T2" s="579"/>
      <c r="U2" s="579"/>
      <c r="V2" s="579"/>
      <c r="W2" s="579"/>
      <c r="X2" s="579"/>
      <c r="Y2" s="579"/>
      <c r="Z2" s="579"/>
      <c r="AA2" s="579"/>
      <c r="AB2" s="579"/>
      <c r="AC2" s="579"/>
      <c r="AD2" s="579"/>
      <c r="AE2" s="579"/>
      <c r="AF2" s="579"/>
      <c r="AG2" s="579"/>
      <c r="AH2" s="579"/>
      <c r="AI2" s="579"/>
      <c r="AJ2" s="579"/>
      <c r="AK2" s="579"/>
      <c r="AL2" s="579"/>
      <c r="AM2" s="579"/>
      <c r="AN2" s="579"/>
      <c r="AO2" s="579"/>
      <c r="AP2" s="579"/>
      <c r="AQ2" s="579"/>
      <c r="AR2" s="579"/>
      <c r="AS2" s="579"/>
      <c r="AT2" s="579"/>
      <c r="AU2" s="579"/>
      <c r="AV2" s="579"/>
      <c r="AW2" s="579"/>
      <c r="AX2" s="579"/>
      <c r="AY2" s="579"/>
      <c r="AZ2" s="579"/>
      <c r="BA2" s="579"/>
      <c r="BB2" s="579"/>
      <c r="BC2" s="579"/>
      <c r="BD2" s="579"/>
      <c r="BE2" s="579"/>
      <c r="BF2" s="579"/>
      <c r="BG2" s="579"/>
      <c r="BH2" s="580"/>
    </row>
    <row r="3" spans="1:162" s="141" customFormat="1" ht="15">
      <c r="A3" s="35"/>
      <c r="B3" s="138"/>
      <c r="C3" s="138"/>
      <c r="D3" s="138"/>
      <c r="E3" s="138"/>
      <c r="F3" s="138"/>
      <c r="G3" s="138"/>
      <c r="H3" s="143"/>
      <c r="I3" s="204"/>
      <c r="J3" s="204"/>
      <c r="K3" s="204"/>
      <c r="L3" s="204"/>
      <c r="M3" s="204"/>
      <c r="N3" s="204"/>
      <c r="O3" s="204"/>
      <c r="P3" s="204"/>
      <c r="Q3" s="204"/>
      <c r="R3" s="23"/>
      <c r="S3" s="139"/>
      <c r="T3" s="139"/>
      <c r="U3" s="139"/>
      <c r="V3" s="139"/>
      <c r="W3" s="139"/>
      <c r="X3" s="139"/>
      <c r="Y3" s="143" t="s">
        <v>319</v>
      </c>
      <c r="Z3" s="417">
        <f>'NOTES &amp; RATING'!Z3</f>
        <v>0</v>
      </c>
      <c r="AA3" s="418"/>
      <c r="AB3" s="418"/>
      <c r="AC3" s="418"/>
      <c r="AD3" s="418"/>
      <c r="AE3" s="418"/>
      <c r="AF3" s="418"/>
      <c r="AG3" s="418"/>
      <c r="AH3" s="418"/>
      <c r="AI3" s="418"/>
      <c r="AJ3" s="418"/>
      <c r="AK3" s="418"/>
      <c r="AL3" s="418"/>
      <c r="AM3" s="418"/>
      <c r="AN3" s="418"/>
      <c r="AO3" s="418"/>
      <c r="AP3" s="418"/>
      <c r="AQ3" s="418"/>
      <c r="AR3" s="418"/>
      <c r="AS3" s="419"/>
      <c r="AT3" s="139"/>
      <c r="AU3" s="139"/>
      <c r="AV3" s="139"/>
      <c r="AW3" s="139"/>
      <c r="AX3" s="139"/>
      <c r="AY3" s="139"/>
      <c r="AZ3" s="139"/>
      <c r="BA3" s="143" t="s">
        <v>4</v>
      </c>
      <c r="BB3" s="473">
        <f>'NOTES &amp; RATING'!BB3</f>
        <v>0</v>
      </c>
      <c r="BC3" s="474"/>
      <c r="BD3" s="474"/>
      <c r="BE3" s="474"/>
      <c r="BF3" s="474"/>
      <c r="BG3" s="474"/>
      <c r="BH3" s="475"/>
    </row>
    <row r="4" spans="1:162" s="149" customFormat="1" ht="14.25" customHeight="1">
      <c r="A4" s="144"/>
      <c r="B4" s="145"/>
      <c r="C4" s="145"/>
      <c r="D4" s="145"/>
      <c r="E4" s="145"/>
      <c r="F4" s="145"/>
      <c r="G4" s="145"/>
      <c r="H4" s="142" t="s">
        <v>273</v>
      </c>
      <c r="I4" s="577">
        <f>'NOTES &amp; RATING'!I4</f>
        <v>0</v>
      </c>
      <c r="J4" s="577"/>
      <c r="K4" s="577"/>
      <c r="L4" s="577"/>
      <c r="M4" s="577"/>
      <c r="N4" s="577"/>
      <c r="O4" s="577"/>
      <c r="P4" s="577"/>
      <c r="Q4" s="577"/>
      <c r="R4" s="146"/>
      <c r="S4" s="145"/>
      <c r="T4" s="145"/>
      <c r="U4" s="145"/>
      <c r="V4" s="145"/>
      <c r="W4" s="145"/>
      <c r="X4" s="145"/>
      <c r="Y4" s="143" t="s">
        <v>298</v>
      </c>
      <c r="Z4" s="417">
        <f>'NOTES &amp; RATING'!Z4</f>
        <v>0</v>
      </c>
      <c r="AA4" s="434"/>
      <c r="AB4" s="434"/>
      <c r="AC4" s="434"/>
      <c r="AD4" s="434"/>
      <c r="AE4" s="434"/>
      <c r="AF4" s="434"/>
      <c r="AG4" s="435"/>
      <c r="AH4" s="34"/>
      <c r="AI4" s="34"/>
      <c r="AJ4" s="34"/>
      <c r="AK4" s="143" t="s">
        <v>193</v>
      </c>
      <c r="AL4" s="436">
        <f>'NOTES &amp; RATING'!AL4</f>
        <v>0</v>
      </c>
      <c r="AM4" s="418"/>
      <c r="AN4" s="418"/>
      <c r="AO4" s="418"/>
      <c r="AP4" s="418"/>
      <c r="AQ4" s="418"/>
      <c r="AR4" s="418"/>
      <c r="AS4" s="419"/>
      <c r="AT4" s="145"/>
      <c r="AU4" s="145"/>
      <c r="AV4" s="145"/>
      <c r="AW4" s="145"/>
      <c r="AX4" s="145"/>
      <c r="AY4" s="145"/>
      <c r="AZ4" s="145"/>
      <c r="BA4" s="143" t="s">
        <v>1977</v>
      </c>
      <c r="BB4" s="468"/>
      <c r="BC4" s="469"/>
      <c r="BD4" s="469"/>
      <c r="BE4" s="469"/>
      <c r="BF4" s="469"/>
      <c r="BG4" s="469"/>
      <c r="BH4" s="470"/>
    </row>
    <row r="5" spans="1:162" s="149" customFormat="1" ht="15" customHeight="1">
      <c r="A5" s="144"/>
      <c r="B5" s="145"/>
      <c r="C5" s="145"/>
      <c r="D5" s="145"/>
      <c r="E5" s="145"/>
      <c r="F5" s="145"/>
      <c r="G5" s="145"/>
      <c r="H5" s="145"/>
      <c r="I5" s="145"/>
      <c r="J5" s="145"/>
      <c r="K5" s="145"/>
      <c r="L5" s="145"/>
      <c r="M5" s="145"/>
      <c r="N5" s="145"/>
      <c r="O5" s="145"/>
      <c r="P5" s="145"/>
      <c r="Q5" s="145"/>
      <c r="R5" s="145"/>
      <c r="S5" s="145"/>
      <c r="T5" s="145"/>
      <c r="U5" s="145"/>
      <c r="V5" s="145"/>
      <c r="W5" s="145"/>
      <c r="X5" s="145"/>
      <c r="Y5" s="145"/>
      <c r="Z5" s="145"/>
      <c r="AA5" s="145"/>
      <c r="AB5" s="145"/>
      <c r="AC5" s="145"/>
      <c r="AD5" s="145"/>
      <c r="AE5" s="145"/>
      <c r="AF5" s="145"/>
      <c r="AG5" s="145"/>
      <c r="AH5" s="145"/>
      <c r="AI5" s="145"/>
      <c r="AJ5" s="145"/>
      <c r="AK5" s="145"/>
      <c r="AL5" s="145"/>
      <c r="AM5" s="145"/>
      <c r="AN5" s="145"/>
      <c r="AO5" s="145"/>
      <c r="AP5" s="145"/>
      <c r="AQ5" s="145"/>
      <c r="AR5" s="145"/>
      <c r="AS5" s="145"/>
      <c r="AT5" s="145"/>
      <c r="AU5" s="150"/>
      <c r="AV5" s="150"/>
      <c r="AW5" s="150"/>
      <c r="AX5" s="150"/>
      <c r="AY5" s="150"/>
      <c r="AZ5" s="150"/>
      <c r="BA5" s="150"/>
      <c r="BB5" s="150"/>
      <c r="BC5" s="150"/>
      <c r="BD5" s="150"/>
      <c r="BE5" s="150"/>
      <c r="BF5" s="150"/>
      <c r="BG5" s="150"/>
      <c r="BH5" s="151"/>
    </row>
    <row r="6" spans="1:162" s="149" customFormat="1" ht="15" customHeight="1">
      <c r="A6" s="144"/>
      <c r="B6" s="145"/>
      <c r="C6" s="145"/>
      <c r="D6" s="145"/>
      <c r="E6" s="145"/>
      <c r="F6" s="145"/>
      <c r="G6" s="145"/>
      <c r="H6" s="142" t="s">
        <v>304</v>
      </c>
      <c r="I6" s="449" t="s">
        <v>440</v>
      </c>
      <c r="J6" s="449"/>
      <c r="K6" s="449"/>
      <c r="L6" s="449"/>
      <c r="M6" s="449"/>
      <c r="N6" s="449"/>
      <c r="O6" s="449"/>
      <c r="P6" s="449"/>
      <c r="Q6" s="449"/>
      <c r="R6" s="138"/>
      <c r="S6" s="145"/>
      <c r="T6" s="145"/>
      <c r="U6" s="145"/>
      <c r="V6" s="145"/>
      <c r="W6" s="145"/>
      <c r="X6" s="145"/>
      <c r="Y6" s="143" t="s">
        <v>62</v>
      </c>
      <c r="Z6" s="417">
        <f>'NOTES &amp; RATING'!Z6</f>
        <v>0</v>
      </c>
      <c r="AA6" s="418"/>
      <c r="AB6" s="418"/>
      <c r="AC6" s="418"/>
      <c r="AD6" s="418"/>
      <c r="AE6" s="418"/>
      <c r="AF6" s="418"/>
      <c r="AG6" s="418"/>
      <c r="AH6" s="418"/>
      <c r="AI6" s="418"/>
      <c r="AJ6" s="418"/>
      <c r="AK6" s="418"/>
      <c r="AL6" s="418"/>
      <c r="AM6" s="418"/>
      <c r="AN6" s="418"/>
      <c r="AO6" s="418"/>
      <c r="AP6" s="418"/>
      <c r="AQ6" s="418"/>
      <c r="AR6" s="418"/>
      <c r="AS6" s="419"/>
      <c r="AT6" s="145"/>
      <c r="AU6" s="145"/>
      <c r="AV6" s="145"/>
      <c r="AW6" s="145"/>
      <c r="AX6" s="145"/>
      <c r="AY6" s="145"/>
      <c r="AZ6" s="145"/>
      <c r="BA6" s="143" t="s">
        <v>218</v>
      </c>
      <c r="BB6" s="446">
        <f>'NOTES &amp; RATING'!BB6</f>
        <v>0</v>
      </c>
      <c r="BC6" s="447"/>
      <c r="BD6" s="447"/>
      <c r="BE6" s="447"/>
      <c r="BF6" s="447"/>
      <c r="BG6" s="447"/>
      <c r="BH6" s="448"/>
    </row>
    <row r="7" spans="1:162" s="149" customFormat="1" ht="15" customHeight="1">
      <c r="A7" s="144"/>
      <c r="B7" s="145"/>
      <c r="C7" s="145"/>
      <c r="D7" s="145"/>
      <c r="E7" s="145"/>
      <c r="F7" s="145"/>
      <c r="G7" s="145"/>
      <c r="H7" s="143" t="str">
        <f>IF(New?="Renewal","Expiring Policy #:","")</f>
        <v/>
      </c>
      <c r="I7" s="532"/>
      <c r="J7" s="532"/>
      <c r="K7" s="532"/>
      <c r="L7" s="532"/>
      <c r="M7" s="532"/>
      <c r="N7" s="532"/>
      <c r="O7" s="532"/>
      <c r="P7" s="532"/>
      <c r="Q7" s="532"/>
      <c r="R7" s="23"/>
      <c r="S7" s="145"/>
      <c r="T7" s="145"/>
      <c r="U7" s="145"/>
      <c r="V7" s="145"/>
      <c r="W7" s="145"/>
      <c r="X7" s="145"/>
      <c r="Y7" s="143" t="s">
        <v>683</v>
      </c>
      <c r="Z7" s="450">
        <f>'NOTES &amp; RATING'!Z7</f>
        <v>0</v>
      </c>
      <c r="AA7" s="418"/>
      <c r="AB7" s="418"/>
      <c r="AC7" s="418"/>
      <c r="AD7" s="418"/>
      <c r="AE7" s="418"/>
      <c r="AF7" s="418"/>
      <c r="AG7" s="418"/>
      <c r="AH7" s="418"/>
      <c r="AI7" s="418"/>
      <c r="AJ7" s="418"/>
      <c r="AK7" s="418"/>
      <c r="AL7" s="418"/>
      <c r="AM7" s="418"/>
      <c r="AN7" s="418"/>
      <c r="AO7" s="418"/>
      <c r="AP7" s="418"/>
      <c r="AQ7" s="418"/>
      <c r="AR7" s="418"/>
      <c r="AS7" s="419"/>
      <c r="AT7" s="145"/>
      <c r="AU7" s="145"/>
      <c r="AV7" s="145"/>
      <c r="AW7" s="145"/>
      <c r="AX7" s="145"/>
      <c r="AY7" s="145"/>
      <c r="AZ7" s="145"/>
      <c r="BA7" s="143" t="s">
        <v>619</v>
      </c>
      <c r="BB7" s="526">
        <f>'NOTES &amp; RATING'!BB7</f>
        <v>0</v>
      </c>
      <c r="BC7" s="527"/>
      <c r="BD7" s="527"/>
      <c r="BE7" s="527"/>
      <c r="BF7" s="527"/>
      <c r="BG7" s="527"/>
      <c r="BH7" s="528"/>
    </row>
    <row r="8" spans="1:162" s="149" customFormat="1" ht="15" customHeight="1">
      <c r="A8" s="144"/>
      <c r="B8" s="145"/>
      <c r="C8" s="145"/>
      <c r="D8" s="145"/>
      <c r="E8" s="145"/>
      <c r="F8" s="145"/>
      <c r="G8" s="145"/>
      <c r="H8" s="145"/>
      <c r="I8" s="145"/>
      <c r="J8" s="145"/>
      <c r="K8" s="145"/>
      <c r="L8" s="145"/>
      <c r="M8" s="145"/>
      <c r="N8" s="145"/>
      <c r="O8" s="145"/>
      <c r="P8" s="145"/>
      <c r="Q8" s="145"/>
      <c r="R8" s="145"/>
      <c r="S8" s="145"/>
      <c r="T8" s="145"/>
      <c r="U8" s="145"/>
      <c r="V8" s="145"/>
      <c r="W8" s="145"/>
      <c r="X8" s="145"/>
      <c r="Y8" s="145"/>
      <c r="Z8" s="145"/>
      <c r="AA8" s="145"/>
      <c r="AB8" s="145"/>
      <c r="AC8" s="145"/>
      <c r="AD8" s="145"/>
      <c r="AE8" s="145"/>
      <c r="AF8" s="145"/>
      <c r="AG8" s="145"/>
      <c r="AH8" s="145"/>
      <c r="AI8" s="145"/>
      <c r="AJ8" s="145"/>
      <c r="AK8" s="145"/>
      <c r="AL8" s="145"/>
      <c r="AM8" s="145"/>
      <c r="AN8" s="145"/>
      <c r="AO8" s="145"/>
      <c r="AP8" s="145"/>
      <c r="AQ8" s="145"/>
      <c r="AR8" s="145"/>
      <c r="AS8" s="145"/>
      <c r="AT8" s="145"/>
      <c r="AU8" s="145"/>
      <c r="AV8" s="145"/>
      <c r="AW8" s="145"/>
      <c r="AX8" s="145"/>
      <c r="AY8" s="145"/>
      <c r="AZ8" s="145"/>
      <c r="BA8" s="145"/>
      <c r="BB8" s="145"/>
      <c r="BC8" s="145"/>
      <c r="BD8" s="145"/>
      <c r="BE8" s="145"/>
      <c r="BF8" s="145"/>
      <c r="BG8" s="145"/>
      <c r="BH8" s="147"/>
    </row>
    <row r="9" spans="1:162" s="149" customFormat="1" ht="15" customHeight="1">
      <c r="A9" s="144"/>
      <c r="B9" s="145"/>
      <c r="C9" s="145"/>
      <c r="D9" s="145"/>
      <c r="E9" s="145"/>
      <c r="F9" s="145"/>
      <c r="G9" s="145"/>
      <c r="H9" s="142" t="s">
        <v>2</v>
      </c>
      <c r="I9" s="573">
        <f>'NOTES &amp; RATING'!I9</f>
        <v>0</v>
      </c>
      <c r="J9" s="573"/>
      <c r="K9" s="573"/>
      <c r="L9" s="573"/>
      <c r="M9" s="573"/>
      <c r="N9" s="573"/>
      <c r="O9" s="573"/>
      <c r="P9" s="573"/>
      <c r="Q9" s="573"/>
      <c r="R9" s="138"/>
      <c r="S9" s="145"/>
      <c r="T9" s="145"/>
      <c r="U9" s="145"/>
      <c r="V9" s="145"/>
      <c r="W9" s="145"/>
      <c r="X9" s="145"/>
      <c r="Y9" s="143"/>
      <c r="Z9" s="429"/>
      <c r="AA9" s="430"/>
      <c r="AB9" s="430"/>
      <c r="AC9" s="430"/>
      <c r="AD9" s="430"/>
      <c r="AE9" s="430"/>
      <c r="AF9" s="430"/>
      <c r="AG9" s="430"/>
      <c r="AH9" s="430"/>
      <c r="AI9" s="430"/>
      <c r="AJ9" s="430"/>
      <c r="AK9" s="430"/>
      <c r="AL9" s="430"/>
      <c r="AM9" s="430"/>
      <c r="AN9" s="430"/>
      <c r="AO9" s="430"/>
      <c r="AP9" s="430"/>
      <c r="AQ9" s="430"/>
      <c r="AR9" s="430"/>
      <c r="AS9" s="430"/>
      <c r="AT9" s="145"/>
      <c r="AU9" s="145"/>
      <c r="AV9" s="145"/>
      <c r="AW9" s="145"/>
      <c r="AX9" s="145"/>
      <c r="AY9" s="145"/>
      <c r="AZ9" s="145"/>
      <c r="BA9" s="152" t="s">
        <v>269</v>
      </c>
      <c r="BB9" s="586">
        <f>'NOTES &amp; RATING'!BB9</f>
        <v>0</v>
      </c>
      <c r="BC9" s="587"/>
      <c r="BD9" s="587"/>
      <c r="BE9" s="587"/>
      <c r="BF9" s="587"/>
      <c r="BG9" s="587"/>
      <c r="BH9" s="588"/>
    </row>
    <row r="10" spans="1:162" s="148" customFormat="1" ht="15" customHeight="1">
      <c r="A10" s="437" t="s">
        <v>2762</v>
      </c>
      <c r="B10" s="438"/>
      <c r="C10" s="438"/>
      <c r="D10" s="438"/>
      <c r="E10" s="438"/>
      <c r="F10" s="438"/>
      <c r="G10" s="438"/>
      <c r="H10" s="438"/>
      <c r="I10" s="438"/>
      <c r="J10" s="438"/>
      <c r="K10" s="438"/>
      <c r="L10" s="438"/>
      <c r="M10" s="438"/>
      <c r="N10" s="438"/>
      <c r="O10" s="438"/>
      <c r="P10" s="438"/>
      <c r="Q10" s="438"/>
      <c r="R10" s="438"/>
      <c r="S10" s="438"/>
      <c r="T10" s="301"/>
      <c r="U10" s="301"/>
      <c r="V10" s="301"/>
      <c r="W10" s="301"/>
      <c r="X10" s="304"/>
      <c r="Y10" s="302"/>
      <c r="Z10" s="302"/>
      <c r="AA10" s="302"/>
      <c r="AB10" s="302"/>
      <c r="AC10" s="302"/>
      <c r="AD10" s="629" t="s">
        <v>2763</v>
      </c>
      <c r="AE10" s="486"/>
      <c r="AF10" s="486"/>
      <c r="AG10" s="486"/>
      <c r="AH10" s="486"/>
      <c r="AI10" s="486"/>
      <c r="AJ10" s="486"/>
      <c r="AK10" s="486"/>
      <c r="AL10" s="486"/>
      <c r="AM10" s="486"/>
      <c r="AN10" s="486"/>
      <c r="AO10" s="486"/>
      <c r="AP10" s="486"/>
      <c r="AQ10" s="486"/>
      <c r="AR10" s="486"/>
      <c r="AS10" s="630"/>
      <c r="AT10" s="302"/>
      <c r="AU10" s="302"/>
      <c r="AV10" s="302"/>
      <c r="AW10" s="302"/>
      <c r="AX10" s="302"/>
      <c r="AY10" s="302"/>
      <c r="AZ10" s="302"/>
      <c r="BA10" s="302"/>
      <c r="BB10" s="302"/>
      <c r="BC10" s="302"/>
      <c r="BD10" s="302"/>
      <c r="BE10" s="302"/>
      <c r="BF10" s="302"/>
      <c r="BG10" s="302"/>
      <c r="BH10" s="303"/>
      <c r="BI10" s="61"/>
      <c r="BJ10" s="61"/>
      <c r="BK10" s="61"/>
      <c r="BL10" s="61"/>
      <c r="BM10" s="61"/>
      <c r="BN10" s="61"/>
      <c r="BO10" s="61"/>
      <c r="BP10" s="61"/>
      <c r="BQ10" s="61"/>
      <c r="BR10" s="61"/>
      <c r="BS10" s="61"/>
      <c r="BT10" s="61"/>
      <c r="BU10" s="61"/>
      <c r="BV10" s="61"/>
      <c r="BW10" s="61"/>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1"/>
      <c r="CW10" s="61"/>
      <c r="CX10" s="61"/>
      <c r="CY10" s="61"/>
      <c r="CZ10" s="61"/>
      <c r="DA10" s="61"/>
      <c r="DB10" s="61"/>
      <c r="DC10" s="61"/>
      <c r="DD10" s="61"/>
      <c r="DE10" s="61"/>
      <c r="DF10" s="61"/>
      <c r="DG10" s="61"/>
      <c r="DH10" s="61"/>
      <c r="DI10" s="61"/>
      <c r="DJ10" s="61"/>
      <c r="DK10" s="61"/>
      <c r="DL10" s="61"/>
      <c r="DM10" s="61"/>
      <c r="DN10" s="61"/>
      <c r="DO10" s="61"/>
      <c r="DP10" s="61"/>
      <c r="DQ10" s="61"/>
      <c r="DR10" s="61"/>
      <c r="DS10" s="61"/>
      <c r="DT10" s="61"/>
      <c r="DU10" s="61"/>
      <c r="DV10" s="61"/>
      <c r="DW10" s="61"/>
      <c r="DX10" s="61"/>
      <c r="DY10" s="61"/>
      <c r="DZ10" s="61"/>
      <c r="EA10" s="61"/>
      <c r="EB10" s="61"/>
      <c r="EC10" s="61"/>
      <c r="ED10" s="61"/>
      <c r="EE10" s="61"/>
      <c r="EF10" s="61"/>
      <c r="EG10" s="61"/>
      <c r="EH10" s="61"/>
      <c r="EI10" s="61"/>
      <c r="EJ10" s="61"/>
      <c r="EK10" s="61"/>
      <c r="EL10" s="61"/>
      <c r="EM10" s="61"/>
      <c r="EN10" s="61"/>
      <c r="EO10" s="61"/>
      <c r="EP10" s="61"/>
      <c r="EQ10" s="61"/>
      <c r="ER10" s="61"/>
      <c r="ES10" s="61"/>
      <c r="ET10" s="61"/>
      <c r="EU10" s="61"/>
      <c r="EV10" s="61"/>
      <c r="EW10" s="61"/>
      <c r="EX10" s="61"/>
      <c r="EY10" s="61"/>
      <c r="EZ10" s="61"/>
      <c r="FA10" s="61"/>
      <c r="FB10" s="61"/>
      <c r="FC10" s="61"/>
      <c r="FD10" s="61"/>
      <c r="FE10" s="61"/>
      <c r="FF10" s="61"/>
    </row>
    <row r="11" spans="1:162" s="148" customFormat="1" ht="15" customHeight="1">
      <c r="A11" s="646" t="s">
        <v>1996</v>
      </c>
      <c r="B11" s="647"/>
      <c r="C11" s="647"/>
      <c r="D11" s="647"/>
      <c r="E11" s="647"/>
      <c r="F11" s="647"/>
      <c r="G11" s="595"/>
      <c r="H11" s="596"/>
      <c r="I11" s="597"/>
      <c r="J11" s="271"/>
      <c r="K11" s="271"/>
      <c r="L11" s="271"/>
      <c r="M11" s="271"/>
      <c r="N11" s="271"/>
      <c r="O11" s="271"/>
      <c r="P11" s="271"/>
      <c r="Q11" s="271"/>
      <c r="R11" s="271"/>
      <c r="S11" s="293"/>
      <c r="T11" s="293"/>
      <c r="U11" s="293"/>
      <c r="V11" s="293"/>
      <c r="W11" s="293"/>
      <c r="X11" s="294"/>
      <c r="Y11" s="247"/>
      <c r="Z11" s="247"/>
      <c r="AA11" s="247"/>
      <c r="AB11" s="247"/>
      <c r="AC11" s="247"/>
      <c r="AD11" s="282"/>
      <c r="AE11" s="271"/>
      <c r="AF11" s="283"/>
      <c r="AG11" s="271"/>
      <c r="AH11" s="271"/>
      <c r="AI11" s="271"/>
      <c r="AJ11" s="271"/>
      <c r="AK11" s="271"/>
      <c r="AL11" s="271"/>
      <c r="AM11" s="284" t="s">
        <v>704</v>
      </c>
      <c r="AN11" s="620"/>
      <c r="AO11" s="621"/>
      <c r="AP11" s="621"/>
      <c r="AQ11" s="621"/>
      <c r="AR11" s="622"/>
      <c r="AS11" s="285"/>
      <c r="AT11" s="247"/>
      <c r="AU11" s="247"/>
      <c r="AV11" s="247"/>
      <c r="AW11" s="247"/>
      <c r="AX11" s="247"/>
      <c r="AY11" s="247"/>
      <c r="AZ11" s="247"/>
      <c r="BA11" s="247"/>
      <c r="BB11" s="247"/>
      <c r="BC11" s="247"/>
      <c r="BD11" s="247"/>
      <c r="BE11" s="247"/>
      <c r="BF11" s="247"/>
      <c r="BG11" s="247"/>
      <c r="BH11" s="275"/>
    </row>
    <row r="12" spans="1:162" s="148" customFormat="1" ht="15" customHeight="1">
      <c r="A12" s="648" t="s">
        <v>1997</v>
      </c>
      <c r="B12" s="649"/>
      <c r="C12" s="649"/>
      <c r="D12" s="649"/>
      <c r="E12" s="649"/>
      <c r="F12" s="649"/>
      <c r="G12" s="638"/>
      <c r="H12" s="639"/>
      <c r="I12" s="640"/>
      <c r="J12" s="247"/>
      <c r="K12" s="247"/>
      <c r="L12" s="247"/>
      <c r="M12" s="273"/>
      <c r="N12" s="273"/>
      <c r="O12" s="273"/>
      <c r="P12" s="273"/>
      <c r="Q12" s="273"/>
      <c r="R12" s="273"/>
      <c r="S12" s="272"/>
      <c r="T12" s="272"/>
      <c r="U12" s="272"/>
      <c r="V12" s="272"/>
      <c r="W12" s="272"/>
      <c r="X12" s="295"/>
      <c r="Y12" s="279"/>
      <c r="Z12" s="279"/>
      <c r="AA12" s="279"/>
      <c r="AB12" s="279"/>
      <c r="AC12" s="279"/>
      <c r="AD12" s="286"/>
      <c r="AE12" s="280"/>
      <c r="AF12" s="276"/>
      <c r="AG12" s="277"/>
      <c r="AH12" s="277"/>
      <c r="AI12" s="277"/>
      <c r="AJ12" s="277"/>
      <c r="AK12" s="277"/>
      <c r="AL12" s="278"/>
      <c r="AM12" s="273" t="s">
        <v>295</v>
      </c>
      <c r="AN12" s="620"/>
      <c r="AO12" s="621"/>
      <c r="AP12" s="621"/>
      <c r="AQ12" s="621"/>
      <c r="AR12" s="622"/>
      <c r="AS12" s="287"/>
      <c r="AT12" s="247"/>
      <c r="AU12" s="247"/>
      <c r="AV12" s="247"/>
      <c r="AW12" s="247"/>
      <c r="AX12" s="247"/>
      <c r="AY12" s="247"/>
      <c r="AZ12" s="274"/>
      <c r="BA12" s="274"/>
      <c r="BB12" s="274"/>
      <c r="BC12" s="280"/>
      <c r="BD12" s="280"/>
      <c r="BE12" s="280"/>
      <c r="BF12" s="280"/>
      <c r="BG12" s="280"/>
      <c r="BH12" s="275"/>
    </row>
    <row r="13" spans="1:162" s="148" customFormat="1" ht="15" customHeight="1">
      <c r="A13" s="636" t="s">
        <v>515</v>
      </c>
      <c r="B13" s="637"/>
      <c r="C13" s="637"/>
      <c r="D13" s="637"/>
      <c r="E13" s="637"/>
      <c r="F13" s="637"/>
      <c r="G13" s="589"/>
      <c r="H13" s="590"/>
      <c r="I13" s="591"/>
      <c r="J13" s="247"/>
      <c r="K13" s="247"/>
      <c r="L13" s="247"/>
      <c r="M13" s="273"/>
      <c r="N13" s="273"/>
      <c r="O13" s="273"/>
      <c r="P13" s="273"/>
      <c r="Q13" s="273"/>
      <c r="R13" s="273"/>
      <c r="S13" s="272"/>
      <c r="T13" s="272"/>
      <c r="U13" s="272"/>
      <c r="V13" s="272"/>
      <c r="W13" s="272"/>
      <c r="X13" s="295"/>
      <c r="Y13" s="279"/>
      <c r="Z13" s="279"/>
      <c r="AA13" s="279"/>
      <c r="AB13" s="279"/>
      <c r="AC13" s="279"/>
      <c r="AD13" s="286"/>
      <c r="AE13" s="280"/>
      <c r="AF13" s="276"/>
      <c r="AG13" s="247"/>
      <c r="AH13" s="279"/>
      <c r="AI13" s="279"/>
      <c r="AJ13" s="279"/>
      <c r="AK13" s="279"/>
      <c r="AL13" s="279"/>
      <c r="AM13" s="279" t="s">
        <v>1995</v>
      </c>
      <c r="AN13" s="623"/>
      <c r="AO13" s="624"/>
      <c r="AP13" s="624"/>
      <c r="AQ13" s="624"/>
      <c r="AR13" s="625"/>
      <c r="AS13" s="287"/>
      <c r="AT13" s="247"/>
      <c r="AU13" s="247"/>
      <c r="AV13" s="247"/>
      <c r="AW13" s="247"/>
      <c r="AX13" s="247"/>
      <c r="AY13" s="247"/>
      <c r="AZ13" s="280"/>
      <c r="BA13" s="280"/>
      <c r="BB13" s="247"/>
      <c r="BC13" s="280"/>
      <c r="BD13" s="280"/>
      <c r="BE13" s="280"/>
      <c r="BF13" s="280"/>
      <c r="BG13" s="280"/>
      <c r="BH13" s="275"/>
    </row>
    <row r="14" spans="1:162" s="148" customFormat="1" ht="15" customHeight="1">
      <c r="A14" s="636" t="s">
        <v>1998</v>
      </c>
      <c r="B14" s="637"/>
      <c r="C14" s="637"/>
      <c r="D14" s="637"/>
      <c r="E14" s="637"/>
      <c r="F14" s="637"/>
      <c r="G14" s="574"/>
      <c r="H14" s="575"/>
      <c r="I14" s="576"/>
      <c r="J14" s="247"/>
      <c r="K14" s="247"/>
      <c r="L14" s="247"/>
      <c r="M14" s="273"/>
      <c r="N14" s="273"/>
      <c r="O14" s="273"/>
      <c r="P14" s="273"/>
      <c r="Q14" s="273"/>
      <c r="R14" s="273"/>
      <c r="S14" s="272"/>
      <c r="T14" s="272"/>
      <c r="U14" s="272"/>
      <c r="V14" s="272"/>
      <c r="W14" s="272"/>
      <c r="X14" s="295"/>
      <c r="Y14" s="279"/>
      <c r="Z14" s="279"/>
      <c r="AA14" s="279"/>
      <c r="AB14" s="279"/>
      <c r="AC14" s="279"/>
      <c r="AD14" s="286"/>
      <c r="AE14" s="280"/>
      <c r="AF14" s="276"/>
      <c r="AG14" s="247"/>
      <c r="AH14" s="273"/>
      <c r="AI14" s="273"/>
      <c r="AJ14" s="273"/>
      <c r="AK14" s="273"/>
      <c r="AL14" s="273"/>
      <c r="AM14" s="273" t="s">
        <v>296</v>
      </c>
      <c r="AN14" s="626"/>
      <c r="AO14" s="627"/>
      <c r="AP14" s="627"/>
      <c r="AQ14" s="627"/>
      <c r="AR14" s="628"/>
      <c r="AS14" s="287"/>
      <c r="AT14" s="247"/>
      <c r="AU14" s="247"/>
      <c r="AV14" s="247"/>
      <c r="AW14" s="247"/>
      <c r="AX14" s="247"/>
      <c r="AY14" s="247"/>
      <c r="AZ14" s="274"/>
      <c r="BA14" s="274"/>
      <c r="BB14" s="274"/>
      <c r="BC14" s="280"/>
      <c r="BD14" s="280"/>
      <c r="BE14" s="280"/>
      <c r="BF14" s="280"/>
      <c r="BG14" s="280"/>
      <c r="BH14" s="275"/>
    </row>
    <row r="15" spans="1:162" s="148" customFormat="1" ht="15" customHeight="1">
      <c r="A15" s="636" t="s">
        <v>1999</v>
      </c>
      <c r="B15" s="637"/>
      <c r="C15" s="637"/>
      <c r="D15" s="637"/>
      <c r="E15" s="637"/>
      <c r="F15" s="637"/>
      <c r="J15" s="247"/>
      <c r="K15" s="247"/>
      <c r="L15" s="247"/>
      <c r="M15" s="273"/>
      <c r="N15" s="273"/>
      <c r="O15" s="273"/>
      <c r="P15" s="273"/>
      <c r="Q15" s="273"/>
      <c r="R15" s="273"/>
      <c r="S15" s="272"/>
      <c r="T15" s="272"/>
      <c r="U15" s="272"/>
      <c r="V15" s="272"/>
      <c r="W15" s="272"/>
      <c r="X15" s="295"/>
      <c r="Y15" s="279"/>
      <c r="Z15" s="279"/>
      <c r="AA15" s="279"/>
      <c r="AB15" s="279"/>
      <c r="AC15" s="279"/>
      <c r="AD15" s="286"/>
      <c r="AE15" s="280"/>
      <c r="AF15" s="276"/>
      <c r="AG15" s="273"/>
      <c r="AH15" s="273"/>
      <c r="AI15" s="273"/>
      <c r="AJ15" s="273"/>
      <c r="AK15" s="273"/>
      <c r="AL15" s="273"/>
      <c r="AM15" s="280"/>
      <c r="AN15" s="280"/>
      <c r="AO15" s="280"/>
      <c r="AP15" s="280"/>
      <c r="AQ15" s="280"/>
      <c r="AR15" s="276"/>
      <c r="AS15" s="287"/>
      <c r="AT15" s="247"/>
      <c r="AU15" s="247"/>
      <c r="AV15" s="247"/>
      <c r="AW15" s="247"/>
      <c r="AX15" s="247"/>
      <c r="AY15" s="247"/>
      <c r="AZ15" s="274"/>
      <c r="BA15" s="274"/>
      <c r="BB15" s="274"/>
      <c r="BC15" s="280"/>
      <c r="BD15" s="280"/>
      <c r="BE15" s="280"/>
      <c r="BF15" s="280"/>
      <c r="BG15" s="280"/>
      <c r="BH15" s="275"/>
    </row>
    <row r="16" spans="1:162" s="148" customFormat="1" ht="15" customHeight="1">
      <c r="A16" s="609" t="s">
        <v>2000</v>
      </c>
      <c r="B16" s="598"/>
      <c r="C16" s="598"/>
      <c r="D16" s="598"/>
      <c r="E16" s="598"/>
      <c r="F16" s="598"/>
      <c r="G16" s="592"/>
      <c r="H16" s="593"/>
      <c r="I16" s="594"/>
      <c r="J16" s="247"/>
      <c r="K16" s="247"/>
      <c r="L16" s="247"/>
      <c r="M16" s="273"/>
      <c r="N16" s="273"/>
      <c r="O16" s="273"/>
      <c r="P16" s="273"/>
      <c r="Q16" s="273"/>
      <c r="R16" s="273"/>
      <c r="S16" s="272"/>
      <c r="T16" s="272"/>
      <c r="U16" s="272"/>
      <c r="V16" s="272"/>
      <c r="W16" s="272"/>
      <c r="X16" s="295"/>
      <c r="Y16" s="279"/>
      <c r="Z16" s="279"/>
      <c r="AA16" s="279"/>
      <c r="AB16" s="279"/>
      <c r="AC16" s="279"/>
      <c r="AD16" s="286"/>
      <c r="AE16" s="280"/>
      <c r="AF16" s="276"/>
      <c r="AG16" s="273"/>
      <c r="AH16" s="273"/>
      <c r="AI16" s="273"/>
      <c r="AJ16" s="273"/>
      <c r="AK16" s="273"/>
      <c r="AL16" s="273"/>
      <c r="AM16" s="273" t="s">
        <v>2761</v>
      </c>
      <c r="AN16" s="626"/>
      <c r="AO16" s="627"/>
      <c r="AP16" s="627"/>
      <c r="AQ16" s="627"/>
      <c r="AR16" s="628"/>
      <c r="AS16" s="287"/>
      <c r="AT16" s="247"/>
      <c r="AU16" s="247"/>
      <c r="AV16" s="247"/>
      <c r="AW16" s="247"/>
      <c r="AX16" s="247"/>
      <c r="AY16" s="247"/>
      <c r="AZ16" s="274"/>
      <c r="BA16" s="274"/>
      <c r="BB16" s="274"/>
      <c r="BC16" s="280"/>
      <c r="BD16" s="280"/>
      <c r="BE16" s="280"/>
      <c r="BF16" s="280"/>
      <c r="BG16" s="280"/>
      <c r="BH16" s="275"/>
    </row>
    <row r="17" spans="1:60" s="148" customFormat="1" ht="15" customHeight="1">
      <c r="A17" s="648" t="s">
        <v>2001</v>
      </c>
      <c r="B17" s="649"/>
      <c r="C17" s="649"/>
      <c r="D17" s="649"/>
      <c r="E17" s="649"/>
      <c r="F17" s="649"/>
      <c r="G17" s="592"/>
      <c r="H17" s="593"/>
      <c r="I17" s="594"/>
      <c r="J17" s="247"/>
      <c r="K17" s="247"/>
      <c r="L17" s="247"/>
      <c r="M17" s="273"/>
      <c r="N17" s="273"/>
      <c r="O17" s="273"/>
      <c r="P17" s="273"/>
      <c r="Q17" s="273"/>
      <c r="R17" s="273"/>
      <c r="S17" s="272"/>
      <c r="T17" s="272"/>
      <c r="U17" s="272"/>
      <c r="V17" s="272"/>
      <c r="W17" s="272"/>
      <c r="X17" s="295"/>
      <c r="Y17" s="279"/>
      <c r="Z17" s="279"/>
      <c r="AA17" s="279"/>
      <c r="AB17" s="279"/>
      <c r="AC17" s="279"/>
      <c r="AD17" s="286"/>
      <c r="AE17" s="280"/>
      <c r="AF17" s="276"/>
      <c r="AG17" s="273"/>
      <c r="AH17" s="247"/>
      <c r="AI17" s="274"/>
      <c r="AJ17" s="274"/>
      <c r="AK17" s="280"/>
      <c r="AL17" s="280"/>
      <c r="AM17" s="281" t="s">
        <v>2764</v>
      </c>
      <c r="AN17" s="626"/>
      <c r="AO17" s="627"/>
      <c r="AP17" s="627"/>
      <c r="AQ17" s="627"/>
      <c r="AR17" s="628"/>
      <c r="AS17" s="287"/>
      <c r="AT17" s="247"/>
      <c r="AU17" s="247"/>
      <c r="AV17" s="247"/>
      <c r="AW17" s="247"/>
      <c r="AX17" s="247"/>
      <c r="AY17" s="247"/>
      <c r="AZ17" s="274"/>
      <c r="BA17" s="274"/>
      <c r="BB17" s="274"/>
      <c r="BC17" s="280"/>
      <c r="BD17" s="280"/>
      <c r="BE17" s="280"/>
      <c r="BF17" s="280"/>
      <c r="BG17" s="280"/>
      <c r="BH17" s="275"/>
    </row>
    <row r="18" spans="1:60" s="148" customFormat="1" ht="15" customHeight="1">
      <c r="A18" s="636" t="s">
        <v>2002</v>
      </c>
      <c r="B18" s="637"/>
      <c r="C18" s="637"/>
      <c r="D18" s="637"/>
      <c r="E18" s="637"/>
      <c r="F18" s="637"/>
      <c r="G18" s="603"/>
      <c r="H18" s="604"/>
      <c r="I18" s="605"/>
      <c r="J18" s="247"/>
      <c r="K18" s="247"/>
      <c r="L18" s="247"/>
      <c r="M18" s="273"/>
      <c r="N18" s="273"/>
      <c r="O18" s="273"/>
      <c r="P18" s="273"/>
      <c r="Q18" s="273"/>
      <c r="R18" s="273"/>
      <c r="S18" s="272"/>
      <c r="T18" s="272"/>
      <c r="U18" s="272"/>
      <c r="V18" s="272"/>
      <c r="W18" s="272"/>
      <c r="X18" s="295"/>
      <c r="Y18" s="279"/>
      <c r="Z18" s="279"/>
      <c r="AA18" s="279"/>
      <c r="AB18" s="279"/>
      <c r="AC18" s="279"/>
      <c r="AD18" s="286"/>
      <c r="AE18" s="280"/>
      <c r="AF18" s="276"/>
      <c r="AG18" s="273"/>
      <c r="AH18" s="273"/>
      <c r="AI18" s="273"/>
      <c r="AJ18" s="273"/>
      <c r="AK18" s="273"/>
      <c r="AL18" s="273"/>
      <c r="AM18" s="281" t="s">
        <v>2765</v>
      </c>
      <c r="AN18" s="626"/>
      <c r="AO18" s="627"/>
      <c r="AP18" s="627"/>
      <c r="AQ18" s="627"/>
      <c r="AR18" s="628"/>
      <c r="AS18" s="287"/>
      <c r="AT18" s="247"/>
      <c r="AU18" s="247"/>
      <c r="AV18" s="247"/>
      <c r="AW18" s="247"/>
      <c r="AX18" s="247"/>
      <c r="AY18" s="247"/>
      <c r="AZ18" s="274"/>
      <c r="BA18" s="274"/>
      <c r="BB18" s="274"/>
      <c r="BC18" s="280"/>
      <c r="BD18" s="280"/>
      <c r="BE18" s="280"/>
      <c r="BF18" s="280"/>
      <c r="BG18" s="280"/>
      <c r="BH18" s="275"/>
    </row>
    <row r="19" spans="1:60" s="148" customFormat="1" ht="15" customHeight="1">
      <c r="A19" s="609" t="s">
        <v>2759</v>
      </c>
      <c r="B19" s="598"/>
      <c r="C19" s="598"/>
      <c r="D19" s="598"/>
      <c r="E19" s="598"/>
      <c r="F19" s="598"/>
      <c r="G19" s="592"/>
      <c r="H19" s="593"/>
      <c r="I19" s="594"/>
      <c r="J19" s="598" t="s">
        <v>2767</v>
      </c>
      <c r="K19" s="598"/>
      <c r="L19" s="598"/>
      <c r="M19" s="598"/>
      <c r="N19" s="598"/>
      <c r="O19" s="598"/>
      <c r="P19" s="595"/>
      <c r="Q19" s="596"/>
      <c r="R19" s="596"/>
      <c r="S19" s="596"/>
      <c r="T19" s="596"/>
      <c r="U19" s="596"/>
      <c r="V19" s="596"/>
      <c r="W19" s="597"/>
      <c r="X19" s="295"/>
      <c r="Y19" s="279"/>
      <c r="Z19" s="279"/>
      <c r="AA19" s="279"/>
      <c r="AB19" s="279"/>
      <c r="AC19" s="279"/>
      <c r="AD19" s="286"/>
      <c r="AE19" s="280"/>
      <c r="AF19" s="276"/>
      <c r="AG19" s="273"/>
      <c r="AH19" s="273"/>
      <c r="AI19" s="273"/>
      <c r="AJ19" s="273"/>
      <c r="AK19" s="273"/>
      <c r="AL19" s="273"/>
      <c r="AM19" s="281" t="s">
        <v>2766</v>
      </c>
      <c r="AN19" s="626"/>
      <c r="AO19" s="627"/>
      <c r="AP19" s="627"/>
      <c r="AQ19" s="627"/>
      <c r="AR19" s="628"/>
      <c r="AS19" s="287"/>
      <c r="AT19" s="247"/>
      <c r="AU19" s="247"/>
      <c r="AV19" s="247"/>
      <c r="AW19" s="247"/>
      <c r="AX19" s="247"/>
      <c r="AY19" s="247"/>
      <c r="AZ19" s="274"/>
      <c r="BA19" s="274"/>
      <c r="BB19" s="274"/>
      <c r="BC19" s="280"/>
      <c r="BD19" s="280"/>
      <c r="BE19" s="280"/>
      <c r="BF19" s="280"/>
      <c r="BG19" s="280"/>
      <c r="BH19" s="275"/>
    </row>
    <row r="20" spans="1:60" s="148" customFormat="1" ht="15" customHeight="1">
      <c r="A20" s="641" t="s">
        <v>2760</v>
      </c>
      <c r="B20" s="642"/>
      <c r="C20" s="642"/>
      <c r="D20" s="642"/>
      <c r="E20" s="642"/>
      <c r="F20" s="642"/>
      <c r="G20" s="643" t="e">
        <f>SUM(G11,G12,G13,#REF!,G14,G16,G17,G18)</f>
        <v>#REF!</v>
      </c>
      <c r="H20" s="644"/>
      <c r="I20" s="645"/>
      <c r="J20" s="296"/>
      <c r="K20" s="297"/>
      <c r="L20" s="298"/>
      <c r="M20" s="291"/>
      <c r="N20" s="291"/>
      <c r="O20" s="291"/>
      <c r="P20" s="291"/>
      <c r="Q20" s="291"/>
      <c r="R20" s="291"/>
      <c r="S20" s="299"/>
      <c r="T20" s="299"/>
      <c r="U20" s="299"/>
      <c r="V20" s="299"/>
      <c r="W20" s="299"/>
      <c r="X20" s="300"/>
      <c r="Y20" s="279"/>
      <c r="Z20" s="279"/>
      <c r="AA20" s="279"/>
      <c r="AB20" s="279"/>
      <c r="AC20" s="279"/>
      <c r="AD20" s="288"/>
      <c r="AE20" s="289"/>
      <c r="AF20" s="290"/>
      <c r="AG20" s="291"/>
      <c r="AH20" s="291"/>
      <c r="AI20" s="291"/>
      <c r="AJ20" s="291"/>
      <c r="AK20" s="291"/>
      <c r="AL20" s="291"/>
      <c r="AM20" s="289"/>
      <c r="AN20" s="289"/>
      <c r="AO20" s="289"/>
      <c r="AP20" s="289"/>
      <c r="AQ20" s="289"/>
      <c r="AR20" s="290"/>
      <c r="AS20" s="292"/>
      <c r="AT20" s="247"/>
      <c r="AU20" s="247"/>
      <c r="AV20" s="247"/>
      <c r="AW20" s="247"/>
      <c r="AX20" s="247"/>
      <c r="AY20" s="247"/>
      <c r="AZ20" s="274"/>
      <c r="BA20" s="274"/>
      <c r="BB20" s="274"/>
      <c r="BC20" s="280"/>
      <c r="BD20" s="280"/>
      <c r="BE20" s="280"/>
      <c r="BF20" s="280"/>
      <c r="BG20" s="280"/>
      <c r="BH20" s="275"/>
    </row>
    <row r="21" spans="1:60" s="33" customFormat="1" ht="15" customHeight="1">
      <c r="A21" s="463" t="s">
        <v>2755</v>
      </c>
      <c r="B21" s="372"/>
      <c r="C21" s="372"/>
      <c r="D21" s="372"/>
      <c r="E21" s="372"/>
      <c r="F21" s="372"/>
      <c r="G21" s="372"/>
      <c r="H21" s="372"/>
      <c r="I21" s="372"/>
      <c r="J21" s="372"/>
      <c r="K21" s="372"/>
      <c r="L21" s="372"/>
      <c r="M21" s="372"/>
      <c r="N21" s="372"/>
      <c r="O21" s="372"/>
      <c r="P21" s="372"/>
      <c r="Q21" s="372"/>
      <c r="R21" s="372"/>
      <c r="S21" s="372"/>
      <c r="T21" s="372"/>
      <c r="U21" s="372"/>
      <c r="V21" s="372"/>
      <c r="W21" s="372"/>
      <c r="X21" s="372"/>
      <c r="Y21" s="372"/>
      <c r="Z21" s="372"/>
      <c r="AA21" s="372"/>
      <c r="AB21" s="372"/>
      <c r="AC21" s="372"/>
      <c r="AD21" s="372"/>
      <c r="AE21" s="372"/>
      <c r="AF21" s="372"/>
      <c r="AG21" s="372"/>
      <c r="AH21" s="372"/>
      <c r="AI21" s="372"/>
      <c r="AJ21" s="372"/>
      <c r="AK21" s="372"/>
      <c r="AL21" s="372"/>
      <c r="AM21" s="372"/>
      <c r="AN21" s="372"/>
      <c r="AO21" s="372"/>
      <c r="AP21" s="372"/>
      <c r="AQ21" s="372"/>
      <c r="AR21" s="372"/>
      <c r="AS21" s="372"/>
      <c r="AT21" s="372"/>
      <c r="AU21" s="372"/>
      <c r="AV21" s="372"/>
      <c r="AW21" s="372"/>
      <c r="AX21" s="372"/>
      <c r="AY21" s="372"/>
      <c r="AZ21" s="372"/>
      <c r="BA21" s="372"/>
      <c r="BB21" s="372"/>
      <c r="BC21" s="372"/>
      <c r="BD21" s="372"/>
      <c r="BE21" s="372"/>
      <c r="BF21" s="372"/>
      <c r="BG21" s="372"/>
      <c r="BH21" s="373"/>
    </row>
    <row r="22" spans="1:60" s="33" customFormat="1" ht="141" customHeight="1">
      <c r="A22" s="570">
        <f>'NOTES &amp; RATING'!A24</f>
        <v>0</v>
      </c>
      <c r="B22" s="571"/>
      <c r="C22" s="571"/>
      <c r="D22" s="571"/>
      <c r="E22" s="571"/>
      <c r="F22" s="571"/>
      <c r="G22" s="571"/>
      <c r="H22" s="571"/>
      <c r="I22" s="571"/>
      <c r="J22" s="571"/>
      <c r="K22" s="571"/>
      <c r="L22" s="571"/>
      <c r="M22" s="571"/>
      <c r="N22" s="571"/>
      <c r="O22" s="571"/>
      <c r="P22" s="571"/>
      <c r="Q22" s="571"/>
      <c r="R22" s="571"/>
      <c r="S22" s="571"/>
      <c r="T22" s="571"/>
      <c r="U22" s="571"/>
      <c r="V22" s="571"/>
      <c r="W22" s="571"/>
      <c r="X22" s="571"/>
      <c r="Y22" s="571"/>
      <c r="Z22" s="571"/>
      <c r="AA22" s="571"/>
      <c r="AB22" s="571"/>
      <c r="AC22" s="571"/>
      <c r="AD22" s="571"/>
      <c r="AE22" s="571"/>
      <c r="AF22" s="571"/>
      <c r="AG22" s="571"/>
      <c r="AH22" s="571"/>
      <c r="AI22" s="571"/>
      <c r="AJ22" s="571"/>
      <c r="AK22" s="571"/>
      <c r="AL22" s="571"/>
      <c r="AM22" s="571"/>
      <c r="AN22" s="571"/>
      <c r="AO22" s="571"/>
      <c r="AP22" s="571"/>
      <c r="AQ22" s="571"/>
      <c r="AR22" s="571"/>
      <c r="AS22" s="571"/>
      <c r="AT22" s="571"/>
      <c r="AU22" s="571"/>
      <c r="AV22" s="571"/>
      <c r="AW22" s="571"/>
      <c r="AX22" s="571"/>
      <c r="AY22" s="571"/>
      <c r="AZ22" s="571"/>
      <c r="BA22" s="571"/>
      <c r="BB22" s="571"/>
      <c r="BC22" s="571"/>
      <c r="BD22" s="571"/>
      <c r="BE22" s="571"/>
      <c r="BF22" s="571"/>
      <c r="BG22" s="571"/>
      <c r="BH22" s="572"/>
    </row>
    <row r="23" spans="1:60" ht="15" customHeight="1">
      <c r="A23" s="463" t="s">
        <v>2757</v>
      </c>
      <c r="B23" s="372"/>
      <c r="C23" s="372"/>
      <c r="D23" s="372"/>
      <c r="E23" s="372"/>
      <c r="F23" s="372"/>
      <c r="G23" s="372"/>
      <c r="H23" s="372"/>
      <c r="I23" s="372"/>
      <c r="J23" s="372"/>
      <c r="K23" s="372"/>
      <c r="L23" s="372"/>
      <c r="M23" s="372"/>
      <c r="N23" s="372"/>
      <c r="O23" s="372"/>
      <c r="P23" s="372"/>
      <c r="Q23" s="372"/>
      <c r="R23" s="372"/>
      <c r="S23" s="372"/>
      <c r="T23" s="372"/>
      <c r="U23" s="372"/>
      <c r="V23" s="372"/>
      <c r="W23" s="372"/>
      <c r="X23" s="372"/>
      <c r="Y23" s="372"/>
      <c r="Z23" s="372"/>
      <c r="AA23" s="372"/>
      <c r="AB23" s="372"/>
      <c r="AC23" s="372"/>
      <c r="AD23" s="372"/>
      <c r="AE23" s="372"/>
      <c r="AF23" s="372"/>
      <c r="AG23" s="372"/>
      <c r="AH23" s="372"/>
      <c r="AI23" s="372"/>
      <c r="AJ23" s="372"/>
      <c r="AK23" s="372"/>
      <c r="AL23" s="372"/>
      <c r="AM23" s="372"/>
      <c r="AN23" s="372"/>
      <c r="AO23" s="372"/>
      <c r="AP23" s="372"/>
      <c r="AQ23" s="372"/>
      <c r="AR23" s="372"/>
      <c r="AS23" s="372"/>
      <c r="AT23" s="372"/>
      <c r="AU23" s="372"/>
      <c r="AV23" s="372"/>
      <c r="AW23" s="372"/>
      <c r="AX23" s="372"/>
      <c r="AY23" s="372"/>
      <c r="AZ23" s="372"/>
      <c r="BA23" s="372"/>
      <c r="BB23" s="372"/>
      <c r="BC23" s="372"/>
      <c r="BD23" s="372"/>
      <c r="BE23" s="372"/>
      <c r="BF23" s="372"/>
      <c r="BG23" s="372"/>
      <c r="BH23" s="373"/>
    </row>
    <row r="24" spans="1:60" ht="141" customHeight="1">
      <c r="A24" s="354">
        <f>'NOTES &amp; RATING'!A26</f>
        <v>0</v>
      </c>
      <c r="B24" s="355"/>
      <c r="C24" s="355"/>
      <c r="D24" s="355"/>
      <c r="E24" s="355"/>
      <c r="F24" s="355"/>
      <c r="G24" s="355"/>
      <c r="H24" s="355"/>
      <c r="I24" s="355"/>
      <c r="J24" s="355"/>
      <c r="K24" s="355"/>
      <c r="L24" s="355"/>
      <c r="M24" s="355"/>
      <c r="N24" s="355"/>
      <c r="O24" s="355"/>
      <c r="P24" s="355"/>
      <c r="Q24" s="355"/>
      <c r="R24" s="355"/>
      <c r="S24" s="355"/>
      <c r="T24" s="355"/>
      <c r="U24" s="355"/>
      <c r="V24" s="355"/>
      <c r="W24" s="355"/>
      <c r="X24" s="355"/>
      <c r="Y24" s="355"/>
      <c r="Z24" s="355"/>
      <c r="AA24" s="355"/>
      <c r="AB24" s="355"/>
      <c r="AC24" s="355"/>
      <c r="AD24" s="355"/>
      <c r="AE24" s="355"/>
      <c r="AF24" s="355"/>
      <c r="AG24" s="355"/>
      <c r="AH24" s="355"/>
      <c r="AI24" s="355"/>
      <c r="AJ24" s="355"/>
      <c r="AK24" s="355"/>
      <c r="AL24" s="355"/>
      <c r="AM24" s="355"/>
      <c r="AN24" s="355"/>
      <c r="AO24" s="355"/>
      <c r="AP24" s="355"/>
      <c r="AQ24" s="355"/>
      <c r="AR24" s="355"/>
      <c r="AS24" s="355"/>
      <c r="AT24" s="355"/>
      <c r="AU24" s="355"/>
      <c r="AV24" s="355"/>
      <c r="AW24" s="355"/>
      <c r="AX24" s="355"/>
      <c r="AY24" s="355"/>
      <c r="AZ24" s="355"/>
      <c r="BA24" s="355"/>
      <c r="BB24" s="355"/>
      <c r="BC24" s="355"/>
      <c r="BD24" s="355"/>
      <c r="BE24" s="355"/>
      <c r="BF24" s="355"/>
      <c r="BG24" s="355"/>
      <c r="BH24" s="356"/>
    </row>
    <row r="25" spans="1:60" s="149" customFormat="1" ht="15" customHeight="1">
      <c r="A25" s="606" t="s">
        <v>691</v>
      </c>
      <c r="B25" s="607"/>
      <c r="C25" s="607"/>
      <c r="D25" s="607"/>
      <c r="E25" s="607"/>
      <c r="F25" s="607"/>
      <c r="G25" s="607"/>
      <c r="H25" s="607"/>
      <c r="I25" s="607"/>
      <c r="J25" s="607"/>
      <c r="K25" s="607"/>
      <c r="L25" s="607"/>
      <c r="M25" s="607"/>
      <c r="N25" s="607"/>
      <c r="O25" s="607"/>
      <c r="P25" s="607"/>
      <c r="Q25" s="607"/>
      <c r="R25" s="607"/>
      <c r="S25" s="607"/>
      <c r="T25" s="607"/>
      <c r="U25" s="607"/>
      <c r="V25" s="607"/>
      <c r="W25" s="607"/>
      <c r="X25" s="607"/>
      <c r="Y25" s="607"/>
      <c r="Z25" s="607"/>
      <c r="AA25" s="607"/>
      <c r="AB25" s="607"/>
      <c r="AC25" s="607"/>
      <c r="AD25" s="607"/>
      <c r="AE25" s="607"/>
      <c r="AF25" s="607"/>
      <c r="AG25" s="607"/>
      <c r="AH25" s="607"/>
      <c r="AI25" s="607"/>
      <c r="AJ25" s="607"/>
      <c r="AK25" s="607"/>
      <c r="AL25" s="607"/>
      <c r="AM25" s="607"/>
      <c r="AN25" s="607"/>
      <c r="AO25" s="607"/>
      <c r="AP25" s="607"/>
      <c r="AQ25" s="607"/>
      <c r="AR25" s="607"/>
      <c r="AS25" s="607"/>
      <c r="AT25" s="607"/>
      <c r="AU25" s="607"/>
      <c r="AV25" s="607"/>
      <c r="AW25" s="607"/>
      <c r="AX25" s="607"/>
      <c r="AY25" s="607"/>
      <c r="AZ25" s="607"/>
      <c r="BA25" s="607"/>
      <c r="BB25" s="607"/>
      <c r="BC25" s="607"/>
      <c r="BD25" s="607"/>
      <c r="BE25" s="607"/>
      <c r="BF25" s="607"/>
      <c r="BG25" s="607"/>
      <c r="BH25" s="608"/>
    </row>
    <row r="26" spans="1:60" s="148" customFormat="1" ht="15" customHeight="1">
      <c r="A26" s="581" t="s">
        <v>2072</v>
      </c>
      <c r="B26" s="582"/>
      <c r="C26" s="582"/>
      <c r="D26" s="582"/>
      <c r="E26" s="582"/>
      <c r="F26" s="582"/>
      <c r="G26" s="583">
        <v>0</v>
      </c>
      <c r="H26" s="584"/>
      <c r="I26" s="585"/>
      <c r="J26" s="247"/>
      <c r="K26" s="579" t="s">
        <v>2756</v>
      </c>
      <c r="L26" s="579"/>
      <c r="M26" s="579"/>
      <c r="N26" s="579"/>
      <c r="O26" s="616"/>
      <c r="P26" s="617">
        <v>0</v>
      </c>
      <c r="Q26" s="618"/>
      <c r="R26" s="618"/>
      <c r="S26" s="619"/>
      <c r="T26" s="579" t="s">
        <v>2768</v>
      </c>
      <c r="U26" s="579"/>
      <c r="V26" s="579"/>
      <c r="W26" s="579"/>
      <c r="X26" s="616"/>
      <c r="Y26" s="610">
        <f>P26-G26</f>
        <v>0</v>
      </c>
      <c r="Z26" s="611"/>
      <c r="AA26" s="611"/>
      <c r="AB26" s="612"/>
      <c r="AC26" s="385" t="e">
        <f>Y26/P26</f>
        <v>#DIV/0!</v>
      </c>
      <c r="AD26" s="385"/>
      <c r="AE26" s="385"/>
      <c r="AF26" s="247"/>
      <c r="AG26" s="247"/>
      <c r="AH26" s="247"/>
      <c r="AI26" s="247"/>
      <c r="AJ26" s="247"/>
      <c r="AK26" s="247"/>
      <c r="AL26" s="247"/>
      <c r="AM26" s="247"/>
      <c r="AN26" s="247"/>
      <c r="AO26" s="247"/>
      <c r="AP26" s="247"/>
      <c r="AQ26" s="615"/>
      <c r="AR26" s="615"/>
      <c r="AS26" s="615"/>
      <c r="AT26" s="247"/>
      <c r="AU26" s="247"/>
      <c r="AV26" s="247"/>
      <c r="AW26" s="247"/>
      <c r="AX26" s="247"/>
      <c r="AY26" s="247"/>
      <c r="AZ26" s="247"/>
      <c r="BA26" s="247"/>
      <c r="BB26" s="247"/>
      <c r="BC26" s="247"/>
      <c r="BD26" s="247"/>
      <c r="BE26" s="247"/>
      <c r="BF26" s="247"/>
      <c r="BG26" s="247"/>
      <c r="BH26" s="310"/>
    </row>
    <row r="27" spans="1:60" s="148" customFormat="1" ht="15" customHeight="1">
      <c r="A27" s="609" t="s">
        <v>2769</v>
      </c>
      <c r="B27" s="598"/>
      <c r="C27" s="598"/>
      <c r="D27" s="598"/>
      <c r="E27" s="598"/>
      <c r="F27" s="598"/>
      <c r="G27" s="583">
        <v>0</v>
      </c>
      <c r="H27" s="584"/>
      <c r="I27" s="585"/>
      <c r="J27" s="247"/>
      <c r="K27" s="634" t="s">
        <v>2014</v>
      </c>
      <c r="L27" s="634"/>
      <c r="M27" s="634"/>
      <c r="N27" s="634"/>
      <c r="O27" s="635"/>
      <c r="P27" s="631">
        <f>SUM(P26,G27)</f>
        <v>0</v>
      </c>
      <c r="Q27" s="632"/>
      <c r="R27" s="632"/>
      <c r="S27" s="633"/>
      <c r="T27" s="313"/>
      <c r="U27" s="313"/>
      <c r="V27" s="313"/>
      <c r="W27" s="313"/>
      <c r="X27" s="313"/>
      <c r="Y27" s="599"/>
      <c r="Z27" s="599"/>
      <c r="AA27" s="599"/>
      <c r="AB27" s="598"/>
      <c r="AC27" s="598"/>
      <c r="AD27" s="598"/>
      <c r="AE27" s="598"/>
      <c r="AF27" s="598"/>
      <c r="AG27" s="599"/>
      <c r="AH27" s="599"/>
      <c r="AI27" s="599"/>
      <c r="AJ27" s="613"/>
      <c r="AK27" s="613"/>
      <c r="AL27" s="613"/>
      <c r="AM27" s="613"/>
      <c r="AN27" s="613"/>
      <c r="AO27" s="613"/>
      <c r="AP27" s="613"/>
      <c r="AQ27" s="614"/>
      <c r="AR27" s="614"/>
      <c r="AS27" s="614"/>
      <c r="AT27" s="598"/>
      <c r="AU27" s="598"/>
      <c r="AV27" s="598"/>
      <c r="AW27" s="598"/>
      <c r="AX27" s="599"/>
      <c r="AY27" s="599"/>
      <c r="AZ27" s="599"/>
      <c r="BA27" s="600"/>
      <c r="BB27" s="600"/>
      <c r="BC27" s="600"/>
      <c r="BD27" s="600"/>
      <c r="BE27" s="601"/>
      <c r="BF27" s="601"/>
      <c r="BG27" s="601"/>
      <c r="BH27" s="602"/>
    </row>
    <row r="28" spans="1:60" s="148" customFormat="1" ht="15" customHeight="1">
      <c r="A28" s="311"/>
      <c r="B28" s="291"/>
      <c r="C28" s="291"/>
      <c r="D28" s="291"/>
      <c r="E28" s="291"/>
      <c r="F28" s="291"/>
      <c r="G28" s="305"/>
      <c r="H28" s="305"/>
      <c r="I28" s="305"/>
      <c r="J28" s="291"/>
      <c r="K28" s="291"/>
      <c r="L28" s="291"/>
      <c r="M28" s="291"/>
      <c r="N28" s="291"/>
      <c r="O28" s="291"/>
      <c r="P28" s="305"/>
      <c r="Q28" s="305"/>
      <c r="R28" s="305"/>
      <c r="S28" s="291"/>
      <c r="T28" s="291"/>
      <c r="U28" s="291"/>
      <c r="V28" s="291"/>
      <c r="W28" s="291"/>
      <c r="X28" s="291"/>
      <c r="Y28" s="305"/>
      <c r="Z28" s="305"/>
      <c r="AA28" s="305"/>
      <c r="AB28" s="291"/>
      <c r="AC28" s="291"/>
      <c r="AD28" s="291"/>
      <c r="AE28" s="291"/>
      <c r="AF28" s="291"/>
      <c r="AG28" s="305"/>
      <c r="AH28" s="305"/>
      <c r="AI28" s="305"/>
      <c r="AJ28" s="306"/>
      <c r="AK28" s="306"/>
      <c r="AL28" s="306"/>
      <c r="AM28" s="306"/>
      <c r="AN28" s="306"/>
      <c r="AO28" s="306"/>
      <c r="AP28" s="306"/>
      <c r="AQ28" s="307"/>
      <c r="AR28" s="307"/>
      <c r="AS28" s="307"/>
      <c r="AT28" s="291"/>
      <c r="AU28" s="291"/>
      <c r="AV28" s="291"/>
      <c r="AW28" s="291"/>
      <c r="AX28" s="305"/>
      <c r="AY28" s="305"/>
      <c r="AZ28" s="305"/>
      <c r="BA28" s="308"/>
      <c r="BB28" s="308"/>
      <c r="BC28" s="308"/>
      <c r="BD28" s="308"/>
      <c r="BE28" s="309"/>
      <c r="BF28" s="309"/>
      <c r="BG28" s="309"/>
      <c r="BH28" s="312"/>
    </row>
    <row r="29" spans="1:60" s="160" customFormat="1" ht="15" customHeight="1">
      <c r="A29" s="463" t="s">
        <v>2007</v>
      </c>
      <c r="B29" s="372"/>
      <c r="C29" s="372"/>
      <c r="D29" s="372"/>
      <c r="E29" s="372"/>
      <c r="F29" s="372"/>
      <c r="G29" s="372"/>
      <c r="H29" s="372"/>
      <c r="I29" s="372"/>
      <c r="J29" s="372"/>
      <c r="K29" s="372"/>
      <c r="L29" s="372"/>
      <c r="M29" s="372"/>
      <c r="N29" s="372"/>
      <c r="O29" s="372"/>
      <c r="P29" s="372"/>
      <c r="Q29" s="372"/>
      <c r="R29" s="372"/>
      <c r="S29" s="372"/>
      <c r="T29" s="372"/>
      <c r="U29" s="372"/>
      <c r="V29" s="372"/>
      <c r="W29" s="372"/>
      <c r="X29" s="372"/>
      <c r="Y29" s="372"/>
      <c r="Z29" s="372"/>
      <c r="AA29" s="372"/>
      <c r="AB29" s="372"/>
      <c r="AC29" s="372"/>
      <c r="AD29" s="372"/>
      <c r="AE29" s="372"/>
      <c r="AF29" s="372"/>
      <c r="AG29" s="372"/>
      <c r="AH29" s="372"/>
      <c r="AI29" s="372"/>
      <c r="AJ29" s="372"/>
      <c r="AK29" s="372"/>
      <c r="AL29" s="372"/>
      <c r="AM29" s="372"/>
      <c r="AN29" s="372"/>
      <c r="AO29" s="372"/>
      <c r="AP29" s="372"/>
      <c r="AQ29" s="372"/>
      <c r="AR29" s="372"/>
      <c r="AS29" s="372"/>
      <c r="AT29" s="372"/>
      <c r="AU29" s="372"/>
      <c r="AV29" s="372"/>
      <c r="AW29" s="372"/>
      <c r="AX29" s="372"/>
      <c r="AY29" s="372"/>
      <c r="AZ29" s="372"/>
      <c r="BA29" s="372"/>
      <c r="BB29" s="372"/>
      <c r="BC29" s="372"/>
      <c r="BD29" s="372"/>
      <c r="BE29" s="372"/>
      <c r="BF29" s="372"/>
      <c r="BG29" s="372"/>
      <c r="BH29" s="373"/>
    </row>
    <row r="30" spans="1:60" s="160" customFormat="1" ht="61.5" customHeight="1">
      <c r="A30" s="570">
        <f>'NOTES &amp; RATING'!A33</f>
        <v>0</v>
      </c>
      <c r="B30" s="571"/>
      <c r="C30" s="571"/>
      <c r="D30" s="571"/>
      <c r="E30" s="571"/>
      <c r="F30" s="571"/>
      <c r="G30" s="571"/>
      <c r="H30" s="571"/>
      <c r="I30" s="571"/>
      <c r="J30" s="571"/>
      <c r="K30" s="571"/>
      <c r="L30" s="571"/>
      <c r="M30" s="571"/>
      <c r="N30" s="571"/>
      <c r="O30" s="571"/>
      <c r="P30" s="571"/>
      <c r="Q30" s="571"/>
      <c r="R30" s="571"/>
      <c r="S30" s="571"/>
      <c r="T30" s="571"/>
      <c r="U30" s="571"/>
      <c r="V30" s="571"/>
      <c r="W30" s="571"/>
      <c r="X30" s="571"/>
      <c r="Y30" s="571"/>
      <c r="Z30" s="571"/>
      <c r="AA30" s="571"/>
      <c r="AB30" s="571"/>
      <c r="AC30" s="571"/>
      <c r="AD30" s="571"/>
      <c r="AE30" s="571"/>
      <c r="AF30" s="571"/>
      <c r="AG30" s="571"/>
      <c r="AH30" s="571"/>
      <c r="AI30" s="571"/>
      <c r="AJ30" s="571"/>
      <c r="AK30" s="571"/>
      <c r="AL30" s="571"/>
      <c r="AM30" s="571"/>
      <c r="AN30" s="571"/>
      <c r="AO30" s="571"/>
      <c r="AP30" s="571"/>
      <c r="AQ30" s="571"/>
      <c r="AR30" s="571"/>
      <c r="AS30" s="571"/>
      <c r="AT30" s="571"/>
      <c r="AU30" s="571"/>
      <c r="AV30" s="571"/>
      <c r="AW30" s="571"/>
      <c r="AX30" s="571"/>
      <c r="AY30" s="571"/>
      <c r="AZ30" s="571"/>
      <c r="BA30" s="571"/>
      <c r="BB30" s="571"/>
      <c r="BC30" s="571"/>
      <c r="BD30" s="571"/>
      <c r="BE30" s="571"/>
      <c r="BF30" s="571"/>
      <c r="BG30" s="571"/>
      <c r="BH30" s="572"/>
    </row>
    <row r="31" spans="1:60" s="137" customFormat="1" ht="15" customHeight="1">
      <c r="A31" s="463" t="s">
        <v>2008</v>
      </c>
      <c r="B31" s="372"/>
      <c r="C31" s="372"/>
      <c r="D31" s="372"/>
      <c r="E31" s="372"/>
      <c r="F31" s="372"/>
      <c r="G31" s="372"/>
      <c r="H31" s="372"/>
      <c r="I31" s="372"/>
      <c r="J31" s="372"/>
      <c r="K31" s="372"/>
      <c r="L31" s="372"/>
      <c r="M31" s="372"/>
      <c r="N31" s="372"/>
      <c r="O31" s="372"/>
      <c r="P31" s="372"/>
      <c r="Q31" s="372"/>
      <c r="R31" s="372"/>
      <c r="S31" s="372"/>
      <c r="T31" s="372"/>
      <c r="U31" s="372"/>
      <c r="V31" s="372"/>
      <c r="W31" s="372"/>
      <c r="X31" s="372"/>
      <c r="Y31" s="372"/>
      <c r="Z31" s="372"/>
      <c r="AA31" s="372"/>
      <c r="AB31" s="372"/>
      <c r="AC31" s="372"/>
      <c r="AD31" s="372"/>
      <c r="AE31" s="372"/>
      <c r="AF31" s="372"/>
      <c r="AG31" s="372"/>
      <c r="AH31" s="372"/>
      <c r="AI31" s="372"/>
      <c r="AJ31" s="372"/>
      <c r="AK31" s="372"/>
      <c r="AL31" s="372"/>
      <c r="AM31" s="372"/>
      <c r="AN31" s="372"/>
      <c r="AO31" s="372"/>
      <c r="AP31" s="372"/>
      <c r="AQ31" s="372"/>
      <c r="AR31" s="372"/>
      <c r="AS31" s="372"/>
      <c r="AT31" s="372"/>
      <c r="AU31" s="372"/>
      <c r="AV31" s="372"/>
      <c r="AW31" s="372"/>
      <c r="AX31" s="372"/>
      <c r="AY31" s="372"/>
      <c r="AZ31" s="372"/>
      <c r="BA31" s="372"/>
      <c r="BB31" s="372"/>
      <c r="BC31" s="372"/>
      <c r="BD31" s="372"/>
      <c r="BE31" s="372"/>
      <c r="BF31" s="372"/>
      <c r="BG31" s="372"/>
      <c r="BH31" s="373"/>
    </row>
    <row r="32" spans="1:60" s="137" customFormat="1" ht="70.5" customHeight="1" thickBot="1">
      <c r="A32" s="487">
        <f>'NOTES &amp; RATING'!A35</f>
        <v>0</v>
      </c>
      <c r="B32" s="488"/>
      <c r="C32" s="488"/>
      <c r="D32" s="488"/>
      <c r="E32" s="488"/>
      <c r="F32" s="488"/>
      <c r="G32" s="488"/>
      <c r="H32" s="488"/>
      <c r="I32" s="488"/>
      <c r="J32" s="488"/>
      <c r="K32" s="488"/>
      <c r="L32" s="488"/>
      <c r="M32" s="488"/>
      <c r="N32" s="488"/>
      <c r="O32" s="488"/>
      <c r="P32" s="488"/>
      <c r="Q32" s="488"/>
      <c r="R32" s="488"/>
      <c r="S32" s="488"/>
      <c r="T32" s="488"/>
      <c r="U32" s="488"/>
      <c r="V32" s="488"/>
      <c r="W32" s="488"/>
      <c r="X32" s="488"/>
      <c r="Y32" s="488"/>
      <c r="Z32" s="488"/>
      <c r="AA32" s="488"/>
      <c r="AB32" s="488"/>
      <c r="AC32" s="488"/>
      <c r="AD32" s="488"/>
      <c r="AE32" s="488"/>
      <c r="AF32" s="488"/>
      <c r="AG32" s="488"/>
      <c r="AH32" s="488"/>
      <c r="AI32" s="488"/>
      <c r="AJ32" s="488"/>
      <c r="AK32" s="488"/>
      <c r="AL32" s="488"/>
      <c r="AM32" s="488"/>
      <c r="AN32" s="488"/>
      <c r="AO32" s="488"/>
      <c r="AP32" s="488"/>
      <c r="AQ32" s="488"/>
      <c r="AR32" s="488"/>
      <c r="AS32" s="488"/>
      <c r="AT32" s="488"/>
      <c r="AU32" s="488"/>
      <c r="AV32" s="488"/>
      <c r="AW32" s="488"/>
      <c r="AX32" s="488"/>
      <c r="AY32" s="488"/>
      <c r="AZ32" s="488"/>
      <c r="BA32" s="488"/>
      <c r="BB32" s="488"/>
      <c r="BC32" s="488"/>
      <c r="BD32" s="488"/>
      <c r="BE32" s="488"/>
      <c r="BF32" s="488"/>
      <c r="BG32" s="488"/>
      <c r="BH32" s="489"/>
    </row>
    <row r="33" s="137" customFormat="1" ht="15" customHeight="1"/>
    <row r="34" s="137" customFormat="1" ht="15" customHeight="1"/>
    <row r="35" s="137" customFormat="1" ht="15" customHeight="1"/>
    <row r="36" s="137" customFormat="1" ht="15" customHeight="1"/>
    <row r="37" s="137" customFormat="1" ht="15" customHeight="1"/>
    <row r="38" s="137" customFormat="1" ht="15" customHeight="1"/>
    <row r="39" s="137" customFormat="1"/>
    <row r="40" s="137" customFormat="1"/>
    <row r="41" s="137" customFormat="1" ht="15" customHeight="1"/>
    <row r="42" s="137" customFormat="1" ht="15" customHeight="1"/>
    <row r="43" s="137" customFormat="1" ht="15" customHeight="1"/>
    <row r="44" s="137" customFormat="1" ht="15" customHeight="1"/>
    <row r="45" s="137" customFormat="1" ht="15" customHeight="1"/>
    <row r="46" s="137" customFormat="1" ht="15" customHeight="1"/>
    <row r="47" s="137" customFormat="1" ht="15" customHeight="1"/>
    <row r="48" s="137" customFormat="1" ht="15" customHeight="1"/>
    <row r="49" s="137" customFormat="1" ht="15" customHeight="1"/>
    <row r="50" s="137" customFormat="1" ht="15" customHeight="1"/>
    <row r="51" s="137" customFormat="1" ht="15" customHeight="1"/>
    <row r="52" s="137" customFormat="1" ht="15" customHeight="1"/>
    <row r="53" s="137" customFormat="1" ht="15" customHeight="1"/>
    <row r="54" s="137" customFormat="1" ht="15" customHeight="1"/>
    <row r="55" s="137" customFormat="1" ht="15" customHeight="1"/>
    <row r="56" s="137" customFormat="1" ht="15" customHeight="1"/>
    <row r="57" s="137" customFormat="1" ht="15" customHeight="1"/>
    <row r="58" s="137" customFormat="1" ht="15" customHeight="1"/>
    <row r="59" s="137" customFormat="1" ht="15" customHeight="1"/>
    <row r="60" s="137" customFormat="1" ht="15" customHeight="1"/>
    <row r="61" s="137" customFormat="1" ht="15" customHeight="1"/>
    <row r="62" s="137" customFormat="1" ht="15" customHeight="1"/>
    <row r="63" s="137" customFormat="1" ht="15" customHeight="1"/>
    <row r="64" s="137" customFormat="1" ht="15" customHeight="1"/>
    <row r="65" s="137" customFormat="1" ht="15" customHeight="1"/>
    <row r="66" s="137" customFormat="1" ht="15" customHeight="1"/>
    <row r="67" s="137" customFormat="1" ht="15" customHeight="1"/>
    <row r="68" s="137" customFormat="1" ht="15" customHeight="1"/>
    <row r="69" s="137" customFormat="1" ht="15" customHeight="1"/>
    <row r="70" s="137" customFormat="1" ht="15" customHeight="1"/>
    <row r="71" s="137" customFormat="1" ht="15" customHeight="1"/>
    <row r="72" s="137" customFormat="1" ht="15" customHeight="1"/>
    <row r="73" s="137" customFormat="1" ht="15" customHeight="1"/>
    <row r="74" s="137" customFormat="1" ht="15" customHeight="1"/>
    <row r="75" s="137" customFormat="1" ht="15" customHeight="1"/>
    <row r="76" s="137" customFormat="1" ht="15" customHeight="1"/>
    <row r="77" s="137" customFormat="1" ht="15" customHeight="1"/>
    <row r="78" s="137" customFormat="1" ht="15" customHeight="1"/>
    <row r="79" s="137" customFormat="1" ht="15" customHeight="1"/>
    <row r="80" s="137" customFormat="1" ht="15" customHeight="1"/>
    <row r="81" s="137" customFormat="1" ht="15" customHeight="1"/>
    <row r="82" s="137" customFormat="1" ht="15" customHeight="1"/>
    <row r="83" s="137" customFormat="1" ht="15" customHeight="1"/>
    <row r="84" s="137" customFormat="1" ht="15" customHeight="1"/>
    <row r="85" s="137" customFormat="1" ht="15" customHeight="1"/>
    <row r="86" s="137" customFormat="1" ht="15" customHeight="1"/>
    <row r="87" s="137" customFormat="1" ht="15" customHeight="1"/>
    <row r="88" s="137" customFormat="1" ht="15" customHeight="1"/>
    <row r="89" s="137" customFormat="1" ht="15" customHeight="1"/>
    <row r="90" s="137" customFormat="1" ht="15" customHeight="1"/>
    <row r="91" s="137" customFormat="1" ht="15" customHeight="1"/>
    <row r="92" s="137" customFormat="1" ht="15" customHeight="1"/>
    <row r="93" s="137" customFormat="1" ht="15" customHeight="1"/>
    <row r="94" s="137" customFormat="1" ht="15" customHeight="1"/>
    <row r="95" s="137" customFormat="1" ht="15" customHeight="1"/>
    <row r="96" s="137" customFormat="1" ht="15" customHeight="1"/>
    <row r="97" s="137" customFormat="1" ht="15" customHeight="1"/>
    <row r="98" s="137" customFormat="1" ht="15" customHeight="1"/>
    <row r="99" s="137" customFormat="1" ht="15" customHeight="1"/>
    <row r="100" s="137" customFormat="1" ht="15" customHeight="1"/>
    <row r="101" s="137" customFormat="1" ht="15" customHeight="1"/>
    <row r="102" s="137" customFormat="1" ht="15" customHeight="1"/>
    <row r="103" s="137" customFormat="1" ht="15" customHeight="1"/>
    <row r="104" s="137" customFormat="1" ht="15" customHeight="1"/>
    <row r="105" s="137" customFormat="1" ht="15" customHeight="1"/>
    <row r="106" s="137" customFormat="1" ht="15" customHeight="1"/>
    <row r="107" s="137" customFormat="1" ht="15" customHeight="1"/>
    <row r="108" s="137" customFormat="1" ht="15" customHeight="1"/>
    <row r="109" s="137" customFormat="1" ht="15" customHeight="1"/>
    <row r="110" s="137" customFormat="1" ht="15" customHeight="1"/>
    <row r="111" s="137" customFormat="1" ht="15" customHeight="1"/>
    <row r="112" s="137" customFormat="1" ht="15" customHeight="1"/>
    <row r="113" s="137" customFormat="1" ht="15" customHeight="1"/>
    <row r="114" s="137" customFormat="1" ht="15" customHeight="1"/>
    <row r="115" s="137" customFormat="1" ht="15" customHeight="1"/>
    <row r="116" s="137" customFormat="1" ht="15" customHeight="1"/>
    <row r="117" s="137" customFormat="1" ht="15" customHeight="1"/>
    <row r="118" s="137" customFormat="1" ht="15" customHeight="1"/>
    <row r="119" s="137" customFormat="1" ht="15" customHeight="1"/>
    <row r="120" s="137" customFormat="1" ht="15" customHeight="1"/>
    <row r="121" s="137" customFormat="1" ht="15" customHeight="1"/>
    <row r="122" s="137" customFormat="1" ht="15" customHeight="1"/>
    <row r="123" s="137" customFormat="1" ht="15" customHeight="1"/>
    <row r="124" s="137" customFormat="1" ht="15" customHeight="1"/>
    <row r="125" s="137" customFormat="1" ht="15" customHeight="1"/>
    <row r="126" s="137" customFormat="1" ht="15" customHeight="1"/>
    <row r="127" s="137" customFormat="1" ht="15" customHeight="1"/>
    <row r="128" s="137" customFormat="1" ht="15" customHeight="1"/>
    <row r="129" s="137" customFormat="1" ht="15" customHeight="1"/>
    <row r="130" s="137" customFormat="1" ht="15" customHeight="1"/>
    <row r="131" s="137" customFormat="1" ht="15" customHeight="1"/>
    <row r="132" s="137" customFormat="1" ht="15" customHeight="1"/>
    <row r="133" s="137" customFormat="1" ht="15" customHeight="1"/>
    <row r="134" s="137" customFormat="1" ht="15" customHeight="1"/>
    <row r="135" s="137" customFormat="1" ht="15" customHeight="1"/>
    <row r="136" s="137" customFormat="1" ht="15" customHeight="1"/>
    <row r="137" s="137" customFormat="1" ht="15" customHeight="1"/>
    <row r="138" s="137" customFormat="1" ht="15" customHeight="1"/>
    <row r="139" s="137" customFormat="1" ht="15" customHeight="1"/>
    <row r="140" s="137" customFormat="1" ht="15" customHeight="1"/>
    <row r="141" s="137" customFormat="1" ht="15" customHeight="1"/>
    <row r="142" s="137" customFormat="1" ht="15" customHeight="1"/>
    <row r="143" s="137" customFormat="1" ht="15" customHeight="1"/>
    <row r="144" s="137" customFormat="1" ht="15" customHeight="1"/>
    <row r="145" s="137" customFormat="1" ht="15" customHeight="1"/>
    <row r="146" s="137" customFormat="1" ht="15" customHeight="1"/>
    <row r="147" s="137" customFormat="1" ht="15" customHeight="1"/>
    <row r="148" s="137" customFormat="1" ht="15" customHeight="1"/>
    <row r="149" s="137" customFormat="1" ht="15" customHeight="1"/>
    <row r="150" s="137" customFormat="1" ht="15" customHeight="1"/>
    <row r="151" s="137" customFormat="1" ht="15" customHeight="1"/>
    <row r="152" s="137" customFormat="1" ht="15" customHeight="1"/>
    <row r="153" s="137" customFormat="1" ht="15" customHeight="1"/>
    <row r="154" s="137" customFormat="1" ht="15" customHeight="1"/>
    <row r="155" s="137" customFormat="1" ht="15" customHeight="1"/>
    <row r="156" s="137" customFormat="1" ht="15" customHeight="1"/>
    <row r="157" s="137" customFormat="1" ht="15" customHeight="1"/>
    <row r="158" s="137" customFormat="1" ht="15" customHeight="1"/>
    <row r="159" s="137" customFormat="1" ht="15" customHeight="1"/>
    <row r="160" s="137" customFormat="1" ht="15" customHeight="1"/>
    <row r="161" s="137" customFormat="1" ht="15" customHeight="1"/>
    <row r="162" s="137" customFormat="1" ht="15" customHeight="1"/>
    <row r="163" s="137" customFormat="1" ht="15" customHeight="1"/>
    <row r="164" s="137" customFormat="1" ht="15" customHeight="1"/>
    <row r="165" s="137" customFormat="1" ht="15" customHeight="1"/>
    <row r="166" s="137" customFormat="1" ht="15" customHeight="1"/>
    <row r="167" s="137" customFormat="1" ht="15" customHeight="1"/>
    <row r="168" s="137" customFormat="1" ht="15" customHeight="1"/>
    <row r="169" s="137" customFormat="1" ht="15" customHeight="1"/>
    <row r="170" s="137" customFormat="1" ht="15" customHeight="1"/>
    <row r="171" s="137" customFormat="1" ht="15" customHeight="1"/>
    <row r="172" s="137" customFormat="1" ht="15" customHeight="1"/>
    <row r="173" s="137" customFormat="1" ht="15" customHeight="1"/>
    <row r="174" s="137" customFormat="1" ht="15" customHeight="1"/>
    <row r="175" s="137" customFormat="1" ht="15" customHeight="1"/>
    <row r="176" s="137" customFormat="1" ht="15" customHeight="1"/>
    <row r="177" s="137" customFormat="1" ht="15" customHeight="1"/>
    <row r="178" s="137" customFormat="1" ht="15" customHeight="1"/>
    <row r="179" s="137" customFormat="1" ht="15" customHeight="1"/>
    <row r="180" s="137" customFormat="1" ht="15" customHeight="1"/>
    <row r="181" s="137" customFormat="1" ht="15" customHeight="1"/>
    <row r="182" s="137" customFormat="1" ht="15" customHeight="1"/>
    <row r="183" s="137" customFormat="1" ht="15" customHeight="1"/>
    <row r="184" s="137" customFormat="1" ht="15" customHeight="1"/>
    <row r="185" s="137" customFormat="1" ht="15" customHeight="1"/>
    <row r="186" s="137" customFormat="1" ht="15" customHeight="1"/>
    <row r="187" s="137" customFormat="1" ht="15" customHeight="1"/>
    <row r="188" s="137" customFormat="1" ht="15" customHeight="1"/>
    <row r="189" s="137" customFormat="1"/>
    <row r="190" s="137" customFormat="1"/>
    <row r="191" s="137" customFormat="1"/>
    <row r="192" s="137" customFormat="1"/>
    <row r="193" s="137" customFormat="1"/>
    <row r="194" s="137" customFormat="1"/>
    <row r="195" s="137" customFormat="1"/>
    <row r="196" s="137" customFormat="1"/>
    <row r="197" s="137" customFormat="1"/>
    <row r="198" s="137" customFormat="1"/>
    <row r="199" s="137" customFormat="1"/>
    <row r="200" s="137" customFormat="1"/>
    <row r="201" s="137" customFormat="1"/>
    <row r="202" s="137" customFormat="1"/>
    <row r="203" s="137" customFormat="1"/>
    <row r="204" s="137" customFormat="1"/>
    <row r="205" s="137" customFormat="1"/>
    <row r="206" s="137" customFormat="1"/>
    <row r="207" s="137" customFormat="1"/>
    <row r="208" s="137" customFormat="1"/>
    <row r="209" s="137" customFormat="1"/>
    <row r="210" s="137" customFormat="1"/>
    <row r="211" s="137" customFormat="1"/>
    <row r="212" s="137" customFormat="1"/>
    <row r="213" s="137" customFormat="1"/>
    <row r="214" s="137" customFormat="1"/>
    <row r="215" s="137" customFormat="1"/>
    <row r="216" s="137" customFormat="1"/>
    <row r="217" s="137" customFormat="1"/>
    <row r="218" s="137" customFormat="1"/>
    <row r="219" s="137" customFormat="1"/>
    <row r="220" s="137" customFormat="1"/>
    <row r="221" s="137" customFormat="1"/>
    <row r="222" s="137" customFormat="1"/>
    <row r="223" s="137" customFormat="1"/>
    <row r="224" s="137" customFormat="1"/>
    <row r="225" s="137" customFormat="1"/>
    <row r="226" s="137" customFormat="1"/>
    <row r="227" s="137" customFormat="1"/>
    <row r="228" s="137" customFormat="1"/>
    <row r="229" s="137" customFormat="1"/>
    <row r="230" s="137" customFormat="1"/>
    <row r="231" s="137" customFormat="1"/>
    <row r="232" s="137" customFormat="1"/>
    <row r="233" s="137" customFormat="1"/>
    <row r="234" s="137" customFormat="1"/>
    <row r="235" s="137" customFormat="1"/>
    <row r="236" s="137" customFormat="1"/>
    <row r="237" s="137" customFormat="1"/>
    <row r="238" s="137" customFormat="1"/>
    <row r="239" s="137" customFormat="1"/>
    <row r="240" s="137" customFormat="1"/>
    <row r="241" s="137" customFormat="1"/>
    <row r="242" s="137" customFormat="1"/>
    <row r="243" s="137" customFormat="1"/>
    <row r="244" s="137" customFormat="1"/>
    <row r="245" s="137" customFormat="1"/>
    <row r="246" s="137" customFormat="1"/>
    <row r="247" s="137" customFormat="1"/>
    <row r="248" s="137" customFormat="1"/>
    <row r="249" s="137" customFormat="1"/>
    <row r="250" s="137" customFormat="1"/>
    <row r="251" s="137" customFormat="1"/>
    <row r="252" s="137" customFormat="1"/>
    <row r="253" s="137" customFormat="1"/>
    <row r="254" s="137" customFormat="1"/>
    <row r="255" s="137" customFormat="1"/>
    <row r="256" s="137" customFormat="1"/>
    <row r="257" s="137" customFormat="1"/>
    <row r="258" s="137" customFormat="1"/>
    <row r="259" s="137" customFormat="1"/>
    <row r="260" s="137" customFormat="1"/>
    <row r="261" s="137" customFormat="1"/>
    <row r="262" s="137" customFormat="1"/>
    <row r="263" s="137" customFormat="1"/>
    <row r="264" s="137" customFormat="1"/>
    <row r="265" s="137" customFormat="1"/>
    <row r="266" s="137" customFormat="1"/>
    <row r="267" s="137" customFormat="1"/>
    <row r="268" s="137" customFormat="1"/>
    <row r="269" s="137" customFormat="1"/>
    <row r="270" s="137" customFormat="1"/>
    <row r="271" s="137" customFormat="1"/>
    <row r="272" s="137" customFormat="1"/>
    <row r="273" s="137" customFormat="1"/>
    <row r="274" s="137" customFormat="1"/>
    <row r="275" s="137" customFormat="1"/>
    <row r="276" s="137" customFormat="1"/>
    <row r="277" s="137" customFormat="1"/>
    <row r="278" s="137" customFormat="1"/>
    <row r="279" s="137" customFormat="1"/>
    <row r="280" s="137" customFormat="1"/>
    <row r="281" s="137" customFormat="1"/>
    <row r="282" s="137" customFormat="1"/>
    <row r="283" s="137" customFormat="1"/>
    <row r="284" s="137" customFormat="1"/>
    <row r="285" s="137" customFormat="1"/>
    <row r="286" s="137" customFormat="1"/>
    <row r="287" s="137" customFormat="1"/>
    <row r="288" s="137" customFormat="1"/>
    <row r="289" s="137" customFormat="1"/>
    <row r="290" s="137" customFormat="1"/>
    <row r="291" s="137" customFormat="1"/>
    <row r="292" s="137" customFormat="1"/>
    <row r="293" s="137" customFormat="1"/>
    <row r="294" s="137" customFormat="1"/>
    <row r="295" s="137" customFormat="1"/>
    <row r="296" s="137" customFormat="1"/>
    <row r="297" s="137" customFormat="1"/>
    <row r="298" s="137" customFormat="1"/>
    <row r="299" s="137" customFormat="1"/>
    <row r="300" s="137" customFormat="1"/>
    <row r="301" s="137" customFormat="1"/>
    <row r="302" s="137" customFormat="1"/>
    <row r="303" s="137" customFormat="1"/>
    <row r="304" s="137" customFormat="1"/>
    <row r="305" s="137" customFormat="1"/>
    <row r="306" s="137" customFormat="1"/>
    <row r="307" s="137" customFormat="1"/>
    <row r="308" s="137" customFormat="1"/>
    <row r="309" s="137" customFormat="1"/>
    <row r="310" s="137" customFormat="1"/>
    <row r="311" s="137" customFormat="1"/>
    <row r="312" s="137" customFormat="1"/>
    <row r="313" s="137" customFormat="1"/>
    <row r="314" s="137" customFormat="1"/>
    <row r="315" s="137" customFormat="1"/>
    <row r="316" s="137" customFormat="1"/>
    <row r="317" s="137" customFormat="1"/>
    <row r="318" s="137" customFormat="1"/>
    <row r="319" s="137" customFormat="1"/>
    <row r="320" s="137" customFormat="1"/>
    <row r="321" s="137" customFormat="1"/>
    <row r="322" s="137" customFormat="1"/>
    <row r="323" s="137" customFormat="1"/>
    <row r="324" s="137" customFormat="1"/>
    <row r="325" s="137" customFormat="1"/>
    <row r="326" s="137" customFormat="1"/>
    <row r="327" s="137" customFormat="1"/>
    <row r="328" s="137" customFormat="1"/>
    <row r="329" s="137" customFormat="1"/>
    <row r="330" s="137" customFormat="1"/>
    <row r="331" s="137" customFormat="1"/>
    <row r="332" s="137" customFormat="1"/>
    <row r="333" s="137" customFormat="1"/>
    <row r="334" s="137" customFormat="1"/>
    <row r="335" s="137" customFormat="1"/>
    <row r="336" s="137" customFormat="1"/>
    <row r="337" s="137" customFormat="1"/>
    <row r="338" s="137" customFormat="1"/>
    <row r="339" s="137" customFormat="1"/>
    <row r="340" s="137" customFormat="1"/>
    <row r="341" s="137" customFormat="1"/>
    <row r="342" s="137" customFormat="1"/>
    <row r="343" s="137" customFormat="1"/>
    <row r="344" s="137" customFormat="1"/>
    <row r="345" s="137" customFormat="1"/>
    <row r="346" s="137" customFormat="1"/>
    <row r="347" s="137" customFormat="1"/>
    <row r="348" s="137" customFormat="1"/>
    <row r="349" s="137" customFormat="1"/>
    <row r="350" s="137" customFormat="1"/>
    <row r="351" s="137" customFormat="1"/>
    <row r="352" s="137" customFormat="1"/>
    <row r="353" s="137" customFormat="1"/>
    <row r="354" s="137" customFormat="1"/>
    <row r="355" s="137" customFormat="1"/>
    <row r="356" s="137" customFormat="1"/>
    <row r="357" s="137" customFormat="1"/>
    <row r="358" s="137" customFormat="1"/>
    <row r="359" s="137" customFormat="1"/>
    <row r="360" s="137" customFormat="1"/>
    <row r="361" s="137" customFormat="1"/>
    <row r="362" s="137" customFormat="1"/>
    <row r="363" s="137" customFormat="1"/>
    <row r="364" s="137" customFormat="1"/>
    <row r="365" s="137" customFormat="1"/>
    <row r="366" s="137" customFormat="1"/>
    <row r="367" s="137" customFormat="1"/>
    <row r="368" s="137" customFormat="1"/>
    <row r="369" s="137" customFormat="1"/>
    <row r="370" s="137" customFormat="1"/>
    <row r="371" s="137" customFormat="1"/>
    <row r="372" s="137" customFormat="1"/>
    <row r="373" s="137" customFormat="1"/>
    <row r="374" s="137" customFormat="1"/>
    <row r="375" s="137" customFormat="1"/>
    <row r="376" s="137" customFormat="1"/>
    <row r="377" s="137" customFormat="1"/>
    <row r="378" s="137" customFormat="1"/>
    <row r="379" s="137" customFormat="1"/>
    <row r="380" s="137" customFormat="1"/>
    <row r="381" s="137" customFormat="1"/>
    <row r="382" s="137" customFormat="1"/>
    <row r="383" s="137" customFormat="1"/>
    <row r="384" s="137" customFormat="1"/>
    <row r="385" s="137" customFormat="1"/>
    <row r="386" s="137" customFormat="1"/>
    <row r="387" s="137" customFormat="1"/>
    <row r="388" s="137" customFormat="1"/>
    <row r="389" s="137" customFormat="1"/>
    <row r="390" s="137" customFormat="1"/>
    <row r="391" s="137" customFormat="1"/>
    <row r="392" s="137" customFormat="1"/>
    <row r="393" s="137" customFormat="1"/>
    <row r="394" s="137" customFormat="1"/>
    <row r="395" s="137" customFormat="1"/>
    <row r="396" s="137" customFormat="1"/>
    <row r="397" s="137" customFormat="1"/>
    <row r="398" s="137" customFormat="1"/>
    <row r="399" s="137" customFormat="1"/>
    <row r="400" s="137" customFormat="1"/>
    <row r="401" s="137" customFormat="1"/>
    <row r="402" s="137" customFormat="1"/>
    <row r="403" s="137" customFormat="1"/>
    <row r="404" s="137" customFormat="1"/>
    <row r="405" s="137" customFormat="1"/>
    <row r="406" s="137" customFormat="1"/>
    <row r="407" s="137" customFormat="1"/>
    <row r="408" s="137" customFormat="1"/>
    <row r="409" s="137" customFormat="1"/>
    <row r="410" s="137" customFormat="1"/>
    <row r="411" s="137" customFormat="1"/>
    <row r="412" s="137" customFormat="1"/>
    <row r="413" s="137" customFormat="1"/>
    <row r="414" s="137" customFormat="1"/>
    <row r="415" s="137" customFormat="1"/>
    <row r="416" s="137" customFormat="1"/>
    <row r="417" s="137" customFormat="1"/>
    <row r="418" s="137" customFormat="1"/>
    <row r="419" s="137" customFormat="1"/>
    <row r="420" s="137" customFormat="1"/>
    <row r="421" s="137" customFormat="1"/>
    <row r="422" s="137" customFormat="1"/>
    <row r="423" s="137" customFormat="1"/>
    <row r="424" s="137" customFormat="1"/>
    <row r="425" s="137" customFormat="1"/>
    <row r="426" s="137" customFormat="1"/>
    <row r="427" s="137" customFormat="1"/>
    <row r="428" s="137" customFormat="1"/>
    <row r="429" s="137" customFormat="1"/>
    <row r="430" s="137" customFormat="1"/>
    <row r="431" s="137" customFormat="1"/>
    <row r="432" s="137" customFormat="1"/>
    <row r="433" s="137" customFormat="1"/>
    <row r="434" s="137" customFormat="1"/>
    <row r="435" s="137" customFormat="1"/>
    <row r="436" s="137" customFormat="1"/>
    <row r="437" s="137" customFormat="1"/>
    <row r="438" s="137" customFormat="1"/>
    <row r="439" s="137" customFormat="1"/>
    <row r="440" s="137" customFormat="1"/>
    <row r="441" s="137" customFormat="1"/>
    <row r="442" s="137" customFormat="1"/>
    <row r="443" s="137" customFormat="1"/>
    <row r="444" s="137" customFormat="1"/>
    <row r="445" s="137" customFormat="1"/>
    <row r="446" s="137" customFormat="1"/>
    <row r="447" s="137" customFormat="1"/>
    <row r="448" s="137" customFormat="1"/>
    <row r="449" s="137" customFormat="1"/>
    <row r="450" s="137" customFormat="1"/>
    <row r="451" s="137" customFormat="1"/>
    <row r="452" s="137" customFormat="1"/>
    <row r="453" s="137" customFormat="1"/>
    <row r="454" s="137" customFormat="1"/>
    <row r="455" s="137" customFormat="1"/>
    <row r="456" s="137" customFormat="1"/>
    <row r="457" s="137" customFormat="1"/>
    <row r="458" s="137" customFormat="1"/>
    <row r="459" s="137" customFormat="1"/>
    <row r="460" s="137" customFormat="1"/>
    <row r="461" s="137" customFormat="1"/>
    <row r="462" s="137" customFormat="1"/>
    <row r="463" s="137" customFormat="1"/>
    <row r="464" s="137" customFormat="1"/>
    <row r="465" s="137" customFormat="1"/>
    <row r="466" s="137" customFormat="1"/>
    <row r="467" s="137" customFormat="1"/>
    <row r="468" s="137" customFormat="1"/>
    <row r="469" s="137" customFormat="1"/>
    <row r="470" s="137" customFormat="1"/>
    <row r="471" s="137" customFormat="1"/>
    <row r="472" s="137" customFormat="1"/>
    <row r="473" s="137" customFormat="1"/>
    <row r="474" s="137" customFormat="1"/>
    <row r="475" s="137" customFormat="1"/>
    <row r="476" s="137" customFormat="1"/>
    <row r="477" s="137" customFormat="1"/>
    <row r="478" s="137" customFormat="1"/>
    <row r="479" s="137" customFormat="1"/>
    <row r="480" s="137" customFormat="1"/>
    <row r="481" s="137" customFormat="1"/>
    <row r="482" s="137" customFormat="1"/>
    <row r="483" s="137" customFormat="1"/>
    <row r="484" s="137" customFormat="1"/>
    <row r="485" s="137" customFormat="1"/>
    <row r="486" s="137" customFormat="1"/>
    <row r="487" s="137" customFormat="1"/>
    <row r="488" s="137" customFormat="1"/>
    <row r="489" s="137" customFormat="1"/>
    <row r="490" s="137" customFormat="1"/>
    <row r="491" s="137" customFormat="1"/>
    <row r="492" s="137" customFormat="1"/>
    <row r="493" s="137" customFormat="1"/>
    <row r="494" s="137" customFormat="1"/>
    <row r="495" s="137" customFormat="1"/>
    <row r="496" s="137" customFormat="1"/>
    <row r="497" s="137" customFormat="1"/>
    <row r="498" s="137" customFormat="1"/>
    <row r="499" s="137" customFormat="1"/>
    <row r="500" s="137" customFormat="1"/>
    <row r="501" s="137" customFormat="1"/>
    <row r="502" s="137" customFormat="1"/>
    <row r="503" s="137" customFormat="1"/>
    <row r="504" s="137" customFormat="1"/>
    <row r="505" s="137" customFormat="1"/>
    <row r="506" s="137" customFormat="1"/>
    <row r="507" s="137" customFormat="1"/>
    <row r="508" s="137" customFormat="1"/>
    <row r="509" s="137" customFormat="1"/>
    <row r="510" s="137" customFormat="1"/>
    <row r="511" s="137" customFormat="1"/>
    <row r="512" s="137" customFormat="1"/>
    <row r="513" s="137" customFormat="1"/>
    <row r="514" s="137" customFormat="1"/>
    <row r="515" s="137" customFormat="1"/>
    <row r="516" s="137" customFormat="1"/>
    <row r="517" s="137" customFormat="1"/>
    <row r="518" s="137" customFormat="1"/>
    <row r="519" s="137" customFormat="1"/>
    <row r="520" s="137" customFormat="1"/>
    <row r="521" s="137" customFormat="1"/>
    <row r="522" s="137" customFormat="1"/>
    <row r="523" s="137" customFormat="1"/>
    <row r="524" s="137" customFormat="1"/>
    <row r="525" s="137" customFormat="1"/>
    <row r="526" s="137" customFormat="1"/>
    <row r="527" s="137" customFormat="1"/>
    <row r="528" s="137" customFormat="1"/>
    <row r="529" s="137" customFormat="1"/>
    <row r="530" s="137" customFormat="1"/>
    <row r="531" s="137" customFormat="1"/>
    <row r="532" s="137" customFormat="1"/>
    <row r="533" s="137" customFormat="1"/>
    <row r="534" s="137" customFormat="1"/>
    <row r="535" s="137" customFormat="1"/>
    <row r="536" s="137" customFormat="1"/>
    <row r="537" s="137" customFormat="1"/>
    <row r="538" s="137" customFormat="1"/>
    <row r="539" s="137" customFormat="1"/>
    <row r="540" s="137" customFormat="1"/>
    <row r="541" s="137" customFormat="1"/>
    <row r="542" s="137" customFormat="1"/>
    <row r="543" s="137" customFormat="1"/>
    <row r="544" s="137" customFormat="1"/>
    <row r="545" s="137" customFormat="1"/>
    <row r="546" s="137" customFormat="1"/>
    <row r="547" s="137" customFormat="1"/>
    <row r="548" s="137" customFormat="1"/>
    <row r="549" s="137" customFormat="1"/>
    <row r="550" s="137" customFormat="1"/>
    <row r="551" s="137" customFormat="1"/>
    <row r="552" s="137" customFormat="1"/>
    <row r="553" s="137" customFormat="1"/>
    <row r="554" s="137" customFormat="1"/>
    <row r="555" s="137" customFormat="1"/>
    <row r="556" s="137" customFormat="1"/>
    <row r="557" s="137" customFormat="1"/>
    <row r="558" s="137" customFormat="1"/>
    <row r="559" s="137" customFormat="1"/>
    <row r="560" s="137" customFormat="1"/>
    <row r="561" s="137" customFormat="1"/>
    <row r="562" s="137" customFormat="1"/>
    <row r="563" s="137" customFormat="1"/>
    <row r="564" s="137" customFormat="1"/>
    <row r="565" s="137" customFormat="1"/>
    <row r="566" s="137" customFormat="1"/>
    <row r="567" s="137" customFormat="1"/>
    <row r="568" s="137" customFormat="1"/>
    <row r="569" s="137" customFormat="1"/>
    <row r="570" s="137" customFormat="1"/>
    <row r="571" s="137" customFormat="1"/>
    <row r="572" s="137" customFormat="1"/>
    <row r="573" s="137" customFormat="1"/>
    <row r="574" s="137" customFormat="1"/>
    <row r="575" s="137" customFormat="1"/>
    <row r="576" s="137" customFormat="1"/>
    <row r="577" s="137" customFormat="1"/>
    <row r="578" s="137" customFormat="1"/>
    <row r="579" s="137" customFormat="1"/>
    <row r="580" s="137" customFormat="1"/>
    <row r="581" s="137" customFormat="1"/>
    <row r="582" s="137" customFormat="1"/>
    <row r="583" s="137" customFormat="1"/>
    <row r="584" s="137" customFormat="1"/>
    <row r="585" s="137" customFormat="1"/>
    <row r="586" s="137" customFormat="1"/>
    <row r="587" s="137" customFormat="1"/>
    <row r="588" s="137" customFormat="1"/>
    <row r="589" s="137" customFormat="1"/>
    <row r="590" s="137" customFormat="1"/>
    <row r="591" s="137" customFormat="1"/>
    <row r="592" s="137" customFormat="1"/>
    <row r="593" s="137" customFormat="1"/>
    <row r="594" s="137" customFormat="1"/>
    <row r="595" s="137" customFormat="1"/>
    <row r="596" s="137" customFormat="1"/>
    <row r="597" s="137" customFormat="1"/>
    <row r="598" s="137" customFormat="1"/>
    <row r="599" s="137" customFormat="1"/>
    <row r="600" s="137" customFormat="1"/>
    <row r="601" s="137" customFormat="1"/>
    <row r="602" s="137" customFormat="1"/>
    <row r="603" s="137" customFormat="1"/>
    <row r="604" s="137" customFormat="1"/>
    <row r="605" s="137" customFormat="1"/>
    <row r="606" s="137" customFormat="1"/>
    <row r="607" s="137" customFormat="1"/>
    <row r="608" s="137" customFormat="1"/>
    <row r="609" s="137" customFormat="1"/>
    <row r="610" s="137" customFormat="1"/>
    <row r="611" s="137" customFormat="1"/>
    <row r="612" s="137" customFormat="1"/>
    <row r="613" s="137" customFormat="1"/>
    <row r="614" s="137" customFormat="1"/>
    <row r="615" s="137" customFormat="1"/>
    <row r="616" s="137" customFormat="1"/>
    <row r="617" s="137" customFormat="1"/>
    <row r="618" s="137" customFormat="1"/>
    <row r="619" s="137" customFormat="1"/>
    <row r="620" s="137" customFormat="1"/>
    <row r="621" s="137" customFormat="1"/>
    <row r="622" s="137" customFormat="1"/>
    <row r="623" s="137" customFormat="1"/>
    <row r="624" s="137" customFormat="1"/>
    <row r="625" s="137" customFormat="1"/>
    <row r="626" s="137" customFormat="1"/>
    <row r="627" s="137" customFormat="1"/>
    <row r="628" s="137" customFormat="1"/>
    <row r="629" s="137" customFormat="1"/>
    <row r="630" s="137" customFormat="1"/>
    <row r="631" s="137" customFormat="1"/>
    <row r="632" s="137" customFormat="1"/>
    <row r="633" s="137" customFormat="1"/>
    <row r="634" s="137" customFormat="1"/>
    <row r="635" s="137" customFormat="1"/>
    <row r="636" s="137" customFormat="1"/>
    <row r="637" s="137" customFormat="1"/>
    <row r="638" s="137" customFormat="1"/>
    <row r="639" s="137" customFormat="1"/>
    <row r="640" s="137" customFormat="1"/>
    <row r="641" s="137" customFormat="1"/>
    <row r="642" s="137" customFormat="1"/>
    <row r="643" s="137" customFormat="1"/>
    <row r="644" s="137" customFormat="1"/>
    <row r="645" s="137" customFormat="1"/>
    <row r="646" s="137" customFormat="1"/>
    <row r="647" s="137" customFormat="1"/>
    <row r="648" s="137" customFormat="1"/>
    <row r="649" s="137" customFormat="1"/>
    <row r="650" s="137" customFormat="1"/>
    <row r="651" s="137" customFormat="1"/>
    <row r="652" s="137" customFormat="1"/>
    <row r="653" s="137" customFormat="1"/>
    <row r="654" s="137" customFormat="1"/>
    <row r="655" s="137" customFormat="1"/>
    <row r="656" s="137" customFormat="1"/>
    <row r="657" spans="1:60" s="137" customFormat="1"/>
    <row r="658" spans="1:60" s="137" customFormat="1"/>
    <row r="659" spans="1:60" s="137" customFormat="1"/>
    <row r="660" spans="1:60" s="137" customFormat="1"/>
    <row r="661" spans="1:60" s="137" customFormat="1"/>
    <row r="662" spans="1:60" s="137" customFormat="1"/>
    <row r="663" spans="1:60">
      <c r="A663" s="137"/>
      <c r="B663" s="137"/>
      <c r="C663" s="137"/>
      <c r="D663" s="137"/>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c r="AA663" s="137"/>
      <c r="AB663" s="137"/>
      <c r="AC663" s="137"/>
      <c r="AD663" s="137"/>
      <c r="AE663" s="137"/>
      <c r="AF663" s="137"/>
      <c r="AG663" s="137"/>
      <c r="AH663" s="137"/>
      <c r="AI663" s="137"/>
      <c r="AJ663" s="137"/>
      <c r="AK663" s="137"/>
      <c r="AL663" s="137"/>
      <c r="AM663" s="137"/>
      <c r="AN663" s="137"/>
      <c r="AO663" s="137"/>
      <c r="AP663" s="137"/>
      <c r="AQ663" s="137"/>
      <c r="AR663" s="137"/>
      <c r="AS663" s="137"/>
      <c r="AT663" s="137"/>
      <c r="AU663" s="137"/>
      <c r="AV663" s="137"/>
      <c r="AW663" s="137"/>
      <c r="AX663" s="137"/>
      <c r="AY663" s="137"/>
      <c r="AZ663" s="137"/>
      <c r="BA663" s="137"/>
      <c r="BB663" s="137"/>
      <c r="BC663" s="137"/>
      <c r="BD663" s="137"/>
      <c r="BE663" s="137"/>
      <c r="BF663" s="137"/>
      <c r="BG663" s="137"/>
      <c r="BH663" s="137"/>
    </row>
    <row r="664" spans="1:60">
      <c r="A664" s="137"/>
      <c r="B664" s="137"/>
      <c r="C664" s="137"/>
      <c r="D664" s="137"/>
      <c r="E664" s="137"/>
      <c r="F664" s="137"/>
      <c r="G664" s="137"/>
      <c r="H664" s="137"/>
      <c r="I664" s="137"/>
      <c r="J664" s="137"/>
      <c r="K664" s="137"/>
      <c r="L664" s="137"/>
      <c r="M664" s="137"/>
      <c r="N664" s="137"/>
      <c r="O664" s="137"/>
      <c r="P664" s="137"/>
      <c r="Q664" s="137"/>
      <c r="R664" s="137"/>
      <c r="S664" s="137"/>
      <c r="T664" s="137"/>
      <c r="U664" s="137"/>
      <c r="V664" s="137"/>
      <c r="W664" s="137"/>
      <c r="X664" s="137"/>
      <c r="Y664" s="137"/>
      <c r="Z664" s="137"/>
      <c r="AA664" s="137"/>
      <c r="AB664" s="137"/>
      <c r="AC664" s="137"/>
      <c r="AD664" s="137"/>
      <c r="AE664" s="137"/>
      <c r="AF664" s="137"/>
      <c r="AG664" s="137"/>
      <c r="AH664" s="137"/>
      <c r="AI664" s="137"/>
      <c r="AJ664" s="137"/>
      <c r="AK664" s="137"/>
      <c r="AL664" s="137"/>
      <c r="AM664" s="137"/>
      <c r="AN664" s="137"/>
      <c r="AO664" s="137"/>
      <c r="AP664" s="137"/>
      <c r="AQ664" s="137"/>
      <c r="AR664" s="137"/>
      <c r="AS664" s="137"/>
      <c r="AT664" s="137"/>
      <c r="AU664" s="137"/>
      <c r="AV664" s="137"/>
      <c r="AW664" s="137"/>
      <c r="AX664" s="137"/>
      <c r="AY664" s="137"/>
      <c r="AZ664" s="137"/>
      <c r="BA664" s="137"/>
      <c r="BB664" s="137"/>
      <c r="BC664" s="137"/>
      <c r="BD664" s="137"/>
      <c r="BE664" s="137"/>
      <c r="BF664" s="137"/>
      <c r="BG664" s="137"/>
      <c r="BH664" s="137"/>
    </row>
    <row r="665" spans="1:60">
      <c r="A665" s="137"/>
      <c r="B665" s="137"/>
      <c r="C665" s="137"/>
      <c r="D665" s="137"/>
      <c r="E665" s="137"/>
      <c r="F665" s="137"/>
      <c r="G665" s="137"/>
      <c r="H665" s="137"/>
      <c r="I665" s="137"/>
      <c r="J665" s="137"/>
      <c r="K665" s="137"/>
      <c r="L665" s="137"/>
      <c r="M665" s="137"/>
      <c r="N665" s="137"/>
      <c r="O665" s="137"/>
      <c r="P665" s="137"/>
      <c r="Q665" s="137"/>
      <c r="R665" s="137"/>
      <c r="S665" s="137"/>
      <c r="T665" s="137"/>
      <c r="U665" s="137"/>
      <c r="V665" s="137"/>
      <c r="W665" s="137"/>
      <c r="X665" s="137"/>
      <c r="Y665" s="137"/>
      <c r="Z665" s="137"/>
      <c r="AA665" s="137"/>
      <c r="AB665" s="137"/>
      <c r="AC665" s="137"/>
      <c r="AD665" s="137"/>
      <c r="AE665" s="137"/>
      <c r="AF665" s="137"/>
      <c r="AG665" s="137"/>
      <c r="AH665" s="137"/>
      <c r="AI665" s="137"/>
      <c r="AJ665" s="137"/>
      <c r="AK665" s="137"/>
      <c r="AL665" s="137"/>
      <c r="AM665" s="137"/>
      <c r="AN665" s="137"/>
      <c r="AO665" s="137"/>
      <c r="AP665" s="137"/>
      <c r="AQ665" s="137"/>
      <c r="AR665" s="137"/>
      <c r="AS665" s="137"/>
      <c r="AT665" s="137"/>
      <c r="AU665" s="137"/>
      <c r="AV665" s="137"/>
      <c r="AW665" s="137"/>
      <c r="AX665" s="137"/>
      <c r="AY665" s="137"/>
      <c r="AZ665" s="137"/>
      <c r="BA665" s="137"/>
      <c r="BB665" s="137"/>
      <c r="BC665" s="137"/>
      <c r="BD665" s="137"/>
      <c r="BE665" s="137"/>
      <c r="BF665" s="137"/>
      <c r="BG665" s="137"/>
      <c r="BH665" s="137"/>
    </row>
    <row r="666" spans="1:60">
      <c r="A666" s="137"/>
      <c r="B666" s="137"/>
      <c r="C666" s="137"/>
      <c r="D666" s="137"/>
      <c r="E666" s="137"/>
      <c r="F666" s="137"/>
      <c r="G666" s="137"/>
      <c r="H666" s="137"/>
      <c r="I666" s="137"/>
      <c r="J666" s="137"/>
      <c r="K666" s="137"/>
      <c r="L666" s="137"/>
      <c r="M666" s="137"/>
      <c r="N666" s="137"/>
      <c r="O666" s="137"/>
      <c r="P666" s="137"/>
      <c r="Q666" s="137"/>
      <c r="R666" s="137"/>
      <c r="S666" s="137"/>
      <c r="T666" s="137"/>
      <c r="U666" s="137"/>
      <c r="V666" s="137"/>
      <c r="W666" s="137"/>
      <c r="X666" s="137"/>
      <c r="Y666" s="137"/>
      <c r="Z666" s="137"/>
      <c r="AA666" s="137"/>
      <c r="AB666" s="137"/>
      <c r="AC666" s="137"/>
      <c r="AD666" s="137"/>
      <c r="AE666" s="137"/>
      <c r="AF666" s="137"/>
      <c r="AG666" s="137"/>
      <c r="AH666" s="137"/>
      <c r="AI666" s="137"/>
      <c r="AJ666" s="137"/>
      <c r="AK666" s="137"/>
      <c r="AL666" s="137"/>
      <c r="AM666" s="137"/>
      <c r="AN666" s="137"/>
      <c r="AO666" s="137"/>
      <c r="AP666" s="137"/>
      <c r="AQ666" s="137"/>
      <c r="AR666" s="137"/>
      <c r="AS666" s="137"/>
      <c r="AT666" s="137"/>
      <c r="AU666" s="137"/>
      <c r="AV666" s="137"/>
      <c r="AW666" s="137"/>
      <c r="AX666" s="137"/>
      <c r="AY666" s="137"/>
      <c r="AZ666" s="137"/>
      <c r="BA666" s="137"/>
      <c r="BB666" s="137"/>
      <c r="BC666" s="137"/>
      <c r="BD666" s="137"/>
      <c r="BE666" s="137"/>
      <c r="BF666" s="137"/>
      <c r="BG666" s="137"/>
      <c r="BH666" s="137"/>
    </row>
    <row r="667" spans="1:60">
      <c r="A667" s="137"/>
      <c r="B667" s="137"/>
      <c r="C667" s="137"/>
      <c r="D667" s="137"/>
      <c r="E667" s="137"/>
      <c r="F667" s="137"/>
      <c r="G667" s="137"/>
      <c r="H667" s="137"/>
      <c r="I667" s="137"/>
      <c r="J667" s="137"/>
      <c r="K667" s="137"/>
      <c r="L667" s="137"/>
      <c r="M667" s="137"/>
      <c r="N667" s="137"/>
      <c r="O667" s="137"/>
      <c r="P667" s="137"/>
      <c r="Q667" s="137"/>
      <c r="R667" s="137"/>
      <c r="S667" s="137"/>
      <c r="T667" s="137"/>
      <c r="U667" s="137"/>
      <c r="V667" s="137"/>
      <c r="W667" s="137"/>
      <c r="X667" s="137"/>
      <c r="Y667" s="137"/>
      <c r="Z667" s="137"/>
      <c r="AA667" s="137"/>
      <c r="AB667" s="137"/>
      <c r="AC667" s="137"/>
      <c r="AD667" s="137"/>
    </row>
    <row r="668" spans="1:60">
      <c r="A668" s="137"/>
      <c r="B668" s="137"/>
      <c r="C668" s="137"/>
      <c r="D668" s="137"/>
      <c r="E668" s="137"/>
      <c r="F668" s="137"/>
      <c r="G668" s="137"/>
      <c r="H668" s="137"/>
      <c r="I668" s="137"/>
      <c r="J668" s="137"/>
      <c r="K668" s="137"/>
      <c r="L668" s="137"/>
      <c r="M668" s="137"/>
      <c r="N668" s="137"/>
      <c r="O668" s="137"/>
      <c r="P668" s="137"/>
      <c r="Q668" s="137"/>
      <c r="R668" s="137"/>
      <c r="S668" s="137"/>
      <c r="T668" s="137"/>
      <c r="U668" s="137"/>
      <c r="V668" s="137"/>
      <c r="W668" s="137"/>
      <c r="X668" s="137"/>
      <c r="Y668" s="137"/>
      <c r="Z668" s="137"/>
      <c r="AA668" s="137"/>
      <c r="AB668" s="137"/>
      <c r="AC668" s="137"/>
      <c r="AD668" s="137"/>
    </row>
    <row r="669" spans="1:60">
      <c r="A669" s="137"/>
      <c r="B669" s="137"/>
      <c r="C669" s="137"/>
      <c r="D669" s="137"/>
      <c r="E669" s="137"/>
      <c r="F669" s="137"/>
      <c r="G669" s="137"/>
      <c r="H669" s="137"/>
      <c r="I669" s="137"/>
      <c r="J669" s="137"/>
      <c r="K669" s="137"/>
      <c r="L669" s="137"/>
      <c r="M669" s="137"/>
      <c r="N669" s="137"/>
      <c r="O669" s="137"/>
      <c r="P669" s="137"/>
      <c r="Q669" s="137"/>
      <c r="R669" s="137"/>
      <c r="S669" s="137"/>
      <c r="T669" s="137"/>
      <c r="U669" s="137"/>
      <c r="V669" s="137"/>
      <c r="W669" s="137"/>
      <c r="X669" s="137"/>
      <c r="Y669" s="137"/>
      <c r="Z669" s="137"/>
      <c r="AA669" s="137"/>
      <c r="AB669" s="137"/>
      <c r="AC669" s="137"/>
      <c r="AD669" s="137"/>
    </row>
    <row r="670" spans="1:60">
      <c r="A670" s="137"/>
      <c r="B670" s="137"/>
      <c r="C670" s="137"/>
      <c r="D670" s="137"/>
      <c r="E670" s="137"/>
      <c r="F670" s="137"/>
      <c r="G670" s="137"/>
      <c r="H670" s="137"/>
      <c r="I670" s="137"/>
      <c r="J670" s="137"/>
      <c r="K670" s="137"/>
      <c r="L670" s="137"/>
      <c r="M670" s="137"/>
      <c r="N670" s="137"/>
      <c r="O670" s="137"/>
      <c r="P670" s="137"/>
      <c r="Q670" s="137"/>
      <c r="R670" s="137"/>
      <c r="S670" s="137"/>
      <c r="T670" s="137"/>
      <c r="U670" s="137"/>
      <c r="V670" s="137"/>
      <c r="W670" s="137"/>
      <c r="X670" s="137"/>
      <c r="Y670" s="137"/>
      <c r="Z670" s="137"/>
      <c r="AA670" s="137"/>
      <c r="AB670" s="137"/>
      <c r="AC670" s="137"/>
      <c r="AD670" s="137"/>
    </row>
  </sheetData>
  <sheetProtection password="D5CA" sheet="1" formatRows="0" insertHyperlinks="0" selectLockedCells="1"/>
  <protectedRanges>
    <protectedRange sqref="Z7:AA7" name="Range1"/>
  </protectedRanges>
  <dataConsolidate/>
  <mergeCells count="78">
    <mergeCell ref="A20:F20"/>
    <mergeCell ref="G20:I20"/>
    <mergeCell ref="J19:O19"/>
    <mergeCell ref="A11:F11"/>
    <mergeCell ref="A12:F12"/>
    <mergeCell ref="A13:F13"/>
    <mergeCell ref="A19:F19"/>
    <mergeCell ref="A18:F18"/>
    <mergeCell ref="G16:I16"/>
    <mergeCell ref="A17:F17"/>
    <mergeCell ref="A16:F16"/>
    <mergeCell ref="A14:F14"/>
    <mergeCell ref="G12:I12"/>
    <mergeCell ref="G11:I11"/>
    <mergeCell ref="AN16:AR16"/>
    <mergeCell ref="AN17:AR17"/>
    <mergeCell ref="G17:I17"/>
    <mergeCell ref="A15:F15"/>
    <mergeCell ref="AN18:AR18"/>
    <mergeCell ref="AN19:AR19"/>
    <mergeCell ref="P27:S27"/>
    <mergeCell ref="K26:O26"/>
    <mergeCell ref="K27:O27"/>
    <mergeCell ref="Y27:AA27"/>
    <mergeCell ref="A10:S10"/>
    <mergeCell ref="AN11:AR11"/>
    <mergeCell ref="AN12:AR12"/>
    <mergeCell ref="AN13:AR13"/>
    <mergeCell ref="AN14:AR14"/>
    <mergeCell ref="AD10:AS10"/>
    <mergeCell ref="A27:F27"/>
    <mergeCell ref="Y26:AB26"/>
    <mergeCell ref="G27:I27"/>
    <mergeCell ref="AB27:AF27"/>
    <mergeCell ref="AJ27:AP27"/>
    <mergeCell ref="AQ27:AS27"/>
    <mergeCell ref="AQ26:AS26"/>
    <mergeCell ref="AG27:AI27"/>
    <mergeCell ref="T26:X26"/>
    <mergeCell ref="P26:S26"/>
    <mergeCell ref="AT27:AW27"/>
    <mergeCell ref="AC26:AE26"/>
    <mergeCell ref="AX27:AZ27"/>
    <mergeCell ref="BA27:BD27"/>
    <mergeCell ref="BE27:BH27"/>
    <mergeCell ref="G18:I18"/>
    <mergeCell ref="A25:BH25"/>
    <mergeCell ref="A23:BH23"/>
    <mergeCell ref="A22:BH22"/>
    <mergeCell ref="A24:BH24"/>
    <mergeCell ref="Z6:AS6"/>
    <mergeCell ref="A26:F26"/>
    <mergeCell ref="G26:I26"/>
    <mergeCell ref="BB9:BH9"/>
    <mergeCell ref="BB6:BH6"/>
    <mergeCell ref="I7:Q7"/>
    <mergeCell ref="Z7:AS7"/>
    <mergeCell ref="G13:I13"/>
    <mergeCell ref="G19:I19"/>
    <mergeCell ref="P19:W19"/>
    <mergeCell ref="A1:BH1"/>
    <mergeCell ref="Z3:AS3"/>
    <mergeCell ref="BB3:BH3"/>
    <mergeCell ref="I4:Q4"/>
    <mergeCell ref="Z4:AG4"/>
    <mergeCell ref="AL4:AS4"/>
    <mergeCell ref="BB4:BH4"/>
    <mergeCell ref="A2:BH2"/>
    <mergeCell ref="I6:Q6"/>
    <mergeCell ref="A32:BH32"/>
    <mergeCell ref="A29:BH29"/>
    <mergeCell ref="A21:BH21"/>
    <mergeCell ref="A30:BH30"/>
    <mergeCell ref="A31:BH31"/>
    <mergeCell ref="BB7:BH7"/>
    <mergeCell ref="I9:Q9"/>
    <mergeCell ref="Z9:AS9"/>
    <mergeCell ref="G14:I14"/>
  </mergeCells>
  <conditionalFormatting sqref="I7:Q7">
    <cfRule type="expression" dxfId="133" priority="295" stopIfTrue="1">
      <formula>$I$6="Renewal"</formula>
    </cfRule>
  </conditionalFormatting>
  <conditionalFormatting sqref="AU5">
    <cfRule type="expression" dxfId="132" priority="202" stopIfTrue="1">
      <formula>AU5="*** The effective date is prior to today. ***"</formula>
    </cfRule>
  </conditionalFormatting>
  <dataValidations count="9">
    <dataValidation type="decimal" allowBlank="1" showInputMessage="1" showErrorMessage="1" error="Please enter a $ value." sqref="BB4:BH4">
      <formula1>0</formula1>
      <formula2>10000000000000000</formula2>
    </dataValidation>
    <dataValidation type="whole" allowBlank="1" showInputMessage="1" showErrorMessage="1" sqref="I3:Q3">
      <formula1>0</formula1>
      <formula2>999999999</formula2>
    </dataValidation>
    <dataValidation type="whole" allowBlank="1" showInputMessage="1" showErrorMessage="1" error="Please enter a value between 0-250." sqref="BB9:BH9">
      <formula1>0</formula1>
      <formula2>250</formula2>
    </dataValidation>
    <dataValidation allowBlank="1" showErrorMessage="1" promptTitle="IF CLAIMS MADE FORM" prompt="You must have a Retroactive Date Filled in or &quot;NONE&quot;" sqref="Y9"/>
    <dataValidation type="list" allowBlank="1" showInputMessage="1" showErrorMessage="1" sqref="Z3">
      <formula1>CurrentBrokers</formula1>
    </dataValidation>
    <dataValidation type="decimal" allowBlank="1" showInputMessage="1" showErrorMessage="1" sqref="BB3:BH3">
      <formula1>0</formula1>
      <formula2>1</formula2>
    </dataValidation>
    <dataValidation allowBlank="1" showErrorMessage="1" promptTitle="If a RENEWAL" prompt="Fill in the &quot;Expiring Information&quot; below to help calculate the ERC." sqref="I7"/>
    <dataValidation type="list" allowBlank="1" showInputMessage="1" showErrorMessage="1" sqref="I6:Q6">
      <formula1>"New, Renewal"</formula1>
    </dataValidation>
    <dataValidation type="list" allowBlank="1" showInputMessage="1" sqref="I4:Q4">
      <formula1>UWs</formula1>
    </dataValidation>
  </dataValidations>
  <printOptions horizontalCentered="1"/>
  <pageMargins left="0.25" right="0.1" top="0.25" bottom="0.25" header="0.5" footer="0.5"/>
  <pageSetup scale="56"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40641" r:id="rId4" name="Check Box 1">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42" r:id="rId5" name="Check Box 2">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43" r:id="rId6" name="Check Box 3">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44" r:id="rId7" name="Check Box 4">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45" r:id="rId8" name="Check Box 5">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46" r:id="rId9" name="Check Box 6">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47" r:id="rId10" name="Check Box 7">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48" r:id="rId11" name="Check Box 8">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49" r:id="rId12" name="Check Box 9">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50" r:id="rId13" name="Check Box 10">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51" r:id="rId14" name="Check Box 11">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52" r:id="rId15" name="Check Box 12">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53" r:id="rId16" name="Check Box 13">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54" r:id="rId17" name="Check Box 14">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55" r:id="rId18" name="Check Box 15">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56" r:id="rId19" name="Check Box 16">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57" r:id="rId20" name="Check Box 17">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58" r:id="rId21" name="Check Box 18">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59" r:id="rId22" name="Check Box 19">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60" r:id="rId23" name="Check Box 20">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61" r:id="rId24" name="Check Box 21">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62" r:id="rId25" name="Check Box 22">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63" r:id="rId26" name="Check Box 23">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64" r:id="rId27" name="Check Box 24">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65" r:id="rId28" name="Check Box 25">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66" r:id="rId29" name="Check Box 26">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67" r:id="rId30" name="Check Box 27">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68" r:id="rId31" name="Check Box 28">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69" r:id="rId32" name="Check Box 29">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70" r:id="rId33" name="Check Box 30">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71" r:id="rId34" name="Check Box 31">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72" r:id="rId35" name="Check Box 32">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73" r:id="rId36" name="Check Box 33">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74" r:id="rId37" name="Check Box 34">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75" r:id="rId38" name="Check Box 35">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76" r:id="rId39" name="Check Box 36">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77" r:id="rId40" name="Check Box 37">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78" r:id="rId41" name="Check Box 38">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79" r:id="rId42" name="Check Box 39">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80" r:id="rId43" name="Check Box 40">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81" r:id="rId44" name="Check Box 41">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mc:AlternateContent xmlns:mc="http://schemas.openxmlformats.org/markup-compatibility/2006">
          <mc:Choice Requires="x14">
            <control shapeId="240682" r:id="rId45" name="Check Box 42">
              <controlPr locked="0" defaultSize="0" autoFill="0" autoLine="0" autoPict="0">
                <anchor moveWithCells="1">
                  <from>
                    <xdr:col>60</xdr:col>
                    <xdr:colOff>0</xdr:colOff>
                    <xdr:row>2435</xdr:row>
                    <xdr:rowOff>9525</xdr:rowOff>
                  </from>
                  <to>
                    <xdr:col>60</xdr:col>
                    <xdr:colOff>304800</xdr:colOff>
                    <xdr:row>2436</xdr:row>
                    <xdr:rowOff>66675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0" tint="-0.34998626667073579"/>
    <pageSetUpPr fitToPage="1"/>
  </sheetPr>
  <dimension ref="A1:AC18"/>
  <sheetViews>
    <sheetView showGridLines="0" zoomScale="90" zoomScaleNormal="90" zoomScaleSheetLayoutView="90" workbookViewId="0">
      <selection activeCell="F13" sqref="F13"/>
    </sheetView>
  </sheetViews>
  <sheetFormatPr defaultRowHeight="12.75"/>
  <cols>
    <col min="1" max="1" width="19.42578125" style="100" customWidth="1"/>
    <col min="2" max="7" width="14.28515625" style="100" customWidth="1"/>
    <col min="8" max="8" width="2.85546875" style="100" customWidth="1"/>
    <col min="9" max="9" width="9.140625" style="100"/>
    <col min="10" max="10" width="9.140625" style="98" hidden="1" customWidth="1"/>
    <col min="11" max="16384" width="9.140625" style="100"/>
  </cols>
  <sheetData>
    <row r="1" spans="1:29" s="101" customFormat="1" ht="15" customHeight="1">
      <c r="A1" s="653" t="s">
        <v>735</v>
      </c>
      <c r="B1" s="654"/>
      <c r="C1" s="654"/>
      <c r="D1" s="654"/>
      <c r="E1" s="654"/>
      <c r="F1" s="654"/>
      <c r="G1" s="654"/>
      <c r="H1" s="655"/>
      <c r="J1" s="99" t="e">
        <f>'NOTES &amp; RATING'!#REF!</f>
        <v>#REF!</v>
      </c>
      <c r="S1" s="104"/>
      <c r="AC1" s="105"/>
    </row>
    <row r="2" spans="1:29" ht="15" customHeight="1">
      <c r="A2" s="106"/>
      <c r="B2" s="107"/>
      <c r="C2" s="107"/>
      <c r="D2" s="107"/>
      <c r="E2" s="107"/>
      <c r="F2" s="107"/>
      <c r="G2" s="107"/>
      <c r="H2" s="108"/>
    </row>
    <row r="3" spans="1:29" ht="15" customHeight="1">
      <c r="A3" s="106"/>
      <c r="B3" s="107"/>
      <c r="C3" s="107"/>
      <c r="D3" s="107"/>
      <c r="E3" s="107"/>
      <c r="F3" s="107"/>
      <c r="G3" s="107"/>
      <c r="H3" s="108"/>
      <c r="J3" s="134" t="str">
        <f>IF(OR(G6="",G9=""),"",G9*G4+G9)</f>
        <v/>
      </c>
    </row>
    <row r="4" spans="1:29" ht="25.5" customHeight="1">
      <c r="A4" s="109" t="s">
        <v>739</v>
      </c>
      <c r="B4" s="120">
        <v>0.15</v>
      </c>
      <c r="C4" s="120">
        <v>0.155</v>
      </c>
      <c r="D4" s="120">
        <v>0.16</v>
      </c>
      <c r="E4" s="120">
        <v>0.16500000000000001</v>
      </c>
      <c r="F4" s="120">
        <v>0.17</v>
      </c>
      <c r="G4" s="120">
        <v>0.17499999999999999</v>
      </c>
      <c r="H4" s="108"/>
    </row>
    <row r="5" spans="1:29" ht="25.5" customHeight="1">
      <c r="A5" s="109" t="s">
        <v>740</v>
      </c>
      <c r="B5" s="122">
        <v>5000</v>
      </c>
      <c r="C5" s="122"/>
      <c r="D5" s="122"/>
      <c r="E5" s="122"/>
      <c r="F5" s="122"/>
      <c r="G5" s="122"/>
      <c r="H5" s="108"/>
    </row>
    <row r="6" spans="1:29" ht="25.5" customHeight="1">
      <c r="A6" s="109" t="s">
        <v>0</v>
      </c>
      <c r="B6" s="121"/>
      <c r="C6" s="121"/>
      <c r="D6" s="121"/>
      <c r="E6" s="121"/>
      <c r="F6" s="121"/>
      <c r="G6" s="121"/>
      <c r="H6" s="108"/>
    </row>
    <row r="7" spans="1:29" ht="25.5" customHeight="1">
      <c r="A7" s="110" t="s">
        <v>582</v>
      </c>
      <c r="B7" s="122"/>
      <c r="C7" s="122"/>
      <c r="D7" s="122"/>
      <c r="E7" s="122"/>
      <c r="F7" s="122"/>
      <c r="G7" s="122"/>
      <c r="H7" s="108"/>
    </row>
    <row r="8" spans="1:29" ht="25.5" customHeight="1">
      <c r="A8" s="110" t="s">
        <v>217</v>
      </c>
      <c r="B8" s="122"/>
      <c r="C8" s="122"/>
      <c r="D8" s="122"/>
      <c r="E8" s="122"/>
      <c r="F8" s="122"/>
      <c r="G8" s="122"/>
      <c r="H8" s="108"/>
    </row>
    <row r="9" spans="1:29" ht="25.5" customHeight="1">
      <c r="A9" s="135" t="s">
        <v>741</v>
      </c>
      <c r="B9" s="122"/>
      <c r="C9" s="122"/>
      <c r="D9" s="122"/>
      <c r="E9" s="122"/>
      <c r="F9" s="122"/>
      <c r="G9" s="122"/>
      <c r="H9" s="108"/>
    </row>
    <row r="10" spans="1:29" ht="15" customHeight="1">
      <c r="A10" s="111"/>
      <c r="B10" s="112"/>
      <c r="C10" s="112"/>
      <c r="D10" s="112"/>
      <c r="E10" s="112"/>
      <c r="F10" s="112"/>
      <c r="G10" s="112"/>
      <c r="H10" s="108"/>
    </row>
    <row r="11" spans="1:29" ht="15" customHeight="1">
      <c r="A11" s="110"/>
      <c r="B11" s="112"/>
      <c r="C11" s="112"/>
      <c r="D11" s="112"/>
      <c r="E11" s="112"/>
      <c r="F11" s="112"/>
      <c r="G11" s="112"/>
      <c r="H11" s="108"/>
    </row>
    <row r="12" spans="1:29" ht="15" customHeight="1">
      <c r="A12" s="123"/>
      <c r="B12" s="124"/>
      <c r="C12" s="124"/>
      <c r="D12" s="125" t="s">
        <v>652</v>
      </c>
      <c r="E12" s="125" t="s">
        <v>485</v>
      </c>
      <c r="F12" s="125" t="s">
        <v>736</v>
      </c>
      <c r="G12" s="118"/>
      <c r="H12" s="108"/>
    </row>
    <row r="13" spans="1:29" ht="26.25" customHeight="1">
      <c r="A13" s="650" t="s">
        <v>737</v>
      </c>
      <c r="B13" s="651"/>
      <c r="C13" s="652"/>
      <c r="D13" s="126"/>
      <c r="E13" s="127"/>
      <c r="F13" s="128">
        <v>50000</v>
      </c>
      <c r="G13" s="118"/>
      <c r="H13" s="108"/>
    </row>
    <row r="14" spans="1:29" ht="3" customHeight="1">
      <c r="A14" s="129"/>
      <c r="B14" s="124"/>
      <c r="C14" s="124"/>
      <c r="D14" s="130"/>
      <c r="E14" s="131"/>
      <c r="F14" s="132"/>
      <c r="G14" s="118"/>
      <c r="H14" s="108"/>
    </row>
    <row r="15" spans="1:29" ht="25.5" customHeight="1">
      <c r="A15" s="650" t="s">
        <v>738</v>
      </c>
      <c r="B15" s="651"/>
      <c r="C15" s="652"/>
      <c r="D15" s="133">
        <v>0.16</v>
      </c>
      <c r="E15" s="127"/>
      <c r="F15" s="122"/>
      <c r="G15" s="118"/>
      <c r="H15" s="108"/>
    </row>
    <row r="16" spans="1:29" ht="15" customHeight="1">
      <c r="A16" s="113"/>
      <c r="B16" s="112"/>
      <c r="C16" s="112"/>
      <c r="D16" s="112"/>
      <c r="E16" s="112"/>
      <c r="F16" s="112"/>
      <c r="G16" s="112"/>
      <c r="H16" s="108"/>
    </row>
    <row r="17" spans="1:29" s="117" customFormat="1" ht="15" customHeight="1" thickBot="1">
      <c r="A17" s="114"/>
      <c r="B17" s="115"/>
      <c r="C17" s="115"/>
      <c r="D17" s="115"/>
      <c r="E17" s="115"/>
      <c r="F17" s="115"/>
      <c r="G17" s="115"/>
      <c r="H17" s="116"/>
      <c r="J17" s="119"/>
    </row>
    <row r="18" spans="1:29" s="98" customFormat="1" ht="15" customHeight="1">
      <c r="A18" s="100"/>
      <c r="B18" s="100"/>
      <c r="C18" s="100"/>
      <c r="D18" s="100"/>
      <c r="E18" s="100"/>
      <c r="F18" s="100"/>
      <c r="G18" s="100"/>
      <c r="H18" s="100"/>
      <c r="I18" s="100"/>
      <c r="K18" s="100"/>
      <c r="L18" s="100"/>
      <c r="M18" s="100"/>
      <c r="N18" s="100"/>
      <c r="O18" s="100"/>
      <c r="P18" s="100"/>
      <c r="Q18" s="100"/>
      <c r="R18" s="100"/>
      <c r="S18" s="100"/>
      <c r="T18" s="100"/>
      <c r="U18" s="100"/>
      <c r="V18" s="100"/>
      <c r="W18" s="100"/>
      <c r="X18" s="100"/>
      <c r="Y18" s="100"/>
      <c r="Z18" s="100"/>
      <c r="AA18" s="100"/>
      <c r="AB18" s="100"/>
      <c r="AC18" s="100"/>
    </row>
  </sheetData>
  <sheetProtection selectLockedCells="1"/>
  <mergeCells count="3">
    <mergeCell ref="A13:C13"/>
    <mergeCell ref="A15:C15"/>
    <mergeCell ref="A1:H1"/>
  </mergeCells>
  <conditionalFormatting sqref="A6">
    <cfRule type="expression" dxfId="131" priority="1111" stopIfTrue="1">
      <formula>#REF!="Oil &amp; Gas"</formula>
    </cfRule>
    <cfRule type="expression" dxfId="130" priority="1112" stopIfTrue="1">
      <formula>#REF!="Specialty"</formula>
    </cfRule>
    <cfRule type="expression" dxfId="129" priority="1113" stopIfTrue="1">
      <formula>#REF!="Construction"</formula>
    </cfRule>
  </conditionalFormatting>
  <conditionalFormatting sqref="A9 A11">
    <cfRule type="expression" dxfId="128" priority="1117" stopIfTrue="1">
      <formula>#REF!="Oil &amp; Gas"</formula>
    </cfRule>
    <cfRule type="expression" dxfId="127" priority="1118" stopIfTrue="1">
      <formula>#REF!="Specialty"</formula>
    </cfRule>
    <cfRule type="expression" dxfId="126" priority="1119" stopIfTrue="1">
      <formula>#REF!="Construction"</formula>
    </cfRule>
  </conditionalFormatting>
  <conditionalFormatting sqref="A4">
    <cfRule type="expression" dxfId="125" priority="22" stopIfTrue="1">
      <formula>#REF!="Oil &amp; Gas"</formula>
    </cfRule>
    <cfRule type="expression" dxfId="124" priority="23" stopIfTrue="1">
      <formula>#REF!="Specialty"</formula>
    </cfRule>
    <cfRule type="expression" dxfId="123" priority="24" stopIfTrue="1">
      <formula>#REF!="Construction"</formula>
    </cfRule>
  </conditionalFormatting>
  <conditionalFormatting sqref="A1:H1">
    <cfRule type="expression" dxfId="122" priority="13" stopIfTrue="1">
      <formula>J1="Construction"</formula>
    </cfRule>
    <cfRule type="expression" dxfId="121" priority="14" stopIfTrue="1">
      <formula>J1="Specialty"</formula>
    </cfRule>
    <cfRule type="expression" dxfId="120" priority="15" stopIfTrue="1">
      <formula>J1="Oil &amp; Gas"</formula>
    </cfRule>
  </conditionalFormatting>
  <conditionalFormatting sqref="A7">
    <cfRule type="expression" dxfId="119" priority="4" stopIfTrue="1">
      <formula>#REF!="Oil &amp; Gas"</formula>
    </cfRule>
    <cfRule type="expression" dxfId="118" priority="5" stopIfTrue="1">
      <formula>#REF!="Specialty"</formula>
    </cfRule>
    <cfRule type="expression" dxfId="117" priority="6" stopIfTrue="1">
      <formula>#REF!="Construction"</formula>
    </cfRule>
  </conditionalFormatting>
  <conditionalFormatting sqref="A5">
    <cfRule type="expression" dxfId="116" priority="7" stopIfTrue="1">
      <formula>#REF!="Oil &amp; Gas"</formula>
    </cfRule>
    <cfRule type="expression" dxfId="115" priority="8" stopIfTrue="1">
      <formula>#REF!="Specialty"</formula>
    </cfRule>
    <cfRule type="expression" dxfId="114" priority="9" stopIfTrue="1">
      <formula>#REF!="Construction"</formula>
    </cfRule>
  </conditionalFormatting>
  <conditionalFormatting sqref="A8">
    <cfRule type="expression" dxfId="113" priority="1" stopIfTrue="1">
      <formula>#REF!="Oil &amp; Gas"</formula>
    </cfRule>
    <cfRule type="expression" dxfId="112" priority="2" stopIfTrue="1">
      <formula>#REF!="Specialty"</formula>
    </cfRule>
    <cfRule type="expression" dxfId="111" priority="3" stopIfTrue="1">
      <formula>#REF!="Construction"</formula>
    </cfRule>
  </conditionalFormatting>
  <dataValidations count="1">
    <dataValidation type="decimal" allowBlank="1" showInputMessage="1" showErrorMessage="1" error="The value entered must be between 0 - 17.5%." sqref="D15">
      <formula1>0</formula1>
      <formula2>0.175</formula2>
    </dataValidation>
  </dataValidations>
  <printOptions horizontalCentered="1"/>
  <pageMargins left="0" right="0" top="0.5" bottom="0.5" header="0.25" footer="0.25"/>
  <pageSetup orientation="landscape" horizontalDpi="200" verticalDpi="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0000"/>
    <pageSetUpPr fitToPage="1"/>
  </sheetPr>
  <dimension ref="A1:BD613"/>
  <sheetViews>
    <sheetView showGridLines="0" zoomScale="90" zoomScaleNormal="90" zoomScaleSheetLayoutView="20" workbookViewId="0">
      <selection activeCell="A2" sqref="A2:P2"/>
    </sheetView>
  </sheetViews>
  <sheetFormatPr defaultRowHeight="12.75"/>
  <cols>
    <col min="1" max="1" width="11.5703125" style="100" customWidth="1"/>
    <col min="2" max="3" width="11.140625" style="100" customWidth="1"/>
    <col min="4" max="5" width="10.85546875" style="100" customWidth="1"/>
    <col min="6" max="11" width="5.7109375" style="100" customWidth="1"/>
    <col min="12" max="12" width="10.7109375" style="100" customWidth="1"/>
    <col min="13" max="13" width="1" style="100" hidden="1" customWidth="1"/>
    <col min="14" max="14" width="10.7109375" style="100" customWidth="1"/>
    <col min="15" max="15" width="8.7109375" style="98" hidden="1" customWidth="1"/>
    <col min="16" max="17" width="22.5703125" style="234" customWidth="1"/>
    <col min="18" max="18" width="8.42578125" style="98" hidden="1" customWidth="1"/>
    <col min="19" max="20" width="3.28515625" style="98" hidden="1" customWidth="1"/>
    <col min="21" max="21" width="12.5703125" style="98" hidden="1" customWidth="1"/>
    <col min="22" max="22" width="9.140625" style="98" hidden="1" customWidth="1"/>
    <col min="23" max="24" width="9.140625" style="100" hidden="1" customWidth="1"/>
    <col min="25" max="27" width="0" style="100" hidden="1" customWidth="1"/>
    <col min="28" max="16384" width="9.140625" style="100"/>
  </cols>
  <sheetData>
    <row r="1" spans="1:56" s="101" customFormat="1" ht="18" customHeight="1">
      <c r="A1" s="693" t="s">
        <v>271</v>
      </c>
      <c r="B1" s="694"/>
      <c r="C1" s="694"/>
      <c r="D1" s="694"/>
      <c r="E1" s="694"/>
      <c r="F1" s="694"/>
      <c r="G1" s="694"/>
      <c r="H1" s="694"/>
      <c r="I1" s="694"/>
      <c r="J1" s="694"/>
      <c r="K1" s="694"/>
      <c r="L1" s="694"/>
      <c r="M1" s="694"/>
      <c r="N1" s="694"/>
      <c r="O1" s="694"/>
      <c r="P1" s="694"/>
      <c r="Q1" s="318"/>
      <c r="R1" s="172"/>
      <c r="S1" s="172"/>
      <c r="T1" s="172"/>
      <c r="U1" s="172"/>
      <c r="V1" s="99" t="e">
        <f>'NOTES &amp; RATING'!#REF!</f>
        <v>#REF!</v>
      </c>
      <c r="AT1" s="104"/>
      <c r="BD1" s="105"/>
    </row>
    <row r="2" spans="1:56" ht="15" customHeight="1">
      <c r="A2" s="695" t="s">
        <v>2069</v>
      </c>
      <c r="B2" s="696"/>
      <c r="C2" s="696"/>
      <c r="D2" s="696"/>
      <c r="E2" s="696"/>
      <c r="F2" s="696"/>
      <c r="G2" s="696"/>
      <c r="H2" s="696"/>
      <c r="I2" s="696"/>
      <c r="J2" s="696"/>
      <c r="K2" s="696"/>
      <c r="L2" s="696"/>
      <c r="M2" s="696"/>
      <c r="N2" s="696"/>
      <c r="O2" s="696"/>
      <c r="P2" s="696"/>
      <c r="Q2" s="326"/>
    </row>
    <row r="3" spans="1:56" ht="63.75">
      <c r="A3" s="218" t="s">
        <v>61</v>
      </c>
      <c r="B3" s="319" t="s">
        <v>2015</v>
      </c>
      <c r="C3" s="317" t="s">
        <v>2016</v>
      </c>
      <c r="D3" s="317" t="s">
        <v>2017</v>
      </c>
      <c r="E3" s="317" t="s">
        <v>2018</v>
      </c>
      <c r="F3" s="672" t="s">
        <v>274</v>
      </c>
      <c r="G3" s="673"/>
      <c r="H3" s="672" t="s">
        <v>275</v>
      </c>
      <c r="I3" s="673"/>
      <c r="J3" s="673" t="s">
        <v>60</v>
      </c>
      <c r="K3" s="673"/>
      <c r="L3" s="672" t="s">
        <v>1976</v>
      </c>
      <c r="M3" s="673"/>
      <c r="N3" s="678" t="s">
        <v>277</v>
      </c>
      <c r="O3" s="679"/>
      <c r="P3" s="323" t="s">
        <v>10</v>
      </c>
      <c r="Q3" s="336" t="s">
        <v>2874</v>
      </c>
      <c r="W3" s="98"/>
      <c r="X3" s="98" t="str">
        <f>IF(OR(LossEval1ReportClaims&gt;LossEval1TotalClaims,LossEval2ReportClaims&gt;LossEval2TotalClaims,LossEval3ReportClaims&gt;LossEval3TotalClaims,LossEval4ReportClaims&gt;LossEval4TotalClaims,LossEval5ReportClaims&gt;LossEval5TotalClaims,LossEval6ReportClaims&gt;LossEval6TotalClaims,LossEval7ReportClaims&gt;LossEval7TotalClaims,LossEval8ReportClaims&gt;LossEval8TotalClaims),"Problem","OK")</f>
        <v>OK</v>
      </c>
      <c r="Z3" s="234"/>
    </row>
    <row r="4" spans="1:56" ht="15" customHeight="1">
      <c r="A4" s="219" t="str">
        <f>IF(EffectiveDate="","",YEAR(EffectiveDate)-1 &amp; "-" &amp; YEAR(EffectiveDate))</f>
        <v/>
      </c>
      <c r="B4" s="242"/>
      <c r="C4" s="243"/>
      <c r="D4" s="243"/>
      <c r="E4" s="243"/>
      <c r="F4" s="664"/>
      <c r="G4" s="664"/>
      <c r="H4" s="664"/>
      <c r="I4" s="664"/>
      <c r="J4" s="664"/>
      <c r="K4" s="664"/>
      <c r="L4" s="664" t="str">
        <f t="shared" ref="L4:L11" si="0">IF(AND(COUNTA(F4,H4,J4)&lt;1,C4=""),"",SUM(F4,H4,J4))</f>
        <v/>
      </c>
      <c r="M4" s="664"/>
      <c r="N4" s="244"/>
      <c r="O4" s="245" t="str">
        <f t="shared" ref="O4:O11" si="1">IF(OR($O$1="",N4=""),"",$O$1-N4)</f>
        <v/>
      </c>
      <c r="P4" s="324" t="str">
        <f>IF(YIB="","",IF(YIB&lt;1,"Not In Business",""))</f>
        <v/>
      </c>
      <c r="Q4" s="337">
        <f>HPEFirstCurrent</f>
        <v>0</v>
      </c>
      <c r="R4" s="98" t="str">
        <f>IF(OR($O$1="",N4=""),"",$O$1-N4)</f>
        <v/>
      </c>
      <c r="S4" s="98" t="str">
        <f>IF(OR(R4&lt;93,P4="Not In Business"),"Current","Not")</f>
        <v>Not</v>
      </c>
      <c r="T4" s="173" t="str">
        <f>RIGHT(A4,7)</f>
        <v/>
      </c>
      <c r="U4" s="173" t="str">
        <f>LEFT(T4,2)</f>
        <v/>
      </c>
      <c r="V4" s="173" t="str">
        <f>RIGHT(A4,2)</f>
        <v/>
      </c>
      <c r="W4" s="173" t="str">
        <f>U4&amp;"/"&amp;V4</f>
        <v>/</v>
      </c>
      <c r="X4" s="98" t="str">
        <f>IF(OR(AND(LossEval1Incurred&lt;&gt;"",LossEval1TotalClaims=""),AND(LossEval2Incurred&lt;&gt;"",LossEval2TotalClaims=""),AND(LossEval3Incurred&lt;&gt;"",LossEval3TotalClaims=""),AND(LossEval4Incurred&lt;&gt;"",LossEval4TotalClaims=""),AND(LossEval5Incurred&lt;&gt;"",LossEval5TotalClaims=""),AND(LossEval6Incurred&lt;&gt;"",LossEval6TotalClaims=""),AND(LossEval7Incurred&lt;&gt;"",LossEval7TotalClaims=""),AND(LossEval8Incurred&lt;&gt;"",LossEval8TotalClaims="")),"Problem","OK")</f>
        <v>OK</v>
      </c>
    </row>
    <row r="5" spans="1:56" ht="15" customHeight="1">
      <c r="A5" s="220" t="str">
        <f>IF(EffectiveDate="","",YEAR(EffectiveDate)-2 &amp; "-" &amp; YEAR(EffectiveDate)-1)</f>
        <v/>
      </c>
      <c r="B5" s="246"/>
      <c r="C5" s="243"/>
      <c r="D5" s="243"/>
      <c r="E5" s="243"/>
      <c r="F5" s="664"/>
      <c r="G5" s="668"/>
      <c r="H5" s="664"/>
      <c r="I5" s="668"/>
      <c r="J5" s="664"/>
      <c r="K5" s="668"/>
      <c r="L5" s="664" t="str">
        <f t="shared" si="0"/>
        <v/>
      </c>
      <c r="M5" s="664"/>
      <c r="N5" s="244"/>
      <c r="O5" s="245" t="str">
        <f t="shared" si="1"/>
        <v/>
      </c>
      <c r="P5" s="324" t="str">
        <f>IF(YIB="","",IF(YIB&lt;2,"Not In Business",""))</f>
        <v/>
      </c>
      <c r="Q5" s="337">
        <f>HPEFirst2YearsBack</f>
        <v>0</v>
      </c>
      <c r="R5" s="98" t="str">
        <f>IF(OR($O$1="",N5=""),"",$O$1-N5)</f>
        <v/>
      </c>
      <c r="S5" s="98" t="str">
        <f>IF(OR(R5&lt;93,P5="Not In Business"),"Current","Not")</f>
        <v>Not</v>
      </c>
      <c r="T5" s="173" t="str">
        <f>RIGHT(A5,7)</f>
        <v/>
      </c>
      <c r="U5" s="173" t="str">
        <f>LEFT(T5,2)</f>
        <v/>
      </c>
      <c r="V5" s="173" t="str">
        <f>RIGHT(A5,2)</f>
        <v/>
      </c>
      <c r="W5" s="173" t="str">
        <f>U5&amp;"/"&amp;V5</f>
        <v>/</v>
      </c>
      <c r="X5" s="98" t="str">
        <f>IF(OR(AND(LossEval1Incurred&lt;&gt;"",LossEval1Incurred&gt;0,(LossEval1TotalClaims-LossEval1ReportClaims)&lt;1),AND(LossEval2Incurred&lt;&gt;"",LossEval2Incurred&gt;0,(LossEval2TotalClaims-LossEval2ReportClaims)&lt;1),AND(LossEval3Incurred&lt;&gt;"",LossEval3Incurred&gt;0,(LossEval3TotalClaims-LossEval3ReportClaims)&lt;1),AND(LossEval4Incurred&lt;&gt;"",LossEval4Incurred&gt;0,(LossEval4TotalClaims-LossEval4ReportClaims)&lt;1),AND(LossEval5Incurred&lt;&gt;"",LossEval5Incurred&gt;0,(LossEval5TotalClaims-LossEval5ReportClaims)&lt;1),AND(LossEval6Incurred&lt;&gt;"",LossEval6Incurred&gt;0,(LossEval6TotalClaims-LossEval6ReportClaims)&lt;1),AND(LossEval7Incurred&lt;&gt;"",LossEval7Incurred&gt;0,(LossEval7TotalClaims-LossEval7ReportClaims)&lt;1),AND(LossEval8Incurred&lt;&gt;"",LossEval8Incurred&gt;0,(LossEval8TotalClaims-LossEval8ReportClaims)&lt;1)),"Problem","OK")</f>
        <v>OK</v>
      </c>
    </row>
    <row r="6" spans="1:56" ht="15" customHeight="1">
      <c r="A6" s="220" t="str">
        <f>IF(EffectiveDate="","",YEAR(EffectiveDate)-3 &amp; "-" &amp; YEAR(EffectiveDate)-2)</f>
        <v/>
      </c>
      <c r="B6" s="246"/>
      <c r="C6" s="243"/>
      <c r="D6" s="243"/>
      <c r="E6" s="243"/>
      <c r="F6" s="664"/>
      <c r="G6" s="668"/>
      <c r="H6" s="664"/>
      <c r="I6" s="668"/>
      <c r="J6" s="664"/>
      <c r="K6" s="668"/>
      <c r="L6" s="664" t="str">
        <f t="shared" si="0"/>
        <v/>
      </c>
      <c r="M6" s="664"/>
      <c r="N6" s="244"/>
      <c r="O6" s="245" t="str">
        <f t="shared" si="1"/>
        <v/>
      </c>
      <c r="P6" s="324" t="str">
        <f>IF(YIB="","",IF(YIB&lt;3,"Not In Business",""))</f>
        <v/>
      </c>
      <c r="Q6" s="337">
        <f>HPEFirst3YearsBack</f>
        <v>0</v>
      </c>
      <c r="R6" s="98" t="str">
        <f>IF(OR($O$1="",N6=""),"",$O$1-N6)</f>
        <v/>
      </c>
      <c r="S6" s="98" t="str">
        <f>IF(OR(R6&lt;93,P6="Not In Business"),"Current","Not")</f>
        <v>Not</v>
      </c>
      <c r="T6" s="173" t="str">
        <f>RIGHT(A6,7)</f>
        <v/>
      </c>
      <c r="U6" s="173" t="str">
        <f>LEFT(T6,2)</f>
        <v/>
      </c>
      <c r="V6" s="173" t="str">
        <f>RIGHT(A6,2)</f>
        <v/>
      </c>
      <c r="W6" s="173" t="str">
        <f>U6&amp;"/"&amp;V6</f>
        <v>/</v>
      </c>
      <c r="X6" s="98" t="str">
        <f>IF(OR(AND(LossEval1TotalClaims-LossEval1ReportClaims&gt;0,OR(LossEval1Incurred="",LossEval1Incurred=0)),AND(LossEval2TotalClaims-LossEval2ReportClaims&gt;0,OR(LossEval2Incurred="",LossEval2Incurred=0)),AND(LossEval3TotalClaims-LossEval3ReportClaims&gt;0,OR(LossEval3Incurred="",LossEval3Incurred=0)),AND(LossEval4TotalClaims-LossEval4ReportClaims&gt;0,OR(LossEval4Incurred="",LossEval4Incurred=0)),AND(LossEval5TotalClaims-LossEval5ReportClaims&gt;0,OR(LossEval5Incurred="",LossEval5Incurred=0)),AND(LossEval6TotalClaims-LossEval6ReportClaims&gt;0,OR(LossEval6Incurred="",LossEval6Incurred=0)),AND(LossEval7TotalClaims-LossEval7ReportClaims&gt;0,OR(LossEval7Incurred="",LossEval7Incurred=0)),AND(LossEval8TotalClaims-LossEval8ReportClaims&gt;0,OR(LossEval8Incurred="",LossEval8Incurred=0))),"Problem","OK")</f>
        <v>OK</v>
      </c>
    </row>
    <row r="7" spans="1:56" ht="15" customHeight="1">
      <c r="A7" s="220" t="str">
        <f>IF(EffectiveDate="","",YEAR(EffectiveDate)-4 &amp; "-" &amp; YEAR(EffectiveDate)-3)</f>
        <v/>
      </c>
      <c r="B7" s="246"/>
      <c r="C7" s="243"/>
      <c r="D7" s="243"/>
      <c r="E7" s="243"/>
      <c r="F7" s="664"/>
      <c r="G7" s="664"/>
      <c r="H7" s="664"/>
      <c r="I7" s="664"/>
      <c r="J7" s="664"/>
      <c r="K7" s="664"/>
      <c r="L7" s="664" t="str">
        <f t="shared" si="0"/>
        <v/>
      </c>
      <c r="M7" s="664"/>
      <c r="N7" s="244"/>
      <c r="O7" s="245" t="str">
        <f t="shared" si="1"/>
        <v/>
      </c>
      <c r="P7" s="324" t="str">
        <f>IF(YIB="","",IF(YIB&lt;4,"Not In Business",""))</f>
        <v/>
      </c>
      <c r="Q7" s="337">
        <f>HPEFirst4YearsBack</f>
        <v>0</v>
      </c>
      <c r="R7" s="98" t="str">
        <f>IF(OR($O$1="",N7=""),"",$O$1-N7)</f>
        <v/>
      </c>
      <c r="S7" s="98" t="str">
        <f>IF(OR(R7&lt;93,P7="Not In Business"),"Current","Not")</f>
        <v>Not</v>
      </c>
      <c r="T7" s="173" t="str">
        <f>RIGHT(A7,7)</f>
        <v/>
      </c>
      <c r="U7" s="173" t="str">
        <f>LEFT(T7,2)</f>
        <v/>
      </c>
      <c r="V7" s="173" t="str">
        <f>RIGHT(A7,2)</f>
        <v/>
      </c>
      <c r="W7" s="173" t="str">
        <f>U7&amp;"/"&amp;V7</f>
        <v>/</v>
      </c>
      <c r="X7" s="98"/>
    </row>
    <row r="8" spans="1:56" ht="15" customHeight="1">
      <c r="A8" s="220" t="str">
        <f>IF(EffectiveDate="","",YEAR(EffectiveDate)-5 &amp; "-" &amp; YEAR(EffectiveDate)-4)</f>
        <v/>
      </c>
      <c r="B8" s="246"/>
      <c r="C8" s="243"/>
      <c r="D8" s="243"/>
      <c r="E8" s="243"/>
      <c r="F8" s="664"/>
      <c r="G8" s="664"/>
      <c r="H8" s="664"/>
      <c r="I8" s="664"/>
      <c r="J8" s="664"/>
      <c r="K8" s="664"/>
      <c r="L8" s="664" t="str">
        <f t="shared" si="0"/>
        <v/>
      </c>
      <c r="M8" s="664"/>
      <c r="N8" s="244"/>
      <c r="O8" s="245" t="str">
        <f t="shared" si="1"/>
        <v/>
      </c>
      <c r="P8" s="324" t="str">
        <f>IF(YIB="","",IF(YIB&lt;5,"Not In Business",""))</f>
        <v/>
      </c>
      <c r="Q8" s="337"/>
      <c r="R8" s="98" t="str">
        <f>IF(OR($O$1="",N8=""),"",$O$1-N8)</f>
        <v/>
      </c>
      <c r="S8" s="98" t="str">
        <f>IF(OR(R8&lt;93,P8="Not In Business"),"Current","Not")</f>
        <v>Not</v>
      </c>
      <c r="T8" s="173" t="str">
        <f>RIGHT(A8,7)</f>
        <v/>
      </c>
      <c r="U8" s="173" t="str">
        <f>LEFT(T8,2)</f>
        <v/>
      </c>
      <c r="V8" s="173" t="str">
        <f>RIGHT(A8,2)</f>
        <v/>
      </c>
      <c r="W8" s="173" t="str">
        <f>U8&amp;"/"&amp;V8</f>
        <v>/</v>
      </c>
      <c r="X8" s="98"/>
    </row>
    <row r="9" spans="1:56" ht="15" customHeight="1">
      <c r="A9" s="220" t="str">
        <f>IF(EffectiveDate="","",YEAR(EffectiveDate)-6 &amp; "-" &amp; YEAR(EffectiveDate)-5)</f>
        <v/>
      </c>
      <c r="B9" s="246"/>
      <c r="C9" s="243"/>
      <c r="D9" s="243"/>
      <c r="E9" s="243"/>
      <c r="F9" s="664"/>
      <c r="G9" s="664"/>
      <c r="H9" s="664"/>
      <c r="I9" s="664"/>
      <c r="J9" s="664"/>
      <c r="K9" s="664"/>
      <c r="L9" s="664" t="str">
        <f t="shared" si="0"/>
        <v/>
      </c>
      <c r="M9" s="664"/>
      <c r="N9" s="244"/>
      <c r="O9" s="245" t="str">
        <f t="shared" si="1"/>
        <v/>
      </c>
      <c r="P9" s="324" t="str">
        <f>IF(YIB="","",IF(YIB&lt;6,"Not In Business",""))</f>
        <v/>
      </c>
      <c r="Q9" s="337"/>
      <c r="W9" s="98"/>
      <c r="X9" s="98"/>
    </row>
    <row r="10" spans="1:56" ht="15" customHeight="1">
      <c r="A10" s="220" t="str">
        <f>IF(EffectiveDate="","",YEAR(EffectiveDate)-7 &amp; "-" &amp; YEAR(EffectiveDate)-6)</f>
        <v/>
      </c>
      <c r="B10" s="246"/>
      <c r="C10" s="243"/>
      <c r="D10" s="243"/>
      <c r="E10" s="243"/>
      <c r="F10" s="664"/>
      <c r="G10" s="664"/>
      <c r="H10" s="664"/>
      <c r="I10" s="664"/>
      <c r="J10" s="664"/>
      <c r="K10" s="664"/>
      <c r="L10" s="664" t="str">
        <f t="shared" si="0"/>
        <v/>
      </c>
      <c r="M10" s="664"/>
      <c r="N10" s="244"/>
      <c r="O10" s="245" t="str">
        <f t="shared" si="1"/>
        <v/>
      </c>
      <c r="P10" s="324" t="str">
        <f>IF(YIB="","",IF(YIB&lt;7,"Not In Business",""))</f>
        <v/>
      </c>
      <c r="Q10" s="337"/>
      <c r="W10" s="98"/>
      <c r="X10" s="98"/>
    </row>
    <row r="11" spans="1:56" ht="15" customHeight="1">
      <c r="A11" s="220" t="str">
        <f>IF(EffectiveDate="","",YEAR(EffectiveDate)-8 &amp; "-" &amp; YEAR(EffectiveDate)-7)</f>
        <v/>
      </c>
      <c r="B11" s="246"/>
      <c r="C11" s="243"/>
      <c r="D11" s="243"/>
      <c r="E11" s="243"/>
      <c r="F11" s="664"/>
      <c r="G11" s="664"/>
      <c r="H11" s="664"/>
      <c r="I11" s="664"/>
      <c r="J11" s="664"/>
      <c r="K11" s="664"/>
      <c r="L11" s="664" t="str">
        <f t="shared" si="0"/>
        <v/>
      </c>
      <c r="M11" s="664"/>
      <c r="N11" s="244"/>
      <c r="O11" s="245" t="str">
        <f t="shared" si="1"/>
        <v/>
      </c>
      <c r="P11" s="324" t="str">
        <f>IF(YIB="","",IF(YIB&lt;8,"Not In Business",""))</f>
        <v/>
      </c>
      <c r="Q11" s="337"/>
      <c r="W11" s="98"/>
      <c r="X11" s="98"/>
    </row>
    <row r="12" spans="1:56" ht="15" hidden="1" customHeight="1">
      <c r="A12" s="174"/>
      <c r="B12" s="112"/>
      <c r="C12" s="112"/>
      <c r="D12" s="175"/>
      <c r="E12" s="175"/>
      <c r="F12" s="175"/>
      <c r="G12" s="175"/>
      <c r="H12" s="175"/>
      <c r="I12" s="176"/>
      <c r="J12" s="176"/>
      <c r="K12" s="176"/>
      <c r="L12" s="177"/>
      <c r="M12" s="177"/>
      <c r="N12" s="178"/>
      <c r="O12" s="226"/>
      <c r="P12" s="236"/>
      <c r="Q12" s="235"/>
    </row>
    <row r="13" spans="1:56" ht="15" hidden="1" customHeight="1">
      <c r="A13" s="179" t="s">
        <v>1952</v>
      </c>
      <c r="B13" s="112"/>
      <c r="C13" s="112"/>
      <c r="D13" s="175"/>
      <c r="E13" s="175"/>
      <c r="F13" s="674"/>
      <c r="G13" s="675"/>
      <c r="H13" s="175"/>
      <c r="I13" s="175"/>
      <c r="J13" s="175"/>
      <c r="K13" s="175"/>
      <c r="L13" s="201"/>
      <c r="M13" s="201"/>
      <c r="N13" s="202"/>
      <c r="O13" s="226"/>
      <c r="P13" s="236"/>
      <c r="Q13" s="235"/>
    </row>
    <row r="14" spans="1:56" ht="15" hidden="1" customHeight="1">
      <c r="A14" s="179" t="s">
        <v>1953</v>
      </c>
      <c r="B14" s="112"/>
      <c r="C14" s="112"/>
      <c r="D14" s="175"/>
      <c r="E14" s="175"/>
      <c r="F14" s="680"/>
      <c r="G14" s="681"/>
      <c r="H14" s="175"/>
      <c r="I14" s="175"/>
      <c r="J14" s="175"/>
      <c r="K14" s="175"/>
      <c r="L14" s="201"/>
      <c r="M14" s="201"/>
      <c r="N14" s="202"/>
      <c r="O14" s="226"/>
      <c r="P14" s="236"/>
      <c r="Q14" s="235"/>
    </row>
    <row r="15" spans="1:56" ht="15" hidden="1" customHeight="1">
      <c r="A15" s="179" t="s">
        <v>1954</v>
      </c>
      <c r="B15" s="112"/>
      <c r="C15" s="112"/>
      <c r="D15" s="175"/>
      <c r="E15" s="175"/>
      <c r="F15" s="676"/>
      <c r="G15" s="677"/>
      <c r="H15" s="175"/>
      <c r="I15" s="175"/>
      <c r="J15" s="175"/>
      <c r="K15" s="175"/>
      <c r="L15" s="201"/>
      <c r="M15" s="201"/>
      <c r="N15" s="202"/>
      <c r="O15" s="226"/>
      <c r="P15" s="236"/>
      <c r="Q15" s="235"/>
    </row>
    <row r="16" spans="1:56" ht="15" customHeight="1">
      <c r="A16" s="656" t="s">
        <v>2065</v>
      </c>
      <c r="B16" s="657"/>
      <c r="C16" s="657"/>
      <c r="D16" s="661" t="str">
        <f>IF(AND(B4="",B5="",B6="",B7="",B8="",B9="",B10="",B11=""),"",AVERAGE(B4:B11))</f>
        <v/>
      </c>
      <c r="E16" s="661"/>
      <c r="F16" s="175"/>
      <c r="G16" s="175"/>
      <c r="H16" s="175"/>
      <c r="I16" s="175"/>
      <c r="J16" s="175"/>
      <c r="K16" s="175"/>
      <c r="L16" s="201"/>
      <c r="M16" s="201"/>
      <c r="N16" s="228"/>
      <c r="O16" s="226"/>
      <c r="P16" s="36"/>
      <c r="Q16" s="108"/>
    </row>
    <row r="17" spans="1:22" ht="15" customHeight="1">
      <c r="A17" s="656" t="s">
        <v>2064</v>
      </c>
      <c r="B17" s="657"/>
      <c r="C17" s="657"/>
      <c r="D17" s="662" t="str">
        <f>IF(AND(C4="",C5="",C6="",C7="",C8="",C9="",C10="",C11=""),"",AVERAGE(C4:C11))</f>
        <v/>
      </c>
      <c r="E17" s="662"/>
      <c r="F17" s="180"/>
      <c r="G17" s="663" t="s">
        <v>217</v>
      </c>
      <c r="H17" s="663"/>
      <c r="I17" s="663"/>
      <c r="J17" s="663"/>
      <c r="K17" s="663"/>
      <c r="L17" s="658">
        <f>'NOTES &amp; RATING'!BB29</f>
        <v>0</v>
      </c>
      <c r="M17" s="658"/>
      <c r="N17" s="241"/>
      <c r="O17" s="226" t="s">
        <v>713</v>
      </c>
      <c r="P17" s="36"/>
      <c r="Q17" s="108"/>
      <c r="R17" s="98" t="str">
        <f>CONCATENATE(IF(S8="Not",W8 &amp; ", ",""),IF(S7="Not",W7 &amp; ", ",""),IF(S6="Not",W6 &amp; ", ",""),IF(S5="Not",W5 &amp; ", ",""),IF(S4="Not",W4,""))</f>
        <v>/, /, /, /, /</v>
      </c>
    </row>
    <row r="18" spans="1:22" ht="15" customHeight="1">
      <c r="A18" s="656" t="s">
        <v>2066</v>
      </c>
      <c r="B18" s="657"/>
      <c r="C18" s="657"/>
      <c r="D18" s="658" t="str">
        <f>IF(AND(C4="",C5="",C6="",C7="",C8="",C9="",C10="",C11=""),"",IF(SUM(B4:C11)=0,0,SUM(L4:M11)/SUM(B4:C11)))</f>
        <v/>
      </c>
      <c r="E18" s="658"/>
      <c r="F18" s="182"/>
      <c r="G18" s="665" t="s">
        <v>445</v>
      </c>
      <c r="H18" s="665"/>
      <c r="I18" s="665"/>
      <c r="J18" s="665"/>
      <c r="K18" s="665"/>
      <c r="L18" s="666" t="str">
        <f>IF(OR(D19="",L17=""),"",D19/L17)</f>
        <v/>
      </c>
      <c r="M18" s="667"/>
      <c r="N18" s="241"/>
      <c r="O18" s="226" t="s">
        <v>714</v>
      </c>
      <c r="P18" s="36"/>
      <c r="Q18" s="108"/>
      <c r="R18" s="98" t="str">
        <f>IF(LEN(R17)&gt;2,LEFT(R17,LEN(R17)-2),R17)</f>
        <v>/, /, /, /,</v>
      </c>
    </row>
    <row r="19" spans="1:22" ht="15" customHeight="1">
      <c r="A19" s="656" t="s">
        <v>2067</v>
      </c>
      <c r="B19" s="657"/>
      <c r="C19" s="657"/>
      <c r="D19" s="658" t="str">
        <f>IF(AND(L4="",L5="",L6="",L7="",L8="",L9="",L10="",L11=""),"",AVERAGE(L4:M11))</f>
        <v/>
      </c>
      <c r="E19" s="658"/>
      <c r="F19" s="182"/>
      <c r="G19" s="665"/>
      <c r="H19" s="665"/>
      <c r="I19" s="665"/>
      <c r="J19" s="665"/>
      <c r="K19" s="665"/>
      <c r="L19" s="667"/>
      <c r="M19" s="667"/>
      <c r="N19" s="241"/>
      <c r="O19" s="226" t="s">
        <v>1770</v>
      </c>
      <c r="P19" s="36"/>
      <c r="Q19" s="108"/>
      <c r="R19" s="98" t="str">
        <f>IF(RIGHT(R17,2)=", ","Yes","No")</f>
        <v>No</v>
      </c>
    </row>
    <row r="20" spans="1:22" s="117" customFormat="1" ht="15" customHeight="1">
      <c r="A20" s="183"/>
      <c r="B20" s="184"/>
      <c r="C20" s="184"/>
      <c r="D20" s="184"/>
      <c r="E20" s="184"/>
      <c r="F20" s="184"/>
      <c r="G20" s="184"/>
      <c r="H20" s="181"/>
      <c r="I20" s="185"/>
      <c r="J20" s="186"/>
      <c r="K20" s="184"/>
      <c r="L20" s="184"/>
      <c r="M20" s="184"/>
      <c r="N20" s="229"/>
      <c r="O20" s="226" t="s">
        <v>711</v>
      </c>
      <c r="P20" s="322"/>
      <c r="Q20" s="231"/>
      <c r="R20" s="98" t="str">
        <f>IF(R19="No",R17,R18)</f>
        <v>/, /, /, /, /</v>
      </c>
      <c r="S20" s="119"/>
      <c r="T20" s="119"/>
      <c r="U20" s="119"/>
      <c r="V20" s="119"/>
    </row>
    <row r="21" spans="1:22" ht="15" customHeight="1">
      <c r="A21" s="670" t="s">
        <v>441</v>
      </c>
      <c r="B21" s="671"/>
      <c r="C21" s="671"/>
      <c r="D21" s="671"/>
      <c r="E21" s="671"/>
      <c r="F21" s="671"/>
      <c r="G21" s="671"/>
      <c r="H21" s="671"/>
      <c r="I21" s="671"/>
      <c r="J21" s="671"/>
      <c r="K21" s="671"/>
      <c r="L21" s="671"/>
      <c r="M21" s="671"/>
      <c r="N21" s="671"/>
      <c r="O21" s="671"/>
      <c r="P21" s="671"/>
      <c r="Q21" s="320"/>
      <c r="R21" s="98" t="str">
        <f>IF(R20="/, /, /, /, /","Effective Date Not Entered",IF(COUNTIF(S4:S8,"Current")=5,"",IF(COUNTIF(S4:S8,"Current")=4,"Currently valued (within 90 days of proposed inception) carrier loss run for:  "&amp;R20,"Currently valued (within 90 days of proposed inception) carrier loss runs for:  "&amp;R20)))</f>
        <v>Effective Date Not Entered</v>
      </c>
    </row>
    <row r="22" spans="1:22" ht="51" customHeight="1">
      <c r="A22" s="682"/>
      <c r="B22" s="683"/>
      <c r="C22" s="683"/>
      <c r="D22" s="683"/>
      <c r="E22" s="683"/>
      <c r="F22" s="683"/>
      <c r="G22" s="683"/>
      <c r="H22" s="683"/>
      <c r="I22" s="683"/>
      <c r="J22" s="683"/>
      <c r="K22" s="683"/>
      <c r="L22" s="683"/>
      <c r="M22" s="683"/>
      <c r="N22" s="683"/>
      <c r="O22" s="683"/>
      <c r="P22" s="683"/>
      <c r="Q22" s="331"/>
    </row>
    <row r="23" spans="1:22" ht="15" hidden="1" customHeight="1">
      <c r="A23" s="239"/>
      <c r="B23" s="240"/>
      <c r="C23" s="240"/>
      <c r="D23" s="240"/>
      <c r="E23" s="240"/>
      <c r="F23" s="240"/>
      <c r="G23" s="240"/>
      <c r="H23" s="240"/>
      <c r="I23" s="240"/>
      <c r="J23" s="240"/>
      <c r="K23" s="240"/>
      <c r="L23" s="240"/>
      <c r="M23" s="240"/>
      <c r="N23" s="240"/>
      <c r="O23" s="240"/>
      <c r="P23" s="240"/>
      <c r="Q23" s="329"/>
    </row>
    <row r="24" spans="1:22" ht="15" hidden="1" customHeight="1">
      <c r="A24" s="659" t="s">
        <v>2071</v>
      </c>
      <c r="B24" s="660"/>
      <c r="C24" s="660"/>
      <c r="D24" s="660"/>
      <c r="E24" s="660"/>
      <c r="F24" s="660"/>
      <c r="G24" s="660"/>
      <c r="H24" s="660"/>
      <c r="I24" s="660"/>
      <c r="J24" s="660"/>
      <c r="K24" s="660"/>
      <c r="L24" s="660"/>
      <c r="M24" s="660"/>
      <c r="N24" s="660"/>
      <c r="O24" s="660"/>
      <c r="P24" s="660"/>
      <c r="Q24" s="330"/>
    </row>
    <row r="25" spans="1:22" ht="67.5" hidden="1" customHeight="1">
      <c r="A25" s="218" t="s">
        <v>61</v>
      </c>
      <c r="B25" s="319" t="s">
        <v>2015</v>
      </c>
      <c r="C25" s="317" t="s">
        <v>2016</v>
      </c>
      <c r="D25" s="317" t="s">
        <v>2017</v>
      </c>
      <c r="E25" s="317" t="s">
        <v>2018</v>
      </c>
      <c r="F25" s="672" t="s">
        <v>274</v>
      </c>
      <c r="G25" s="673"/>
      <c r="H25" s="672" t="s">
        <v>275</v>
      </c>
      <c r="I25" s="673"/>
      <c r="J25" s="673" t="s">
        <v>60</v>
      </c>
      <c r="K25" s="673"/>
      <c r="L25" s="672" t="s">
        <v>1976</v>
      </c>
      <c r="M25" s="673"/>
      <c r="N25" s="678" t="s">
        <v>277</v>
      </c>
      <c r="O25" s="679"/>
      <c r="P25" s="323" t="s">
        <v>10</v>
      </c>
      <c r="Q25" s="327"/>
    </row>
    <row r="26" spans="1:22" ht="15" hidden="1" customHeight="1">
      <c r="A26" s="219" t="str">
        <f>IF(EffectiveDate="","",YEAR(EffectiveDate)-1 &amp; "-" &amp; YEAR(EffectiveDate))</f>
        <v/>
      </c>
      <c r="B26" s="242"/>
      <c r="C26" s="243"/>
      <c r="D26" s="243"/>
      <c r="E26" s="243"/>
      <c r="F26" s="664"/>
      <c r="G26" s="664"/>
      <c r="H26" s="664"/>
      <c r="I26" s="664"/>
      <c r="J26" s="664"/>
      <c r="K26" s="664"/>
      <c r="L26" s="664" t="str">
        <f t="shared" ref="L26:L33" si="2">IF(AND(COUNTA(F26,H26,J26)&lt;1,C26=""),"",SUM(F26,H26,J26))</f>
        <v/>
      </c>
      <c r="M26" s="664"/>
      <c r="N26" s="244"/>
      <c r="O26" s="245" t="str">
        <f t="shared" ref="O26:O33" si="3">IF(OR($O$1="",N26=""),"",$O$1-N26)</f>
        <v/>
      </c>
      <c r="P26" s="324" t="str">
        <f>IF(YIB="","",IF(YIB&lt;1,"Not In Business",""))</f>
        <v/>
      </c>
      <c r="Q26" s="328"/>
    </row>
    <row r="27" spans="1:22" ht="15" hidden="1" customHeight="1">
      <c r="A27" s="220" t="str">
        <f>IF(EffectiveDate="","",YEAR(EffectiveDate)-2 &amp; "-" &amp; YEAR(EffectiveDate)-1)</f>
        <v/>
      </c>
      <c r="B27" s="246"/>
      <c r="C27" s="243"/>
      <c r="D27" s="243"/>
      <c r="E27" s="243"/>
      <c r="F27" s="664"/>
      <c r="G27" s="668"/>
      <c r="H27" s="664"/>
      <c r="I27" s="668"/>
      <c r="J27" s="664"/>
      <c r="K27" s="668"/>
      <c r="L27" s="664" t="str">
        <f t="shared" si="2"/>
        <v/>
      </c>
      <c r="M27" s="664"/>
      <c r="N27" s="244"/>
      <c r="O27" s="245" t="str">
        <f t="shared" si="3"/>
        <v/>
      </c>
      <c r="P27" s="324" t="str">
        <f>IF(YIB="","",IF(YIB&lt;2,"Not In Business",""))</f>
        <v/>
      </c>
      <c r="Q27" s="328"/>
    </row>
    <row r="28" spans="1:22" ht="15" hidden="1" customHeight="1">
      <c r="A28" s="220" t="str">
        <f>IF(EffectiveDate="","",YEAR(EffectiveDate)-3 &amp; "-" &amp; YEAR(EffectiveDate)-2)</f>
        <v/>
      </c>
      <c r="B28" s="246"/>
      <c r="C28" s="243"/>
      <c r="D28" s="243"/>
      <c r="E28" s="243"/>
      <c r="F28" s="664"/>
      <c r="G28" s="668"/>
      <c r="H28" s="664"/>
      <c r="I28" s="668"/>
      <c r="J28" s="664"/>
      <c r="K28" s="668"/>
      <c r="L28" s="664" t="str">
        <f t="shared" si="2"/>
        <v/>
      </c>
      <c r="M28" s="664"/>
      <c r="N28" s="244"/>
      <c r="O28" s="245" t="str">
        <f t="shared" si="3"/>
        <v/>
      </c>
      <c r="P28" s="324" t="str">
        <f>IF(YIB="","",IF(YIB&lt;3,"Not In Business",""))</f>
        <v/>
      </c>
      <c r="Q28" s="328"/>
    </row>
    <row r="29" spans="1:22" ht="15" hidden="1" customHeight="1">
      <c r="A29" s="220" t="str">
        <f>IF(EffectiveDate="","",YEAR(EffectiveDate)-4 &amp; "-" &amp; YEAR(EffectiveDate)-3)</f>
        <v/>
      </c>
      <c r="B29" s="246"/>
      <c r="C29" s="243"/>
      <c r="D29" s="243"/>
      <c r="E29" s="243"/>
      <c r="F29" s="664"/>
      <c r="G29" s="664"/>
      <c r="H29" s="664"/>
      <c r="I29" s="664"/>
      <c r="J29" s="664"/>
      <c r="K29" s="664"/>
      <c r="L29" s="664" t="str">
        <f t="shared" si="2"/>
        <v/>
      </c>
      <c r="M29" s="664"/>
      <c r="N29" s="244"/>
      <c r="O29" s="245" t="str">
        <f t="shared" si="3"/>
        <v/>
      </c>
      <c r="P29" s="324" t="str">
        <f>IF(YIB="","",IF(YIB&lt;4,"Not In Business",""))</f>
        <v/>
      </c>
      <c r="Q29" s="328"/>
    </row>
    <row r="30" spans="1:22" ht="15" hidden="1" customHeight="1">
      <c r="A30" s="220" t="str">
        <f>IF(EffectiveDate="","",YEAR(EffectiveDate)-5 &amp; "-" &amp; YEAR(EffectiveDate)-4)</f>
        <v/>
      </c>
      <c r="B30" s="246"/>
      <c r="C30" s="243"/>
      <c r="D30" s="243"/>
      <c r="E30" s="243"/>
      <c r="F30" s="664"/>
      <c r="G30" s="664"/>
      <c r="H30" s="664"/>
      <c r="I30" s="664"/>
      <c r="J30" s="664"/>
      <c r="K30" s="664"/>
      <c r="L30" s="664" t="str">
        <f t="shared" si="2"/>
        <v/>
      </c>
      <c r="M30" s="664"/>
      <c r="N30" s="244"/>
      <c r="O30" s="245" t="str">
        <f t="shared" si="3"/>
        <v/>
      </c>
      <c r="P30" s="324" t="str">
        <f>IF(YIB="","",IF(YIB&lt;5,"Not In Business",""))</f>
        <v/>
      </c>
      <c r="Q30" s="328"/>
    </row>
    <row r="31" spans="1:22" ht="15" hidden="1" customHeight="1">
      <c r="A31" s="220" t="str">
        <f>IF(EffectiveDate="","",YEAR(EffectiveDate)-6 &amp; "-" &amp; YEAR(EffectiveDate)-5)</f>
        <v/>
      </c>
      <c r="B31" s="246"/>
      <c r="C31" s="243"/>
      <c r="D31" s="243"/>
      <c r="E31" s="243"/>
      <c r="F31" s="664"/>
      <c r="G31" s="664"/>
      <c r="H31" s="664"/>
      <c r="I31" s="664"/>
      <c r="J31" s="664"/>
      <c r="K31" s="664"/>
      <c r="L31" s="664" t="str">
        <f t="shared" si="2"/>
        <v/>
      </c>
      <c r="M31" s="664"/>
      <c r="N31" s="244"/>
      <c r="O31" s="245" t="str">
        <f t="shared" si="3"/>
        <v/>
      </c>
      <c r="P31" s="324" t="str">
        <f>IF(YIB="","",IF(YIB&lt;6,"Not In Business",""))</f>
        <v/>
      </c>
      <c r="Q31" s="328"/>
    </row>
    <row r="32" spans="1:22" ht="15" hidden="1" customHeight="1">
      <c r="A32" s="220" t="str">
        <f>IF(EffectiveDate="","",YEAR(EffectiveDate)-7 &amp; "-" &amp; YEAR(EffectiveDate)-6)</f>
        <v/>
      </c>
      <c r="B32" s="246"/>
      <c r="C32" s="243"/>
      <c r="D32" s="243"/>
      <c r="E32" s="243"/>
      <c r="F32" s="664"/>
      <c r="G32" s="664"/>
      <c r="H32" s="664"/>
      <c r="I32" s="664"/>
      <c r="J32" s="664"/>
      <c r="K32" s="664"/>
      <c r="L32" s="664" t="str">
        <f t="shared" si="2"/>
        <v/>
      </c>
      <c r="M32" s="664"/>
      <c r="N32" s="244"/>
      <c r="O32" s="245" t="str">
        <f t="shared" si="3"/>
        <v/>
      </c>
      <c r="P32" s="324" t="str">
        <f>IF(YIB="","",IF(YIB&lt;7,"Not In Business",""))</f>
        <v/>
      </c>
      <c r="Q32" s="328"/>
    </row>
    <row r="33" spans="1:22" ht="15" hidden="1" customHeight="1">
      <c r="A33" s="220" t="str">
        <f>IF(EffectiveDate="","",YEAR(EffectiveDate)-8 &amp; "-" &amp; YEAR(EffectiveDate)-7)</f>
        <v/>
      </c>
      <c r="B33" s="246"/>
      <c r="C33" s="243"/>
      <c r="D33" s="243"/>
      <c r="E33" s="243"/>
      <c r="F33" s="664"/>
      <c r="G33" s="664"/>
      <c r="H33" s="664"/>
      <c r="I33" s="664"/>
      <c r="J33" s="664"/>
      <c r="K33" s="664"/>
      <c r="L33" s="664" t="str">
        <f t="shared" si="2"/>
        <v/>
      </c>
      <c r="M33" s="664"/>
      <c r="N33" s="244"/>
      <c r="O33" s="245" t="str">
        <f t="shared" si="3"/>
        <v/>
      </c>
      <c r="P33" s="324" t="str">
        <f>IF(YIB="","",IF(YIB&lt;8,"Not In Business",""))</f>
        <v/>
      </c>
      <c r="Q33" s="328"/>
    </row>
    <row r="34" spans="1:22" ht="15" hidden="1" customHeight="1">
      <c r="A34" s="656" t="s">
        <v>2065</v>
      </c>
      <c r="B34" s="657"/>
      <c r="C34" s="657"/>
      <c r="D34" s="661" t="str">
        <f>IF(AND(B26="",B27="",B28="",B29="",B30="",B31="",B32="",B33=""),"",AVERAGE(B26:B33))</f>
        <v/>
      </c>
      <c r="E34" s="661"/>
      <c r="F34" s="175"/>
      <c r="G34" s="175"/>
      <c r="H34" s="175"/>
      <c r="I34" s="175"/>
      <c r="J34" s="175"/>
      <c r="K34" s="175"/>
      <c r="L34" s="201"/>
      <c r="M34" s="201"/>
      <c r="N34" s="228"/>
      <c r="O34" s="226"/>
      <c r="P34" s="36"/>
      <c r="Q34" s="108"/>
    </row>
    <row r="35" spans="1:22" ht="15" hidden="1" customHeight="1">
      <c r="A35" s="656" t="s">
        <v>2064</v>
      </c>
      <c r="B35" s="657"/>
      <c r="C35" s="657"/>
      <c r="D35" s="662" t="str">
        <f>IF(AND(C26="",C27="",C28="",C29="",C30="",C31="",C32="",C33=""),"",AVERAGE(C26:C33))</f>
        <v/>
      </c>
      <c r="E35" s="662"/>
      <c r="F35" s="180"/>
      <c r="G35" s="663"/>
      <c r="H35" s="663"/>
      <c r="I35" s="663"/>
      <c r="J35" s="663"/>
      <c r="K35" s="663"/>
      <c r="L35" s="658"/>
      <c r="M35" s="658"/>
      <c r="N35" s="669"/>
      <c r="O35" s="226" t="s">
        <v>713</v>
      </c>
      <c r="P35" s="36"/>
      <c r="Q35" s="108"/>
    </row>
    <row r="36" spans="1:22" ht="15" hidden="1" customHeight="1">
      <c r="A36" s="656" t="s">
        <v>2066</v>
      </c>
      <c r="B36" s="657"/>
      <c r="C36" s="657"/>
      <c r="D36" s="658" t="str">
        <f>IF(AND(C26="",C27="",C28="",C29="",C30="",C31="",C32="",C33=""),"",IF(SUM(B26:C33)=0,0,SUM(L26:L33)/SUM(B26:C29)))</f>
        <v/>
      </c>
      <c r="E36" s="658"/>
      <c r="F36" s="182"/>
      <c r="G36" s="665"/>
      <c r="H36" s="665"/>
      <c r="I36" s="665"/>
      <c r="J36" s="665"/>
      <c r="K36" s="665"/>
      <c r="L36" s="666"/>
      <c r="M36" s="667"/>
      <c r="N36" s="669"/>
      <c r="O36" s="226" t="s">
        <v>714</v>
      </c>
      <c r="P36" s="36"/>
      <c r="Q36" s="108"/>
    </row>
    <row r="37" spans="1:22" ht="15" hidden="1" customHeight="1">
      <c r="A37" s="656" t="s">
        <v>2067</v>
      </c>
      <c r="B37" s="657"/>
      <c r="C37" s="657"/>
      <c r="D37" s="658" t="str">
        <f>IF(AND(L26="",L27="",L28="",L29="",L30="",L31="",L32="",L33=""),"",AVERAGE(L26:M33))</f>
        <v/>
      </c>
      <c r="E37" s="658"/>
      <c r="F37" s="182"/>
      <c r="G37" s="665"/>
      <c r="H37" s="665"/>
      <c r="I37" s="665"/>
      <c r="J37" s="665"/>
      <c r="K37" s="665"/>
      <c r="L37" s="667"/>
      <c r="M37" s="667"/>
      <c r="N37" s="669"/>
      <c r="O37" s="226" t="s">
        <v>1770</v>
      </c>
      <c r="P37" s="36"/>
      <c r="Q37" s="108"/>
    </row>
    <row r="38" spans="1:22" ht="15" hidden="1" customHeight="1">
      <c r="A38" s="187"/>
      <c r="B38" s="188"/>
      <c r="C38" s="188"/>
      <c r="D38" s="188"/>
      <c r="E38" s="188"/>
      <c r="F38" s="188"/>
      <c r="G38" s="188"/>
      <c r="H38" s="188"/>
      <c r="I38" s="188"/>
      <c r="J38" s="188"/>
      <c r="K38" s="188"/>
      <c r="L38" s="188"/>
      <c r="M38" s="188"/>
      <c r="N38" s="188"/>
      <c r="O38" s="226"/>
      <c r="P38" s="36"/>
      <c r="Q38" s="108"/>
    </row>
    <row r="39" spans="1:22" ht="15" customHeight="1">
      <c r="A39" s="239"/>
      <c r="B39" s="240"/>
      <c r="C39" s="240"/>
      <c r="D39" s="240"/>
      <c r="E39" s="240"/>
      <c r="F39" s="240"/>
      <c r="G39" s="240"/>
      <c r="H39" s="240"/>
      <c r="I39" s="240"/>
      <c r="J39" s="240"/>
      <c r="K39" s="240"/>
      <c r="L39" s="240"/>
      <c r="M39" s="240"/>
      <c r="N39" s="240"/>
      <c r="O39" s="240"/>
      <c r="P39" s="240"/>
      <c r="Q39" s="329"/>
    </row>
    <row r="40" spans="1:22" ht="15" customHeight="1">
      <c r="A40" s="659" t="s">
        <v>2068</v>
      </c>
      <c r="B40" s="660"/>
      <c r="C40" s="660"/>
      <c r="D40" s="660"/>
      <c r="E40" s="660"/>
      <c r="F40" s="660"/>
      <c r="G40" s="660"/>
      <c r="H40" s="660"/>
      <c r="I40" s="660"/>
      <c r="J40" s="660"/>
      <c r="K40" s="660"/>
      <c r="L40" s="660"/>
      <c r="M40" s="660"/>
      <c r="N40" s="660"/>
      <c r="O40" s="660"/>
      <c r="P40" s="660"/>
      <c r="Q40" s="316"/>
    </row>
    <row r="41" spans="1:22" ht="67.5" customHeight="1">
      <c r="A41" s="218" t="s">
        <v>61</v>
      </c>
      <c r="B41" s="319" t="s">
        <v>2015</v>
      </c>
      <c r="C41" s="317" t="s">
        <v>2016</v>
      </c>
      <c r="D41" s="317" t="s">
        <v>2017</v>
      </c>
      <c r="E41" s="317" t="s">
        <v>2018</v>
      </c>
      <c r="F41" s="672" t="s">
        <v>274</v>
      </c>
      <c r="G41" s="673"/>
      <c r="H41" s="672" t="s">
        <v>275</v>
      </c>
      <c r="I41" s="673"/>
      <c r="J41" s="673" t="s">
        <v>60</v>
      </c>
      <c r="K41" s="673"/>
      <c r="L41" s="672" t="s">
        <v>1976</v>
      </c>
      <c r="M41" s="673"/>
      <c r="N41" s="678" t="s">
        <v>277</v>
      </c>
      <c r="O41" s="679"/>
      <c r="P41" s="323" t="s">
        <v>10</v>
      </c>
      <c r="Q41" s="221" t="s">
        <v>2874</v>
      </c>
    </row>
    <row r="42" spans="1:22" ht="15" customHeight="1">
      <c r="A42" s="219" t="str">
        <f>IF(EffectiveDate="","",YEAR(EffectiveDate)-1 &amp; "-" &amp; YEAR(EffectiveDate))</f>
        <v/>
      </c>
      <c r="B42" s="242"/>
      <c r="C42" s="243"/>
      <c r="D42" s="243"/>
      <c r="E42" s="243"/>
      <c r="F42" s="664"/>
      <c r="G42" s="664"/>
      <c r="H42" s="664"/>
      <c r="I42" s="664"/>
      <c r="J42" s="664"/>
      <c r="K42" s="664"/>
      <c r="L42" s="664" t="str">
        <f t="shared" ref="L42:L49" si="4">IF(AND(COUNTA(F42,H42,J42)&lt;1,C42=""),"",SUM(F42,H42,J42))</f>
        <v/>
      </c>
      <c r="M42" s="664"/>
      <c r="N42" s="244"/>
      <c r="O42" s="245" t="str">
        <f t="shared" ref="O42:O49" si="5">IF(OR($O$1="",N42=""),"",$O$1-N42)</f>
        <v/>
      </c>
      <c r="P42" s="324" t="str">
        <f>IF(YIB="","",IF(YIB&lt;1,"Not In Business",""))</f>
        <v/>
      </c>
      <c r="Q42" s="337">
        <f t="array" ref="Q42:V42">'NOTES &amp; RATING'!AJ18:AO18</f>
        <v>0</v>
      </c>
      <c r="R42" s="98">
        <v>0</v>
      </c>
      <c r="S42" s="98">
        <v>0</v>
      </c>
      <c r="T42" s="98">
        <v>0</v>
      </c>
      <c r="U42" s="98">
        <v>0</v>
      </c>
      <c r="V42" s="98">
        <v>0</v>
      </c>
    </row>
    <row r="43" spans="1:22" ht="15" customHeight="1">
      <c r="A43" s="220" t="str">
        <f>IF(EffectiveDate="","",YEAR(EffectiveDate)-2 &amp; "-" &amp; YEAR(EffectiveDate)-1)</f>
        <v/>
      </c>
      <c r="B43" s="246"/>
      <c r="C43" s="243"/>
      <c r="D43" s="243"/>
      <c r="E43" s="243"/>
      <c r="F43" s="664"/>
      <c r="G43" s="668"/>
      <c r="H43" s="664"/>
      <c r="I43" s="668"/>
      <c r="J43" s="664"/>
      <c r="K43" s="668"/>
      <c r="L43" s="664" t="str">
        <f t="shared" si="4"/>
        <v/>
      </c>
      <c r="M43" s="664"/>
      <c r="N43" s="244"/>
      <c r="O43" s="245" t="str">
        <f t="shared" si="5"/>
        <v/>
      </c>
      <c r="P43" s="324" t="str">
        <f>IF(YIB="","",IF(YIB&lt;2,"Not In Business",""))</f>
        <v/>
      </c>
      <c r="Q43" s="337">
        <f t="array" ref="Q43:V43">'NOTES &amp; RATING'!AJ19:AO19</f>
        <v>0</v>
      </c>
      <c r="R43" s="98">
        <v>0</v>
      </c>
      <c r="S43" s="98">
        <v>0</v>
      </c>
      <c r="T43" s="98">
        <v>0</v>
      </c>
      <c r="U43" s="98">
        <v>0</v>
      </c>
      <c r="V43" s="98">
        <v>0</v>
      </c>
    </row>
    <row r="44" spans="1:22" ht="15" customHeight="1">
      <c r="A44" s="220" t="str">
        <f>IF(EffectiveDate="","",YEAR(EffectiveDate)-3 &amp; "-" &amp; YEAR(EffectiveDate)-2)</f>
        <v/>
      </c>
      <c r="B44" s="246"/>
      <c r="C44" s="243"/>
      <c r="D44" s="243"/>
      <c r="E44" s="243"/>
      <c r="F44" s="664"/>
      <c r="G44" s="668"/>
      <c r="H44" s="664"/>
      <c r="I44" s="668"/>
      <c r="J44" s="664"/>
      <c r="K44" s="668"/>
      <c r="L44" s="664" t="str">
        <f t="shared" si="4"/>
        <v/>
      </c>
      <c r="M44" s="664"/>
      <c r="N44" s="244"/>
      <c r="O44" s="245" t="str">
        <f t="shared" si="5"/>
        <v/>
      </c>
      <c r="P44" s="324" t="str">
        <f>IF(YIB="","",IF(YIB&lt;3,"Not In Business",""))</f>
        <v/>
      </c>
      <c r="Q44" s="337">
        <f t="array" ref="Q44:V44">'NOTES &amp; RATING'!AJ20:AO20</f>
        <v>0</v>
      </c>
      <c r="R44" s="98">
        <v>0</v>
      </c>
      <c r="S44" s="98">
        <v>0</v>
      </c>
      <c r="T44" s="98">
        <v>0</v>
      </c>
      <c r="U44" s="98">
        <v>0</v>
      </c>
      <c r="V44" s="98">
        <v>0</v>
      </c>
    </row>
    <row r="45" spans="1:22" ht="15" customHeight="1">
      <c r="A45" s="220" t="str">
        <f>IF(EffectiveDate="","",YEAR(EffectiveDate)-4 &amp; "-" &amp; YEAR(EffectiveDate)-3)</f>
        <v/>
      </c>
      <c r="B45" s="246"/>
      <c r="C45" s="243"/>
      <c r="D45" s="243"/>
      <c r="E45" s="243"/>
      <c r="F45" s="664"/>
      <c r="G45" s="664"/>
      <c r="H45" s="664"/>
      <c r="I45" s="664"/>
      <c r="J45" s="664"/>
      <c r="K45" s="664"/>
      <c r="L45" s="664" t="str">
        <f t="shared" si="4"/>
        <v/>
      </c>
      <c r="M45" s="664"/>
      <c r="N45" s="244"/>
      <c r="O45" s="245" t="str">
        <f t="shared" si="5"/>
        <v/>
      </c>
      <c r="P45" s="324" t="str">
        <f>IF(YIB="","",IF(YIB&lt;4,"Not In Business",""))</f>
        <v/>
      </c>
      <c r="Q45" s="337">
        <f t="array" ref="Q45:V45">'NOTES &amp; RATING'!AJ21:AO21</f>
        <v>0</v>
      </c>
      <c r="R45" s="98">
        <v>0</v>
      </c>
      <c r="S45" s="98">
        <v>0</v>
      </c>
      <c r="T45" s="98">
        <v>0</v>
      </c>
      <c r="U45" s="98">
        <v>0</v>
      </c>
      <c r="V45" s="98">
        <v>0</v>
      </c>
    </row>
    <row r="46" spans="1:22" ht="15" customHeight="1">
      <c r="A46" s="220" t="str">
        <f>IF(EffectiveDate="","",YEAR(EffectiveDate)-5 &amp; "-" &amp; YEAR(EffectiveDate)-4)</f>
        <v/>
      </c>
      <c r="B46" s="246"/>
      <c r="C46" s="243"/>
      <c r="D46" s="243"/>
      <c r="E46" s="243"/>
      <c r="F46" s="664"/>
      <c r="G46" s="664"/>
      <c r="H46" s="664"/>
      <c r="I46" s="664"/>
      <c r="J46" s="664"/>
      <c r="K46" s="664"/>
      <c r="L46" s="664" t="str">
        <f t="shared" si="4"/>
        <v/>
      </c>
      <c r="M46" s="664"/>
      <c r="N46" s="244"/>
      <c r="O46" s="245" t="str">
        <f t="shared" si="5"/>
        <v/>
      </c>
      <c r="P46" s="324" t="str">
        <f>IF(YIB="","",IF(YIB&lt;5,"Not In Business",""))</f>
        <v/>
      </c>
      <c r="Q46" s="337">
        <f t="array" ref="Q46:V46">'NOTES &amp; RATING'!AJ22:AO22</f>
        <v>0</v>
      </c>
      <c r="R46" s="98">
        <v>0</v>
      </c>
      <c r="S46" s="98">
        <v>0</v>
      </c>
      <c r="T46" s="98">
        <v>0</v>
      </c>
      <c r="U46" s="98">
        <v>0</v>
      </c>
      <c r="V46" s="98">
        <v>0</v>
      </c>
    </row>
    <row r="47" spans="1:22" ht="15" customHeight="1">
      <c r="A47" s="220" t="str">
        <f>IF(EffectiveDate="","",YEAR(EffectiveDate)-6 &amp; "-" &amp; YEAR(EffectiveDate)-5)</f>
        <v/>
      </c>
      <c r="B47" s="246"/>
      <c r="C47" s="243"/>
      <c r="D47" s="243"/>
      <c r="E47" s="243"/>
      <c r="F47" s="664"/>
      <c r="G47" s="664"/>
      <c r="H47" s="664"/>
      <c r="I47" s="664"/>
      <c r="J47" s="664"/>
      <c r="K47" s="664"/>
      <c r="L47" s="664" t="str">
        <f t="shared" si="4"/>
        <v/>
      </c>
      <c r="M47" s="664"/>
      <c r="N47" s="244"/>
      <c r="O47" s="245" t="str">
        <f t="shared" si="5"/>
        <v/>
      </c>
      <c r="P47" s="324" t="str">
        <f>IF(YIB="","",IF(YIB&lt;6,"Not In Business",""))</f>
        <v/>
      </c>
      <c r="Q47" s="337"/>
    </row>
    <row r="48" spans="1:22" ht="15" customHeight="1">
      <c r="A48" s="220" t="str">
        <f>IF(EffectiveDate="","",YEAR(EffectiveDate)-7 &amp; "-" &amp; YEAR(EffectiveDate)-6)</f>
        <v/>
      </c>
      <c r="B48" s="246"/>
      <c r="C48" s="243"/>
      <c r="D48" s="243"/>
      <c r="E48" s="243"/>
      <c r="F48" s="664"/>
      <c r="G48" s="664"/>
      <c r="H48" s="664"/>
      <c r="I48" s="664"/>
      <c r="J48" s="664"/>
      <c r="K48" s="664"/>
      <c r="L48" s="664" t="str">
        <f t="shared" si="4"/>
        <v/>
      </c>
      <c r="M48" s="664"/>
      <c r="N48" s="244"/>
      <c r="O48" s="245" t="str">
        <f t="shared" si="5"/>
        <v/>
      </c>
      <c r="P48" s="324" t="str">
        <f>IF(YIB="","",IF(YIB&lt;7,"Not In Business",""))</f>
        <v/>
      </c>
      <c r="Q48" s="337"/>
    </row>
    <row r="49" spans="1:17" ht="15" customHeight="1">
      <c r="A49" s="220" t="str">
        <f>IF(EffectiveDate="","",YEAR(EffectiveDate)-8 &amp; "-" &amp; YEAR(EffectiveDate)-7)</f>
        <v/>
      </c>
      <c r="B49" s="246"/>
      <c r="C49" s="243"/>
      <c r="D49" s="243"/>
      <c r="E49" s="243"/>
      <c r="F49" s="664"/>
      <c r="G49" s="664"/>
      <c r="H49" s="664"/>
      <c r="I49" s="664"/>
      <c r="J49" s="664"/>
      <c r="K49" s="664"/>
      <c r="L49" s="664" t="str">
        <f t="shared" si="4"/>
        <v/>
      </c>
      <c r="M49" s="664"/>
      <c r="N49" s="244"/>
      <c r="O49" s="245" t="str">
        <f t="shared" si="5"/>
        <v/>
      </c>
      <c r="P49" s="324" t="str">
        <f>IF(YIB="","",IF(YIB&lt;8,"Not In Business",""))</f>
        <v/>
      </c>
      <c r="Q49" s="337"/>
    </row>
    <row r="50" spans="1:17" ht="15" customHeight="1">
      <c r="A50" s="656" t="s">
        <v>2065</v>
      </c>
      <c r="B50" s="657"/>
      <c r="C50" s="657"/>
      <c r="D50" s="661" t="str">
        <f>IF(AND(B42="",B43="",B44="",B45="",B46="",B47="",B48="",B49=""),"",AVERAGE(B42:B49))</f>
        <v/>
      </c>
      <c r="E50" s="661"/>
      <c r="F50" s="175"/>
      <c r="G50" s="175"/>
      <c r="H50" s="175"/>
      <c r="I50" s="175"/>
      <c r="J50" s="175"/>
      <c r="K50" s="175"/>
      <c r="L50" s="201"/>
      <c r="M50" s="201"/>
      <c r="N50" s="228"/>
      <c r="O50" s="226"/>
      <c r="P50" s="36"/>
      <c r="Q50" s="108"/>
    </row>
    <row r="51" spans="1:17" ht="15" customHeight="1">
      <c r="A51" s="656" t="s">
        <v>2064</v>
      </c>
      <c r="B51" s="657"/>
      <c r="C51" s="657"/>
      <c r="D51" s="662" t="str">
        <f>IF(AND(C42="",C43="",C44="",C45="",C46="",C47="",C48="",C49=""),"",AVERAGE(C42:C49))</f>
        <v/>
      </c>
      <c r="E51" s="662"/>
      <c r="F51" s="180"/>
      <c r="G51" s="663"/>
      <c r="H51" s="663"/>
      <c r="I51" s="663"/>
      <c r="J51" s="663"/>
      <c r="K51" s="663"/>
      <c r="L51" s="658"/>
      <c r="M51" s="658"/>
      <c r="N51" s="669"/>
      <c r="O51" s="226" t="s">
        <v>713</v>
      </c>
      <c r="P51" s="36"/>
      <c r="Q51" s="108"/>
    </row>
    <row r="52" spans="1:17" ht="15" customHeight="1">
      <c r="A52" s="656" t="s">
        <v>2066</v>
      </c>
      <c r="B52" s="657"/>
      <c r="C52" s="657"/>
      <c r="D52" s="658" t="str">
        <f>IF(AND(C42="",C43="",C44="",C45="",C46="",C47="",C48="",C49=""),"",IF(SUM(B42:C49)=0,0,SUM(L42:L49)/SUM(B22:C45)))</f>
        <v/>
      </c>
      <c r="E52" s="658"/>
      <c r="F52" s="182"/>
      <c r="G52" s="665"/>
      <c r="H52" s="665"/>
      <c r="I52" s="665"/>
      <c r="J52" s="665"/>
      <c r="K52" s="665"/>
      <c r="L52" s="666"/>
      <c r="M52" s="667"/>
      <c r="N52" s="669"/>
      <c r="O52" s="226" t="s">
        <v>714</v>
      </c>
      <c r="P52" s="36"/>
      <c r="Q52" s="108"/>
    </row>
    <row r="53" spans="1:17" ht="15" customHeight="1">
      <c r="A53" s="656" t="s">
        <v>2067</v>
      </c>
      <c r="B53" s="657"/>
      <c r="C53" s="657"/>
      <c r="D53" s="658" t="str">
        <f>IF(AND(L42="",L43="",L44="",L45="",L46="",L47="",L48="",L49=""),"",AVERAGE(L42:M49))</f>
        <v/>
      </c>
      <c r="E53" s="658"/>
      <c r="F53" s="182"/>
      <c r="G53" s="665"/>
      <c r="H53" s="665"/>
      <c r="I53" s="665"/>
      <c r="J53" s="665"/>
      <c r="K53" s="665"/>
      <c r="L53" s="667"/>
      <c r="M53" s="667"/>
      <c r="N53" s="669"/>
      <c r="O53" s="226" t="s">
        <v>1770</v>
      </c>
      <c r="P53" s="36"/>
      <c r="Q53" s="108"/>
    </row>
    <row r="54" spans="1:17" ht="15" customHeight="1">
      <c r="A54" s="187"/>
      <c r="B54" s="188"/>
      <c r="C54" s="188"/>
      <c r="D54" s="188"/>
      <c r="E54" s="188"/>
      <c r="F54" s="188"/>
      <c r="G54" s="188"/>
      <c r="H54" s="188"/>
      <c r="I54" s="188"/>
      <c r="J54" s="188"/>
      <c r="K54" s="188"/>
      <c r="L54" s="188"/>
      <c r="M54" s="188"/>
      <c r="N54" s="188"/>
      <c r="O54" s="226"/>
      <c r="P54" s="36"/>
      <c r="Q54" s="332"/>
    </row>
    <row r="55" spans="1:17" ht="15" customHeight="1">
      <c r="A55" s="239"/>
      <c r="B55" s="240"/>
      <c r="C55" s="240"/>
      <c r="D55" s="240"/>
      <c r="E55" s="240"/>
      <c r="F55" s="240"/>
      <c r="G55" s="240"/>
      <c r="H55" s="240"/>
      <c r="I55" s="240"/>
      <c r="J55" s="240"/>
      <c r="K55" s="240"/>
      <c r="L55" s="240"/>
      <c r="M55" s="240"/>
      <c r="N55" s="240"/>
      <c r="O55" s="240"/>
      <c r="P55" s="240"/>
      <c r="Q55" s="329"/>
    </row>
    <row r="56" spans="1:17" ht="15" customHeight="1">
      <c r="A56" s="659" t="s">
        <v>2070</v>
      </c>
      <c r="B56" s="660"/>
      <c r="C56" s="660"/>
      <c r="D56" s="660"/>
      <c r="E56" s="660"/>
      <c r="F56" s="660"/>
      <c r="G56" s="660"/>
      <c r="H56" s="660"/>
      <c r="I56" s="660"/>
      <c r="J56" s="660"/>
      <c r="K56" s="660"/>
      <c r="L56" s="660"/>
      <c r="M56" s="660"/>
      <c r="N56" s="660"/>
      <c r="O56" s="660"/>
      <c r="P56" s="660"/>
      <c r="Q56" s="316"/>
    </row>
    <row r="57" spans="1:17" ht="67.5" customHeight="1">
      <c r="A57" s="218" t="s">
        <v>61</v>
      </c>
      <c r="B57" s="319" t="s">
        <v>2015</v>
      </c>
      <c r="C57" s="317" t="s">
        <v>2016</v>
      </c>
      <c r="D57" s="317" t="s">
        <v>2017</v>
      </c>
      <c r="E57" s="317" t="s">
        <v>2018</v>
      </c>
      <c r="F57" s="672" t="s">
        <v>274</v>
      </c>
      <c r="G57" s="673"/>
      <c r="H57" s="672" t="s">
        <v>275</v>
      </c>
      <c r="I57" s="673"/>
      <c r="J57" s="673" t="s">
        <v>60</v>
      </c>
      <c r="K57" s="673"/>
      <c r="L57" s="672" t="s">
        <v>1976</v>
      </c>
      <c r="M57" s="673"/>
      <c r="N57" s="678" t="s">
        <v>277</v>
      </c>
      <c r="O57" s="679"/>
      <c r="P57" s="323" t="s">
        <v>10</v>
      </c>
      <c r="Q57" s="221" t="s">
        <v>2875</v>
      </c>
    </row>
    <row r="58" spans="1:17" ht="15" customHeight="1">
      <c r="A58" s="219" t="str">
        <f>IF(EffectiveDate="","",YEAR(EffectiveDate)-1 &amp; "-" &amp; YEAR(EffectiveDate))</f>
        <v/>
      </c>
      <c r="B58" s="242"/>
      <c r="C58" s="243"/>
      <c r="D58" s="243"/>
      <c r="E58" s="243"/>
      <c r="F58" s="664"/>
      <c r="G58" s="664"/>
      <c r="H58" s="664"/>
      <c r="I58" s="664"/>
      <c r="J58" s="664"/>
      <c r="K58" s="664"/>
      <c r="L58" s="664" t="str">
        <f t="shared" ref="L58:L65" si="6">IF(AND(COUNTA(F58,H58,J58)&lt;1,C58=""),"",SUM(F58,H58,J58))</f>
        <v/>
      </c>
      <c r="M58" s="664"/>
      <c r="N58" s="244"/>
      <c r="O58" s="245" t="str">
        <f t="shared" ref="O58:O65" si="7">IF(OR($O$1="",N58=""),"",$O$1-N58)</f>
        <v/>
      </c>
      <c r="P58" s="324" t="str">
        <f>IF(YIB="","",IF(YIB&lt;1,"Not In Business",""))</f>
        <v/>
      </c>
      <c r="Q58" s="337"/>
    </row>
    <row r="59" spans="1:17" ht="15" customHeight="1">
      <c r="A59" s="220" t="str">
        <f>IF(EffectiveDate="","",YEAR(EffectiveDate)-2 &amp; "-" &amp; YEAR(EffectiveDate)-1)</f>
        <v/>
      </c>
      <c r="B59" s="246"/>
      <c r="C59" s="243"/>
      <c r="D59" s="243"/>
      <c r="E59" s="243"/>
      <c r="F59" s="664"/>
      <c r="G59" s="668"/>
      <c r="H59" s="664"/>
      <c r="I59" s="668"/>
      <c r="J59" s="664"/>
      <c r="K59" s="668"/>
      <c r="L59" s="664" t="str">
        <f t="shared" si="6"/>
        <v/>
      </c>
      <c r="M59" s="664"/>
      <c r="N59" s="244"/>
      <c r="O59" s="245" t="str">
        <f t="shared" si="7"/>
        <v/>
      </c>
      <c r="P59" s="324" t="str">
        <f>IF(YIB="","",IF(YIB&lt;2,"Not In Business",""))</f>
        <v/>
      </c>
      <c r="Q59" s="337"/>
    </row>
    <row r="60" spans="1:17" ht="15" customHeight="1">
      <c r="A60" s="220" t="str">
        <f>IF(EffectiveDate="","",YEAR(EffectiveDate)-3 &amp; "-" &amp; YEAR(EffectiveDate)-2)</f>
        <v/>
      </c>
      <c r="B60" s="246"/>
      <c r="C60" s="243"/>
      <c r="D60" s="243"/>
      <c r="E60" s="243"/>
      <c r="F60" s="664"/>
      <c r="G60" s="668"/>
      <c r="H60" s="664"/>
      <c r="I60" s="668"/>
      <c r="J60" s="664"/>
      <c r="K60" s="668"/>
      <c r="L60" s="664" t="str">
        <f t="shared" si="6"/>
        <v/>
      </c>
      <c r="M60" s="664"/>
      <c r="N60" s="244"/>
      <c r="O60" s="245" t="str">
        <f t="shared" si="7"/>
        <v/>
      </c>
      <c r="P60" s="324" t="str">
        <f>IF(YIB="","",IF(YIB&lt;3,"Not In Business",""))</f>
        <v/>
      </c>
      <c r="Q60" s="337"/>
    </row>
    <row r="61" spans="1:17" ht="15" customHeight="1">
      <c r="A61" s="220" t="str">
        <f>IF(EffectiveDate="","",YEAR(EffectiveDate)-4 &amp; "-" &amp; YEAR(EffectiveDate)-3)</f>
        <v/>
      </c>
      <c r="B61" s="246"/>
      <c r="C61" s="243"/>
      <c r="D61" s="243"/>
      <c r="E61" s="243"/>
      <c r="F61" s="664"/>
      <c r="G61" s="664"/>
      <c r="H61" s="664"/>
      <c r="I61" s="664"/>
      <c r="J61" s="664"/>
      <c r="K61" s="664"/>
      <c r="L61" s="664" t="str">
        <f t="shared" si="6"/>
        <v/>
      </c>
      <c r="M61" s="664"/>
      <c r="N61" s="244"/>
      <c r="O61" s="245" t="str">
        <f t="shared" si="7"/>
        <v/>
      </c>
      <c r="P61" s="324" t="str">
        <f>IF(YIB="","",IF(YIB&lt;4,"Not In Business",""))</f>
        <v/>
      </c>
      <c r="Q61" s="337"/>
    </row>
    <row r="62" spans="1:17" ht="15" customHeight="1">
      <c r="A62" s="220" t="str">
        <f>IF(EffectiveDate="","",YEAR(EffectiveDate)-5 &amp; "-" &amp; YEAR(EffectiveDate)-4)</f>
        <v/>
      </c>
      <c r="B62" s="246"/>
      <c r="C62" s="243"/>
      <c r="D62" s="243"/>
      <c r="E62" s="243"/>
      <c r="F62" s="664"/>
      <c r="G62" s="664"/>
      <c r="H62" s="664"/>
      <c r="I62" s="664"/>
      <c r="J62" s="664"/>
      <c r="K62" s="664"/>
      <c r="L62" s="664" t="str">
        <f t="shared" si="6"/>
        <v/>
      </c>
      <c r="M62" s="664"/>
      <c r="N62" s="244"/>
      <c r="O62" s="245" t="str">
        <f t="shared" si="7"/>
        <v/>
      </c>
      <c r="P62" s="324" t="str">
        <f>IF(YIB="","",IF(YIB&lt;5,"Not In Business",""))</f>
        <v/>
      </c>
      <c r="Q62" s="337"/>
    </row>
    <row r="63" spans="1:17" ht="15" customHeight="1">
      <c r="A63" s="220" t="str">
        <f>IF(EffectiveDate="","",YEAR(EffectiveDate)-6 &amp; "-" &amp; YEAR(EffectiveDate)-5)</f>
        <v/>
      </c>
      <c r="B63" s="246"/>
      <c r="C63" s="243"/>
      <c r="D63" s="243"/>
      <c r="E63" s="243"/>
      <c r="F63" s="664"/>
      <c r="G63" s="664"/>
      <c r="H63" s="664"/>
      <c r="I63" s="664"/>
      <c r="J63" s="664"/>
      <c r="K63" s="664"/>
      <c r="L63" s="664" t="str">
        <f t="shared" si="6"/>
        <v/>
      </c>
      <c r="M63" s="664"/>
      <c r="N63" s="244"/>
      <c r="O63" s="245" t="str">
        <f t="shared" si="7"/>
        <v/>
      </c>
      <c r="P63" s="324" t="str">
        <f>IF(YIB="","",IF(YIB&lt;6,"Not In Business",""))</f>
        <v/>
      </c>
      <c r="Q63" s="337"/>
    </row>
    <row r="64" spans="1:17" ht="15" customHeight="1">
      <c r="A64" s="220" t="str">
        <f>IF(EffectiveDate="","",YEAR(EffectiveDate)-7 &amp; "-" &amp; YEAR(EffectiveDate)-6)</f>
        <v/>
      </c>
      <c r="B64" s="246"/>
      <c r="C64" s="243"/>
      <c r="D64" s="243"/>
      <c r="E64" s="243"/>
      <c r="F64" s="664"/>
      <c r="G64" s="664"/>
      <c r="H64" s="664"/>
      <c r="I64" s="664"/>
      <c r="J64" s="664"/>
      <c r="K64" s="664"/>
      <c r="L64" s="664" t="str">
        <f t="shared" si="6"/>
        <v/>
      </c>
      <c r="M64" s="664"/>
      <c r="N64" s="244"/>
      <c r="O64" s="245" t="str">
        <f t="shared" si="7"/>
        <v/>
      </c>
      <c r="P64" s="324" t="str">
        <f>IF(YIB="","",IF(YIB&lt;7,"Not In Business",""))</f>
        <v/>
      </c>
      <c r="Q64" s="337"/>
    </row>
    <row r="65" spans="1:17" ht="15" customHeight="1">
      <c r="A65" s="220" t="str">
        <f>IF(EffectiveDate="","",YEAR(EffectiveDate)-8 &amp; "-" &amp; YEAR(EffectiveDate)-7)</f>
        <v/>
      </c>
      <c r="B65" s="246"/>
      <c r="C65" s="243"/>
      <c r="D65" s="243"/>
      <c r="E65" s="243"/>
      <c r="F65" s="664"/>
      <c r="G65" s="664"/>
      <c r="H65" s="664"/>
      <c r="I65" s="664"/>
      <c r="J65" s="664"/>
      <c r="K65" s="664"/>
      <c r="L65" s="664" t="str">
        <f t="shared" si="6"/>
        <v/>
      </c>
      <c r="M65" s="664"/>
      <c r="N65" s="244"/>
      <c r="O65" s="245" t="str">
        <f t="shared" si="7"/>
        <v/>
      </c>
      <c r="P65" s="324" t="str">
        <f>IF(YIB="","",IF(YIB&lt;8,"Not In Business",""))</f>
        <v/>
      </c>
      <c r="Q65" s="337"/>
    </row>
    <row r="66" spans="1:17" ht="15" customHeight="1">
      <c r="A66" s="656" t="s">
        <v>2065</v>
      </c>
      <c r="B66" s="657"/>
      <c r="C66" s="657"/>
      <c r="D66" s="661" t="str">
        <f>IF(AND(B58="",B59="",B60="",B61="",B62="",B63="",B64="",B65=""),"",AVERAGE(B58:B65))</f>
        <v/>
      </c>
      <c r="E66" s="661"/>
      <c r="F66" s="175"/>
      <c r="G66" s="175"/>
      <c r="H66" s="175"/>
      <c r="I66" s="175"/>
      <c r="J66" s="175"/>
      <c r="K66" s="175"/>
      <c r="L66" s="201"/>
      <c r="M66" s="201"/>
      <c r="N66" s="228"/>
      <c r="O66" s="226"/>
      <c r="P66" s="36"/>
      <c r="Q66" s="108"/>
    </row>
    <row r="67" spans="1:17" ht="15" customHeight="1">
      <c r="A67" s="656" t="s">
        <v>2064</v>
      </c>
      <c r="B67" s="657"/>
      <c r="C67" s="657"/>
      <c r="D67" s="662" t="str">
        <f>IF(AND(C58="",C59="",C60="",C61="",C62="",C63="",C64="",C65=""),"",AVERAGE(C58:C65))</f>
        <v/>
      </c>
      <c r="E67" s="662"/>
      <c r="F67" s="180"/>
      <c r="G67" s="663"/>
      <c r="H67" s="663"/>
      <c r="I67" s="663"/>
      <c r="J67" s="663"/>
      <c r="K67" s="663"/>
      <c r="L67" s="658"/>
      <c r="M67" s="658"/>
      <c r="N67" s="669"/>
      <c r="O67" s="226" t="s">
        <v>713</v>
      </c>
      <c r="P67" s="36"/>
      <c r="Q67" s="108"/>
    </row>
    <row r="68" spans="1:17" ht="15" customHeight="1">
      <c r="A68" s="656" t="s">
        <v>2066</v>
      </c>
      <c r="B68" s="657"/>
      <c r="C68" s="657"/>
      <c r="D68" s="658" t="str">
        <f>IF(AND(C58="",C59="",C60="",C61="",C62="",C63="",C64="",C65=""),"",IF(SUM(B58:C65)=0,0,SUM(L58:L65)/SUM(B38:C61)))</f>
        <v/>
      </c>
      <c r="E68" s="658"/>
      <c r="F68" s="182"/>
      <c r="G68" s="665"/>
      <c r="H68" s="665"/>
      <c r="I68" s="665"/>
      <c r="J68" s="665"/>
      <c r="K68" s="665"/>
      <c r="L68" s="666"/>
      <c r="M68" s="667"/>
      <c r="N68" s="669"/>
      <c r="O68" s="226" t="s">
        <v>714</v>
      </c>
      <c r="P68" s="36"/>
      <c r="Q68" s="108"/>
    </row>
    <row r="69" spans="1:17" ht="15" customHeight="1">
      <c r="A69" s="656" t="s">
        <v>2067</v>
      </c>
      <c r="B69" s="657"/>
      <c r="C69" s="657"/>
      <c r="D69" s="658" t="str">
        <f>IF(AND(L58="",L59="",L60="",L61="",L62="",L63="",L64="",L65=""),"",AVERAGE(L58:M65))</f>
        <v/>
      </c>
      <c r="E69" s="658"/>
      <c r="F69" s="182"/>
      <c r="G69" s="665"/>
      <c r="H69" s="665"/>
      <c r="I69" s="665"/>
      <c r="J69" s="665"/>
      <c r="K69" s="665"/>
      <c r="L69" s="667"/>
      <c r="M69" s="667"/>
      <c r="N69" s="669"/>
      <c r="O69" s="226" t="s">
        <v>1770</v>
      </c>
      <c r="P69" s="36"/>
      <c r="Q69" s="108"/>
    </row>
    <row r="70" spans="1:17" ht="15" customHeight="1">
      <c r="A70" s="187"/>
      <c r="B70" s="188"/>
      <c r="C70" s="188"/>
      <c r="D70" s="188"/>
      <c r="E70" s="188"/>
      <c r="F70" s="188"/>
      <c r="G70" s="188"/>
      <c r="H70" s="188"/>
      <c r="I70" s="188"/>
      <c r="J70" s="188"/>
      <c r="K70" s="188"/>
      <c r="L70" s="188"/>
      <c r="M70" s="188"/>
      <c r="N70" s="188"/>
      <c r="O70" s="226"/>
      <c r="P70" s="36"/>
      <c r="Q70" s="108"/>
    </row>
    <row r="71" spans="1:17" ht="15" customHeight="1">
      <c r="A71" s="670" t="s">
        <v>303</v>
      </c>
      <c r="B71" s="671"/>
      <c r="C71" s="671"/>
      <c r="D71" s="671"/>
      <c r="E71" s="671"/>
      <c r="F71" s="671"/>
      <c r="G71" s="671"/>
      <c r="H71" s="671"/>
      <c r="I71" s="671"/>
      <c r="J71" s="671"/>
      <c r="K71" s="671"/>
      <c r="L71" s="671"/>
      <c r="M71" s="671"/>
      <c r="N71" s="671"/>
      <c r="O71" s="671"/>
      <c r="P71" s="671"/>
      <c r="Q71" s="320"/>
    </row>
    <row r="72" spans="1:17" ht="15" customHeight="1">
      <c r="A72" s="189"/>
      <c r="B72" s="190"/>
      <c r="C72" s="191"/>
      <c r="D72" s="192"/>
      <c r="E72" s="192"/>
      <c r="F72" s="193"/>
      <c r="G72" s="194"/>
      <c r="H72" s="194"/>
      <c r="I72" s="194"/>
      <c r="J72" s="194"/>
      <c r="K72" s="194"/>
      <c r="L72" s="194"/>
      <c r="M72" s="194"/>
      <c r="N72" s="194"/>
      <c r="O72" s="226"/>
      <c r="P72" s="36"/>
      <c r="Q72" s="332"/>
    </row>
    <row r="73" spans="1:17" ht="24.75" customHeight="1">
      <c r="A73" s="222" t="s">
        <v>1231</v>
      </c>
      <c r="B73" s="317" t="s">
        <v>276</v>
      </c>
      <c r="C73" s="317" t="s">
        <v>1232</v>
      </c>
      <c r="D73" s="678" t="s">
        <v>277</v>
      </c>
      <c r="E73" s="691"/>
      <c r="F73" s="678" t="s">
        <v>1233</v>
      </c>
      <c r="G73" s="692"/>
      <c r="H73" s="692"/>
      <c r="I73" s="692"/>
      <c r="J73" s="692"/>
      <c r="K73" s="692"/>
      <c r="L73" s="692"/>
      <c r="M73" s="692"/>
      <c r="N73" s="692"/>
      <c r="O73" s="692"/>
      <c r="P73" s="692"/>
      <c r="Q73" s="333"/>
    </row>
    <row r="74" spans="1:17" ht="15" customHeight="1">
      <c r="A74" s="162"/>
      <c r="B74" s="163"/>
      <c r="C74" s="164"/>
      <c r="D74" s="685"/>
      <c r="E74" s="686"/>
      <c r="F74" s="687"/>
      <c r="G74" s="688"/>
      <c r="H74" s="688"/>
      <c r="I74" s="688"/>
      <c r="J74" s="688"/>
      <c r="K74" s="688"/>
      <c r="L74" s="688"/>
      <c r="M74" s="688"/>
      <c r="N74" s="688"/>
      <c r="O74" s="688"/>
      <c r="P74" s="688"/>
      <c r="Q74" s="334"/>
    </row>
    <row r="75" spans="1:17" ht="15" customHeight="1">
      <c r="A75" s="162"/>
      <c r="B75" s="163"/>
      <c r="C75" s="164"/>
      <c r="D75" s="685"/>
      <c r="E75" s="686"/>
      <c r="F75" s="687"/>
      <c r="G75" s="688"/>
      <c r="H75" s="688"/>
      <c r="I75" s="688"/>
      <c r="J75" s="688"/>
      <c r="K75" s="688"/>
      <c r="L75" s="688"/>
      <c r="M75" s="688"/>
      <c r="N75" s="688"/>
      <c r="O75" s="688"/>
      <c r="P75" s="688"/>
      <c r="Q75" s="334"/>
    </row>
    <row r="76" spans="1:17" ht="15" customHeight="1">
      <c r="A76" s="162"/>
      <c r="B76" s="163"/>
      <c r="C76" s="164"/>
      <c r="D76" s="685"/>
      <c r="E76" s="686"/>
      <c r="F76" s="687"/>
      <c r="G76" s="688"/>
      <c r="H76" s="688"/>
      <c r="I76" s="688"/>
      <c r="J76" s="688"/>
      <c r="K76" s="688"/>
      <c r="L76" s="688"/>
      <c r="M76" s="688"/>
      <c r="N76" s="688"/>
      <c r="O76" s="688"/>
      <c r="P76" s="688"/>
      <c r="Q76" s="334"/>
    </row>
    <row r="77" spans="1:17" ht="15" customHeight="1">
      <c r="A77" s="162"/>
      <c r="B77" s="163"/>
      <c r="C77" s="164"/>
      <c r="D77" s="684"/>
      <c r="E77" s="684"/>
      <c r="F77" s="689"/>
      <c r="G77" s="690"/>
      <c r="H77" s="690"/>
      <c r="I77" s="690"/>
      <c r="J77" s="690"/>
      <c r="K77" s="690"/>
      <c r="L77" s="690"/>
      <c r="M77" s="690"/>
      <c r="N77" s="690"/>
      <c r="O77" s="690"/>
      <c r="P77" s="690"/>
      <c r="Q77" s="335"/>
    </row>
    <row r="78" spans="1:17" ht="15" customHeight="1">
      <c r="A78" s="162"/>
      <c r="B78" s="163"/>
      <c r="C78" s="164"/>
      <c r="D78" s="684"/>
      <c r="E78" s="684"/>
      <c r="F78" s="689"/>
      <c r="G78" s="690"/>
      <c r="H78" s="690"/>
      <c r="I78" s="690"/>
      <c r="J78" s="690"/>
      <c r="K78" s="690"/>
      <c r="L78" s="690"/>
      <c r="M78" s="690"/>
      <c r="N78" s="690"/>
      <c r="O78" s="690"/>
      <c r="P78" s="690"/>
      <c r="Q78" s="335"/>
    </row>
    <row r="79" spans="1:17" ht="15" customHeight="1">
      <c r="A79" s="162"/>
      <c r="B79" s="163"/>
      <c r="C79" s="164"/>
      <c r="D79" s="684"/>
      <c r="E79" s="684"/>
      <c r="F79" s="689"/>
      <c r="G79" s="690"/>
      <c r="H79" s="690"/>
      <c r="I79" s="690"/>
      <c r="J79" s="690"/>
      <c r="K79" s="690"/>
      <c r="L79" s="690"/>
      <c r="M79" s="690"/>
      <c r="N79" s="690"/>
      <c r="O79" s="690"/>
      <c r="P79" s="690"/>
      <c r="Q79" s="335"/>
    </row>
    <row r="80" spans="1:17" ht="15" customHeight="1">
      <c r="A80" s="162"/>
      <c r="B80" s="163"/>
      <c r="C80" s="164"/>
      <c r="D80" s="684"/>
      <c r="E80" s="684"/>
      <c r="F80" s="689"/>
      <c r="G80" s="690"/>
      <c r="H80" s="690"/>
      <c r="I80" s="690"/>
      <c r="J80" s="690"/>
      <c r="K80" s="690"/>
      <c r="L80" s="690"/>
      <c r="M80" s="690"/>
      <c r="N80" s="690"/>
      <c r="O80" s="690"/>
      <c r="P80" s="690"/>
      <c r="Q80" s="335"/>
    </row>
    <row r="81" spans="1:17" ht="15" customHeight="1">
      <c r="A81" s="162"/>
      <c r="B81" s="163"/>
      <c r="C81" s="164"/>
      <c r="D81" s="684"/>
      <c r="E81" s="684"/>
      <c r="F81" s="689"/>
      <c r="G81" s="690"/>
      <c r="H81" s="690"/>
      <c r="I81" s="690"/>
      <c r="J81" s="690"/>
      <c r="K81" s="690"/>
      <c r="L81" s="690"/>
      <c r="M81" s="690"/>
      <c r="N81" s="690"/>
      <c r="O81" s="690"/>
      <c r="P81" s="690"/>
      <c r="Q81" s="335"/>
    </row>
    <row r="82" spans="1:17" ht="15" customHeight="1">
      <c r="A82" s="162"/>
      <c r="B82" s="163"/>
      <c r="C82" s="164"/>
      <c r="D82" s="684"/>
      <c r="E82" s="684"/>
      <c r="F82" s="689"/>
      <c r="G82" s="690"/>
      <c r="H82" s="690"/>
      <c r="I82" s="690"/>
      <c r="J82" s="690"/>
      <c r="K82" s="690"/>
      <c r="L82" s="690"/>
      <c r="M82" s="690"/>
      <c r="N82" s="690"/>
      <c r="O82" s="690"/>
      <c r="P82" s="690"/>
      <c r="Q82" s="335"/>
    </row>
    <row r="83" spans="1:17" ht="15" customHeight="1">
      <c r="A83" s="162"/>
      <c r="B83" s="163"/>
      <c r="C83" s="164"/>
      <c r="D83" s="684"/>
      <c r="E83" s="684"/>
      <c r="F83" s="689"/>
      <c r="G83" s="690"/>
      <c r="H83" s="690"/>
      <c r="I83" s="690"/>
      <c r="J83" s="690"/>
      <c r="K83" s="690"/>
      <c r="L83" s="690"/>
      <c r="M83" s="690"/>
      <c r="N83" s="690"/>
      <c r="O83" s="690"/>
      <c r="P83" s="690"/>
      <c r="Q83" s="335"/>
    </row>
    <row r="84" spans="1:17" ht="25.5" customHeight="1">
      <c r="A84" s="189"/>
      <c r="B84" s="190"/>
      <c r="C84" s="191"/>
      <c r="D84" s="192"/>
      <c r="E84" s="192"/>
      <c r="F84" s="193"/>
      <c r="G84" s="194"/>
      <c r="H84" s="194"/>
      <c r="I84" s="194"/>
      <c r="J84" s="194"/>
      <c r="K84" s="194"/>
      <c r="L84" s="194"/>
      <c r="M84" s="194"/>
      <c r="N84" s="194"/>
      <c r="O84" s="226"/>
      <c r="P84" s="36"/>
      <c r="Q84" s="108"/>
    </row>
    <row r="85" spans="1:17" ht="25.5" customHeight="1">
      <c r="A85" s="232" t="s">
        <v>1546</v>
      </c>
      <c r="B85" s="230"/>
      <c r="C85" s="195" t="s">
        <v>215</v>
      </c>
      <c r="D85" s="192"/>
      <c r="E85" s="192"/>
      <c r="F85" s="193"/>
      <c r="G85" s="194"/>
      <c r="H85" s="194"/>
      <c r="I85" s="194"/>
      <c r="J85" s="194"/>
      <c r="K85" s="194"/>
      <c r="L85" s="194"/>
      <c r="M85" s="194"/>
      <c r="N85" s="194"/>
      <c r="O85" s="226"/>
      <c r="P85" s="36"/>
      <c r="Q85" s="108"/>
    </row>
    <row r="86" spans="1:17" ht="25.5" customHeight="1" thickBot="1">
      <c r="A86" s="196"/>
      <c r="B86" s="197"/>
      <c r="C86" s="197"/>
      <c r="D86" s="197"/>
      <c r="E86" s="197"/>
      <c r="F86" s="197"/>
      <c r="G86" s="197"/>
      <c r="H86" s="197"/>
      <c r="I86" s="197"/>
      <c r="J86" s="197"/>
      <c r="K86" s="197"/>
      <c r="L86" s="197"/>
      <c r="M86" s="197"/>
      <c r="N86" s="197"/>
      <c r="O86" s="227"/>
      <c r="P86" s="325"/>
      <c r="Q86" s="233"/>
    </row>
    <row r="87" spans="1:17" ht="15" customHeight="1">
      <c r="P87" s="236"/>
      <c r="Q87" s="236"/>
    </row>
    <row r="88" spans="1:17" ht="15" customHeight="1">
      <c r="P88" s="236"/>
      <c r="Q88" s="236"/>
    </row>
    <row r="89" spans="1:17" ht="15" customHeight="1">
      <c r="P89" s="236"/>
      <c r="Q89" s="236"/>
    </row>
    <row r="90" spans="1:17" ht="15" customHeight="1">
      <c r="P90" s="236"/>
      <c r="Q90" s="236"/>
    </row>
    <row r="91" spans="1:17" ht="15" customHeight="1">
      <c r="P91" s="236"/>
      <c r="Q91" s="236"/>
    </row>
    <row r="92" spans="1:17" ht="15" customHeight="1">
      <c r="P92" s="236"/>
      <c r="Q92" s="236"/>
    </row>
    <row r="93" spans="1:17" ht="15" customHeight="1">
      <c r="P93" s="236"/>
      <c r="Q93" s="236"/>
    </row>
    <row r="94" spans="1:17" ht="15" customHeight="1">
      <c r="P94" s="236"/>
      <c r="Q94" s="236"/>
    </row>
    <row r="95" spans="1:17" ht="15" customHeight="1">
      <c r="P95" s="236"/>
      <c r="Q95" s="236"/>
    </row>
    <row r="96" spans="1:17" ht="15" customHeight="1">
      <c r="P96" s="236"/>
      <c r="Q96" s="236"/>
    </row>
    <row r="97" spans="16:17" ht="15" customHeight="1">
      <c r="P97" s="236"/>
      <c r="Q97" s="236"/>
    </row>
    <row r="98" spans="16:17" ht="15" customHeight="1">
      <c r="P98" s="236"/>
      <c r="Q98" s="236"/>
    </row>
    <row r="99" spans="16:17" ht="15" customHeight="1">
      <c r="P99" s="236"/>
      <c r="Q99" s="236"/>
    </row>
    <row r="100" spans="16:17" ht="15" customHeight="1">
      <c r="P100" s="236"/>
      <c r="Q100" s="236"/>
    </row>
    <row r="101" spans="16:17" ht="15" customHeight="1"/>
    <row r="102" spans="16:17" ht="15" customHeight="1"/>
    <row r="103" spans="16:17" ht="15" customHeight="1"/>
    <row r="104" spans="16:17" ht="15" customHeight="1"/>
    <row r="105" spans="16:17" ht="15" customHeight="1"/>
    <row r="106" spans="16:17" ht="15" customHeight="1"/>
    <row r="107" spans="16:17" ht="15" customHeight="1"/>
    <row r="108" spans="16:17" ht="15" customHeight="1"/>
    <row r="109" spans="16:17" ht="15" customHeight="1"/>
    <row r="110" spans="16:17" ht="15" customHeight="1"/>
    <row r="111" spans="16:17" ht="15" customHeight="1"/>
    <row r="112" spans="16:17"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sheetData>
  <sheetProtection password="D5CA" sheet="1" formatRows="0" insertHyperlinks="0"/>
  <mergeCells count="232">
    <mergeCell ref="N67:N69"/>
    <mergeCell ref="A68:C68"/>
    <mergeCell ref="D68:E68"/>
    <mergeCell ref="G68:K69"/>
    <mergeCell ref="L68:M69"/>
    <mergeCell ref="A69:C69"/>
    <mergeCell ref="D69:E69"/>
    <mergeCell ref="A67:C67"/>
    <mergeCell ref="H65:I65"/>
    <mergeCell ref="J65:K65"/>
    <mergeCell ref="L65:M65"/>
    <mergeCell ref="A66:C66"/>
    <mergeCell ref="D66:E66"/>
    <mergeCell ref="G67:K67"/>
    <mergeCell ref="L67:M67"/>
    <mergeCell ref="D67:E67"/>
    <mergeCell ref="F65:G65"/>
    <mergeCell ref="F63:G63"/>
    <mergeCell ref="H63:I63"/>
    <mergeCell ref="J63:K63"/>
    <mergeCell ref="L63:M63"/>
    <mergeCell ref="F64:G64"/>
    <mergeCell ref="H64:I64"/>
    <mergeCell ref="J64:K64"/>
    <mergeCell ref="L64:M64"/>
    <mergeCell ref="F61:G61"/>
    <mergeCell ref="H61:I61"/>
    <mergeCell ref="J61:K61"/>
    <mergeCell ref="L61:M61"/>
    <mergeCell ref="F62:G62"/>
    <mergeCell ref="H62:I62"/>
    <mergeCell ref="J62:K62"/>
    <mergeCell ref="L62:M62"/>
    <mergeCell ref="F59:G59"/>
    <mergeCell ref="H59:I59"/>
    <mergeCell ref="J59:K59"/>
    <mergeCell ref="L59:M59"/>
    <mergeCell ref="F60:G60"/>
    <mergeCell ref="H60:I60"/>
    <mergeCell ref="J60:K60"/>
    <mergeCell ref="L60:M60"/>
    <mergeCell ref="N41:O41"/>
    <mergeCell ref="F43:G43"/>
    <mergeCell ref="H43:I43"/>
    <mergeCell ref="F58:G58"/>
    <mergeCell ref="H58:I58"/>
    <mergeCell ref="J58:K58"/>
    <mergeCell ref="L58:M58"/>
    <mergeCell ref="A56:P56"/>
    <mergeCell ref="F57:G57"/>
    <mergeCell ref="H57:I57"/>
    <mergeCell ref="J57:K57"/>
    <mergeCell ref="L57:M57"/>
    <mergeCell ref="N57:O57"/>
    <mergeCell ref="N35:N37"/>
    <mergeCell ref="A36:C36"/>
    <mergeCell ref="D36:E36"/>
    <mergeCell ref="G36:K37"/>
    <mergeCell ref="L36:M37"/>
    <mergeCell ref="A37:C37"/>
    <mergeCell ref="D37:E37"/>
    <mergeCell ref="A34:C34"/>
    <mergeCell ref="D34:E34"/>
    <mergeCell ref="A35:C35"/>
    <mergeCell ref="D35:E35"/>
    <mergeCell ref="G35:K35"/>
    <mergeCell ref="L35:M35"/>
    <mergeCell ref="F32:G32"/>
    <mergeCell ref="H32:I32"/>
    <mergeCell ref="J32:K32"/>
    <mergeCell ref="L32:M32"/>
    <mergeCell ref="F33:G33"/>
    <mergeCell ref="H33:I33"/>
    <mergeCell ref="J33:K33"/>
    <mergeCell ref="L33:M33"/>
    <mergeCell ref="F30:G30"/>
    <mergeCell ref="H30:I30"/>
    <mergeCell ref="J30:K30"/>
    <mergeCell ref="L30:M30"/>
    <mergeCell ref="F31:G31"/>
    <mergeCell ref="H31:I31"/>
    <mergeCell ref="J31:K31"/>
    <mergeCell ref="L31:M31"/>
    <mergeCell ref="F28:G28"/>
    <mergeCell ref="H28:I28"/>
    <mergeCell ref="J28:K28"/>
    <mergeCell ref="L28:M28"/>
    <mergeCell ref="F29:G29"/>
    <mergeCell ref="H29:I29"/>
    <mergeCell ref="J29:K29"/>
    <mergeCell ref="L29:M29"/>
    <mergeCell ref="L25:M25"/>
    <mergeCell ref="N25:O25"/>
    <mergeCell ref="J26:K26"/>
    <mergeCell ref="L26:M26"/>
    <mergeCell ref="F27:G27"/>
    <mergeCell ref="H27:I27"/>
    <mergeCell ref="J27:K27"/>
    <mergeCell ref="L27:M27"/>
    <mergeCell ref="F79:P79"/>
    <mergeCell ref="F80:P80"/>
    <mergeCell ref="F81:P81"/>
    <mergeCell ref="F82:P82"/>
    <mergeCell ref="F83:P83"/>
    <mergeCell ref="A1:P1"/>
    <mergeCell ref="A2:P2"/>
    <mergeCell ref="A19:C19"/>
    <mergeCell ref="A18:C18"/>
    <mergeCell ref="A17:C17"/>
    <mergeCell ref="F75:P75"/>
    <mergeCell ref="F76:P76"/>
    <mergeCell ref="F77:P77"/>
    <mergeCell ref="D77:E77"/>
    <mergeCell ref="D73:E73"/>
    <mergeCell ref="F78:P78"/>
    <mergeCell ref="D74:E74"/>
    <mergeCell ref="F73:P73"/>
    <mergeCell ref="F74:P74"/>
    <mergeCell ref="D83:E83"/>
    <mergeCell ref="D80:E80"/>
    <mergeCell ref="D81:E81"/>
    <mergeCell ref="D82:E82"/>
    <mergeCell ref="F3:G3"/>
    <mergeCell ref="H3:I3"/>
    <mergeCell ref="D78:E78"/>
    <mergeCell ref="D79:E79"/>
    <mergeCell ref="D75:E75"/>
    <mergeCell ref="D76:E76"/>
    <mergeCell ref="L3:M3"/>
    <mergeCell ref="L8:M8"/>
    <mergeCell ref="J8:K8"/>
    <mergeCell ref="L7:M7"/>
    <mergeCell ref="J4:K4"/>
    <mergeCell ref="G18:K19"/>
    <mergeCell ref="G17:K17"/>
    <mergeCell ref="L18:M19"/>
    <mergeCell ref="J3:K3"/>
    <mergeCell ref="H7:I7"/>
    <mergeCell ref="A71:P71"/>
    <mergeCell ref="F9:G9"/>
    <mergeCell ref="H9:I9"/>
    <mergeCell ref="A24:P24"/>
    <mergeCell ref="A22:P22"/>
    <mergeCell ref="J9:K9"/>
    <mergeCell ref="J42:K42"/>
    <mergeCell ref="J11:K11"/>
    <mergeCell ref="F25:G25"/>
    <mergeCell ref="H25:I25"/>
    <mergeCell ref="J5:K5"/>
    <mergeCell ref="J6:K6"/>
    <mergeCell ref="F10:G10"/>
    <mergeCell ref="H10:I10"/>
    <mergeCell ref="L5:M5"/>
    <mergeCell ref="J10:K10"/>
    <mergeCell ref="L10:M10"/>
    <mergeCell ref="F5:G5"/>
    <mergeCell ref="H5:I5"/>
    <mergeCell ref="L4:M4"/>
    <mergeCell ref="F4:G4"/>
    <mergeCell ref="L9:M9"/>
    <mergeCell ref="H8:I8"/>
    <mergeCell ref="N3:O3"/>
    <mergeCell ref="L17:M17"/>
    <mergeCell ref="H4:I4"/>
    <mergeCell ref="J7:K7"/>
    <mergeCell ref="F8:G8"/>
    <mergeCell ref="F14:G14"/>
    <mergeCell ref="F41:G41"/>
    <mergeCell ref="H41:I41"/>
    <mergeCell ref="J41:K41"/>
    <mergeCell ref="L41:M41"/>
    <mergeCell ref="H11:I11"/>
    <mergeCell ref="L11:M11"/>
    <mergeCell ref="F13:G13"/>
    <mergeCell ref="F15:G15"/>
    <mergeCell ref="F11:G11"/>
    <mergeCell ref="J25:K25"/>
    <mergeCell ref="A16:C16"/>
    <mergeCell ref="D16:E16"/>
    <mergeCell ref="D18:E18"/>
    <mergeCell ref="D19:E19"/>
    <mergeCell ref="A21:P21"/>
    <mergeCell ref="F6:G6"/>
    <mergeCell ref="H6:I6"/>
    <mergeCell ref="L6:M6"/>
    <mergeCell ref="F7:G7"/>
    <mergeCell ref="L42:M42"/>
    <mergeCell ref="D17:E17"/>
    <mergeCell ref="F26:G26"/>
    <mergeCell ref="H26:I26"/>
    <mergeCell ref="L46:M46"/>
    <mergeCell ref="J43:K43"/>
    <mergeCell ref="L43:M43"/>
    <mergeCell ref="F42:G42"/>
    <mergeCell ref="H42:I42"/>
    <mergeCell ref="F44:G44"/>
    <mergeCell ref="H44:I44"/>
    <mergeCell ref="J44:K44"/>
    <mergeCell ref="L44:M44"/>
    <mergeCell ref="N51:N53"/>
    <mergeCell ref="F45:G45"/>
    <mergeCell ref="H45:I45"/>
    <mergeCell ref="J45:K45"/>
    <mergeCell ref="L45:M45"/>
    <mergeCell ref="J49:K49"/>
    <mergeCell ref="L49:M49"/>
    <mergeCell ref="F46:G46"/>
    <mergeCell ref="H46:I46"/>
    <mergeCell ref="J46:K46"/>
    <mergeCell ref="G52:K53"/>
    <mergeCell ref="L52:M53"/>
    <mergeCell ref="F47:G47"/>
    <mergeCell ref="H47:I47"/>
    <mergeCell ref="J47:K47"/>
    <mergeCell ref="L47:M47"/>
    <mergeCell ref="L51:M51"/>
    <mergeCell ref="F48:G48"/>
    <mergeCell ref="H48:I48"/>
    <mergeCell ref="J48:K48"/>
    <mergeCell ref="L48:M48"/>
    <mergeCell ref="F49:G49"/>
    <mergeCell ref="H49:I49"/>
    <mergeCell ref="A53:C53"/>
    <mergeCell ref="D53:E53"/>
    <mergeCell ref="A40:P40"/>
    <mergeCell ref="A50:C50"/>
    <mergeCell ref="D50:E50"/>
    <mergeCell ref="A51:C51"/>
    <mergeCell ref="D51:E51"/>
    <mergeCell ref="G51:K51"/>
    <mergeCell ref="A52:C52"/>
    <mergeCell ref="D52:E52"/>
  </mergeCells>
  <phoneticPr fontId="3" type="noConversion"/>
  <conditionalFormatting sqref="O4:O11">
    <cfRule type="iconSet" priority="465">
      <iconSet iconSet="3Symbols2" reverse="1">
        <cfvo type="percent" val="0"/>
        <cfvo type="num" val="92.9" gte="0"/>
        <cfvo type="num" val="93"/>
      </iconSet>
    </cfRule>
  </conditionalFormatting>
  <conditionalFormatting sqref="A3:B3">
    <cfRule type="expression" dxfId="110" priority="425" stopIfTrue="1">
      <formula>V1="Oil &amp; Gas"</formula>
    </cfRule>
    <cfRule type="expression" dxfId="109" priority="461" stopIfTrue="1">
      <formula>V1="Specialty"</formula>
    </cfRule>
    <cfRule type="expression" dxfId="108" priority="462" stopIfTrue="1">
      <formula>V1="Construction"</formula>
    </cfRule>
  </conditionalFormatting>
  <conditionalFormatting sqref="F3:G3">
    <cfRule type="expression" dxfId="107" priority="423" stopIfTrue="1">
      <formula>V1="Oil &amp; Gas"</formula>
    </cfRule>
    <cfRule type="expression" dxfId="106" priority="457" stopIfTrue="1">
      <formula>V1="Specialty"</formula>
    </cfRule>
    <cfRule type="expression" dxfId="105" priority="458" stopIfTrue="1">
      <formula>V1="Construction"</formula>
    </cfRule>
  </conditionalFormatting>
  <conditionalFormatting sqref="H3:I3">
    <cfRule type="expression" dxfId="104" priority="422" stopIfTrue="1">
      <formula>V1="Oil &amp; Gas"</formula>
    </cfRule>
    <cfRule type="expression" dxfId="103" priority="455" stopIfTrue="1">
      <formula>V1="Specialty"</formula>
    </cfRule>
    <cfRule type="expression" dxfId="102" priority="456" stopIfTrue="1">
      <formula>V1="Construction"</formula>
    </cfRule>
  </conditionalFormatting>
  <conditionalFormatting sqref="J3:K3">
    <cfRule type="expression" dxfId="101" priority="421" stopIfTrue="1">
      <formula>V1="Oil &amp; Gas"</formula>
    </cfRule>
    <cfRule type="expression" dxfId="100" priority="453" stopIfTrue="1">
      <formula>V1="Specialty"</formula>
    </cfRule>
    <cfRule type="expression" dxfId="99" priority="454" stopIfTrue="1">
      <formula>V1="Construction"</formula>
    </cfRule>
  </conditionalFormatting>
  <conditionalFormatting sqref="L3:M3">
    <cfRule type="expression" dxfId="98" priority="420" stopIfTrue="1">
      <formula>V1="Oil &amp; Gas"</formula>
    </cfRule>
    <cfRule type="expression" dxfId="97" priority="451" stopIfTrue="1">
      <formula>V1="Specialty"</formula>
    </cfRule>
    <cfRule type="expression" dxfId="96" priority="452" stopIfTrue="1">
      <formula>V1="Construction"</formula>
    </cfRule>
  </conditionalFormatting>
  <conditionalFormatting sqref="N3:O3">
    <cfRule type="expression" dxfId="95" priority="419" stopIfTrue="1">
      <formula>V1="Oil &amp; Gas"</formula>
    </cfRule>
    <cfRule type="expression" dxfId="94" priority="449" stopIfTrue="1">
      <formula>V1="Specialty"</formula>
    </cfRule>
    <cfRule type="expression" dxfId="93" priority="450" stopIfTrue="1">
      <formula>V1="Construction"</formula>
    </cfRule>
  </conditionalFormatting>
  <conditionalFormatting sqref="P3:Q3">
    <cfRule type="expression" dxfId="92" priority="418" stopIfTrue="1">
      <formula>V1="Oil &amp; Gas"</formula>
    </cfRule>
    <cfRule type="expression" dxfId="91" priority="447" stopIfTrue="1">
      <formula>V1="Specialty"</formula>
    </cfRule>
    <cfRule type="expression" dxfId="90" priority="448" stopIfTrue="1">
      <formula>V1="Construction"</formula>
    </cfRule>
  </conditionalFormatting>
  <conditionalFormatting sqref="A4:B4">
    <cfRule type="expression" dxfId="89" priority="417" stopIfTrue="1">
      <formula>V1="Oil &amp; Gas"</formula>
    </cfRule>
    <cfRule type="expression" dxfId="88" priority="445" stopIfTrue="1">
      <formula>V1="Specialty"</formula>
    </cfRule>
    <cfRule type="expression" dxfId="87" priority="446" stopIfTrue="1">
      <formula>V1="Construction"</formula>
    </cfRule>
  </conditionalFormatting>
  <conditionalFormatting sqref="A5:B5">
    <cfRule type="expression" dxfId="86" priority="416" stopIfTrue="1">
      <formula>V1="Oil &amp; Gas"</formula>
    </cfRule>
    <cfRule type="expression" dxfId="85" priority="443" stopIfTrue="1">
      <formula>V1="Specialty"</formula>
    </cfRule>
    <cfRule type="expression" dxfId="84" priority="444" stopIfTrue="1">
      <formula>V1="Construction"</formula>
    </cfRule>
  </conditionalFormatting>
  <conditionalFormatting sqref="A6:B6">
    <cfRule type="expression" dxfId="83" priority="415" stopIfTrue="1">
      <formula>V1="Oil &amp; Gas"</formula>
    </cfRule>
    <cfRule type="expression" dxfId="82" priority="441" stopIfTrue="1">
      <formula>V1="Specialty"</formula>
    </cfRule>
    <cfRule type="expression" dxfId="81" priority="442" stopIfTrue="1">
      <formula>V1="Construction"</formula>
    </cfRule>
  </conditionalFormatting>
  <conditionalFormatting sqref="A7:B7">
    <cfRule type="expression" dxfId="80" priority="414" stopIfTrue="1">
      <formula>V1="Oil &amp; Gas"</formula>
    </cfRule>
    <cfRule type="expression" dxfId="79" priority="439" stopIfTrue="1">
      <formula>V1="Specialty"</formula>
    </cfRule>
    <cfRule type="expression" dxfId="78" priority="440" stopIfTrue="1">
      <formula>V1="Construction"</formula>
    </cfRule>
  </conditionalFormatting>
  <conditionalFormatting sqref="A8:B8">
    <cfRule type="expression" dxfId="77" priority="413" stopIfTrue="1">
      <formula>V1="Oil &amp; Gas"</formula>
    </cfRule>
    <cfRule type="expression" dxfId="76" priority="437" stopIfTrue="1">
      <formula>V1="Specialty"</formula>
    </cfRule>
    <cfRule type="expression" dxfId="75" priority="438" stopIfTrue="1">
      <formula>V1="Construction"</formula>
    </cfRule>
  </conditionalFormatting>
  <conditionalFormatting sqref="A9:B9">
    <cfRule type="expression" dxfId="74" priority="412" stopIfTrue="1">
      <formula>V1="Oil &amp; Gas"</formula>
    </cfRule>
    <cfRule type="expression" dxfId="73" priority="435" stopIfTrue="1">
      <formula>V1="Specialty"</formula>
    </cfRule>
    <cfRule type="expression" dxfId="72" priority="436" stopIfTrue="1">
      <formula>V1="Construction"</formula>
    </cfRule>
  </conditionalFormatting>
  <conditionalFormatting sqref="A10:B10">
    <cfRule type="expression" dxfId="71" priority="411" stopIfTrue="1">
      <formula>V1="Oil &amp; Gas"</formula>
    </cfRule>
    <cfRule type="expression" dxfId="70" priority="433" stopIfTrue="1">
      <formula>V1="Specialty"</formula>
    </cfRule>
    <cfRule type="expression" dxfId="69" priority="434" stopIfTrue="1">
      <formula>V1="Construction"</formula>
    </cfRule>
  </conditionalFormatting>
  <conditionalFormatting sqref="A11:B11">
    <cfRule type="expression" dxfId="68" priority="410" stopIfTrue="1">
      <formula>V1="Oil &amp; Gas"</formula>
    </cfRule>
    <cfRule type="expression" dxfId="67" priority="431" stopIfTrue="1">
      <formula>V1="Specialty"</formula>
    </cfRule>
    <cfRule type="expression" dxfId="66" priority="432" stopIfTrue="1">
      <formula>V1="Construction"</formula>
    </cfRule>
  </conditionalFormatting>
  <conditionalFormatting sqref="A1">
    <cfRule type="expression" dxfId="65" priority="1841" stopIfTrue="1">
      <formula>V1="Oil &amp; Gas"</formula>
    </cfRule>
    <cfRule type="expression" dxfId="64" priority="1842" stopIfTrue="1">
      <formula>V1="Specialty"</formula>
    </cfRule>
    <cfRule type="expression" dxfId="63" priority="1843" stopIfTrue="1">
      <formula>V1="Construction"</formula>
    </cfRule>
  </conditionalFormatting>
  <conditionalFormatting sqref="A21">
    <cfRule type="expression" dxfId="62" priority="1847" stopIfTrue="1">
      <formula>V1="Oil &amp; Gas"</formula>
    </cfRule>
    <cfRule type="expression" dxfId="61" priority="1848" stopIfTrue="1">
      <formula>V1="Specialty"</formula>
    </cfRule>
    <cfRule type="expression" dxfId="60" priority="1849" stopIfTrue="1">
      <formula>V1="Construction"</formula>
    </cfRule>
  </conditionalFormatting>
  <conditionalFormatting sqref="A71">
    <cfRule type="expression" dxfId="59" priority="1853" stopIfTrue="1">
      <formula>V1="Oil &amp; Gas"</formula>
    </cfRule>
    <cfRule type="expression" dxfId="58" priority="1854" stopIfTrue="1">
      <formula>V1="Specialty"</formula>
    </cfRule>
    <cfRule type="expression" dxfId="57" priority="1855" stopIfTrue="1">
      <formula>V1="Construction"</formula>
    </cfRule>
  </conditionalFormatting>
  <conditionalFormatting sqref="E3">
    <cfRule type="expression" dxfId="56" priority="368" stopIfTrue="1">
      <formula>V1="Construction"</formula>
    </cfRule>
    <cfRule type="expression" dxfId="55" priority="375" stopIfTrue="1">
      <formula>V1="Specialty"</formula>
    </cfRule>
    <cfRule type="expression" dxfId="54" priority="383" stopIfTrue="1">
      <formula>V1="Oil &amp; Gas"</formula>
    </cfRule>
  </conditionalFormatting>
  <conditionalFormatting sqref="A73">
    <cfRule type="expression" dxfId="53" priority="367" stopIfTrue="1">
      <formula>V1="Construction"</formula>
    </cfRule>
    <cfRule type="expression" dxfId="52" priority="374" stopIfTrue="1">
      <formula>V1="Specialty"</formula>
    </cfRule>
    <cfRule type="expression" dxfId="51" priority="382" stopIfTrue="1">
      <formula>V1="Oil &amp; Gas"</formula>
    </cfRule>
  </conditionalFormatting>
  <conditionalFormatting sqref="B73">
    <cfRule type="expression" dxfId="50" priority="366" stopIfTrue="1">
      <formula>V1="Construction"</formula>
    </cfRule>
    <cfRule type="expression" dxfId="49" priority="373" stopIfTrue="1">
      <formula>V1="Specialty"</formula>
    </cfRule>
    <cfRule type="expression" dxfId="48" priority="381" stopIfTrue="1">
      <formula>V1="Oil &amp; Gas"</formula>
    </cfRule>
  </conditionalFormatting>
  <conditionalFormatting sqref="C73">
    <cfRule type="expression" dxfId="47" priority="365" stopIfTrue="1">
      <formula>V1="Construction"</formula>
    </cfRule>
    <cfRule type="expression" dxfId="46" priority="372" stopIfTrue="1">
      <formula>V1="Specialty"</formula>
    </cfRule>
    <cfRule type="expression" dxfId="45" priority="380" stopIfTrue="1">
      <formula>V1="Oil &amp; Gas"</formula>
    </cfRule>
  </conditionalFormatting>
  <conditionalFormatting sqref="D73:E73">
    <cfRule type="expression" dxfId="44" priority="364" stopIfTrue="1">
      <formula>V1="Construction"</formula>
    </cfRule>
    <cfRule type="expression" dxfId="43" priority="371" stopIfTrue="1">
      <formula>V1="Specialty"</formula>
    </cfRule>
    <cfRule type="expression" dxfId="42" priority="379" stopIfTrue="1">
      <formula>V1="Oil &amp; Gas"</formula>
    </cfRule>
  </conditionalFormatting>
  <conditionalFormatting sqref="F73">
    <cfRule type="expression" dxfId="41" priority="363" stopIfTrue="1">
      <formula>V1="Construction"</formula>
    </cfRule>
    <cfRule type="expression" dxfId="40" priority="370" stopIfTrue="1">
      <formula>V1="Specialty"</formula>
    </cfRule>
    <cfRule type="expression" dxfId="39" priority="378" stopIfTrue="1">
      <formula>V1="Oil &amp; Gas"</formula>
    </cfRule>
  </conditionalFormatting>
  <conditionalFormatting sqref="C3">
    <cfRule type="expression" dxfId="38" priority="369" stopIfTrue="1">
      <formula>V1="Construction"</formula>
    </cfRule>
    <cfRule type="expression" dxfId="37" priority="376" stopIfTrue="1">
      <formula>V1="Specialty"</formula>
    </cfRule>
    <cfRule type="expression" dxfId="36" priority="377" stopIfTrue="1">
      <formula>V1="Oil &amp; Gas"</formula>
    </cfRule>
  </conditionalFormatting>
  <conditionalFormatting sqref="E4">
    <cfRule type="expression" dxfId="35" priority="332" stopIfTrue="1">
      <formula>LossEval1ReportClaims&gt;LossEval1TotalClaims</formula>
    </cfRule>
  </conditionalFormatting>
  <conditionalFormatting sqref="C4:D4">
    <cfRule type="expression" dxfId="34" priority="307" stopIfTrue="1">
      <formula>AND(LossEval1Incurred&lt;&gt;"",LossEval1Incurred&gt;0,(LossEval1TotalClaims-LossEval1ReportClaims)&lt;1)</formula>
    </cfRule>
    <cfRule type="expression" dxfId="33" priority="315" stopIfTrue="1">
      <formula>AND(LossEval1TotalClaims="",LossEval1Incurred&lt;&gt;"")</formula>
    </cfRule>
    <cfRule type="expression" dxfId="32" priority="331" stopIfTrue="1">
      <formula>LossEval1ReportClaims&gt;LossEval1TotalClaims</formula>
    </cfRule>
  </conditionalFormatting>
  <conditionalFormatting sqref="C5:D5">
    <cfRule type="expression" dxfId="31" priority="306" stopIfTrue="1">
      <formula>AND(LossEval2Incurred&lt;&gt;"",LossEval2Incurred&gt;0,(LossEval2TotalClaims-LossEval2ReportClaims)&lt;1)</formula>
    </cfRule>
    <cfRule type="expression" dxfId="30" priority="314" stopIfTrue="1">
      <formula>AND(LossEval2TotalClaims="",LossEval2Incurred&lt;&gt;"")</formula>
    </cfRule>
    <cfRule type="expression" dxfId="29" priority="330" stopIfTrue="1">
      <formula>LossEval2ReportClaims&gt;LossEval2TotalClaims</formula>
    </cfRule>
  </conditionalFormatting>
  <conditionalFormatting sqref="C6:D6">
    <cfRule type="expression" dxfId="28" priority="305" stopIfTrue="1">
      <formula>AND(LossEval3Incurred&lt;&gt;"",LossEval3Incurred&gt;0,(LossEval3TotalClaims-LossEval3ReportClaims)&lt;1)</formula>
    </cfRule>
    <cfRule type="expression" dxfId="27" priority="313" stopIfTrue="1">
      <formula>AND(LossEval3TotalClaims="",LossEval3Incurred&lt;&gt;"")</formula>
    </cfRule>
    <cfRule type="expression" dxfId="26" priority="329" stopIfTrue="1">
      <formula>LossEval3ReportClaims&gt;LossEval3TotalClaims</formula>
    </cfRule>
  </conditionalFormatting>
  <conditionalFormatting sqref="C7:D7">
    <cfRule type="expression" dxfId="25" priority="304" stopIfTrue="1">
      <formula>AND(LossEval4Incurred&lt;&gt;"",LossEval4Incurred&gt;0,(LossEval4TotalClaims-LossEval4ReportClaims)&lt;1)</formula>
    </cfRule>
    <cfRule type="expression" dxfId="24" priority="312" stopIfTrue="1">
      <formula>AND(LossEval4TotalClaims="",LossEval4Incurred&lt;&gt;"")</formula>
    </cfRule>
    <cfRule type="expression" dxfId="23" priority="328" stopIfTrue="1">
      <formula>LossEval4ReportClaims&gt;LossEval4TotalClaims</formula>
    </cfRule>
  </conditionalFormatting>
  <conditionalFormatting sqref="C8:D8">
    <cfRule type="expression" dxfId="22" priority="303" stopIfTrue="1">
      <formula>AND(LossEval5Incurred&lt;&gt;"",LossEval5Incurred&gt;0,(LossEval5TotalClaims-LossEval5ReportClaims)&lt;1)</formula>
    </cfRule>
    <cfRule type="expression" dxfId="21" priority="311" stopIfTrue="1">
      <formula>AND(LossEval5TotalClaims="",LossEval5Incurred&lt;&gt;"")</formula>
    </cfRule>
    <cfRule type="expression" dxfId="20" priority="327" stopIfTrue="1">
      <formula>LossEval5ReportClaims&gt;LossEval5TotalClaims</formula>
    </cfRule>
  </conditionalFormatting>
  <conditionalFormatting sqref="C9:D9">
    <cfRule type="expression" dxfId="19" priority="302" stopIfTrue="1">
      <formula>AND(LossEval6Incurred&lt;&gt;"",LossEval6Incurred&gt;0,(LossEval6TotalClaims-LossEval6ReportClaims)&lt;1)</formula>
    </cfRule>
    <cfRule type="expression" dxfId="18" priority="310" stopIfTrue="1">
      <formula>AND(LossEval6TotalClaims="",LossEval6Incurred&lt;&gt;"")</formula>
    </cfRule>
    <cfRule type="expression" dxfId="17" priority="326" stopIfTrue="1">
      <formula>LossEval6ReportClaims&gt;LossEval6TotalClaims</formula>
    </cfRule>
  </conditionalFormatting>
  <conditionalFormatting sqref="C10:D10">
    <cfRule type="expression" dxfId="16" priority="301" stopIfTrue="1">
      <formula>AND(LossEval7Incurred&lt;&gt;"",LossEval7Incurred&gt;0,(LossEval7TotalClaims-LossEval7ReportClaims)&lt;1)</formula>
    </cfRule>
    <cfRule type="expression" dxfId="15" priority="309" stopIfTrue="1">
      <formula>AND(LossEval7TotalClaims="",LossEval7Incurred&lt;&gt;"")</formula>
    </cfRule>
    <cfRule type="expression" dxfId="14" priority="325" stopIfTrue="1">
      <formula>LossEval7ReportClaims&gt;LossEval7TotalClaims</formula>
    </cfRule>
  </conditionalFormatting>
  <conditionalFormatting sqref="C11:D11">
    <cfRule type="expression" dxfId="13" priority="300" stopIfTrue="1">
      <formula>AND(LossEval8Incurred&lt;&gt;"",LossEval8Incurred&gt;0,(LossEval8TotalClaims-LossEval8ReportClaims)&lt;1)</formula>
    </cfRule>
    <cfRule type="expression" dxfId="12" priority="308" stopIfTrue="1">
      <formula>AND(LossEval8TotalClaims="",LossEval8Incurred&lt;&gt;"")</formula>
    </cfRule>
    <cfRule type="expression" dxfId="11" priority="324" stopIfTrue="1">
      <formula>LossEval8ReportClaims&gt;LossEval8TotalClaims</formula>
    </cfRule>
  </conditionalFormatting>
  <conditionalFormatting sqref="E5">
    <cfRule type="expression" dxfId="10" priority="323" stopIfTrue="1">
      <formula>LossEval2ReportClaims&gt;LossEval2TotalClaims</formula>
    </cfRule>
  </conditionalFormatting>
  <conditionalFormatting sqref="E6">
    <cfRule type="expression" dxfId="9" priority="322" stopIfTrue="1">
      <formula>LossEval3ReportClaims&gt;LossEval3TotalClaims</formula>
    </cfRule>
  </conditionalFormatting>
  <conditionalFormatting sqref="E7">
    <cfRule type="expression" dxfId="8" priority="321" stopIfTrue="1">
      <formula>LossEval4ReportClaims&gt;LossEval4TotalClaims</formula>
    </cfRule>
  </conditionalFormatting>
  <conditionalFormatting sqref="E8">
    <cfRule type="expression" dxfId="7" priority="320" stopIfTrue="1">
      <formula>LossEval5ReportClaims&gt;LossEval5TotalClaims</formula>
    </cfRule>
  </conditionalFormatting>
  <conditionalFormatting sqref="E9">
    <cfRule type="expression" dxfId="6" priority="319" stopIfTrue="1">
      <formula>LossEval6ReportClaims&gt;LossEval6TotalClaims</formula>
    </cfRule>
  </conditionalFormatting>
  <conditionalFormatting sqref="E10">
    <cfRule type="expression" dxfId="5" priority="318" stopIfTrue="1">
      <formula>LossEval7ReportClaims&gt;LossEval7TotalClaims</formula>
    </cfRule>
  </conditionalFormatting>
  <conditionalFormatting sqref="E11">
    <cfRule type="expression" dxfId="4" priority="317" stopIfTrue="1">
      <formula>LossEval8ReportClaims&gt;LossEval8TotalClaims</formula>
    </cfRule>
  </conditionalFormatting>
  <conditionalFormatting sqref="N17:N19">
    <cfRule type="expression" dxfId="3" priority="316" stopIfTrue="1">
      <formula>N17&lt;&gt;""</formula>
    </cfRule>
  </conditionalFormatting>
  <conditionalFormatting sqref="O42:O49">
    <cfRule type="iconSet" priority="288">
      <iconSet iconSet="3Symbols2" reverse="1">
        <cfvo type="percent" val="0"/>
        <cfvo type="num" val="92.9" gte="0"/>
        <cfvo type="num" val="93"/>
      </iconSet>
    </cfRule>
  </conditionalFormatting>
  <conditionalFormatting sqref="N51:N53">
    <cfRule type="expression" dxfId="2" priority="193" stopIfTrue="1">
      <formula>N51&lt;&gt;""</formula>
    </cfRule>
  </conditionalFormatting>
  <conditionalFormatting sqref="O26:O33">
    <cfRule type="iconSet" priority="192">
      <iconSet iconSet="3Symbols2" reverse="1">
        <cfvo type="percent" val="0"/>
        <cfvo type="num" val="92.9" gte="0"/>
        <cfvo type="num" val="93"/>
      </iconSet>
    </cfRule>
  </conditionalFormatting>
  <conditionalFormatting sqref="N35:N37">
    <cfRule type="expression" dxfId="1" priority="97" stopIfTrue="1">
      <formula>N35&lt;&gt;""</formula>
    </cfRule>
  </conditionalFormatting>
  <conditionalFormatting sqref="O58:O65">
    <cfRule type="iconSet" priority="96">
      <iconSet iconSet="3Symbols2" reverse="1">
        <cfvo type="percent" val="0"/>
        <cfvo type="num" val="92.9" gte="0"/>
        <cfvo type="num" val="93"/>
      </iconSet>
    </cfRule>
  </conditionalFormatting>
  <conditionalFormatting sqref="N67:N69">
    <cfRule type="expression" dxfId="0" priority="1" stopIfTrue="1">
      <formula>N67&lt;&gt;""</formula>
    </cfRule>
  </conditionalFormatting>
  <dataValidations xWindow="500" yWindow="408" count="11">
    <dataValidation type="list" allowBlank="1" showInputMessage="1" showErrorMessage="1" sqref="C74:C83">
      <formula1>"Open, Closed"</formula1>
    </dataValidation>
    <dataValidation type="whole" allowBlank="1" showInputMessage="1" showErrorMessage="1" error="The # of &quot;report only&quot; claims cannot be greater than the total # of claims." sqref="E4:E11 E42:E49 E26:E33 E58:E65">
      <formula1>0</formula1>
      <formula2>C4</formula2>
    </dataValidation>
    <dataValidation type="list" allowBlank="1" showInputMessage="1" showErrorMessage="1" sqref="C85">
      <formula1>"Yes, No"</formula1>
    </dataValidation>
    <dataValidation type="date" allowBlank="1" showInputMessage="1" showErrorMessage="1" error="Please enter a date." sqref="N4:N11 N42:N49 N26:N33 N58:N65">
      <formula1>1</formula1>
      <formula2>73051</formula2>
    </dataValidation>
    <dataValidation type="whole" operator="greaterThanOrEqual" allowBlank="1" showInputMessage="1" showErrorMessage="1" error="Please enter a whole number greater than or equal to 0." sqref="C4:D11 C42:D49 C26:D33 C58:D65">
      <formula1>0</formula1>
    </dataValidation>
    <dataValidation type="decimal" allowBlank="1" showInputMessage="1" showErrorMessage="1" error="Please enter a $ value." sqref="F4:M11 F42:M49 F26:M33 F58:M65">
      <formula1>-100000000</formula1>
      <formula2>1000000000</formula2>
    </dataValidation>
    <dataValidation type="date" allowBlank="1" showInputMessage="1" showErrorMessage="1" sqref="A74:A83 D74:E83">
      <formula1>367</formula1>
      <formula2>73051</formula2>
    </dataValidation>
    <dataValidation type="decimal" allowBlank="1" showInputMessage="1" showErrorMessage="1" error="Please enter a $ value." sqref="B74:B83">
      <formula1>0</formula1>
      <formula2>1000000000000000000</formula2>
    </dataValidation>
    <dataValidation type="list" allowBlank="1" showInputMessage="1" showErrorMessage="1" sqref="F13:G13">
      <formula1>"Yes,No"</formula1>
    </dataValidation>
    <dataValidation type="decimal" allowBlank="1" showInputMessage="1" showErrorMessage="1" errorTitle="Please enter a valid number" error="The number you entered is not valid. _x000a__x000a_Please enter a value that is above 0 but is not more than _x000a_the sum of the 'Incurred Loss' column from the table above." sqref="F15:G15">
      <formula1>0</formula1>
      <formula2>SUM(L4:M11)</formula2>
    </dataValidation>
    <dataValidation type="whole" allowBlank="1" showInputMessage="1" showErrorMessage="1" errorTitle="Please enter a valid number" error="The number you entered is not valid. _x000a__x000a_Please enter a value that is above 0 but is not more than the Total _x000a_Number Of Claims, excluding &quot;Report Only&quot;, from the table above." sqref="F14:G14">
      <formula1>0</formula1>
      <formula2>SUM(C4:C11)-SUM(E4:E11)</formula2>
    </dataValidation>
  </dataValidations>
  <printOptions horizontalCentered="1"/>
  <pageMargins left="0" right="0" top="0.5" bottom="0.5" header="0.25" footer="0.25"/>
  <pageSetup scale="60" orientation="portrait"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429</vt:i4>
      </vt:variant>
    </vt:vector>
  </HeadingPairs>
  <TitlesOfParts>
    <vt:vector size="437" baseType="lpstr">
      <vt:lpstr>Misc_Info</vt:lpstr>
      <vt:lpstr>Underwriter_Information</vt:lpstr>
      <vt:lpstr>Broker_Listing</vt:lpstr>
      <vt:lpstr>Named Ranges</vt:lpstr>
      <vt:lpstr>NOTES &amp; RATING</vt:lpstr>
      <vt:lpstr>XS NOTES &amp; RATING</vt:lpstr>
      <vt:lpstr>COMMISSION CALCULATOR</vt:lpstr>
      <vt:lpstr>LOSS EVALUATION</vt:lpstr>
      <vt:lpstr>AdditionalLargeLosses</vt:lpstr>
      <vt:lpstr>AllTypes</vt:lpstr>
      <vt:lpstr>AssaultBatteryTreatment</vt:lpstr>
      <vt:lpstr>Attachment</vt:lpstr>
      <vt:lpstr>AuditBasis</vt:lpstr>
      <vt:lpstr>AuditPeriod</vt:lpstr>
      <vt:lpstr>AverageIncurred</vt:lpstr>
      <vt:lpstr>AvgNumClaims</vt:lpstr>
      <vt:lpstr>BinderRevisions</vt:lpstr>
      <vt:lpstr>Blank</vt:lpstr>
      <vt:lpstr>'XS NOTES &amp; RATING'!BrokerCompanyName</vt:lpstr>
      <vt:lpstr>BrokerCompanyName</vt:lpstr>
      <vt:lpstr>BrokerData</vt:lpstr>
      <vt:lpstr>'XS NOTES &amp; RATING'!BrokerEmail</vt:lpstr>
      <vt:lpstr>BrokerEmail</vt:lpstr>
      <vt:lpstr>'XS NOTES &amp; RATING'!BrokerName</vt:lpstr>
      <vt:lpstr>BrokerName</vt:lpstr>
      <vt:lpstr>BrokerPriority</vt:lpstr>
      <vt:lpstr>'XS NOTES &amp; RATING'!Brokers</vt:lpstr>
      <vt:lpstr>BucketList</vt:lpstr>
      <vt:lpstr>BusinessDescription</vt:lpstr>
      <vt:lpstr>CDClaimCnt</vt:lpstr>
      <vt:lpstr>CDClaimInc</vt:lpstr>
      <vt:lpstr>CDClaimYN</vt:lpstr>
      <vt:lpstr>CentralStates</vt:lpstr>
      <vt:lpstr>cg2037Bmp</vt:lpstr>
      <vt:lpstr>CG2037Chart</vt:lpstr>
      <vt:lpstr>CG2037Choice</vt:lpstr>
      <vt:lpstr>CG2037Cmp</vt:lpstr>
      <vt:lpstr>CG2037StateChart</vt:lpstr>
      <vt:lpstr>'XS NOTES &amp; RATING'!ChosenState</vt:lpstr>
      <vt:lpstr>ChosenState</vt:lpstr>
      <vt:lpstr>Class</vt:lpstr>
      <vt:lpstr>ClassLossRatios</vt:lpstr>
      <vt:lpstr>CommercialTypes</vt:lpstr>
      <vt:lpstr>'XS NOTES &amp; RATING'!Commission</vt:lpstr>
      <vt:lpstr>Commission</vt:lpstr>
      <vt:lpstr>ConnieMayBavis</vt:lpstr>
      <vt:lpstr>ConstructionTypes</vt:lpstr>
      <vt:lpstr>CoverageForms</vt:lpstr>
      <vt:lpstr>CurrentBrokers</vt:lpstr>
      <vt:lpstr>DedMedPay</vt:lpstr>
      <vt:lpstr>DefaultProFee</vt:lpstr>
      <vt:lpstr>Defense</vt:lpstr>
      <vt:lpstr>Dram</vt:lpstr>
      <vt:lpstr>DueDates</vt:lpstr>
      <vt:lpstr>DueDatesRange</vt:lpstr>
      <vt:lpstr>EachCommonCause</vt:lpstr>
      <vt:lpstr>EBL</vt:lpstr>
      <vt:lpstr>'XS NOTES &amp; RATING'!EffectiveDate</vt:lpstr>
      <vt:lpstr>EffectiveDate</vt:lpstr>
      <vt:lpstr>'XS NOTES &amp; RATING'!ExpiringPolicyNumber</vt:lpstr>
      <vt:lpstr>ExpiringPolicyNumber</vt:lpstr>
      <vt:lpstr>ExposureBases</vt:lpstr>
      <vt:lpstr>ExposureMatrix</vt:lpstr>
      <vt:lpstr>Exposures</vt:lpstr>
      <vt:lpstr>FawnNichols</vt:lpstr>
      <vt:lpstr>FireDamage</vt:lpstr>
      <vt:lpstr>Flat</vt:lpstr>
      <vt:lpstr>FlatChargeOptions</vt:lpstr>
      <vt:lpstr>fmContractCosts</vt:lpstr>
      <vt:lpstr>FMIC2008</vt:lpstr>
      <vt:lpstr>FMIC2009</vt:lpstr>
      <vt:lpstr>FMIC2016</vt:lpstr>
      <vt:lpstr>FMIC2019</vt:lpstr>
      <vt:lpstr>FMIC2099</vt:lpstr>
      <vt:lpstr>FMIC2103</vt:lpstr>
      <vt:lpstr>FMIC2125</vt:lpstr>
      <vt:lpstr>FMIC2140</vt:lpstr>
      <vt:lpstr>FMIC2147</vt:lpstr>
      <vt:lpstr>FMIC2176</vt:lpstr>
      <vt:lpstr>FMIC2251</vt:lpstr>
      <vt:lpstr>FMIC2258</vt:lpstr>
      <vt:lpstr>FMIC2428</vt:lpstr>
      <vt:lpstr>FMIC2527</vt:lpstr>
      <vt:lpstr>FMIC2617</vt:lpstr>
      <vt:lpstr>FMIC2618</vt:lpstr>
      <vt:lpstr>FMICLL2021</vt:lpstr>
      <vt:lpstr>fmPayroll</vt:lpstr>
      <vt:lpstr>FMrate</vt:lpstr>
      <vt:lpstr>fmSales</vt:lpstr>
      <vt:lpstr>FormsToDisplay</vt:lpstr>
      <vt:lpstr>GeneralAggregateLimit</vt:lpstr>
      <vt:lpstr>GeoffreyGrush</vt:lpstr>
      <vt:lpstr>GinaColosuonno</vt:lpstr>
      <vt:lpstr>GinaDelfino</vt:lpstr>
      <vt:lpstr>Hab</vt:lpstr>
      <vt:lpstr>HB</vt:lpstr>
      <vt:lpstr>HighCDState</vt:lpstr>
      <vt:lpstr>'XS NOTES &amp; RATING'!HistoricalProjectedRange</vt:lpstr>
      <vt:lpstr>HistoricalProjectedRange</vt:lpstr>
      <vt:lpstr>HNOACharge</vt:lpstr>
      <vt:lpstr>Hosp</vt:lpstr>
      <vt:lpstr>HospEstablishment</vt:lpstr>
      <vt:lpstr>HPEFirst2YearsBack</vt:lpstr>
      <vt:lpstr>HPEFirst3YearsBack</vt:lpstr>
      <vt:lpstr>HPEFirst4YearsBack</vt:lpstr>
      <vt:lpstr>'XS NOTES &amp; RATING'!HPEFirstCalculation1</vt:lpstr>
      <vt:lpstr>HPEFirstCalculation1</vt:lpstr>
      <vt:lpstr>'XS NOTES &amp; RATING'!HPEFirstCalculation2</vt:lpstr>
      <vt:lpstr>HPEFirstCalculation2</vt:lpstr>
      <vt:lpstr>HPEFirstCalculation3</vt:lpstr>
      <vt:lpstr>HPEFirstCalculation4</vt:lpstr>
      <vt:lpstr>HPEFirstChosen</vt:lpstr>
      <vt:lpstr>HPEFirstCurrent</vt:lpstr>
      <vt:lpstr>HPESecond2YearsBack</vt:lpstr>
      <vt:lpstr>HPESecond4YearsBack</vt:lpstr>
      <vt:lpstr>HPESecondCalculation1</vt:lpstr>
      <vt:lpstr>HPESecondCalculation2</vt:lpstr>
      <vt:lpstr>HPESecondCalculation3</vt:lpstr>
      <vt:lpstr>HPESecondCalculation4</vt:lpstr>
      <vt:lpstr>HPESecondChosen</vt:lpstr>
      <vt:lpstr>HPESecondCurrent</vt:lpstr>
      <vt:lpstr>HPEThird2YearsBack</vt:lpstr>
      <vt:lpstr>HPEThird3YearsBack</vt:lpstr>
      <vt:lpstr>HPEThird4YearsBack</vt:lpstr>
      <vt:lpstr>HPEThirdCalculation1</vt:lpstr>
      <vt:lpstr>HPEThirdCalculation2</vt:lpstr>
      <vt:lpstr>HPEThirdCalculation3</vt:lpstr>
      <vt:lpstr>HPEThirdCalculation4</vt:lpstr>
      <vt:lpstr>'XS NOTES &amp; RATING'!HPEThirdChosen</vt:lpstr>
      <vt:lpstr>HPEThirdChosen</vt:lpstr>
      <vt:lpstr>'XS NOTES &amp; RATING'!HPEThirdCurrent</vt:lpstr>
      <vt:lpstr>HPEThirdCurrent</vt:lpstr>
      <vt:lpstr>InspectionFee</vt:lpstr>
      <vt:lpstr>'XS NOTES &amp; RATING'!InsuredID</vt:lpstr>
      <vt:lpstr>InsuredID</vt:lpstr>
      <vt:lpstr>'XS NOTES &amp; RATING'!InsuredName</vt:lpstr>
      <vt:lpstr>InsuredName</vt:lpstr>
      <vt:lpstr>InsuredRetAmt</vt:lpstr>
      <vt:lpstr>ISO0440</vt:lpstr>
      <vt:lpstr>ISO0441</vt:lpstr>
      <vt:lpstr>ISO0442</vt:lpstr>
      <vt:lpstr>ISO0443</vt:lpstr>
      <vt:lpstr>ISO0444</vt:lpstr>
      <vt:lpstr>ISO2003</vt:lpstr>
      <vt:lpstr>ISO2010</vt:lpstr>
      <vt:lpstr>ISO2011</vt:lpstr>
      <vt:lpstr>ISO2012</vt:lpstr>
      <vt:lpstr>ISO2013</vt:lpstr>
      <vt:lpstr>ISO2015</vt:lpstr>
      <vt:lpstr>ISO2018</vt:lpstr>
      <vt:lpstr>ISO2024</vt:lpstr>
      <vt:lpstr>ISO2026</vt:lpstr>
      <vt:lpstr>ISO2028</vt:lpstr>
      <vt:lpstr>ISO2029</vt:lpstr>
      <vt:lpstr>ISO2032</vt:lpstr>
      <vt:lpstr>ISO2037</vt:lpstr>
      <vt:lpstr>ISO2144</vt:lpstr>
      <vt:lpstr>iso2262</vt:lpstr>
      <vt:lpstr>ISO2935</vt:lpstr>
      <vt:lpstr>ISOClassCodes</vt:lpstr>
      <vt:lpstr>JJHerrington</vt:lpstr>
      <vt:lpstr>JoeOConnor</vt:lpstr>
      <vt:lpstr>KimberlyWauson</vt:lpstr>
      <vt:lpstr>LargeLoss10Description</vt:lpstr>
      <vt:lpstr>LargeLoss10DOL</vt:lpstr>
      <vt:lpstr>LargeLoss10Incurred</vt:lpstr>
      <vt:lpstr>LargeLoss10OpenClosed</vt:lpstr>
      <vt:lpstr>LargeLoss10ValuationDate</vt:lpstr>
      <vt:lpstr>LargeLoss1Description</vt:lpstr>
      <vt:lpstr>LargeLoss1DOL</vt:lpstr>
      <vt:lpstr>LargeLoss1Incurred</vt:lpstr>
      <vt:lpstr>LargeLoss1OpenClosed</vt:lpstr>
      <vt:lpstr>LargeLoss1ValuationDate</vt:lpstr>
      <vt:lpstr>LargeLoss2Description</vt:lpstr>
      <vt:lpstr>LargeLoss2DOL</vt:lpstr>
      <vt:lpstr>LargeLoss2Incurred</vt:lpstr>
      <vt:lpstr>LargeLoss2OpenClosed</vt:lpstr>
      <vt:lpstr>LargeLoss2ValuationDate</vt:lpstr>
      <vt:lpstr>LargeLoss3Description</vt:lpstr>
      <vt:lpstr>LargeLoss3DOL</vt:lpstr>
      <vt:lpstr>LargeLoss3Incurred</vt:lpstr>
      <vt:lpstr>LargeLoss3OpenClosed</vt:lpstr>
      <vt:lpstr>LargeLoss3ValuationDate</vt:lpstr>
      <vt:lpstr>LargeLoss4Description</vt:lpstr>
      <vt:lpstr>LargeLoss4DOL</vt:lpstr>
      <vt:lpstr>LargeLoss4Incurred</vt:lpstr>
      <vt:lpstr>LargeLoss4OpenClosed</vt:lpstr>
      <vt:lpstr>LargeLoss4ValuationDate</vt:lpstr>
      <vt:lpstr>LargeLoss5Description</vt:lpstr>
      <vt:lpstr>LargeLoss5DOL</vt:lpstr>
      <vt:lpstr>LargeLoss5Incurred</vt:lpstr>
      <vt:lpstr>LargeLoss5OpenClosed</vt:lpstr>
      <vt:lpstr>LargeLoss5ValuationDate</vt:lpstr>
      <vt:lpstr>LargeLoss6Description</vt:lpstr>
      <vt:lpstr>LargeLoss6DOL</vt:lpstr>
      <vt:lpstr>LargeLoss6Incurred</vt:lpstr>
      <vt:lpstr>LargeLoss6OpenClosed</vt:lpstr>
      <vt:lpstr>LargeLoss6ValuationDate</vt:lpstr>
      <vt:lpstr>LargeLoss7Description</vt:lpstr>
      <vt:lpstr>LargeLoss7DOL</vt:lpstr>
      <vt:lpstr>LargeLoss7Incurred</vt:lpstr>
      <vt:lpstr>LargeLoss7OpenClosed</vt:lpstr>
      <vt:lpstr>LargeLoss7ValuationDate</vt:lpstr>
      <vt:lpstr>LargeLoss8Description</vt:lpstr>
      <vt:lpstr>LargeLoss8DOL</vt:lpstr>
      <vt:lpstr>LargeLoss8Incurred</vt:lpstr>
      <vt:lpstr>LargeLoss8OpenClosed</vt:lpstr>
      <vt:lpstr>LargeLoss8ValuationDate</vt:lpstr>
      <vt:lpstr>LargeLoss9Description</vt:lpstr>
      <vt:lpstr>LargeLoss9DOL</vt:lpstr>
      <vt:lpstr>LargeLoss9Incurred</vt:lpstr>
      <vt:lpstr>LargeLoss9OpenClosed</vt:lpstr>
      <vt:lpstr>LargeLoss9ValuationDate</vt:lpstr>
      <vt:lpstr>LennoxMarshall</vt:lpstr>
      <vt:lpstr>LimitsInShorthand</vt:lpstr>
      <vt:lpstr>LiquorAgg</vt:lpstr>
      <vt:lpstr>LiquorAggregateLimit</vt:lpstr>
      <vt:lpstr>LiquorCredits</vt:lpstr>
      <vt:lpstr>LiquorCreditsF</vt:lpstr>
      <vt:lpstr>LiquorDebitsF</vt:lpstr>
      <vt:lpstr>LiquorEachCommonCause</vt:lpstr>
      <vt:lpstr>LoriYoung</vt:lpstr>
      <vt:lpstr>LossEval</vt:lpstr>
      <vt:lpstr>LossEval1Carrier</vt:lpstr>
      <vt:lpstr>LossEval1Incurred</vt:lpstr>
      <vt:lpstr>LossEval1PaidExpense</vt:lpstr>
      <vt:lpstr>LossEval1PaidLoss</vt:lpstr>
      <vt:lpstr>LossEval1ReportClaims</vt:lpstr>
      <vt:lpstr>LossEval1Reserves</vt:lpstr>
      <vt:lpstr>LossEval1TotalClaims</vt:lpstr>
      <vt:lpstr>LossEval1ValuationDate</vt:lpstr>
      <vt:lpstr>LossEval1Year</vt:lpstr>
      <vt:lpstr>LossEval2Carrier</vt:lpstr>
      <vt:lpstr>LossEval2Incurred</vt:lpstr>
      <vt:lpstr>LossEval2PaidExpense</vt:lpstr>
      <vt:lpstr>LossEval2PaidLoss</vt:lpstr>
      <vt:lpstr>LossEval2ReportClaims</vt:lpstr>
      <vt:lpstr>LossEval2Reserves</vt:lpstr>
      <vt:lpstr>LossEval2TotalClaims</vt:lpstr>
      <vt:lpstr>LossEval2ValuationDate</vt:lpstr>
      <vt:lpstr>LossEval2Year</vt:lpstr>
      <vt:lpstr>LossEval3Carrier</vt:lpstr>
      <vt:lpstr>LossEval3Incurred</vt:lpstr>
      <vt:lpstr>LossEval3PaidExpense</vt:lpstr>
      <vt:lpstr>LossEval3PaidLoss</vt:lpstr>
      <vt:lpstr>LossEval3ReportClaims</vt:lpstr>
      <vt:lpstr>LossEval3Reserves</vt:lpstr>
      <vt:lpstr>LossEval3TotalClaims</vt:lpstr>
      <vt:lpstr>LossEval3ValuationDate</vt:lpstr>
      <vt:lpstr>LossEval3Year</vt:lpstr>
      <vt:lpstr>LossEval4Carrier</vt:lpstr>
      <vt:lpstr>LossEval4Incurred</vt:lpstr>
      <vt:lpstr>LossEval4PaidExpense</vt:lpstr>
      <vt:lpstr>LossEval4PaidLoss</vt:lpstr>
      <vt:lpstr>LossEval4ReportClaims</vt:lpstr>
      <vt:lpstr>LossEval4Reserves</vt:lpstr>
      <vt:lpstr>LossEval4TotalClaims</vt:lpstr>
      <vt:lpstr>LossEval4ValuationDate</vt:lpstr>
      <vt:lpstr>LossEval4Year</vt:lpstr>
      <vt:lpstr>LossEval5Carrier</vt:lpstr>
      <vt:lpstr>LossEval5Incurred</vt:lpstr>
      <vt:lpstr>LossEval5PaidExpense</vt:lpstr>
      <vt:lpstr>LossEval5PaidLoss</vt:lpstr>
      <vt:lpstr>LossEval5ReportClaims</vt:lpstr>
      <vt:lpstr>LossEval5Reserves</vt:lpstr>
      <vt:lpstr>LossEval5TotalClaims</vt:lpstr>
      <vt:lpstr>LossEval5ValuationDate</vt:lpstr>
      <vt:lpstr>LossEval5Year</vt:lpstr>
      <vt:lpstr>LossEval6Carrier</vt:lpstr>
      <vt:lpstr>LossEval6Incurred</vt:lpstr>
      <vt:lpstr>LossEval6PaidExpense</vt:lpstr>
      <vt:lpstr>LossEval6PaidLoss</vt:lpstr>
      <vt:lpstr>LossEval6ReportClaims</vt:lpstr>
      <vt:lpstr>LossEval6Reserves</vt:lpstr>
      <vt:lpstr>LossEval6TotalClaims</vt:lpstr>
      <vt:lpstr>LossEval6ValuationDate</vt:lpstr>
      <vt:lpstr>LossEval6Year</vt:lpstr>
      <vt:lpstr>LossEval7Carrier</vt:lpstr>
      <vt:lpstr>LossEval7Incurred</vt:lpstr>
      <vt:lpstr>LossEval7PaidExpense</vt:lpstr>
      <vt:lpstr>LossEval7PaidLoss</vt:lpstr>
      <vt:lpstr>LossEval7ReportClaims</vt:lpstr>
      <vt:lpstr>LossEval7Reserves</vt:lpstr>
      <vt:lpstr>LossEval7TotalClaims</vt:lpstr>
      <vt:lpstr>LossEval7ValuationDate</vt:lpstr>
      <vt:lpstr>LossEval7Year</vt:lpstr>
      <vt:lpstr>LossEval8Carrier</vt:lpstr>
      <vt:lpstr>LossEval8Incurred</vt:lpstr>
      <vt:lpstr>LossEval8PaidExpense</vt:lpstr>
      <vt:lpstr>LossEval8PaidLoss</vt:lpstr>
      <vt:lpstr>LossEval8ReportClaims</vt:lpstr>
      <vt:lpstr>LossEval8Reserves</vt:lpstr>
      <vt:lpstr>LossEval8TotalClaims</vt:lpstr>
      <vt:lpstr>LossEval8ValuationDate</vt:lpstr>
      <vt:lpstr>LossEval8Year</vt:lpstr>
      <vt:lpstr>LuAldorisio</vt:lpstr>
      <vt:lpstr>ManualFormName</vt:lpstr>
      <vt:lpstr>ManualFormNumber</vt:lpstr>
      <vt:lpstr>MarkHerrington</vt:lpstr>
      <vt:lpstr>MaryBethRusso</vt:lpstr>
      <vt:lpstr>MaxProFee</vt:lpstr>
      <vt:lpstr>Maybe</vt:lpstr>
      <vt:lpstr>MedPay</vt:lpstr>
      <vt:lpstr>MedPayDropdown</vt:lpstr>
      <vt:lpstr>MelissaHarris</vt:lpstr>
      <vt:lpstr>MichaelEnwright</vt:lpstr>
      <vt:lpstr>MikeHernandez</vt:lpstr>
      <vt:lpstr>MinAudit</vt:lpstr>
      <vt:lpstr>MinInception</vt:lpstr>
      <vt:lpstr>NadyaBorst</vt:lpstr>
      <vt:lpstr>NancyFlodmand</vt:lpstr>
      <vt:lpstr>'XS NOTES &amp; RATING'!New?</vt:lpstr>
      <vt:lpstr>New?</vt:lpstr>
      <vt:lpstr>NicoleWhitehead</vt:lpstr>
      <vt:lpstr>NortheastStates</vt:lpstr>
      <vt:lpstr>Nothing</vt:lpstr>
      <vt:lpstr>Occurrence</vt:lpstr>
      <vt:lpstr>OCP</vt:lpstr>
      <vt:lpstr>OCPcoverageform</vt:lpstr>
      <vt:lpstr>OCPType</vt:lpstr>
      <vt:lpstr>OG</vt:lpstr>
      <vt:lpstr>OGType</vt:lpstr>
      <vt:lpstr>PamelaGarrett</vt:lpstr>
      <vt:lpstr>PCO</vt:lpstr>
      <vt:lpstr>PeriodLength</vt:lpstr>
      <vt:lpstr>PIAI</vt:lpstr>
      <vt:lpstr>Policy_Premium</vt:lpstr>
      <vt:lpstr>'XS NOTES &amp; RATING'!PolicyForm</vt:lpstr>
      <vt:lpstr>PolicyForm</vt:lpstr>
      <vt:lpstr>'XS NOTES &amp; RATING'!PolicyTerm</vt:lpstr>
      <vt:lpstr>PolicyTerm</vt:lpstr>
      <vt:lpstr>Pricing</vt:lpstr>
      <vt:lpstr>'XS NOTES &amp; RATING'!PricingNew</vt:lpstr>
      <vt:lpstr>PricingNew</vt:lpstr>
      <vt:lpstr>'COMMISSION CALCULATOR'!Print_Area</vt:lpstr>
      <vt:lpstr>'LOSS EVALUATION'!Print_Area</vt:lpstr>
      <vt:lpstr>'Named Ranges'!Print_Area</vt:lpstr>
      <vt:lpstr>'NOTES &amp; RATING'!Print_Area</vt:lpstr>
      <vt:lpstr>'XS NOTES &amp; RATING'!Print_Area</vt:lpstr>
      <vt:lpstr>'COMMISSION CALCULATOR'!Print_Titles</vt:lpstr>
      <vt:lpstr>'Named Ranges'!Print_Titles</vt:lpstr>
      <vt:lpstr>ProcessingFee</vt:lpstr>
      <vt:lpstr>Prod</vt:lpstr>
      <vt:lpstr>ProFees</vt:lpstr>
      <vt:lpstr>QuoteEmail1</vt:lpstr>
      <vt:lpstr>QuoteEmail2</vt:lpstr>
      <vt:lpstr>QuoteRevisions</vt:lpstr>
      <vt:lpstr>Rackley_Premium</vt:lpstr>
      <vt:lpstr>RackleyClassExp</vt:lpstr>
      <vt:lpstr>RackleyExpBases</vt:lpstr>
      <vt:lpstr>RackleyPCOPercent</vt:lpstr>
      <vt:lpstr>RackleyPCOPremium</vt:lpstr>
      <vt:lpstr>RackleyPremOpsPercent</vt:lpstr>
      <vt:lpstr>RackleyPremOpsPremium</vt:lpstr>
      <vt:lpstr>RateOptions1</vt:lpstr>
      <vt:lpstr>RateOptions2</vt:lpstr>
      <vt:lpstr>RateOptions3</vt:lpstr>
      <vt:lpstr>RateOptions4</vt:lpstr>
      <vt:lpstr>RateOptions5</vt:lpstr>
      <vt:lpstr>RefEmailBroker</vt:lpstr>
      <vt:lpstr>RefEmailExpNotes</vt:lpstr>
      <vt:lpstr>RefEmailIL</vt:lpstr>
      <vt:lpstr>RefEmailLimits</vt:lpstr>
      <vt:lpstr>RefEmailLossNotes</vt:lpstr>
      <vt:lpstr>RefEmailOpsNotes</vt:lpstr>
      <vt:lpstr>RefEmailPremiumBucket</vt:lpstr>
      <vt:lpstr>RefEmailPremiumRackley</vt:lpstr>
      <vt:lpstr>RefEmailPricingNotes</vt:lpstr>
      <vt:lpstr>RefEmailRateExp</vt:lpstr>
      <vt:lpstr>RefEmailRefNotes</vt:lpstr>
      <vt:lpstr>RefEmailRetention</vt:lpstr>
      <vt:lpstr>RefEmailState</vt:lpstr>
      <vt:lpstr>ResiCommKey</vt:lpstr>
      <vt:lpstr>ResidentialTypes</vt:lpstr>
      <vt:lpstr>Retention</vt:lpstr>
      <vt:lpstr>RetroDate</vt:lpstr>
      <vt:lpstr>RiskOfWrap</vt:lpstr>
      <vt:lpstr>RobertDickinson</vt:lpstr>
      <vt:lpstr>RogerKolbII</vt:lpstr>
      <vt:lpstr>Roof</vt:lpstr>
      <vt:lpstr>RVECommissionChange</vt:lpstr>
      <vt:lpstr>RVEExpiringCommission</vt:lpstr>
      <vt:lpstr>RVEExpiringExposure</vt:lpstr>
      <vt:lpstr>RVEExpiringPY</vt:lpstr>
      <vt:lpstr>RVEExpiringRate</vt:lpstr>
      <vt:lpstr>RVEExpiringRetention</vt:lpstr>
      <vt:lpstr>RVEExposureChange</vt:lpstr>
      <vt:lpstr>RVEPremiumChange</vt:lpstr>
      <vt:lpstr>RVERateChange</vt:lpstr>
      <vt:lpstr>RVERenewalCommission</vt:lpstr>
      <vt:lpstr>RVERenewalExposure</vt:lpstr>
      <vt:lpstr>RVERenewalPremium</vt:lpstr>
      <vt:lpstr>RVERenewalPY</vt:lpstr>
      <vt:lpstr>RVERenewalRate</vt:lpstr>
      <vt:lpstr>RVERenewalRetention</vt:lpstr>
      <vt:lpstr>RVERetentionChange</vt:lpstr>
      <vt:lpstr>RyanShance</vt:lpstr>
      <vt:lpstr>SandraRachild</vt:lpstr>
      <vt:lpstr>SarahBenjamin</vt:lpstr>
      <vt:lpstr>SarahNichols</vt:lpstr>
      <vt:lpstr>ScottDavis</vt:lpstr>
      <vt:lpstr>Security</vt:lpstr>
      <vt:lpstr>SpecialtyTypes</vt:lpstr>
      <vt:lpstr>StateAbbreviations</vt:lpstr>
      <vt:lpstr>StateKey</vt:lpstr>
      <vt:lpstr>StateLiquorRates</vt:lpstr>
      <vt:lpstr>StateList</vt:lpstr>
      <vt:lpstr>StateLossRatios</vt:lpstr>
      <vt:lpstr>StephenGunn</vt:lpstr>
      <vt:lpstr>Subjectivities</vt:lpstr>
      <vt:lpstr>SubsNotReceived</vt:lpstr>
      <vt:lpstr>SueRothberg</vt:lpstr>
      <vt:lpstr>'XS NOTES &amp; RATING'!TargetPremium</vt:lpstr>
      <vt:lpstr>TargetPremium</vt:lpstr>
      <vt:lpstr>TomHaupt</vt:lpstr>
      <vt:lpstr>TRIAOptions</vt:lpstr>
      <vt:lpstr>TriaPerc</vt:lpstr>
      <vt:lpstr>TRIAPercent</vt:lpstr>
      <vt:lpstr>TypeOfRiskExp</vt:lpstr>
      <vt:lpstr>TypesOfWraps</vt:lpstr>
      <vt:lpstr>'XS NOTES &amp; RATING'!Underwriter</vt:lpstr>
      <vt:lpstr>Underwriter</vt:lpstr>
      <vt:lpstr>UnitEquals</vt:lpstr>
      <vt:lpstr>UWContact</vt:lpstr>
      <vt:lpstr>UWInfo</vt:lpstr>
      <vt:lpstr>UwList</vt:lpstr>
      <vt:lpstr>UWPrefs</vt:lpstr>
      <vt:lpstr>UWs</vt:lpstr>
      <vt:lpstr>UwTable</vt:lpstr>
      <vt:lpstr>WCISClassCodes</vt:lpstr>
      <vt:lpstr>'XS NOTES &amp; RATING'!WebSite</vt:lpstr>
      <vt:lpstr>WebSite</vt:lpstr>
      <vt:lpstr>WestStates</vt:lpstr>
      <vt:lpstr>xblank</vt:lpstr>
      <vt:lpstr>'XS NOTES &amp; RATING'!YIB</vt:lpstr>
      <vt:lpstr>YIB</vt:lpstr>
      <vt:lpstr>YulandaDudley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Huels</dc:creator>
  <cp:lastModifiedBy>Courtney Karapuz</cp:lastModifiedBy>
  <cp:lastPrinted>2021-11-18T12:25:44Z</cp:lastPrinted>
  <dcterms:created xsi:type="dcterms:W3CDTF">2003-09-21T15:28:15Z</dcterms:created>
  <dcterms:modified xsi:type="dcterms:W3CDTF">2023-12-05T16:45:31Z</dcterms:modified>
</cp:coreProperties>
</file>