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 - Keepflo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T19" i="23" s="1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D41" i="25"/>
  <c r="D43" i="25" s="1"/>
  <c r="T19" i="25"/>
  <c r="D41" i="22"/>
  <c r="D43" i="22" s="1"/>
  <c r="T19" i="22"/>
  <c r="J73" i="6"/>
  <c r="J51" i="6"/>
  <c r="H56" i="1"/>
  <c r="D41" i="23" l="1"/>
  <c r="D43" i="23" s="1"/>
  <c r="T19" i="24"/>
  <c r="O21" i="24" s="1"/>
  <c r="V50" i="24" s="1"/>
  <c r="D44" i="24" s="1"/>
  <c r="D45" i="24" s="1"/>
  <c r="D60" i="24" s="1"/>
  <c r="I49" i="24" s="1"/>
  <c r="E39" i="1" s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8" l="1"/>
  <c r="H43" i="1" s="1"/>
  <c r="J43" i="1" s="1"/>
  <c r="I60" i="22"/>
  <c r="H37" i="1" s="1"/>
  <c r="I60" i="25"/>
  <c r="H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P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43" i="1" l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I91" i="6"/>
  <c r="I93" i="6"/>
  <c r="I95" i="6"/>
  <c r="I97" i="6"/>
  <c r="M20" i="6"/>
  <c r="M73" i="6" s="1"/>
  <c r="O20" i="6"/>
  <c r="O147" i="6" s="1"/>
  <c r="I83" i="6"/>
  <c r="I86" i="6"/>
  <c r="J94" i="6"/>
  <c r="H60" i="1"/>
  <c r="H61" i="1"/>
  <c r="H62" i="1"/>
  <c r="H63" i="1"/>
  <c r="H64" i="1"/>
  <c r="E31" i="5"/>
  <c r="F31" i="5" s="1"/>
  <c r="L77" i="6" l="1"/>
  <c r="H84" i="6"/>
  <c r="L147" i="6"/>
  <c r="J86" i="6"/>
  <c r="J92" i="6"/>
  <c r="H47" i="6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45" i="6"/>
  <c r="M146" i="6"/>
  <c r="M148" i="6"/>
  <c r="M147" i="6"/>
  <c r="K98" i="6"/>
  <c r="M152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Q93" i="6" l="1"/>
  <c r="L92" i="6"/>
  <c r="L94" i="6"/>
  <c r="M93" i="6"/>
  <c r="O87" i="6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<sst xmlns="http://schemas.openxmlformats.org/spreadsheetml/2006/main" count="3071" uniqueCount="710">
  <si>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</si>
  <si>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</si>
  <si>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</si>
  <si>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</si>
  <si>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</si>
  <si>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</si>
  <si>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</si>
  <si>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</si>
  <si>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</si>
  <si>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</si>
  <si>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</si>
  <si>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</si>
  <si>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</si>
  <si>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</si>
  <si>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</si>
  <si>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</si>
  <si>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</si>
  <si>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</si>
  <si>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</si>
  <si>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</si>
  <si>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</si>
  <si>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</si>
  <si>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</si>
  <si>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</si>
  <si>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</si>
  <si>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</si>
  <si>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</si>
  <si>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</si>
  <si>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</si>
  <si>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</si>
  <si>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</si>
  <si>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</si>
  <si>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</si>
  <si>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</si>
  <si>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</si>
  <si>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</si>
  <si>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</si>
  <si>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</si>
  <si>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</si>
  <si>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</si>
  <si>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</si>
  <si>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</si>
  <si>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</si>
  <si>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</si>
  <si>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</si>
  <si>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</si>
  <si>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</si>
  <si>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</si>
  <si>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</si>
  <si>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</si>
  <si>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</si>
  <si>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</si>
  <si>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</si>
  <si>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</si>
  <si>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</si>
  <si>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</si>
  <si>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</si>
  <si>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</si>
  <si>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</si>
  <si>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</si>
  <si>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</si>
  <si>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</si>
  <si>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</si>
  <si>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</si>
  <si>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</si>
  <si>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</si>
  <si>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</si>
  <si>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</si>
  <si>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</si>
  <si>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</si>
  <si>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</si>
  <si>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</si>
  <si>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</si>
  <si>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</si>
  <si>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</si>
  <si>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</si>
  <si>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</si>
  <si>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</si>
  <si>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</si>
  <si>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</si>
  <si>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</si>
  <si>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</si>
  <si>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</si>
  <si>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</si>
  <si>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</si>
  <si>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</si>
  <si>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</si>
  <si>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</si>
  <si>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</si>
  <si>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</si>
  <si>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</si>
  <si>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</si>
  <si>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</si>
  <si>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</si>
  <si>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</si>
  <si>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</si>
  <si>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</si>
  <si>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</si>
  <si>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</si>
  <si>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</si>
  <si>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</si>
  <si>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</si>
  <si>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</si>
  <si>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</si>
  <si>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</si>
  <si>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</si>
  <si>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</si>
  <si>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</si>
  <si>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</si>
  <si>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</si>
  <si>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</si>
  <si>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</si>
  <si>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</si>
  <si>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</si>
  <si>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</si>
  <si>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</si>
  <si>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</si>
  <si>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</si>
  <si>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</si>
  <si>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</si>
  <si>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</si>
  <si>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</si>
  <si>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</si>
  <si>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</si>
  <si>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</si>
  <si>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</si>
  <si>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</si>
  <si>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</si>
  <si>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</si>
  <si>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</si>
  <si>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</si>
  <si>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</si>
  <si>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</si>
  <si>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</si>
  <si>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</si>
  <si>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</si>
  <si>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</si>
  <si>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</si>
  <si>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</si>
  <si>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</si>
  <si>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</si>
  <si>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</si>
  <si>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</si>
  <si>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</si>
  <si>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</si>
  <si>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</si>
  <si>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</si>
  <si>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</si>
  <si>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</si>
  <si>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</si>
  <si>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</si>
  <si>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</si>
  <si>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</si>
  <si>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</si>
  <si>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</si>
  <si>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</si>
  <si>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</si>
  <si>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</si>
  <si>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</si>
  <si>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</si>
  <si>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</si>
  <si>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</si>
  <si>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</si>
  <si>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</si>
  <si>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</si>
  <si>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</si>
  <si>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</si>
  <si>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</si>
  <si>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</si>
  <si>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</si>
  <si>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</si>
  <si>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</si>
  <si>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</si>
  <si>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</si>
  <si>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</si>
  <si>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</si>
  <si>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</si>
  <si>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</si>
  <si>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</si>
  <si>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</si>
  <si>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</si>
  <si>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</si>
  <si>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</si>
  <si>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</si>
  <si>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</si>
  <si>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</si>
  <si>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</si>
  <si>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</si>
  <si>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</si>
  <si>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</si>
  <si>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</si>
  <si>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</si>
  <si>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</si>
  <si>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</si>
  <si>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</si>
  <si>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</si>
  <si>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</si>
  <si>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</si>
  <si>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</si>
  <si>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</si>
  <si>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</si>
  <si>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</si>
  <si>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</si>
  <si>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</si>
  <si>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</si>
  <si>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</si>
  <si>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</si>
  <si>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</si>
  <si>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</si>
  <si>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</si>
  <si>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</si>
  <si>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</si>
  <si>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</si>
  <si>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</si>
  <si>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</si>
  <si>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</si>
  <si>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</si>
  <si>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</si>
  <si>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</si>
  <si>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</si>
  <si>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</si>
  <si>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</si>
  <si>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</si>
  <si>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</si>
  <si>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</si>
  <si>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</si>
  <si>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</si>
  <si>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</si>
  <si>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</si>
  <si>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</si>
  <si>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</si>
  <si>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</si>
  <si>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</si>
  <si>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</si>
  <si>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</si>
  <si>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</si>
  <si>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</si>
  <si>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</si>
  <si>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</si>
  <si>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</si>
  <si>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</si>
  <si>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</si>
  <si>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</si>
  <si>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</si>
  <si>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</si>
  <si>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</si>
  <si>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</si>
  <si>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</si>
  <si>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</si>
  <si>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</si>
  <si>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</si>
  <si>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</si>
  <si>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</si>
  <si>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</si>
  <si>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</si>
  <si>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</si>
  <si>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</si>
  <si>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</si>
  <si>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</si>
  <si>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</si>
  <si>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</si>
  <si>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</si>
  <si>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</si>
  <si>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</si>
  <si>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</si>
  <si>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</si>
  <si>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</si>
  <si>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</si>
  <si>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</si>
  <si>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</si>
  <si>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</si>
  <si>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</si>
  <si>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</si>
  <si>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</si>
  <si>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</si>
  <si>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</si>
  <si>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</si>
  <si>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</si>
  <si>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</si>
  <si>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</si>
  <si>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</si>
  <si>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</si>
  <si>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</si>
  <si>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</si>
  <si>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</si>
  <si>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</si>
  <si>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</si>
  <si>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</si>
  <si>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</si>
  <si>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</si>
  <si>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</si>
  <si>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</si>
  <si>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</si>
  <si>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</si>
  <si>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</si>
  <si>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</si>
  <si>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</si>
  <si>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</si>
  <si>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</si>
  <si>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</si>
  <si>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</si>
  <si>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</si>
  <si>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</si>
  <si>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</si>
  <si>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</si>
  <si>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</si>
  <si>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</si>
  <si>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</si>
  <si>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</si>
  <si>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</si>
  <si>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</si>
  <si>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</si>
  <si>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</si>
  <si>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</si>
  <si>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</si>
  <si>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</si>
  <si>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</si>
  <si>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</si>
  <si>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</si>
  <si>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</si>
  <si>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</si>
  <si>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</si>
  <si>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</si>
  <si>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</si>
  <si>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</si>
  <si>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</si>
  <si>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</si>
  <si>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</si>
  <si>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</si>
  <si>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</si>
  <si>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</si>
  <si>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</si>
  <si>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</si>
  <si>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</si>
  <si>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</si>
  <si>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</si>
  <si>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</si>
  <si>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</si>
  <si>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</si>
  <si>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</si>
  <si>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</si>
  <si>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</si>
  <si>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</si>
  <si>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</si>
  <si>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</si>
  <si>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</si>
  <si>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</si>
  <si>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</si>
  <si>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</si>
  <si>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</si>
  <si>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</si>
  <si>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</si>
  <si>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</si>
  <si>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</si>
  <si>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</si>
  <si>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</si>
  <si>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</si>
  <si>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</si>
  <si>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</si>
  <si>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</si>
  <si>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</si>
  <si>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</si>
  <si>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</si>
  <si>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</si>
  <si>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</si>
  <si>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</si>
  <si>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</si>
  <si>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</si>
  <si>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</si>
  <si>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</si>
  <si>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</si>
  <si>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</si>
  <si>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</si>
  <si>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</si>
  <si>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</si>
  <si>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</si>
  <si>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</si>
  <si>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</si>
  <si>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</si>
  <si>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</si>
  <si>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</si>
  <si>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</si>
  <si>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</si>
  <si>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</si>
  <si>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</si>
  <si>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</si>
  <si>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</si>
  <si>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</si>
  <si>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</si>
  <si>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</si>
  <si>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</si>
  <si>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</si>
  <si>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</si>
  <si>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</si>
  <si>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</si>
  <si>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</si>
  <si>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</si>
  <si>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</si>
  <si>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</si>
  <si>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</si>
  <si>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</si>
  <si>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</si>
  <si>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</si>
  <si>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</si>
  <si>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</si>
  <si>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</si>
  <si>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</si>
  <si>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</si>
  <si>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</si>
  <si>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</si>
  <si>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</si>
  <si>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</si>
  <si>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</si>
  <si>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</si>
  <si>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</si>
  <si>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</si>
  <si>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</si>
  <si>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</si>
  <si>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</si>
  <si>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</si>
  <si>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</si>
  <si>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</si>
  <si>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</si>
  <si>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</si>
  <si>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</si>
  <si>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</si>
  <si>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</si>
  <si>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</si>
  <si>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</si>
  <si>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</si>
  <si>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</si>
  <si>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</si>
  <si>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</si>
  <si>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</si>
  <si>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</si>
  <si>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</si>
  <si>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</si>
  <si>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</si>
  <si>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</si>
  <si>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</si>
  <si>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</si>
  <si>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</si>
  <si>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</si>
  <si>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</si>
  <si>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</si>
  <si>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</si>
  <si>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</si>
  <si>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</si>
  <si>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</si>
  <si>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</si>
  <si>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</si>
  <si>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</si>
  <si>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</si>
  <si>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</si>
  <si>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</si>
  <si>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</si>
  <si>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</si>
  <si>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</si>
  <si>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</si>
  <si>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</si>
  <si>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</si>
  <si>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</si>
  <si>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</si>
  <si>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</si>
  <si>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</si>
  <si>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</si>
  <si>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</si>
  <si>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</si>
  <si>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</si>
  <si>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</si>
  <si>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</si>
  <si>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</si>
  <si>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</si>
  <si>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</si>
  <si>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</si>
  <si>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</si>
  <si>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</si>
  <si>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</si>
  <si>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</si>
  <si>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</si>
  <si>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</si>
  <si>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</si>
  <si>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</si>
  <si>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</si>
  <si>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</si>
  <si>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</si>
  <si>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</si>
  <si>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</si>
  <si>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</si>
  <si>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</si>
  <si>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</si>
  <si>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</si>
  <si>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</si>
  <si>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</si>
  <si>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</si>
  <si>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</si>
  <si>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</si>
  <si>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</si>
  <si>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</si>
  <si>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</si>
  <si>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</si>
  <si>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</si>
  <si>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</si>
  <si>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</si>
  <si>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</si>
  <si>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</si>
  <si>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</si>
  <si>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</si>
  <si>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</si>
  <si>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</si>
  <si>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</si>
  <si>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</si>
  <si>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</si>
  <si>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</si>
  <si>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</si>
  <si>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</si>
  <si>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</si>
  <si>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</si>
  <si>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</si>
  <si>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</si>
  <si>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</si>
  <si>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</si>
  <si>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</si>
  <si>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</si>
  <si>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</si>
  <si>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</si>
  <si>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</si>
  <si>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</si>
  <si>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</si>
  <si>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</si>
  <si>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</si>
  <si>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</si>
  <si>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</si>
  <si>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</si>
  <si>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</si>
  <si>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</si>
  <si>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</si>
  <si>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</si>
  <si>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</si>
  <si>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</si>
  <si>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</si>
  <si>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</si>
  <si>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</si>
  <si>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</si>
  <si>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</si>
  <si>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</si>
  <si>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</si>
  <si>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</si>
  <si>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</si>
  <si>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</si>
  <si>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</si>
  <si>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</si>
  <si>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</si>
  <si>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</si>
  <si>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</si>
  <si>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</si>
  <si>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</si>
  <si>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</si>
  <si>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</si>
  <si>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</si>
  <si>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</si>
  <si>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</si>
  <si>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</si>
  <si>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</si>
  <si>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</si>
  <si>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</si>
  <si>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</si>
  <si>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</si>
  <si>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</si>
  <si>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</si>
  <si>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</si>
  <si>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</si>
  <si>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</si>
  <si>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</si>
  <si>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</si>
  <si>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</si>
  <si>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</si>
  <si>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</si>
  <si>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</si>
  <si>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</si>
  <si>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</si>
  <si>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</si>
  <si>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</si>
  <si>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</si>
  <si>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</si>
  <si>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</si>
  <si>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</si>
  <si>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</si>
  <si>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</si>
  <si>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</si>
  <si>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</si>
  <si>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</si>
  <si>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</si>
  <si>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</si>
  <si>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</si>
  <si>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</si>
  <si>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</si>
  <si>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</si>
  <si>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</si>
  <si>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</si>
  <si>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</si>
  <si>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</si>
  <si>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</si>
  <si>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</si>
  <si>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</si>
  <si>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</si>
  <si>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</si>
  <si>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</si>
  <si>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</si>
  <si>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</si>
  <si>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</si>
  <si>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</si>
  <si>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</si>
  <si>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</si>
  <si>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</si>
  <si>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</si>
  <si>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</si>
  <si>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</si>
  <si>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</si>
  <si>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</si>
  <si>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</si>
  <si>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</si>
  <si>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</si>
  <si>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</si>
  <si>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</si>
  <si>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</si>
  <si>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</si>
  <si>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</si>
  <si>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</si>
  <si>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</si>
  <si>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</si>
  <si>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</si>
  <si>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</si>
  <si>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</si>
  <si>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</si>
  <si>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</si>
  <si>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</si>
  <si>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</si>
  <si>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</si>
  <si>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</si>
  <si>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</si>
  <si>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</si>
  <si>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</si>
  <si>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</si>
  <si>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</si>
  <si>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</si>
  <si>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</si>
  <si>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</si>
  <si>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</si>
  <si>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</si>
  <si>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</si>
  <si>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</si>
  <si>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</si>
  <si>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</si>
  <si>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</si>
  <si>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</si>
  <si>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</si>
  <si>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</si>
  <si>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</si>
  <si>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</si>
  <si>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</si>
  <si>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</si>
  <si>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</si>
  <si>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</si>
  <si>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</si>
  <si>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</si>
  <si>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</si>
  <si>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</si>
  <si>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</si>
  <si>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</si>
  <si>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</si>
  <si>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</si>
  <si>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</si>
  <si>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</si>
  <si>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</si>
  <si>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</si>
  <si>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</si>
  <si>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</si>
  <si>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</si>
  <si>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</si>
  <si>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</si>
  <si>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</si>
  <si>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</si>
  <si>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</si>
  <si>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</si>
  <si>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</si>
  <si>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</si>
  <si>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</si>
  <si>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</si>
  <si>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</si>
  <si>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</si>
  <si>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</si>
  <si>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</si>
  <si>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</si>
  <si>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</si>
  <si>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</si>
  <si>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</si>
  <si>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</si>
  <si>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</si>
  <si>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</si>
  <si>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</si>
  <si>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</si>
  <si>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</si>
  <si>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</si>
  <si>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</si>
  <si>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</si>
  <si>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</si>
  <si>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</si>
  <si>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1305-A-BLNK  H1</t>
  </si>
  <si>
    <t>1305-A-BLNK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</si>
</sst>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1305-A-BLNK  H1</v>
      </c>
      <c r="Q5" s="348"/>
      <c r="R5" s="226"/>
      <c r="S5" s="226"/>
      <c r="T5" s="226"/>
      <c r="U5" s="349" t="s">
        <v>16</v>
      </c>
      <c r="V5" s="919">
        <f ca="1" xml:space="preserve"> TODAY()</f>
        <v>42577</v>
      </c>
      <c r="W5" s="158"/>
      <c r="X5" s="158"/>
      <c r="Y5" s="158"/>
    </row>
    <row r="6" spans="1:29" ht="18.75" thickBot="1" x14ac:dyDescent="0.3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4.3</v>
      </c>
      <c r="P13" s="158"/>
      <c r="Q13" s="1000" t="s">
        <v>312</v>
      </c>
      <c r="R13" s="969"/>
      <c r="S13" s="1014">
        <f>+C20</f>
        <v>4.75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 t="e">
        <f>IF(I14=0,,H13*VLOOKUP(C28,$R$75:$T$83,2,FALSE)/I14)</f>
        <v>#N/A</v>
      </c>
      <c r="J15" s="318"/>
      <c r="K15" s="158"/>
      <c r="L15" s="967" t="s">
        <v>309</v>
      </c>
      <c r="M15" s="968"/>
      <c r="N15" s="252"/>
      <c r="O15" s="789">
        <v>0.125</v>
      </c>
      <c r="P15" s="158"/>
      <c r="Q15" s="1000" t="s">
        <v>308</v>
      </c>
      <c r="R15" s="969"/>
      <c r="S15" s="788">
        <v>15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119.54878713060997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783.38990029364095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4.4550000000000001</v>
      </c>
      <c r="P18" s="158"/>
      <c r="Q18" s="1000" t="s">
        <v>302</v>
      </c>
      <c r="R18" s="968"/>
      <c r="S18" s="969"/>
      <c r="T18" s="254">
        <f>144-S15</f>
        <v>129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4.75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0.10108843669653331</v>
      </c>
      <c r="J20" s="318"/>
      <c r="K20" s="158"/>
      <c r="L20" s="915" t="s">
        <v>300</v>
      </c>
      <c r="M20" s="909"/>
      <c r="N20" s="913"/>
      <c r="O20" s="789">
        <v>0</v>
      </c>
      <c r="P20" s="158"/>
      <c r="Q20" s="1000" t="s">
        <v>299</v>
      </c>
      <c r="R20" s="969"/>
      <c r="S20" s="252">
        <f>IF(ISERROR(T18/O22),"",T18/O22)</f>
        <v>28.956228956228955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65.282491691136741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4.4550000000000001</v>
      </c>
      <c r="P22" s="158"/>
      <c r="Q22" s="1000" t="s">
        <v>296</v>
      </c>
      <c r="R22" s="968"/>
      <c r="S22" s="968"/>
      <c r="T22" s="203">
        <f>IF(S20="",,S20 - 1)</f>
        <v>27.956228956228955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783.38990029364095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28.022016185380149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 x14ac:dyDescent="0.25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7">
        <v>8</v>
      </c>
      <c r="B28" s="989" t="s">
        <v>676</v>
      </c>
      <c r="C28" s="991"/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6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22.022016185380149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22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163.63636363636363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147.27272727272728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1.593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167.73737373737373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28.956228956228955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1178.1818181818182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27.956228956228955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6.0239672407563534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414.41860465116281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90.359508611345305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28.022016185380149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2.4545454545454546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58.846233989298319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389.64049138865471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956.39029704487973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119.54878713060997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48.057757757926964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119.54878713060997</v>
      </c>
      <c r="Q54" s="972"/>
      <c r="R54" s="970" t="s">
        <v>702</v>
      </c>
      <c r="S54" s="323" t="s">
        <v>247</v>
      </c>
      <c r="T54" s="324"/>
      <c r="U54" s="324"/>
      <c r="V54" s="347">
        <f>O24</f>
        <v>28.022016185380149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 t="e">
        <f>I15</f>
        <v>#N/A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0.10108843669653331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19.615411329766104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10.788476231371359</v>
      </c>
      <c r="E62" s="146"/>
      <c r="F62" s="304">
        <v>68</v>
      </c>
      <c r="G62" s="180" t="s">
        <v>231</v>
      </c>
      <c r="H62" s="182"/>
      <c r="I62" s="181" t="e">
        <f>SUM(I53:I61)</f>
        <v>#N/A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 t="e">
        <f>+H63*SUM(I55:I57)</f>
        <v>#N/A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48.057757757926964</v>
      </c>
      <c r="E64" s="146"/>
      <c r="F64" s="165">
        <v>70</v>
      </c>
      <c r="G64" s="167" t="s">
        <v>352</v>
      </c>
      <c r="H64" s="166"/>
      <c r="I64" s="162" t="e">
        <f>+I63+I62</f>
        <v>#N/A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42577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 t="e">
        <f>'Summary Sign Off'!F32</f>
        <v>#N/A</v>
      </c>
      <c r="J36" s="57" t="e">
        <f t="shared" ref="J36:R36" si="1">+I36</f>
        <v>#N/A</v>
      </c>
      <c r="K36" s="57" t="e">
        <f t="shared" si="1"/>
        <v>#N/A</v>
      </c>
      <c r="L36" s="57" t="e">
        <f t="shared" si="1"/>
        <v>#N/A</v>
      </c>
      <c r="M36" s="57" t="e">
        <f t="shared" si="1"/>
        <v>#N/A</v>
      </c>
      <c r="N36" s="57" t="e">
        <f t="shared" si="1"/>
        <v>#N/A</v>
      </c>
      <c r="O36" s="57" t="e">
        <f t="shared" si="1"/>
        <v>#N/A</v>
      </c>
      <c r="P36" s="57" t="e">
        <f t="shared" si="1"/>
        <v>#N/A</v>
      </c>
      <c r="Q36" s="57" t="e">
        <f t="shared" si="1"/>
        <v>#N/A</v>
      </c>
      <c r="R36" s="57" t="e">
        <f t="shared" si="1"/>
        <v>#N/A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 t="e">
        <f>IF(I20="N/A"," ",SUM(I36:I44))</f>
        <v>#N/A</v>
      </c>
      <c r="J45" s="60" t="e">
        <f>IF(J20="N/A"," ",SUM(J36:J44))</f>
        <v>#N/A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 t="e">
        <f t="shared" ref="I47:R47" si="4">IF(I20="N/A"," ",I45*(1-I51))</f>
        <v>#N/A</v>
      </c>
      <c r="J47" s="26" t="e">
        <f t="shared" si="4"/>
        <v>#N/A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 t="e">
        <f ca="1">IRR(OFFSET(G76,0,0,1,(2+H12)))</f>
        <v>#VALUE!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 t="e">
        <f ca="1">IF(D61=" "," ",SUM(OFFSET(G146,0,0,1,(2+H$12))))</f>
        <v>#N/A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 t="e">
        <f ca="1">IF(D62=" "," ",SUM(OFFSET(G147,0,0,1,(2+H$12))))</f>
        <v>#N/A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 t="e">
        <f ca="1">IF(D63=" "," ",SUM(OFFSET(G148,0,0,1,(2+H$12))))</f>
        <v>#N/A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e">
        <f ca="1">IF(OFFSET(F152,0,(2+H12),1,1)&lt;0,"&gt;"&amp;(F151+H12),(F151+SUM(OFFSET(I153,0,0,1,H12))))</f>
        <v>#N/A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 t="e">
        <f t="shared" ref="I71:R71" si="7">I47</f>
        <v>#N/A</v>
      </c>
      <c r="J71" s="26" t="e">
        <f t="shared" si="7"/>
        <v>#N/A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 t="e">
        <f>SUM(G71:R71)</f>
        <v>#N/A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 t="e">
        <f>IF(I20="N/A","",SUM(I71:I74))</f>
        <v>#N/A</v>
      </c>
      <c r="J76" s="26" t="e">
        <f>IF(J20="N/A","",SUM(J71:J74))</f>
        <v>#N/A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 t="e">
        <f>SUM(G76:R76)</f>
        <v>#N/A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 t="e">
        <f>IF(I20="N/A","",(H77+I76))</f>
        <v>#N/A</v>
      </c>
      <c r="J77" s="26" t="e">
        <f>IF(J20="N/A","",(I77+J76))</f>
        <v>#N/A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 t="e">
        <f t="shared" si="16"/>
        <v>#N/A</v>
      </c>
      <c r="J90" s="65" t="e">
        <f t="shared" si="16"/>
        <v>#N/A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 t="e">
        <f t="shared" ref="S90:S99" si="17">SUM(G90:R90)</f>
        <v>#N/A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 t="e">
        <f t="shared" si="16"/>
        <v>#N/A</v>
      </c>
      <c r="J99" s="65" t="e">
        <f t="shared" si="16"/>
        <v>#N/A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 t="e">
        <f t="shared" si="17"/>
        <v>#N/A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 t="e">
        <f t="shared" si="18"/>
        <v>#N/A</v>
      </c>
      <c r="J101" s="26" t="e">
        <f t="shared" si="18"/>
        <v>#N/A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 t="e">
        <f>SUM(G101:R101)</f>
        <v>#N/A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42577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 t="e">
        <f t="shared" si="26"/>
        <v>#N/A</v>
      </c>
      <c r="J145" s="65" t="e">
        <f t="shared" si="26"/>
        <v>#N/A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 t="e">
        <f>SUM(G145:R145)</f>
        <v>#N/A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 t="e">
        <f>IF(I20="N/A","",(I$145/((1+$D12)^(1/2)*(1+$D12)^(I$143-1))))</f>
        <v>#N/A</v>
      </c>
      <c r="J146" s="80" t="e">
        <f>IF(J20="N/A","",(J$145/((1+$D12)^(1/2)*(1+$D12)^(J$143-1))))</f>
        <v>#N/A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 t="e">
        <f>SUM(G146:R146)</f>
        <v>#N/A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 t="e">
        <f>IF(I20="N/A","",(I$145/((1+$D13)^(1/2)*(1+$D13)^(I$143-1))))</f>
        <v>#N/A</v>
      </c>
      <c r="J147" s="80" t="e">
        <f>IF(J20="N/A","",(J$145/((1+$D13)^(1/2)*(1+$D13)^(J$143-1))))</f>
        <v>#N/A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 t="e">
        <f>SUM(G147:R147)</f>
        <v>#N/A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 t="e">
        <f>IF(I20="N/A","",(I$145/((1+$D14)^(1/2)*(1+$D14)^(I$143-1))))</f>
        <v>#N/A</v>
      </c>
      <c r="J148" s="80" t="e">
        <f>IF(J20="N/A","",(J$145/((1+$D14)^(1/2)*(1+$D14)^(J$143-1))))</f>
        <v>#N/A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 t="e">
        <f>SUM(G148:R148)</f>
        <v>#N/A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 t="e">
        <f>IF(I20="N/A","",(H152+I145))</f>
        <v>#N/A</v>
      </c>
      <c r="J152" s="80" t="e">
        <f>IF(J20="N/A","",(I152+J145))</f>
        <v>#N/A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e">
        <f>IF(I20="N/A","",(IF(AND(H152&lt;0,I152&gt;=0),H143+H152/-I145,"")))</f>
        <v>#N/A</v>
      </c>
      <c r="J153" s="14" t="e">
        <f>IF(J20="N/A","",(IF(AND(I152&lt;0,J152&gt;=0),I143+I152/-J145,"")))</f>
        <v>#N/A</v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48.072373142542347</v>
      </c>
      <c r="F23" s="120">
        <f>E23</f>
        <v>48.072373142542347</v>
      </c>
    </row>
    <row r="24" spans="2:28" x14ac:dyDescent="0.2">
      <c r="B24" s="115" t="s">
        <v>44</v>
      </c>
      <c r="C24" s="108"/>
      <c r="D24" s="111"/>
      <c r="E24" s="111" t="e">
        <f>Assembly!H96</f>
        <v>#N/A</v>
      </c>
      <c r="F24" s="120" t="e">
        <f>E24</f>
        <v>#N/A</v>
      </c>
    </row>
    <row r="25" spans="2:28" x14ac:dyDescent="0.2">
      <c r="B25" s="121" t="s">
        <v>40</v>
      </c>
      <c r="C25" s="108"/>
      <c r="D25" s="361"/>
      <c r="E25" s="122" t="e">
        <f>Assembly!H97</f>
        <v>#N/A</v>
      </c>
      <c r="F25" s="123" t="e">
        <f>E25-Assembly!H85-Assembly!H86-Assembly!H88-Assembly!H89-'Machined Part #1'!I54-'Machined Part #1'!I58-'Pacific Quote #2'!I50-'Pacific Quote #2'!I54-'Pacific Quote #3'!I50-'Pacific Quote #3'!I54</f>
        <v>#N/A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 t="e">
        <f>E22-E23-E24-E25</f>
        <v>#N/A</v>
      </c>
      <c r="F26" s="120" t="e">
        <f>F22-F23-F24-F25</f>
        <v>#N/A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 t="e">
        <f>E26-E27</f>
        <v>#N/A</v>
      </c>
      <c r="F28" s="120" t="e">
        <f>F26-F27</f>
        <v>#N/A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 t="e">
        <f>E28*E31</f>
        <v>#N/A</v>
      </c>
      <c r="F32" s="127" t="e">
        <f>F28*F31</f>
        <v>#N/A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 t="str">
        <f ca="1">IF(ISERROR('Cash Flow'!F62),"",'Cash Flow'!F62)</f>
        <v/>
      </c>
    </row>
    <row r="35" spans="2:9" x14ac:dyDescent="0.2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48.072373142542347</v>
      </c>
      <c r="F34" s="395" t="e">
        <f>'Machined Part #1'!I55+'Machined Part #1'!I56+'Machined Part #1'!I57</f>
        <v>#N/A</v>
      </c>
      <c r="G34" s="468" t="e">
        <f>'Machined Part #1'!I63+'Machined Part #1'!I54+'Machined Part #1'!I58</f>
        <v>#N/A</v>
      </c>
      <c r="H34" s="327" t="e">
        <f>'Machined Part #1'!I64</f>
        <v>#N/A</v>
      </c>
      <c r="I34" s="327"/>
      <c r="J34" s="843" t="e">
        <f t="shared" ref="J34:J43" si="1">$H34</f>
        <v>#N/A</v>
      </c>
      <c r="K34" s="811"/>
      <c r="L34" s="327"/>
      <c r="M34" s="327" t="e">
        <f t="shared" ref="M34:M43" si="2">$H34</f>
        <v>#N/A</v>
      </c>
      <c r="N34" s="811"/>
      <c r="O34" s="327"/>
      <c r="P34" s="327" t="e">
        <f t="shared" ref="P34:P43" si="3">$H34</f>
        <v>#N/A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 t="e">
        <f>SUM(H34:H43)</f>
        <v>#N/A</v>
      </c>
      <c r="I44" s="467"/>
      <c r="J44" s="846" t="e">
        <f>SUM(J34:J43)</f>
        <v>#N/A</v>
      </c>
      <c r="K44" s="813"/>
      <c r="L44" s="467"/>
      <c r="M44" s="467" t="e">
        <f>SUM(M34:M43)</f>
        <v>#N/A</v>
      </c>
      <c r="N44" s="813"/>
      <c r="O44" s="467"/>
      <c r="P44" s="467" t="e">
        <f>SUM(P34:P43)</f>
        <v>#N/A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48.072373142542347</v>
      </c>
      <c r="I95" s="478"/>
      <c r="J95" s="861" t="e">
        <f>J65+SUM(F46:F55)+SUM(F34:F43)+J32</f>
        <v>#N/A</v>
      </c>
      <c r="K95" s="816"/>
      <c r="L95" s="478"/>
      <c r="M95" s="478" t="e">
        <f>M65+SUM(G46:G55)+SUM(G34:G43)+M32</f>
        <v>#N/A</v>
      </c>
      <c r="N95" s="816"/>
      <c r="O95" s="478"/>
      <c r="P95" s="478" t="e">
        <f>P65+SUM(H46:H55)+SUM(H34:H43)+P32</f>
        <v>#N/A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 t="e">
        <f>H80+SUM(F46:F55)+SUM(F34:F43)</f>
        <v>#N/A</v>
      </c>
      <c r="I96" s="397"/>
      <c r="J96" s="862" t="e">
        <f>J80+SUM(G46:G55)+SUM(G34:G43)</f>
        <v>#N/A</v>
      </c>
      <c r="K96" s="822"/>
      <c r="L96" s="397"/>
      <c r="M96" s="397" t="e">
        <f>M80+SUM(H46:H55)+SUM(H34:H43)</f>
        <v>#N/A</v>
      </c>
      <c r="N96" s="822"/>
      <c r="O96" s="397"/>
      <c r="P96" s="397" t="e">
        <f>P80+SUM(J46:J55)+SUM(J34:J43)</f>
        <v>#N/A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 t="e">
        <f>H81+SUM(G46:G55)+SUM(G34:G43)+H91</f>
        <v>#N/A</v>
      </c>
      <c r="I97" s="326"/>
      <c r="J97" s="863" t="e">
        <f>J81+SUM(H46:H55)+SUM(H34:H43)+J91</f>
        <v>#N/A</v>
      </c>
      <c r="K97" s="815"/>
      <c r="L97" s="326"/>
      <c r="M97" s="326" t="e">
        <f>M81+SUM(J46:J55)+SUM(J34:J43)+M91</f>
        <v>#N/A</v>
      </c>
      <c r="N97" s="815"/>
      <c r="O97" s="326"/>
      <c r="P97" s="326" t="e">
        <f>P81+SUM(M46:M55)+SUM(M34:M43)+P91</f>
        <v>#N/A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 t="e">
        <f>SUM(H95:H98)</f>
        <v>#N/A</v>
      </c>
      <c r="I99" s="360"/>
      <c r="J99" s="865" t="e">
        <f>SUM(J95:J98)</f>
        <v>#N/A</v>
      </c>
      <c r="K99" s="817"/>
      <c r="L99" s="360"/>
      <c r="M99" s="360" t="e">
        <f>SUM(M95:M98)</f>
        <v>#N/A</v>
      </c>
      <c r="N99" s="817"/>
      <c r="O99" s="360"/>
      <c r="P99" s="360" t="e">
        <f>SUM(P95:P98)</f>
        <v>#N/A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 t="e">
        <f>'Summary Sign Off'!E32</f>
        <v>#N/A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2016-07-26T16:13:20Z</dcterms:modified>
</cp:coreProperties>
</file>