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20" yWindow="270" windowWidth="12105" windowHeight="912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25725"/>
</workbook>
</file>

<file path=xl/calcChain.xml><?xml version="1.0" encoding="utf-8"?>
<calcChain xmlns="http://schemas.openxmlformats.org/spreadsheetml/2006/main">
  <c r="O38" i="10"/>
  <c r="S13"/>
  <c r="V5"/>
  <c r="T29" l="1"/>
  <c r="C1"/>
  <c r="H59" i="1"/>
  <c r="I9" i="10" l="1"/>
  <c r="I10" s="1"/>
  <c r="I14"/>
  <c r="I31"/>
  <c r="F33" i="5"/>
  <c r="G115" i="6" l="1"/>
  <c r="H115"/>
  <c r="I115"/>
  <c r="B116"/>
  <c r="S116"/>
  <c r="G117"/>
  <c r="H117"/>
  <c r="I117"/>
  <c r="S118"/>
  <c r="B121"/>
  <c r="G122"/>
  <c r="H122"/>
  <c r="J122"/>
  <c r="K122"/>
  <c r="S123"/>
  <c r="B126"/>
  <c r="S126"/>
  <c r="G127"/>
  <c r="H127"/>
  <c r="I127"/>
  <c r="J127"/>
  <c r="K127"/>
  <c r="S128"/>
  <c r="B131"/>
  <c r="S131"/>
  <c r="G132"/>
  <c r="H132"/>
  <c r="I132"/>
  <c r="J132"/>
  <c r="K132"/>
  <c r="S133"/>
  <c r="G137"/>
  <c r="H137"/>
  <c r="I137"/>
  <c r="D19" i="17" l="1"/>
  <c r="D19" i="16"/>
  <c r="D18" s="1"/>
  <c r="P17" i="1" l="1"/>
  <c r="P16"/>
  <c r="P15"/>
  <c r="P14"/>
  <c r="P13"/>
  <c r="P12"/>
  <c r="P11"/>
  <c r="P10"/>
  <c r="P9"/>
  <c r="M17"/>
  <c r="M16"/>
  <c r="M15"/>
  <c r="M14"/>
  <c r="M13"/>
  <c r="M12"/>
  <c r="M11"/>
  <c r="M10"/>
  <c r="M9"/>
  <c r="J17"/>
  <c r="J16"/>
  <c r="J15"/>
  <c r="J14"/>
  <c r="J13"/>
  <c r="J12"/>
  <c r="J11"/>
  <c r="J10"/>
  <c r="J9"/>
  <c r="H17"/>
  <c r="H16"/>
  <c r="H15"/>
  <c r="H14"/>
  <c r="H13"/>
  <c r="H12"/>
  <c r="H11"/>
  <c r="H10"/>
  <c r="H9"/>
  <c r="C12" i="37"/>
  <c r="B19" i="38" s="1"/>
  <c r="C11" i="37"/>
  <c r="C19" i="38" s="1"/>
  <c r="C5" i="37"/>
  <c r="A8" i="38" s="1"/>
  <c r="C4" i="37"/>
  <c r="A7" i="38" s="1"/>
  <c r="C24"/>
  <c r="C23"/>
  <c r="C22"/>
  <c r="H21"/>
  <c r="E21"/>
  <c r="D21"/>
  <c r="C21"/>
  <c r="B21"/>
  <c r="H20"/>
  <c r="E20"/>
  <c r="D20"/>
  <c r="C20"/>
  <c r="B20"/>
  <c r="H19"/>
  <c r="E19"/>
  <c r="D19"/>
  <c r="A10"/>
  <c r="A9"/>
  <c r="J30" i="37"/>
  <c r="E30"/>
  <c r="D30"/>
  <c r="J28"/>
  <c r="E28"/>
  <c r="D28"/>
  <c r="J27"/>
  <c r="H27"/>
  <c r="E27"/>
  <c r="D27"/>
  <c r="J26"/>
  <c r="H26"/>
  <c r="E26"/>
  <c r="D26"/>
  <c r="J25"/>
  <c r="H25"/>
  <c r="E25"/>
  <c r="D25"/>
  <c r="C25"/>
  <c r="C30" s="1"/>
  <c r="C22" s="1"/>
  <c r="J21"/>
  <c r="J29" s="1"/>
  <c r="E20"/>
  <c r="D20"/>
  <c r="H28"/>
  <c r="C28"/>
  <c r="H20"/>
  <c r="C27"/>
  <c r="G20"/>
  <c r="F20"/>
  <c r="E21"/>
  <c r="D21"/>
  <c r="C26"/>
  <c r="H24" i="38"/>
  <c r="H23"/>
  <c r="F21" i="37"/>
  <c r="F23" s="1"/>
  <c r="F31" s="1"/>
  <c r="I15"/>
  <c r="D24" i="38"/>
  <c r="D23"/>
  <c r="D22"/>
  <c r="B24"/>
  <c r="B23"/>
  <c r="B22"/>
  <c r="J37" i="37" l="1"/>
  <c r="J36"/>
  <c r="J35"/>
  <c r="J33"/>
  <c r="J34"/>
  <c r="D37"/>
  <c r="P32" i="1"/>
  <c r="J32"/>
  <c r="E33" i="37"/>
  <c r="E35"/>
  <c r="E34"/>
  <c r="H33"/>
  <c r="H34"/>
  <c r="H35"/>
  <c r="D33"/>
  <c r="D34"/>
  <c r="D35"/>
  <c r="E37"/>
  <c r="D29"/>
  <c r="D36" s="1"/>
  <c r="D23"/>
  <c r="D31" s="1"/>
  <c r="D38" s="1"/>
  <c r="C37"/>
  <c r="E29"/>
  <c r="E36" s="1"/>
  <c r="E23"/>
  <c r="E31" s="1"/>
  <c r="E38" s="1"/>
  <c r="C34"/>
  <c r="C35"/>
  <c r="C33"/>
  <c r="G21"/>
  <c r="G23" s="1"/>
  <c r="G31" s="1"/>
  <c r="E22" i="38"/>
  <c r="C20" i="37"/>
  <c r="H21"/>
  <c r="H23" s="1"/>
  <c r="H31" s="1"/>
  <c r="H38" s="1"/>
  <c r="J23"/>
  <c r="J31" s="1"/>
  <c r="J38" s="1"/>
  <c r="F25"/>
  <c r="F38" s="1"/>
  <c r="F26"/>
  <c r="F27"/>
  <c r="F28"/>
  <c r="F29"/>
  <c r="F36" s="1"/>
  <c r="F30"/>
  <c r="H22" i="38"/>
  <c r="E23"/>
  <c r="C21" i="37"/>
  <c r="G25"/>
  <c r="G26"/>
  <c r="G27"/>
  <c r="G28"/>
  <c r="G30"/>
  <c r="G37" s="1"/>
  <c r="E24" i="38"/>
  <c r="H30" i="37"/>
  <c r="H37" s="1"/>
  <c r="H29" l="1"/>
  <c r="H36" s="1"/>
  <c r="M32" i="1"/>
  <c r="G35" i="37"/>
  <c r="G34"/>
  <c r="I27"/>
  <c r="G38"/>
  <c r="G33"/>
  <c r="C29"/>
  <c r="C23"/>
  <c r="C31" s="1"/>
  <c r="I25"/>
  <c r="I16" s="1"/>
  <c r="F35"/>
  <c r="I26"/>
  <c r="I28"/>
  <c r="G29"/>
  <c r="G36" s="1"/>
  <c r="F37"/>
  <c r="F33"/>
  <c r="I18"/>
  <c r="F34"/>
  <c r="I30"/>
  <c r="I34" l="1"/>
  <c r="I35"/>
  <c r="I19"/>
  <c r="C38"/>
  <c r="I31"/>
  <c r="I22"/>
  <c r="I37"/>
  <c r="I17"/>
  <c r="I20" s="1"/>
  <c r="I33"/>
  <c r="C36"/>
  <c r="I29"/>
  <c r="I21" l="1"/>
  <c r="I36"/>
  <c r="I23"/>
  <c r="I38"/>
  <c r="L48" i="30" l="1"/>
  <c r="L41"/>
  <c r="L32"/>
  <c r="J13"/>
  <c r="C17" s="1"/>
  <c r="L17" s="1"/>
  <c r="J11"/>
  <c r="L48" i="29"/>
  <c r="L41"/>
  <c r="L32"/>
  <c r="J13"/>
  <c r="C17" s="1"/>
  <c r="L17" s="1"/>
  <c r="J11"/>
  <c r="H31" i="1"/>
  <c r="H30"/>
  <c r="H29"/>
  <c r="H28"/>
  <c r="H18"/>
  <c r="H19"/>
  <c r="H20"/>
  <c r="H21"/>
  <c r="H22"/>
  <c r="H23"/>
  <c r="H24"/>
  <c r="H25"/>
  <c r="H26"/>
  <c r="H27"/>
  <c r="L48" i="35"/>
  <c r="L41"/>
  <c r="L32"/>
  <c r="J13"/>
  <c r="L13" s="1"/>
  <c r="C15" s="1"/>
  <c r="L15" s="1"/>
  <c r="L18" s="1"/>
  <c r="L51" s="1"/>
  <c r="J11"/>
  <c r="L48" i="34"/>
  <c r="L41"/>
  <c r="L32"/>
  <c r="J13"/>
  <c r="L13" s="1"/>
  <c r="C15" s="1"/>
  <c r="L15" s="1"/>
  <c r="L18" s="1"/>
  <c r="L51" s="1"/>
  <c r="J11"/>
  <c r="L48" i="33"/>
  <c r="L41"/>
  <c r="L32"/>
  <c r="J13"/>
  <c r="L13" s="1"/>
  <c r="C15" s="1"/>
  <c r="L15" s="1"/>
  <c r="L18" s="1"/>
  <c r="L51" s="1"/>
  <c r="J11"/>
  <c r="L48" i="32"/>
  <c r="L41"/>
  <c r="L32"/>
  <c r="J13"/>
  <c r="L13" s="1"/>
  <c r="C15" s="1"/>
  <c r="L15" s="1"/>
  <c r="L18" s="1"/>
  <c r="L51" s="1"/>
  <c r="J11"/>
  <c r="L48" i="31"/>
  <c r="L41"/>
  <c r="L32"/>
  <c r="J13"/>
  <c r="L13" s="1"/>
  <c r="C15" s="1"/>
  <c r="L15" s="1"/>
  <c r="L18" s="1"/>
  <c r="L51" s="1"/>
  <c r="J11"/>
  <c r="P59" i="28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7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6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5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4"/>
  <c r="P58"/>
  <c r="D58"/>
  <c r="P57"/>
  <c r="D57"/>
  <c r="D51"/>
  <c r="D52" s="1"/>
  <c r="D53" s="1"/>
  <c r="I46"/>
  <c r="I57" s="1"/>
  <c r="I40"/>
  <c r="I56" s="1"/>
  <c r="D39"/>
  <c r="O17" s="1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3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D36" s="1"/>
  <c r="S10"/>
  <c r="O10"/>
  <c r="I6"/>
  <c r="I11" s="1"/>
  <c r="I12" s="1"/>
  <c r="I51" s="1"/>
  <c r="V2"/>
  <c r="P2"/>
  <c r="P59" i="22"/>
  <c r="P58"/>
  <c r="D58"/>
  <c r="P57"/>
  <c r="D57"/>
  <c r="D51"/>
  <c r="D52" s="1"/>
  <c r="D53" s="1"/>
  <c r="I46"/>
  <c r="I57" s="1"/>
  <c r="I40"/>
  <c r="I56" s="1"/>
  <c r="D39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H50" i="1"/>
  <c r="H51"/>
  <c r="H52"/>
  <c r="H53"/>
  <c r="H54"/>
  <c r="AA28" i="5"/>
  <c r="AA27"/>
  <c r="AA26"/>
  <c r="G89" i="1"/>
  <c r="G88"/>
  <c r="G86"/>
  <c r="G85"/>
  <c r="H89"/>
  <c r="H88"/>
  <c r="H86"/>
  <c r="H85"/>
  <c r="AE77"/>
  <c r="AE76"/>
  <c r="AE75"/>
  <c r="AE74"/>
  <c r="AE73"/>
  <c r="AE72"/>
  <c r="AB28" i="5"/>
  <c r="AB27"/>
  <c r="AB26"/>
  <c r="I73" i="6"/>
  <c r="I51"/>
  <c r="H12"/>
  <c r="D27" i="5" l="1"/>
  <c r="O15" i="22"/>
  <c r="O19" s="1"/>
  <c r="D36" i="25"/>
  <c r="D36" i="27"/>
  <c r="D36" i="28"/>
  <c r="L13" i="29"/>
  <c r="C15" s="1"/>
  <c r="L15" s="1"/>
  <c r="L18" s="1"/>
  <c r="L51" s="1"/>
  <c r="P85" i="1"/>
  <c r="M85"/>
  <c r="J85"/>
  <c r="J86"/>
  <c r="P86"/>
  <c r="M86"/>
  <c r="D36" i="24"/>
  <c r="D36" i="26"/>
  <c r="M88" i="1"/>
  <c r="J88"/>
  <c r="P88"/>
  <c r="P89"/>
  <c r="M89"/>
  <c r="J89"/>
  <c r="P50"/>
  <c r="M50"/>
  <c r="J50"/>
  <c r="L13" i="30"/>
  <c r="C15" s="1"/>
  <c r="L15" s="1"/>
  <c r="L18" s="1"/>
  <c r="L51" s="1"/>
  <c r="K20" i="6"/>
  <c r="K147" s="1"/>
  <c r="K119"/>
  <c r="M119"/>
  <c r="O119"/>
  <c r="Q119"/>
  <c r="K124"/>
  <c r="M124"/>
  <c r="O124"/>
  <c r="Q124"/>
  <c r="K129"/>
  <c r="M129"/>
  <c r="O129"/>
  <c r="Q129"/>
  <c r="K134"/>
  <c r="M134"/>
  <c r="O134"/>
  <c r="Q134"/>
  <c r="J119"/>
  <c r="L119"/>
  <c r="N119"/>
  <c r="P119"/>
  <c r="R119"/>
  <c r="L124"/>
  <c r="N124"/>
  <c r="P124"/>
  <c r="R124"/>
  <c r="J129"/>
  <c r="L129"/>
  <c r="N129"/>
  <c r="P129"/>
  <c r="R129"/>
  <c r="J134"/>
  <c r="L134"/>
  <c r="N134"/>
  <c r="P134"/>
  <c r="R134"/>
  <c r="L55" i="30"/>
  <c r="L55" i="29"/>
  <c r="O15" i="23"/>
  <c r="O19" s="1"/>
  <c r="O15" i="24"/>
  <c r="O19" s="1"/>
  <c r="L55" i="32"/>
  <c r="L55" i="34"/>
  <c r="O15" i="27"/>
  <c r="O19" s="1"/>
  <c r="O15" i="28"/>
  <c r="O19" s="1"/>
  <c r="D36" i="22"/>
  <c r="O15" i="25"/>
  <c r="O19" s="1"/>
  <c r="O15" i="26"/>
  <c r="O19" s="1"/>
  <c r="L55" i="31"/>
  <c r="L55" i="33"/>
  <c r="L55" i="35"/>
  <c r="C17"/>
  <c r="C17" i="32"/>
  <c r="C17" i="33"/>
  <c r="C17" i="34"/>
  <c r="C17" i="31"/>
  <c r="U45" i="28"/>
  <c r="I7"/>
  <c r="I50" s="1"/>
  <c r="T15"/>
  <c r="D18"/>
  <c r="D20" s="1"/>
  <c r="S14" s="1"/>
  <c r="U45" i="27"/>
  <c r="I7"/>
  <c r="I50" s="1"/>
  <c r="T15"/>
  <c r="S17" s="1"/>
  <c r="D18"/>
  <c r="D20" s="1"/>
  <c r="S14" s="1"/>
  <c r="U45" i="26"/>
  <c r="I7"/>
  <c r="I50" s="1"/>
  <c r="T15"/>
  <c r="S17" s="1"/>
  <c r="D18"/>
  <c r="D20" s="1"/>
  <c r="S14" s="1"/>
  <c r="U45" i="25"/>
  <c r="I7"/>
  <c r="I50" s="1"/>
  <c r="T15"/>
  <c r="D18"/>
  <c r="D20" s="1"/>
  <c r="S14" s="1"/>
  <c r="U45" i="24"/>
  <c r="I7"/>
  <c r="I50" s="1"/>
  <c r="T15"/>
  <c r="D18"/>
  <c r="D20" s="1"/>
  <c r="S14" s="1"/>
  <c r="U45" i="23"/>
  <c r="I7"/>
  <c r="I50" s="1"/>
  <c r="T15"/>
  <c r="S17" s="1"/>
  <c r="D18"/>
  <c r="D20" s="1"/>
  <c r="S14" s="1"/>
  <c r="U45" i="22"/>
  <c r="I7"/>
  <c r="I50" s="1"/>
  <c r="T15"/>
  <c r="S17" s="1"/>
  <c r="D18"/>
  <c r="D20" s="1"/>
  <c r="S14" s="1"/>
  <c r="J20" i="6"/>
  <c r="H47" i="1"/>
  <c r="H48"/>
  <c r="H49"/>
  <c r="H55"/>
  <c r="H46"/>
  <c r="H107"/>
  <c r="H101"/>
  <c r="G81"/>
  <c r="K45" i="6" l="1"/>
  <c r="K76"/>
  <c r="K51"/>
  <c r="K77"/>
  <c r="S17" i="25"/>
  <c r="K148" i="6"/>
  <c r="S119"/>
  <c r="K73"/>
  <c r="K72"/>
  <c r="K153"/>
  <c r="J46" i="1"/>
  <c r="P46"/>
  <c r="M46"/>
  <c r="J91"/>
  <c r="M49"/>
  <c r="J49"/>
  <c r="P49"/>
  <c r="K47" i="6"/>
  <c r="K146"/>
  <c r="P48" i="1"/>
  <c r="M48"/>
  <c r="J48"/>
  <c r="S17" i="24"/>
  <c r="D41" s="1"/>
  <c r="D43" s="1"/>
  <c r="S17" i="28"/>
  <c r="T19" s="1"/>
  <c r="M91" i="1"/>
  <c r="J47"/>
  <c r="P47"/>
  <c r="M47"/>
  <c r="P91"/>
  <c r="K152" i="6"/>
  <c r="K115"/>
  <c r="K117"/>
  <c r="S134"/>
  <c r="S129"/>
  <c r="J115"/>
  <c r="J117"/>
  <c r="K137"/>
  <c r="J17" i="35"/>
  <c r="L17" s="1"/>
  <c r="J17" i="34"/>
  <c r="L17" s="1"/>
  <c r="J17" i="33"/>
  <c r="L17" s="1"/>
  <c r="J17" i="32"/>
  <c r="L17" s="1"/>
  <c r="J17" i="31"/>
  <c r="L17" s="1"/>
  <c r="D41" i="27"/>
  <c r="D43" s="1"/>
  <c r="T19"/>
  <c r="D41" i="26"/>
  <c r="D43" s="1"/>
  <c r="T19"/>
  <c r="D41" i="25"/>
  <c r="D43" s="1"/>
  <c r="T19"/>
  <c r="T19" i="24"/>
  <c r="O21" s="1"/>
  <c r="V50" s="1"/>
  <c r="D44" s="1"/>
  <c r="D45" s="1"/>
  <c r="D60" s="1"/>
  <c r="I49" s="1"/>
  <c r="E39" i="1" s="1"/>
  <c r="D41" i="23"/>
  <c r="D43" s="1"/>
  <c r="T19"/>
  <c r="D41" i="22"/>
  <c r="D43" s="1"/>
  <c r="T19"/>
  <c r="J73" i="6"/>
  <c r="J51"/>
  <c r="H56" i="1"/>
  <c r="D41" i="28" l="1"/>
  <c r="D43" s="1"/>
  <c r="P56" i="1"/>
  <c r="M56"/>
  <c r="J56"/>
  <c r="D42" i="28"/>
  <c r="S40"/>
  <c r="U43" s="1"/>
  <c r="U44" s="1"/>
  <c r="U46" s="1"/>
  <c r="U47" s="1"/>
  <c r="U48" s="1"/>
  <c r="O21"/>
  <c r="V50" s="1"/>
  <c r="D44" s="1"/>
  <c r="D45" s="1"/>
  <c r="D60" s="1"/>
  <c r="I49" s="1"/>
  <c r="D42" i="27"/>
  <c r="S40"/>
  <c r="U43" s="1"/>
  <c r="U44" s="1"/>
  <c r="U46" s="1"/>
  <c r="U47" s="1"/>
  <c r="U48" s="1"/>
  <c r="O21"/>
  <c r="V50" s="1"/>
  <c r="D44" s="1"/>
  <c r="D45" s="1"/>
  <c r="D60" s="1"/>
  <c r="I49" s="1"/>
  <c r="D42" i="26"/>
  <c r="S40"/>
  <c r="U43" s="1"/>
  <c r="U44" s="1"/>
  <c r="U46" s="1"/>
  <c r="U47" s="1"/>
  <c r="U48" s="1"/>
  <c r="O21"/>
  <c r="V50" s="1"/>
  <c r="D44" s="1"/>
  <c r="D45" s="1"/>
  <c r="D60" s="1"/>
  <c r="I49" s="1"/>
  <c r="E41" i="1" s="1"/>
  <c r="D42" i="25"/>
  <c r="S40"/>
  <c r="U43" s="1"/>
  <c r="U44" s="1"/>
  <c r="U46" s="1"/>
  <c r="U47" s="1"/>
  <c r="U48" s="1"/>
  <c r="O21"/>
  <c r="V50" s="1"/>
  <c r="D44" s="1"/>
  <c r="D45" s="1"/>
  <c r="D60" s="1"/>
  <c r="I49" s="1"/>
  <c r="E40" i="1" s="1"/>
  <c r="D42" i="24"/>
  <c r="S40"/>
  <c r="U43" s="1"/>
  <c r="U44" s="1"/>
  <c r="U46" s="1"/>
  <c r="U47" s="1"/>
  <c r="U48" s="1"/>
  <c r="D42" i="23"/>
  <c r="S40"/>
  <c r="U43" s="1"/>
  <c r="U44" s="1"/>
  <c r="U46" s="1"/>
  <c r="U47" s="1"/>
  <c r="U48" s="1"/>
  <c r="O21"/>
  <c r="V50" s="1"/>
  <c r="D44" s="1"/>
  <c r="D45" s="1"/>
  <c r="D60" s="1"/>
  <c r="I49" s="1"/>
  <c r="E38" i="1" s="1"/>
  <c r="D42" i="22"/>
  <c r="S40"/>
  <c r="U43" s="1"/>
  <c r="U44" s="1"/>
  <c r="U46" s="1"/>
  <c r="U47" s="1"/>
  <c r="U48" s="1"/>
  <c r="O21"/>
  <c r="V50" s="1"/>
  <c r="D44" s="1"/>
  <c r="D45" s="1"/>
  <c r="D60" s="1"/>
  <c r="I49" s="1"/>
  <c r="E37" i="1" s="1"/>
  <c r="O12" i="17"/>
  <c r="D34" s="1"/>
  <c r="O10"/>
  <c r="O12" i="16"/>
  <c r="D34" s="1"/>
  <c r="O10"/>
  <c r="P59" i="17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I11" s="1"/>
  <c r="I12" s="1"/>
  <c r="V2"/>
  <c r="P2"/>
  <c r="P59" i="16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V2"/>
  <c r="P2"/>
  <c r="P50" i="28" l="1"/>
  <c r="I14"/>
  <c r="I17" s="1"/>
  <c r="I52" s="1"/>
  <c r="P50" i="27"/>
  <c r="I14"/>
  <c r="I17" s="1"/>
  <c r="I52" s="1"/>
  <c r="P50" i="26"/>
  <c r="I14"/>
  <c r="I17" s="1"/>
  <c r="I52" s="1"/>
  <c r="P50" i="25"/>
  <c r="I14"/>
  <c r="I17" s="1"/>
  <c r="I52" s="1"/>
  <c r="P50" i="24"/>
  <c r="I14"/>
  <c r="I17" s="1"/>
  <c r="I52" s="1"/>
  <c r="F39" i="1" s="1"/>
  <c r="P50" i="23"/>
  <c r="I14"/>
  <c r="I17" s="1"/>
  <c r="I52" s="1"/>
  <c r="P50" i="22"/>
  <c r="I14"/>
  <c r="I17" s="1"/>
  <c r="I52" s="1"/>
  <c r="D36" i="17"/>
  <c r="I11" i="16"/>
  <c r="I12" s="1"/>
  <c r="I51" s="1"/>
  <c r="I51" i="17"/>
  <c r="D36" i="16"/>
  <c r="O15" i="17"/>
  <c r="O15" i="16"/>
  <c r="U45" i="17"/>
  <c r="I15"/>
  <c r="I7"/>
  <c r="I50" s="1"/>
  <c r="T15"/>
  <c r="O17"/>
  <c r="D18"/>
  <c r="D20" s="1"/>
  <c r="S14" s="1"/>
  <c r="U45" i="16"/>
  <c r="I15"/>
  <c r="I7"/>
  <c r="I50" s="1"/>
  <c r="T15"/>
  <c r="O17"/>
  <c r="D20"/>
  <c r="S14" s="1"/>
  <c r="K18" i="18"/>
  <c r="K19" s="1"/>
  <c r="J18"/>
  <c r="J19" s="1"/>
  <c r="I18"/>
  <c r="I19" s="1"/>
  <c r="H18"/>
  <c r="H19" s="1"/>
  <c r="G18"/>
  <c r="G19" s="1"/>
  <c r="F18"/>
  <c r="F19" s="1"/>
  <c r="E18"/>
  <c r="E19" s="1"/>
  <c r="D18"/>
  <c r="D19" s="1"/>
  <c r="C18"/>
  <c r="C19" s="1"/>
  <c r="B18"/>
  <c r="B19" s="1"/>
  <c r="I59" i="22" l="1"/>
  <c r="G37" i="1" s="1"/>
  <c r="F37"/>
  <c r="I59" i="23"/>
  <c r="G38" i="1" s="1"/>
  <c r="F38"/>
  <c r="I59" i="25"/>
  <c r="G40" i="1" s="1"/>
  <c r="F40"/>
  <c r="I59" i="26"/>
  <c r="G41" i="1" s="1"/>
  <c r="F41"/>
  <c r="I59" i="27"/>
  <c r="I59" i="28"/>
  <c r="I58"/>
  <c r="I60" s="1"/>
  <c r="H43" i="1" s="1"/>
  <c r="I58" i="27"/>
  <c r="I58" i="26"/>
  <c r="I58" i="25"/>
  <c r="I60" s="1"/>
  <c r="H40" i="1" s="1"/>
  <c r="I59" i="24"/>
  <c r="G39" i="1" s="1"/>
  <c r="I58" i="24"/>
  <c r="I58" i="23"/>
  <c r="I58" i="22"/>
  <c r="I60" s="1"/>
  <c r="H37" i="1" s="1"/>
  <c r="O19" i="17"/>
  <c r="S17" s="1"/>
  <c r="O19" i="16"/>
  <c r="S17" s="1"/>
  <c r="C21" i="18"/>
  <c r="C20"/>
  <c r="E21"/>
  <c r="E20"/>
  <c r="G21"/>
  <c r="G20"/>
  <c r="I21"/>
  <c r="I20"/>
  <c r="K21"/>
  <c r="K20"/>
  <c r="B21"/>
  <c r="B20"/>
  <c r="D21"/>
  <c r="D20"/>
  <c r="F21"/>
  <c r="F20"/>
  <c r="H21"/>
  <c r="H20"/>
  <c r="J21"/>
  <c r="J20"/>
  <c r="G69" i="1"/>
  <c r="H69" s="1"/>
  <c r="G70"/>
  <c r="H70" s="1"/>
  <c r="G71"/>
  <c r="H71" s="1"/>
  <c r="G72"/>
  <c r="H72" s="1"/>
  <c r="G73"/>
  <c r="H73" s="1"/>
  <c r="G74"/>
  <c r="H74" s="1"/>
  <c r="G75"/>
  <c r="H75" s="1"/>
  <c r="G76"/>
  <c r="H76" s="1"/>
  <c r="G77"/>
  <c r="H77" s="1"/>
  <c r="G78"/>
  <c r="H78" s="1"/>
  <c r="G79"/>
  <c r="H79" s="1"/>
  <c r="G68"/>
  <c r="H68" s="1"/>
  <c r="P63" i="10"/>
  <c r="P62"/>
  <c r="P61"/>
  <c r="D22" s="1"/>
  <c r="D56"/>
  <c r="D57" s="1"/>
  <c r="D58" s="1"/>
  <c r="I50"/>
  <c r="I61" s="1"/>
  <c r="I44"/>
  <c r="I60" s="1"/>
  <c r="D44"/>
  <c r="I38"/>
  <c r="I59" s="1"/>
  <c r="S35"/>
  <c r="I58"/>
  <c r="T30"/>
  <c r="D40"/>
  <c r="D39"/>
  <c r="P5"/>
  <c r="T37" l="1"/>
  <c r="T38" s="1"/>
  <c r="U46" s="1"/>
  <c r="U49" s="1"/>
  <c r="I60" i="23"/>
  <c r="H38" i="1" s="1"/>
  <c r="J38" s="1"/>
  <c r="G26" i="29"/>
  <c r="G26" i="30"/>
  <c r="I60" i="26"/>
  <c r="H41" i="1" s="1"/>
  <c r="J41" s="1"/>
  <c r="T18" i="10"/>
  <c r="M79" i="1"/>
  <c r="P79"/>
  <c r="J79"/>
  <c r="M77"/>
  <c r="P77"/>
  <c r="J77"/>
  <c r="M75"/>
  <c r="P75"/>
  <c r="J75"/>
  <c r="M73"/>
  <c r="P73"/>
  <c r="J73"/>
  <c r="M71"/>
  <c r="P71"/>
  <c r="J71"/>
  <c r="M69"/>
  <c r="P69"/>
  <c r="J69"/>
  <c r="J43"/>
  <c r="P43"/>
  <c r="M43"/>
  <c r="P68"/>
  <c r="J68"/>
  <c r="M68"/>
  <c r="P78"/>
  <c r="J78"/>
  <c r="M78"/>
  <c r="P76"/>
  <c r="J76"/>
  <c r="M76"/>
  <c r="P74"/>
  <c r="J74"/>
  <c r="M74"/>
  <c r="P72"/>
  <c r="J72"/>
  <c r="M72"/>
  <c r="P70"/>
  <c r="J70"/>
  <c r="M70"/>
  <c r="J37"/>
  <c r="P37"/>
  <c r="M37"/>
  <c r="P40"/>
  <c r="M40"/>
  <c r="J40"/>
  <c r="I60" i="27"/>
  <c r="H42" i="1" s="1"/>
  <c r="S68" i="26"/>
  <c r="S69" s="1"/>
  <c r="S70" s="1"/>
  <c r="S71" s="1"/>
  <c r="S68" i="25"/>
  <c r="S69" s="1"/>
  <c r="S70" s="1"/>
  <c r="S71" s="1"/>
  <c r="S68" i="28"/>
  <c r="S69" s="1"/>
  <c r="S70" s="1"/>
  <c r="S71" s="1"/>
  <c r="S68" i="27"/>
  <c r="S69" s="1"/>
  <c r="S70" s="1"/>
  <c r="S71" s="1"/>
  <c r="S68" i="22"/>
  <c r="S69" s="1"/>
  <c r="S70" s="1"/>
  <c r="S71" s="1"/>
  <c r="S68" i="24"/>
  <c r="S69" s="1"/>
  <c r="S70" s="1"/>
  <c r="S71" s="1"/>
  <c r="S68" i="23"/>
  <c r="S69" s="1"/>
  <c r="S70" s="1"/>
  <c r="S71" s="1"/>
  <c r="S68" i="17"/>
  <c r="S69" s="1"/>
  <c r="S70" s="1"/>
  <c r="S71" s="1"/>
  <c r="S68" i="16"/>
  <c r="S69" s="1"/>
  <c r="S70" s="1"/>
  <c r="S71" s="1"/>
  <c r="S75" i="10"/>
  <c r="S76" s="1"/>
  <c r="S77" s="1"/>
  <c r="S78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s="1"/>
  <c r="S74" i="24"/>
  <c r="I20" s="1"/>
  <c r="S74" i="28"/>
  <c r="I20" s="1"/>
  <c r="S74" i="27"/>
  <c r="I20" s="1"/>
  <c r="S74" i="26"/>
  <c r="I20" s="1"/>
  <c r="S74" i="23"/>
  <c r="I20" s="1"/>
  <c r="S74" i="22"/>
  <c r="I20" s="1"/>
  <c r="S74" i="17"/>
  <c r="I20" s="1"/>
  <c r="I22" s="1"/>
  <c r="I53" s="1"/>
  <c r="S74" i="16"/>
  <c r="I20" s="1"/>
  <c r="I22" s="1"/>
  <c r="I53" s="1"/>
  <c r="S81" i="10"/>
  <c r="I23" s="1"/>
  <c r="I25" s="1"/>
  <c r="I57" s="1"/>
  <c r="I60" i="24"/>
  <c r="H39" i="1" s="1"/>
  <c r="H91"/>
  <c r="P56" i="10"/>
  <c r="D41" i="17"/>
  <c r="D43" s="1"/>
  <c r="T19"/>
  <c r="D41" i="16"/>
  <c r="T19"/>
  <c r="D41" i="10"/>
  <c r="O18"/>
  <c r="O22" s="1"/>
  <c r="D21"/>
  <c r="D23" s="1"/>
  <c r="S17" s="1"/>
  <c r="M38" i="1" l="1"/>
  <c r="P38"/>
  <c r="M41"/>
  <c r="P41"/>
  <c r="D45" i="10"/>
  <c r="L29" i="30"/>
  <c r="L31"/>
  <c r="L30"/>
  <c r="L30" i="29"/>
  <c r="L29"/>
  <c r="L31"/>
  <c r="S20" i="10"/>
  <c r="T22" s="1"/>
  <c r="J39" i="1"/>
  <c r="P39"/>
  <c r="M39"/>
  <c r="P80"/>
  <c r="P81" s="1"/>
  <c r="P42"/>
  <c r="M42"/>
  <c r="J42"/>
  <c r="M80"/>
  <c r="M81" s="1"/>
  <c r="J80"/>
  <c r="J81" s="1"/>
  <c r="L31" i="31"/>
  <c r="L29"/>
  <c r="L33" s="1"/>
  <c r="L53" s="1"/>
  <c r="L56" s="1"/>
  <c r="L58" s="1"/>
  <c r="L30"/>
  <c r="L31" i="33"/>
  <c r="L30"/>
  <c r="L29"/>
  <c r="L33" s="1"/>
  <c r="L53" s="1"/>
  <c r="L56" s="1"/>
  <c r="L58" s="1"/>
  <c r="L31" i="34"/>
  <c r="L29"/>
  <c r="L33" s="1"/>
  <c r="L53" s="1"/>
  <c r="L30"/>
  <c r="L31" i="35"/>
  <c r="L30"/>
  <c r="L29"/>
  <c r="L33" s="1"/>
  <c r="L53" s="1"/>
  <c r="L31" i="32"/>
  <c r="L30"/>
  <c r="L29"/>
  <c r="L33" s="1"/>
  <c r="L53" s="1"/>
  <c r="L56" s="1"/>
  <c r="L58" s="1"/>
  <c r="D42" i="17"/>
  <c r="S40"/>
  <c r="U43" s="1"/>
  <c r="U44" s="1"/>
  <c r="U46" s="1"/>
  <c r="U47" s="1"/>
  <c r="U48" s="1"/>
  <c r="I14" s="1"/>
  <c r="O21"/>
  <c r="V50" s="1"/>
  <c r="D44" s="1"/>
  <c r="D42" i="16"/>
  <c r="D43" s="1"/>
  <c r="S40"/>
  <c r="U43" s="1"/>
  <c r="U44" s="1"/>
  <c r="U46" s="1"/>
  <c r="U47" s="1"/>
  <c r="U48" s="1"/>
  <c r="I14" s="1"/>
  <c r="O21"/>
  <c r="V50" s="1"/>
  <c r="D44" s="1"/>
  <c r="F22" i="5"/>
  <c r="D46" i="10" l="1"/>
  <c r="L33" i="29"/>
  <c r="L53" s="1"/>
  <c r="L33" i="30"/>
  <c r="L53" s="1"/>
  <c r="L56" i="34"/>
  <c r="L56" i="35"/>
  <c r="H80" i="1"/>
  <c r="H81" s="1"/>
  <c r="D57" i="17"/>
  <c r="D58" s="1"/>
  <c r="D45"/>
  <c r="P50"/>
  <c r="I17"/>
  <c r="I52" s="1"/>
  <c r="D57" i="16"/>
  <c r="D58" s="1"/>
  <c r="D45"/>
  <c r="P50"/>
  <c r="I17"/>
  <c r="I52" s="1"/>
  <c r="D47" i="10"/>
  <c r="S44"/>
  <c r="U47" s="1"/>
  <c r="O24"/>
  <c r="V54" l="1"/>
  <c r="D49" s="1"/>
  <c r="D61" s="1"/>
  <c r="D62" s="1"/>
  <c r="O32"/>
  <c r="U48"/>
  <c r="U50" s="1"/>
  <c r="U51" s="1"/>
  <c r="D48"/>
  <c r="L56" i="29"/>
  <c r="L56" i="30"/>
  <c r="L58" i="35"/>
  <c r="L58" i="34"/>
  <c r="I59" i="16"/>
  <c r="G35" i="1" s="1"/>
  <c r="F35"/>
  <c r="I59" i="17"/>
  <c r="G36" i="1" s="1"/>
  <c r="F36"/>
  <c r="D60" i="17"/>
  <c r="I49" s="1"/>
  <c r="D60" i="16"/>
  <c r="I49" s="1"/>
  <c r="D50" i="10" l="1"/>
  <c r="D64" s="1"/>
  <c r="I53" s="1"/>
  <c r="E34" i="1" s="1"/>
  <c r="U52" i="10"/>
  <c r="P54" s="1"/>
  <c r="L58" i="30"/>
  <c r="L58" i="29"/>
  <c r="I58" i="17"/>
  <c r="I60" s="1"/>
  <c r="H36" i="1" s="1"/>
  <c r="E36"/>
  <c r="I58" i="16"/>
  <c r="I60" s="1"/>
  <c r="H35" i="1" s="1"/>
  <c r="E35"/>
  <c r="I17" i="10" l="1"/>
  <c r="I20" s="1"/>
  <c r="I56" s="1"/>
  <c r="P36" i="1"/>
  <c r="J36"/>
  <c r="M36"/>
  <c r="P35"/>
  <c r="M35"/>
  <c r="J35"/>
  <c r="H25" i="6"/>
  <c r="J211"/>
  <c r="I211"/>
  <c r="H211"/>
  <c r="G211"/>
  <c r="F211"/>
  <c r="E211"/>
  <c r="D211"/>
  <c r="K143"/>
  <c r="J143"/>
  <c r="I143"/>
  <c r="H143"/>
  <c r="G143"/>
  <c r="B110"/>
  <c r="D108"/>
  <c r="D107"/>
  <c r="D106"/>
  <c r="F101"/>
  <c r="C98"/>
  <c r="C97"/>
  <c r="C96"/>
  <c r="C95"/>
  <c r="C94"/>
  <c r="C93"/>
  <c r="C92"/>
  <c r="C91"/>
  <c r="C90"/>
  <c r="C84"/>
  <c r="C83"/>
  <c r="C82"/>
  <c r="S74"/>
  <c r="G73"/>
  <c r="K69"/>
  <c r="K93" s="1"/>
  <c r="J69"/>
  <c r="J83" s="1"/>
  <c r="I69"/>
  <c r="I84" s="1"/>
  <c r="H69"/>
  <c r="H92" s="1"/>
  <c r="G69"/>
  <c r="G93" s="1"/>
  <c r="F58"/>
  <c r="F56"/>
  <c r="H51"/>
  <c r="G51"/>
  <c r="G72" s="1"/>
  <c r="K44"/>
  <c r="J44"/>
  <c r="I44"/>
  <c r="H44"/>
  <c r="H45" s="1"/>
  <c r="H47" s="1"/>
  <c r="H71" s="1"/>
  <c r="G44"/>
  <c r="G45"/>
  <c r="K35"/>
  <c r="J35"/>
  <c r="I35"/>
  <c r="H35"/>
  <c r="G35"/>
  <c r="D63"/>
  <c r="D62"/>
  <c r="D61"/>
  <c r="K4"/>
  <c r="C110" s="1"/>
  <c r="F27" i="5"/>
  <c r="R20" i="6"/>
  <c r="R143" s="1"/>
  <c r="J82"/>
  <c r="I85"/>
  <c r="I92"/>
  <c r="I94"/>
  <c r="I96"/>
  <c r="Q20"/>
  <c r="Q147" s="1"/>
  <c r="L20"/>
  <c r="L152" s="1"/>
  <c r="P20"/>
  <c r="P69" s="1"/>
  <c r="P94" s="1"/>
  <c r="L58"/>
  <c r="H84"/>
  <c r="J86"/>
  <c r="I91"/>
  <c r="I93"/>
  <c r="I95"/>
  <c r="I97"/>
  <c r="M20"/>
  <c r="M73" s="1"/>
  <c r="O20"/>
  <c r="O147" s="1"/>
  <c r="I83"/>
  <c r="I86"/>
  <c r="J92"/>
  <c r="J94"/>
  <c r="L77"/>
  <c r="L147"/>
  <c r="H60" i="1"/>
  <c r="H61"/>
  <c r="H62"/>
  <c r="H63"/>
  <c r="H64"/>
  <c r="E31" i="5"/>
  <c r="F31" s="1"/>
  <c r="L153" i="6" l="1"/>
  <c r="L148"/>
  <c r="L143"/>
  <c r="L69"/>
  <c r="L95" s="1"/>
  <c r="L51"/>
  <c r="G95"/>
  <c r="I98"/>
  <c r="P72"/>
  <c r="G82"/>
  <c r="G47"/>
  <c r="G71" s="1"/>
  <c r="G76" s="1"/>
  <c r="M72"/>
  <c r="G91"/>
  <c r="G83"/>
  <c r="G84"/>
  <c r="M47"/>
  <c r="M71" s="1"/>
  <c r="Q51"/>
  <c r="M76"/>
  <c r="M145" s="1"/>
  <c r="G86"/>
  <c r="G96"/>
  <c r="G92"/>
  <c r="G85"/>
  <c r="M51"/>
  <c r="G98"/>
  <c r="G94"/>
  <c r="G90"/>
  <c r="M69"/>
  <c r="M83" s="1"/>
  <c r="G99"/>
  <c r="G97"/>
  <c r="M153"/>
  <c r="M77"/>
  <c r="L76"/>
  <c r="L145" s="1"/>
  <c r="L45"/>
  <c r="J96"/>
  <c r="J85"/>
  <c r="Q152"/>
  <c r="Q73"/>
  <c r="Q153"/>
  <c r="Q143"/>
  <c r="Q44"/>
  <c r="Q72"/>
  <c r="Q69"/>
  <c r="Q92" s="1"/>
  <c r="Q35"/>
  <c r="Q45"/>
  <c r="Q77"/>
  <c r="Q76"/>
  <c r="Q145" s="1"/>
  <c r="O45"/>
  <c r="K82"/>
  <c r="Q146"/>
  <c r="Q47"/>
  <c r="Q71" s="1"/>
  <c r="Q148"/>
  <c r="M84"/>
  <c r="M143"/>
  <c r="M35"/>
  <c r="M93"/>
  <c r="M45"/>
  <c r="M146"/>
  <c r="M148"/>
  <c r="M147"/>
  <c r="K98"/>
  <c r="M152"/>
  <c r="Q93"/>
  <c r="M44"/>
  <c r="L35"/>
  <c r="L146"/>
  <c r="L47"/>
  <c r="L71" s="1"/>
  <c r="K91"/>
  <c r="M63" i="1"/>
  <c r="J63"/>
  <c r="P63"/>
  <c r="P44" i="6"/>
  <c r="J62" i="1"/>
  <c r="P62"/>
  <c r="M62"/>
  <c r="O51" i="6"/>
  <c r="O35"/>
  <c r="H95"/>
  <c r="H91"/>
  <c r="H86"/>
  <c r="P61" i="1"/>
  <c r="M61"/>
  <c r="J61"/>
  <c r="R73" i="6"/>
  <c r="O77"/>
  <c r="O153"/>
  <c r="H82"/>
  <c r="H85"/>
  <c r="M59" i="1"/>
  <c r="J59"/>
  <c r="P59"/>
  <c r="O69" i="6"/>
  <c r="O83" s="1"/>
  <c r="H94"/>
  <c r="P64" i="1"/>
  <c r="M64"/>
  <c r="J64"/>
  <c r="P60"/>
  <c r="M60"/>
  <c r="J60"/>
  <c r="L94" i="6"/>
  <c r="O148"/>
  <c r="H93"/>
  <c r="H99"/>
  <c r="H97"/>
  <c r="I82"/>
  <c r="I87" s="1"/>
  <c r="O143"/>
  <c r="O122"/>
  <c r="O127"/>
  <c r="O132"/>
  <c r="O115"/>
  <c r="O117"/>
  <c r="O137"/>
  <c r="P115"/>
  <c r="P117"/>
  <c r="P137"/>
  <c r="P122"/>
  <c r="P127"/>
  <c r="P132"/>
  <c r="Q122"/>
  <c r="Q127"/>
  <c r="Q132"/>
  <c r="Q115"/>
  <c r="Q117"/>
  <c r="Q137"/>
  <c r="R115"/>
  <c r="R117"/>
  <c r="R137"/>
  <c r="R122"/>
  <c r="R127"/>
  <c r="R132"/>
  <c r="I122"/>
  <c r="S121"/>
  <c r="S136" s="1"/>
  <c r="J124"/>
  <c r="M122"/>
  <c r="M127"/>
  <c r="M132"/>
  <c r="M115"/>
  <c r="M117"/>
  <c r="M137"/>
  <c r="L115"/>
  <c r="L117"/>
  <c r="L137"/>
  <c r="L122"/>
  <c r="L127"/>
  <c r="L132"/>
  <c r="P143"/>
  <c r="P77"/>
  <c r="P76"/>
  <c r="P145" s="1"/>
  <c r="P73"/>
  <c r="P45"/>
  <c r="K94"/>
  <c r="K85"/>
  <c r="H90"/>
  <c r="H98"/>
  <c r="P51"/>
  <c r="P146"/>
  <c r="P47"/>
  <c r="P71" s="1"/>
  <c r="P152"/>
  <c r="L73"/>
  <c r="L44"/>
  <c r="L72"/>
  <c r="K84"/>
  <c r="K87"/>
  <c r="K86"/>
  <c r="H101"/>
  <c r="K96"/>
  <c r="J98"/>
  <c r="H96"/>
  <c r="P148"/>
  <c r="P147"/>
  <c r="P35"/>
  <c r="P153"/>
  <c r="K83"/>
  <c r="K92"/>
  <c r="H32" i="1"/>
  <c r="P101" i="6"/>
  <c r="P82"/>
  <c r="P84"/>
  <c r="P98"/>
  <c r="P83"/>
  <c r="P90"/>
  <c r="P97"/>
  <c r="P95"/>
  <c r="P93"/>
  <c r="M101"/>
  <c r="O44"/>
  <c r="O47"/>
  <c r="O71" s="1"/>
  <c r="O72"/>
  <c r="O152"/>
  <c r="O76"/>
  <c r="O145" s="1"/>
  <c r="O146"/>
  <c r="O73"/>
  <c r="K95"/>
  <c r="K97"/>
  <c r="J91"/>
  <c r="J93"/>
  <c r="J95"/>
  <c r="J97"/>
  <c r="J84"/>
  <c r="H65" i="1"/>
  <c r="H73" i="6"/>
  <c r="P92"/>
  <c r="P85"/>
  <c r="P99"/>
  <c r="P86"/>
  <c r="R147"/>
  <c r="R152"/>
  <c r="O85"/>
  <c r="L92"/>
  <c r="R153"/>
  <c r="P91"/>
  <c r="P87"/>
  <c r="P96"/>
  <c r="R47"/>
  <c r="R71" s="1"/>
  <c r="R146"/>
  <c r="R45"/>
  <c r="O101"/>
  <c r="O93"/>
  <c r="R148"/>
  <c r="R35"/>
  <c r="R76"/>
  <c r="R145" s="1"/>
  <c r="R51"/>
  <c r="O91"/>
  <c r="R69"/>
  <c r="O87"/>
  <c r="R77"/>
  <c r="R44"/>
  <c r="R72"/>
  <c r="N20"/>
  <c r="H83"/>
  <c r="L93" l="1"/>
  <c r="L97"/>
  <c r="L90"/>
  <c r="L84"/>
  <c r="L101"/>
  <c r="L98"/>
  <c r="L99"/>
  <c r="L87"/>
  <c r="L82"/>
  <c r="L85"/>
  <c r="L91"/>
  <c r="L83"/>
  <c r="L86"/>
  <c r="L96"/>
  <c r="Q94"/>
  <c r="Q82"/>
  <c r="Q96"/>
  <c r="Q83"/>
  <c r="Q84"/>
  <c r="G87"/>
  <c r="G77"/>
  <c r="G145"/>
  <c r="G148" s="1"/>
  <c r="M91"/>
  <c r="M86"/>
  <c r="M87"/>
  <c r="M95"/>
  <c r="M99"/>
  <c r="M94"/>
  <c r="M90"/>
  <c r="M96"/>
  <c r="M92"/>
  <c r="M98"/>
  <c r="M97"/>
  <c r="M85"/>
  <c r="G101"/>
  <c r="M82"/>
  <c r="Q86"/>
  <c r="O95"/>
  <c r="O96"/>
  <c r="O90"/>
  <c r="J87"/>
  <c r="Q91"/>
  <c r="Q97"/>
  <c r="O84"/>
  <c r="O99"/>
  <c r="Q99"/>
  <c r="Q85"/>
  <c r="H95" i="1"/>
  <c r="O92" i="6"/>
  <c r="Q101"/>
  <c r="Q95"/>
  <c r="Q90"/>
  <c r="Q87"/>
  <c r="Q98"/>
  <c r="J65" i="1"/>
  <c r="M65"/>
  <c r="P65"/>
  <c r="O82" i="6"/>
  <c r="O86"/>
  <c r="O94"/>
  <c r="O97"/>
  <c r="O98"/>
  <c r="N115"/>
  <c r="N117"/>
  <c r="S117" s="1"/>
  <c r="N137"/>
  <c r="N122"/>
  <c r="S122" s="1"/>
  <c r="N127"/>
  <c r="S127" s="1"/>
  <c r="N132"/>
  <c r="S132" s="1"/>
  <c r="S124"/>
  <c r="S137" s="1"/>
  <c r="J137"/>
  <c r="G152"/>
  <c r="E23" i="5"/>
  <c r="R94" i="6"/>
  <c r="R84"/>
  <c r="R83"/>
  <c r="R96"/>
  <c r="R98"/>
  <c r="R87"/>
  <c r="R93"/>
  <c r="R82"/>
  <c r="R101"/>
  <c r="R86"/>
  <c r="R99"/>
  <c r="R91"/>
  <c r="R97"/>
  <c r="R85"/>
  <c r="R90"/>
  <c r="R92"/>
  <c r="R95"/>
  <c r="N153"/>
  <c r="N35"/>
  <c r="N51"/>
  <c r="N45"/>
  <c r="N147"/>
  <c r="N76"/>
  <c r="N145" s="1"/>
  <c r="N152"/>
  <c r="N77"/>
  <c r="N143"/>
  <c r="N146"/>
  <c r="N47"/>
  <c r="N71" s="1"/>
  <c r="N44"/>
  <c r="N69"/>
  <c r="N148"/>
  <c r="N72"/>
  <c r="N73"/>
  <c r="S73" s="1"/>
  <c r="H87"/>
  <c r="H72"/>
  <c r="H76" s="1"/>
  <c r="H77" s="1"/>
  <c r="I72"/>
  <c r="G146" l="1"/>
  <c r="G151"/>
  <c r="G147"/>
  <c r="N98"/>
  <c r="S98" s="1"/>
  <c r="N94"/>
  <c r="S94" s="1"/>
  <c r="N90"/>
  <c r="N95"/>
  <c r="S95" s="1"/>
  <c r="N87"/>
  <c r="S87" s="1"/>
  <c r="N86"/>
  <c r="S86" s="1"/>
  <c r="N91"/>
  <c r="S91" s="1"/>
  <c r="N84"/>
  <c r="S84" s="1"/>
  <c r="N97"/>
  <c r="S97" s="1"/>
  <c r="N96"/>
  <c r="S96" s="1"/>
  <c r="N92"/>
  <c r="S92" s="1"/>
  <c r="N85"/>
  <c r="S85" s="1"/>
  <c r="N93"/>
  <c r="S93" s="1"/>
  <c r="N99"/>
  <c r="N83"/>
  <c r="S83" s="1"/>
  <c r="N101"/>
  <c r="N82"/>
  <c r="S82" s="1"/>
  <c r="H145"/>
  <c r="H151" s="1"/>
  <c r="J72" l="1"/>
  <c r="H152"/>
  <c r="H147"/>
  <c r="H146"/>
  <c r="H148"/>
  <c r="F151" l="1"/>
  <c r="S72"/>
  <c r="F23" i="5"/>
  <c r="I54" i="10" l="1"/>
  <c r="I15"/>
  <c r="I55" l="1"/>
  <c r="I62" l="1"/>
  <c r="I63"/>
  <c r="G34" i="1" s="1"/>
  <c r="H97" s="1"/>
  <c r="F34"/>
  <c r="J95" l="1"/>
  <c r="H96"/>
  <c r="E24" i="5" s="1"/>
  <c r="F24" s="1"/>
  <c r="M95" i="1"/>
  <c r="I64" i="10"/>
  <c r="H34" i="1" s="1"/>
  <c r="J34" s="1"/>
  <c r="J96"/>
  <c r="E25" i="5"/>
  <c r="F25" s="1"/>
  <c r="J97" i="1" l="1"/>
  <c r="J99" s="1"/>
  <c r="H44"/>
  <c r="P95"/>
  <c r="M96"/>
  <c r="M34"/>
  <c r="P97" s="1"/>
  <c r="P34"/>
  <c r="P44" s="1"/>
  <c r="H99"/>
  <c r="J44"/>
  <c r="P96"/>
  <c r="M97"/>
  <c r="F26" i="5"/>
  <c r="F28" s="1"/>
  <c r="E26"/>
  <c r="M44" i="1" l="1"/>
  <c r="M99"/>
  <c r="P99"/>
  <c r="F29" i="5"/>
  <c r="F32"/>
  <c r="I36" i="6" s="1"/>
  <c r="I45" s="1"/>
  <c r="I47" s="1"/>
  <c r="I90" l="1"/>
  <c r="J36"/>
  <c r="J45" s="1"/>
  <c r="J47" s="1"/>
  <c r="I99"/>
  <c r="J90" l="1"/>
  <c r="K36"/>
  <c r="L36" s="1"/>
  <c r="M36" s="1"/>
  <c r="N36" s="1"/>
  <c r="O36" s="1"/>
  <c r="P36" s="1"/>
  <c r="Q36" s="1"/>
  <c r="R36" s="1"/>
  <c r="I71"/>
  <c r="I76" s="1"/>
  <c r="I101"/>
  <c r="J99"/>
  <c r="K90"/>
  <c r="S90" l="1"/>
  <c r="I145"/>
  <c r="I77"/>
  <c r="K99"/>
  <c r="S99" s="1"/>
  <c r="J71"/>
  <c r="J76" s="1"/>
  <c r="J101"/>
  <c r="I148" l="1"/>
  <c r="I152"/>
  <c r="I146"/>
  <c r="I147"/>
  <c r="J77"/>
  <c r="J145"/>
  <c r="J148" s="1"/>
  <c r="F60"/>
  <c r="F35" i="5" s="1"/>
  <c r="K71" i="6"/>
  <c r="K101"/>
  <c r="S101" s="1"/>
  <c r="I153" l="1"/>
  <c r="J152"/>
  <c r="J153" s="1"/>
  <c r="J146"/>
  <c r="J147"/>
  <c r="S71"/>
  <c r="F64"/>
  <c r="F61" l="1"/>
  <c r="F62"/>
  <c r="F34" i="5" s="1"/>
  <c r="K145" i="6"/>
  <c r="S76"/>
  <c r="F63"/>
  <c r="S146" l="1"/>
  <c r="S147"/>
  <c r="S148"/>
  <c r="S145"/>
  <c r="E27" i="5" l="1"/>
  <c r="E28" s="1"/>
  <c r="E29" l="1"/>
  <c r="H103" i="1" s="1"/>
  <c r="E32" i="5"/>
  <c r="H105" i="1" s="1"/>
</calcChain>
</file>

<file path=xl/sharedStrings.xml><?xml version="1.0" encoding="utf-8"?>
<sst xmlns="http://schemas.openxmlformats.org/spreadsheetml/2006/main" count="3072" uniqueCount="710">
  <si>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</si>
  <si>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</si>
  <si>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</si>
  <si>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</si>
  <si>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</si>
  <si>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</si>
  <si>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</si>
  <si>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</si>
  <si>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</si>
  <si>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</si>
  <si>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</si>
  <si>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</si>
  <si>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</si>
  <si>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</si>
  <si>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</si>
  <si>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</si>
  <si>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</si>
  <si>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</si>
  <si>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</si>
  <si>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</si>
  <si>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</si>
  <si>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</si>
  <si>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</si>
  <si>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</si>
  <si>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</si>
  <si>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</si>
  <si>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</si>
  <si>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</si>
  <si>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</si>
  <si>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</si>
  <si>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</si>
  <si>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</si>
  <si>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</si>
  <si>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</si>
  <si>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</si>
  <si>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</si>
  <si>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</si>
  <si>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</si>
  <si>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</si>
  <si>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</si>
  <si>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</si>
  <si>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</si>
  <si>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</si>
  <si>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</si>
  <si>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</si>
  <si>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</si>
  <si>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</si>
  <si>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</si>
  <si>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</si>
  <si>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</si>
  <si>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</si>
  <si>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</si>
  <si>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</si>
  <si>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</si>
  <si>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</si>
  <si>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</si>
  <si>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</si>
  <si>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</si>
  <si>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</si>
  <si>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</si>
  <si>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</si>
  <si>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</si>
  <si>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</si>
  <si>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</si>
  <si>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</si>
  <si>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</si>
  <si>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</si>
  <si>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</si>
  <si>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</si>
  <si>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</si>
  <si>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</si>
  <si>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</si>
  <si>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</si>
  <si>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</si>
  <si>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</si>
  <si>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</si>
  <si>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</si>
  <si>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</si>
  <si>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</si>
  <si>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</si>
  <si>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</si>
  <si>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</si>
  <si>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</si>
  <si>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</si>
  <si>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</si>
  <si>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</si>
  <si>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</si>
  <si>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</si>
  <si>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</si>
  <si>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</si>
  <si>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</si>
  <si>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</si>
  <si>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</si>
  <si>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</si>
  <si>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</si>
  <si>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</si>
  <si>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</si>
  <si>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</si>
  <si>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</si>
  <si>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</si>
  <si>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</si>
  <si>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</si>
  <si>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</si>
  <si>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</si>
  <si>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</si>
  <si>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</si>
  <si>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</si>
  <si>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</si>
  <si>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</si>
  <si>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</si>
  <si>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</si>
  <si>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</si>
  <si>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</si>
  <si>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</si>
  <si>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</si>
  <si>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</si>
  <si>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</si>
  <si>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</si>
  <si>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</si>
  <si>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</si>
  <si>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</si>
  <si>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</si>
  <si>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</si>
  <si>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</si>
  <si>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</si>
  <si>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</si>
  <si>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</si>
  <si>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</si>
  <si>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</si>
  <si>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</si>
  <si>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</si>
  <si>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</si>
  <si>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</si>
  <si>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</si>
  <si>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</si>
  <si>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</si>
  <si>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</si>
  <si>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</si>
  <si>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</si>
  <si>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</si>
  <si>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</si>
  <si>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</si>
  <si>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</si>
  <si>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</si>
  <si>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</si>
  <si>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</si>
  <si>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</si>
  <si>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</si>
  <si>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</si>
  <si>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</si>
  <si>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</si>
  <si>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</si>
  <si>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</si>
  <si>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</si>
  <si>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</si>
  <si>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</si>
  <si>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</si>
  <si>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</si>
  <si>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</si>
  <si>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</si>
  <si>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</si>
  <si>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</si>
  <si>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</si>
  <si>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</si>
  <si>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</si>
  <si>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</si>
  <si>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</si>
  <si>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</si>
  <si>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</si>
  <si>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</si>
  <si>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</si>
  <si>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</si>
  <si>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</si>
  <si>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</si>
  <si>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</si>
  <si>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</si>
  <si>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</si>
  <si>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</si>
  <si>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</si>
  <si>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</si>
  <si>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</si>
  <si>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</si>
  <si>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</si>
  <si>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</si>
  <si>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</si>
  <si>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</si>
  <si>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</si>
  <si>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</si>
  <si>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</si>
  <si>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</si>
  <si>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</si>
  <si>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</si>
  <si>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</si>
  <si>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</si>
  <si>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</si>
  <si>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</si>
  <si>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</si>
  <si>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</si>
  <si>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</si>
  <si>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</si>
  <si>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</si>
  <si>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</si>
  <si>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</si>
  <si>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</si>
  <si>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</si>
  <si>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</si>
  <si>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</si>
  <si>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</si>
  <si>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</si>
  <si>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</si>
  <si>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</si>
  <si>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</si>
  <si>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</si>
  <si>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</si>
  <si>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</si>
  <si>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</si>
  <si>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</si>
  <si>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</si>
  <si>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</si>
  <si>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</si>
  <si>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</si>
  <si>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</si>
  <si>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</si>
  <si>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</si>
  <si>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</si>
  <si>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</si>
  <si>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</si>
  <si>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</si>
  <si>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</si>
  <si>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</si>
  <si>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</si>
  <si>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</si>
  <si>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</si>
  <si>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</si>
  <si>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</si>
  <si>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</si>
  <si>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</si>
  <si>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</si>
  <si>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</si>
  <si>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</si>
  <si>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</si>
  <si>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</si>
  <si>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</si>
  <si>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</si>
  <si>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</si>
  <si>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</si>
  <si>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</si>
  <si>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</si>
  <si>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</si>
  <si>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</si>
  <si>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</si>
  <si>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</si>
  <si>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</si>
  <si>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</si>
  <si>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</si>
  <si>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</si>
  <si>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</si>
  <si>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</si>
  <si>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</si>
  <si>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</si>
  <si>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</si>
  <si>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</si>
  <si>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</si>
  <si>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</si>
  <si>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</si>
  <si>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</si>
  <si>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</si>
  <si>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</si>
  <si>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</si>
  <si>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</si>
  <si>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</si>
  <si>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</si>
  <si>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</si>
  <si>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</si>
  <si>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</si>
  <si>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</si>
  <si>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</si>
  <si>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</si>
  <si>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</si>
  <si>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</si>
  <si>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</si>
  <si>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</si>
  <si>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</si>
  <si>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</si>
  <si>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</si>
  <si>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</si>
  <si>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</si>
  <si>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</si>
  <si>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</si>
  <si>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</si>
  <si>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</si>
  <si>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</si>
  <si>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</si>
  <si>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</si>
  <si>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</si>
  <si>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</si>
  <si>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</si>
  <si>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</si>
  <si>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</si>
  <si>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</si>
  <si>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</si>
  <si>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</si>
  <si>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</si>
  <si>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</si>
  <si>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</si>
  <si>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</si>
  <si>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</si>
  <si>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</si>
  <si>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</si>
  <si>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</si>
  <si>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</si>
  <si>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</si>
  <si>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</si>
  <si>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</si>
  <si>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</si>
  <si>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</si>
  <si>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</si>
  <si>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</si>
  <si>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</si>
  <si>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</si>
  <si>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</si>
  <si>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</si>
  <si>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</si>
  <si>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</si>
  <si>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</si>
  <si>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</si>
  <si>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</si>
  <si>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</si>
  <si>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</si>
  <si>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</si>
  <si>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</si>
  <si>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</si>
  <si>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</si>
  <si>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</si>
  <si>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</si>
  <si>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</si>
  <si>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</si>
  <si>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</si>
  <si>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</si>
  <si>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</si>
  <si>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</si>
  <si>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</si>
  <si>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</si>
  <si>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</si>
  <si>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</si>
  <si>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</si>
  <si>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</si>
  <si>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</si>
  <si>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</si>
  <si>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</si>
  <si>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</si>
  <si>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</si>
  <si>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</si>
  <si>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</si>
  <si>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</si>
  <si>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</si>
  <si>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</si>
  <si>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</si>
  <si>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</si>
  <si>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</si>
  <si>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</si>
  <si>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</si>
  <si>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</si>
  <si>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</si>
  <si>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</si>
  <si>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</si>
  <si>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</si>
  <si>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</si>
  <si>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</si>
  <si>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</si>
  <si>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</si>
  <si>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</si>
  <si>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</si>
  <si>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</si>
  <si>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</si>
  <si>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</si>
  <si>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</si>
  <si>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</si>
  <si>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</si>
  <si>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</si>
  <si>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</si>
  <si>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</si>
  <si>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</si>
  <si>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</si>
  <si>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</si>
  <si>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</si>
  <si>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</si>
  <si>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</si>
  <si>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</si>
  <si>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</si>
  <si>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</si>
  <si>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</si>
  <si>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</si>
  <si>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</si>
  <si>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</si>
  <si>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</si>
  <si>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</si>
  <si>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</si>
  <si>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</si>
  <si>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</si>
  <si>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</si>
  <si>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</si>
  <si>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</si>
  <si>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</si>
  <si>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</si>
  <si>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</si>
  <si>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</si>
  <si>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</si>
  <si>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</si>
  <si>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</si>
  <si>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</si>
  <si>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</si>
  <si>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</si>
  <si>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</si>
  <si>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</si>
  <si>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</si>
  <si>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</si>
  <si>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</si>
  <si>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</si>
  <si>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</si>
  <si>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</si>
  <si>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</si>
  <si>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</si>
  <si>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</si>
  <si>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</si>
  <si>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</si>
  <si>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</si>
  <si>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</si>
  <si>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</si>
  <si>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</si>
  <si>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</si>
  <si>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</si>
  <si>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</si>
  <si>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</si>
  <si>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</si>
  <si>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</si>
  <si>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</si>
  <si>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</si>
  <si>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</si>
  <si>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</si>
  <si>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</si>
  <si>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</si>
  <si>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</si>
  <si>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</si>
  <si>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</si>
  <si>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</si>
  <si>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</si>
  <si>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</si>
  <si>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</si>
  <si>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</si>
  <si>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</si>
  <si>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</si>
  <si>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</si>
  <si>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</si>
  <si>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</si>
  <si>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</si>
  <si>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</si>
  <si>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</si>
  <si>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</si>
  <si>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</si>
  <si>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</si>
  <si>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</si>
  <si>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</si>
  <si>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</si>
  <si>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</si>
  <si>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</si>
  <si>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</si>
  <si>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</si>
  <si>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</si>
  <si>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</si>
  <si>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</si>
  <si>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</si>
  <si>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</si>
  <si>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</si>
  <si>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</si>
  <si>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</si>
  <si>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</si>
  <si>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</si>
  <si>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</si>
  <si>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</si>
  <si>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</si>
  <si>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</si>
  <si>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</si>
  <si>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</si>
  <si>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</si>
  <si>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</si>
  <si>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</si>
  <si>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</si>
  <si>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</si>
  <si>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</si>
  <si>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</si>
  <si>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</si>
  <si>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</si>
  <si>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</si>
  <si>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</si>
  <si>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</si>
  <si>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</si>
  <si>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</si>
  <si>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</si>
  <si>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</si>
  <si>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</si>
  <si>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</si>
  <si>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</si>
  <si>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</si>
  <si>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</si>
  <si>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</si>
  <si>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</si>
  <si>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</si>
  <si>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</si>
  <si>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</si>
  <si>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</si>
  <si>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</si>
  <si>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</si>
  <si>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</si>
  <si>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</si>
  <si>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</si>
  <si>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</si>
  <si>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</si>
  <si>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</si>
  <si>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</si>
  <si>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</si>
  <si>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</si>
  <si>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</si>
  <si>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</si>
  <si>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</si>
  <si>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</si>
  <si>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</si>
  <si>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</si>
  <si>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</si>
  <si>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</si>
  <si>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</si>
  <si>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</si>
  <si>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</si>
  <si>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</si>
  <si>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</si>
  <si>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</si>
  <si>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</si>
  <si>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</si>
  <si>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</si>
  <si>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</si>
  <si>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</si>
  <si>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</si>
  <si>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</si>
  <si>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</si>
  <si>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</si>
  <si>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</si>
  <si>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</si>
  <si>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</si>
  <si>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</si>
  <si>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</si>
  <si>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</si>
  <si>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</si>
  <si>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</si>
  <si>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</si>
  <si>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</si>
  <si>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</si>
  <si>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</si>
  <si>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</si>
  <si>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</si>
  <si>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</si>
  <si>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</si>
  <si>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</si>
  <si>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</si>
  <si>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</si>
  <si>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</si>
  <si>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</si>
  <si>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</si>
  <si>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</si>
  <si>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</si>
  <si>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</si>
  <si>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</si>
  <si>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</si>
  <si>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</si>
  <si>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</si>
  <si>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</si>
  <si>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</si>
  <si>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</si>
  <si>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</si>
  <si>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</si>
  <si>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</si>
  <si>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</si>
  <si>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</si>
  <si>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</si>
  <si>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</si>
  <si>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</si>
  <si>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</si>
  <si>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</si>
  <si>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</si>
  <si>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</si>
  <si>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</si>
  <si>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</si>
  <si>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</si>
  <si>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</si>
  <si>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</si>
  <si>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</si>
  <si>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</si>
  <si>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</si>
  <si>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</si>
  <si>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</si>
  <si>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</si>
  <si>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</si>
  <si>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</si>
  <si>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</si>
  <si>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</si>
  <si>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</si>
  <si>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</si>
  <si>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</si>
  <si>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</si>
  <si>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</si>
  <si>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</si>
  <si>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</si>
  <si>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</si>
  <si>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</si>
  <si>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</si>
  <si>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</si>
  <si>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</si>
  <si>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</si>
  <si>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</si>
  <si>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</si>
  <si>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</si>
  <si>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</si>
  <si>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</si>
  <si>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</si>
  <si>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</si>
  <si>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</si>
  <si>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</si>
  <si>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</si>
  <si>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</si>
  <si>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</si>
  <si>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</si>
  <si>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</si>
  <si>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</si>
  <si>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</si>
  <si>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</si>
  <si>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</si>
  <si>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</si>
  <si>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</si>
  <si>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</si>
  <si>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</si>
  <si>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</si>
  <si>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</si>
  <si>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</si>
  <si>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</si>
  <si>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</si>
  <si>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</si>
  <si>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</si>
  <si>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</si>
  <si>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</si>
  <si>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</si>
  <si>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</si>
  <si>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</si>
  <si>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</si>
  <si>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</si>
  <si>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</si>
  <si>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</si>
  <si>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</si>
  <si>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</si>
  <si>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</si>
  <si>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</si>
  <si>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</si>
  <si>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</si>
  <si>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</si>
  <si>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</si>
  <si>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</si>
  <si>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</si>
  <si>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</si>
  <si>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</si>
  <si>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</si>
  <si>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</si>
  <si>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</si>
  <si>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</si>
  <si>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</si>
  <si>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</si>
  <si>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</si>
  <si>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</si>
  <si>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</si>
  <si>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</si>
  <si>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</si>
  <si>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</si>
  <si>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</si>
  <si>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</si>
  <si>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</si>
  <si>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</si>
  <si>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</si>
  <si>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</si>
  <si>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</si>
  <si>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</si>
  <si>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</si>
  <si>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</si>
  <si>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</si>
  <si>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</si>
  <si>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</si>
  <si>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</si>
  <si>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</si>
  <si>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</si>
  <si>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</si>
  <si>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</si>
  <si>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</si>
  <si>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</si>
  <si>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Rough weight per piece</t>
  </si>
  <si>
    <t>Acme/Davenport</t>
  </si>
  <si>
    <r>
      <rPr>
        <b/>
        <sz val="10"/>
        <rFont val="Arial"/>
        <family val="2"/>
      </rPr>
      <t>D1 ONLY</t>
    </r>
    <r>
      <rPr>
        <sz val="10"/>
        <rFont val="Arial"/>
        <family val="2"/>
      </rPr>
      <t>- Use this rate per Ken 4/4/14</t>
    </r>
  </si>
  <si>
    <t>See Note for D1</t>
  </si>
  <si>
    <t xml:space="preserve">Net production rate @ </t>
  </si>
  <si>
    <t>Gross Cycle Time</t>
  </si>
  <si>
    <t>Net Pcs/Hr @ 80%</t>
  </si>
  <si>
    <t>USE FOR B/S</t>
  </si>
  <si>
    <t>Use this rate</t>
  </si>
  <si>
    <t>143012-13-C     2"</t>
  </si>
  <si>
    <t>143012-13-C</t>
  </si>
</sst>
</file>

<file path=xl/styles.xml><?xml version="1.0" encoding="utf-8"?>
<styleSheet xmlns="http://schemas.openxmlformats.org/spreadsheetml/2006/main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76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0" fontId="0" fillId="5" borderId="17" xfId="0" applyFill="1" applyBorder="1"/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171" fontId="0" fillId="5" borderId="15" xfId="0" applyNumberFormat="1" applyFill="1" applyBorder="1" applyAlignment="1"/>
    <xf numFmtId="1" fontId="0" fillId="21" borderId="17" xfId="0" applyNumberFormat="1" applyFill="1" applyBorder="1" applyAlignment="1"/>
    <xf numFmtId="0" fontId="23" fillId="0" borderId="32" xfId="0" applyFont="1" applyBorder="1" applyAlignment="1"/>
    <xf numFmtId="0" fontId="23" fillId="0" borderId="33" xfId="0" applyFont="1" applyBorder="1" applyAlignment="1"/>
    <xf numFmtId="0" fontId="36" fillId="0" borderId="0" xfId="0" applyFont="1" applyBorder="1"/>
    <xf numFmtId="1" fontId="0" fillId="23" borderId="42" xfId="0" applyNumberFormat="1" applyFill="1" applyBorder="1"/>
    <xf numFmtId="0" fontId="2" fillId="23" borderId="0" xfId="0" applyFont="1" applyFill="1" applyBorder="1"/>
    <xf numFmtId="0" fontId="0" fillId="23" borderId="32" xfId="0" applyFill="1" applyBorder="1" applyAlignment="1"/>
    <xf numFmtId="0" fontId="0" fillId="23" borderId="33" xfId="0" applyFill="1" applyBorder="1" applyAlignment="1"/>
    <xf numFmtId="0" fontId="0" fillId="23" borderId="15" xfId="0" applyFill="1" applyBorder="1" applyAlignment="1"/>
    <xf numFmtId="181" fontId="2" fillId="19" borderId="6" xfId="0" applyNumberFormat="1" applyFont="1" applyFill="1" applyBorder="1"/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0" fontId="15" fillId="23" borderId="34" xfId="0" applyFont="1" applyFill="1" applyBorder="1" applyAlignment="1">
      <alignment horizontal="left"/>
    </xf>
    <xf numFmtId="0" fontId="15" fillId="23" borderId="33" xfId="0" applyFont="1" applyFill="1" applyBorder="1" applyAlignment="1">
      <alignment horizontal="left"/>
    </xf>
    <xf numFmtId="0" fontId="0" fillId="23" borderId="33" xfId="0" applyFill="1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0" fontId="0" fillId="0" borderId="32" xfId="0" applyBorder="1" applyAlignment="1"/>
    <xf numFmtId="0" fontId="0" fillId="0" borderId="33" xfId="0" applyBorder="1" applyAlignment="1"/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12" fillId="19" borderId="6" xfId="0" applyFont="1" applyFill="1" applyBorder="1" applyAlignment="1">
      <alignment horizontal="left"/>
    </xf>
    <xf numFmtId="0" fontId="0" fillId="0" borderId="34" xfId="0" applyBorder="1" applyAlignment="1"/>
    <xf numFmtId="0" fontId="0" fillId="0" borderId="15" xfId="0" applyBorder="1" applyAlignment="1"/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0" fillId="0" borderId="34" xfId="0" applyFill="1" applyBorder="1" applyAlignment="1"/>
    <xf numFmtId="0" fontId="0" fillId="0" borderId="33" xfId="0" applyFill="1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15" fillId="0" borderId="31" xfId="0" applyFont="1" applyBorder="1" applyAlignment="1"/>
    <xf numFmtId="0" fontId="2" fillId="21" borderId="0" xfId="0" applyFont="1" applyFill="1" applyBorder="1" applyAlignment="1">
      <alignment horizontal="center"/>
    </xf>
    <xf numFmtId="0" fontId="0" fillId="21" borderId="0" xfId="0" applyFill="1" applyBorder="1" applyAlignment="1">
      <alignment horizontal="center"/>
    </xf>
    <xf numFmtId="0" fontId="12" fillId="22" borderId="2" xfId="0" applyFont="1" applyFill="1" applyBorder="1" applyAlignment="1">
      <alignment horizontal="center" vertical="center" wrapText="1"/>
    </xf>
    <xf numFmtId="0" fontId="12" fillId="22" borderId="2" xfId="0" applyFont="1" applyFill="1" applyBorder="1" applyAlignment="1">
      <alignment vertical="center"/>
    </xf>
    <xf numFmtId="0" fontId="12" fillId="0" borderId="0" xfId="0" applyFont="1" applyBorder="1" applyAlignment="1">
      <alignment horizontal="left"/>
    </xf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2" fillId="0" borderId="13" xfId="0" applyFont="1" applyBorder="1" applyAlignment="1">
      <alignment horizontal="center"/>
    </xf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3" fillId="21" borderId="0" xfId="0" applyFont="1" applyFill="1" applyBorder="1" applyAlignment="1">
      <alignment horizontal="center" vertical="center" wrapText="1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/>
  <cols>
    <col min="1" max="1" width="18.140625" bestFit="1" customWidth="1"/>
  </cols>
  <sheetData>
    <row r="4" spans="1:1">
      <c r="A4" s="378" t="s">
        <v>653</v>
      </c>
    </row>
    <row r="6" spans="1:1">
      <c r="A6" s="151" t="s">
        <v>650</v>
      </c>
    </row>
    <row r="7" spans="1:1">
      <c r="A7" s="151" t="s">
        <v>651</v>
      </c>
    </row>
    <row r="8" spans="1:1">
      <c r="A8" s="151" t="s">
        <v>652</v>
      </c>
    </row>
    <row r="9" spans="1:1">
      <c r="A9" s="151" t="s">
        <v>655</v>
      </c>
    </row>
    <row r="10" spans="1:1">
      <c r="A10" t="s">
        <v>656</v>
      </c>
    </row>
    <row r="24" spans="1:1">
      <c r="A24" s="378" t="s">
        <v>654</v>
      </c>
    </row>
    <row r="25" spans="1:1">
      <c r="A25" s="400" t="s">
        <v>648</v>
      </c>
    </row>
    <row r="26" spans="1:1">
      <c r="A26" s="400" t="s">
        <v>659</v>
      </c>
    </row>
    <row r="29" spans="1:1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22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23"/>
  <dimension ref="A1:P58"/>
  <sheetViews>
    <sheetView topLeftCell="A31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24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25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AC92"/>
  <sheetViews>
    <sheetView showZeros="0" tabSelected="1" zoomScale="90" zoomScaleNormal="90" workbookViewId="0">
      <selection activeCell="B8" sqref="B8:B14"/>
    </sheetView>
  </sheetViews>
  <sheetFormatPr defaultRowHeight="12.75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>
      <c r="A1" s="872" t="s">
        <v>670</v>
      </c>
      <c r="B1" s="363"/>
      <c r="C1" s="873">
        <f>Assembly!D34</f>
        <v>0</v>
      </c>
    </row>
    <row r="2" spans="1:29">
      <c r="A2" s="872" t="s">
        <v>0</v>
      </c>
      <c r="B2" s="363"/>
      <c r="C2" s="874">
        <v>0</v>
      </c>
    </row>
    <row r="3" spans="1:29">
      <c r="A3" s="870" t="s">
        <v>669</v>
      </c>
      <c r="B3" s="150"/>
      <c r="C3" s="869">
        <v>2</v>
      </c>
    </row>
    <row r="4" spans="1:29" ht="13.5" thickBot="1"/>
    <row r="5" spans="1:29" ht="15.75" thickBot="1">
      <c r="A5" s="262"/>
      <c r="B5" s="266" t="s">
        <v>322</v>
      </c>
      <c r="C5" s="1011" t="s">
        <v>708</v>
      </c>
      <c r="D5" s="1012"/>
      <c r="E5" s="1013"/>
      <c r="F5" s="1013"/>
      <c r="G5" s="1014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143012-13-C     2"</v>
      </c>
      <c r="Q5" s="348"/>
      <c r="R5" s="226"/>
      <c r="S5" s="226"/>
      <c r="T5" s="226"/>
      <c r="U5" s="349" t="s">
        <v>16</v>
      </c>
      <c r="V5" s="920">
        <f ca="1" xml:space="preserve"> TODAY()</f>
        <v>41848</v>
      </c>
      <c r="W5" s="158"/>
      <c r="X5" s="158"/>
      <c r="Y5" s="158"/>
    </row>
    <row r="6" spans="1:29" ht="18.75" thickBot="1">
      <c r="A6" s="965" t="s">
        <v>21</v>
      </c>
      <c r="B6" s="966"/>
      <c r="C6" s="966"/>
      <c r="D6" s="967"/>
      <c r="E6" s="263"/>
      <c r="F6" s="965" t="s">
        <v>320</v>
      </c>
      <c r="G6" s="966"/>
      <c r="H6" s="966"/>
      <c r="I6" s="967"/>
      <c r="J6" s="158"/>
      <c r="K6" s="158"/>
      <c r="L6" s="1020" t="s">
        <v>321</v>
      </c>
      <c r="M6" s="1021"/>
      <c r="N6" s="1021"/>
      <c r="O6" s="1021"/>
      <c r="P6" s="1021"/>
      <c r="Q6" s="1021"/>
      <c r="R6" s="1021"/>
      <c r="S6" s="1021"/>
      <c r="T6" s="1021"/>
      <c r="U6" s="1021"/>
      <c r="V6" s="1022"/>
      <c r="W6" s="158"/>
      <c r="X6" s="158"/>
      <c r="Y6" s="158"/>
    </row>
    <row r="7" spans="1:29" s="4" customFormat="1" ht="15" customHeight="1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>
      <c r="A8" s="1023">
        <v>1</v>
      </c>
      <c r="B8" s="1004" t="s">
        <v>317</v>
      </c>
      <c r="C8" s="1006" t="s">
        <v>339</v>
      </c>
      <c r="D8" s="1008"/>
      <c r="E8" s="204"/>
      <c r="F8" s="443">
        <v>30</v>
      </c>
      <c r="G8" s="157" t="s">
        <v>316</v>
      </c>
      <c r="H8" s="279">
        <v>1800</v>
      </c>
      <c r="I8" s="445"/>
      <c r="J8" s="158"/>
      <c r="K8" s="158"/>
      <c r="L8" s="199"/>
      <c r="M8" s="158"/>
      <c r="N8" s="158"/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>
      <c r="A9" s="1023"/>
      <c r="B9" s="1005"/>
      <c r="C9" s="1007"/>
      <c r="D9" s="1008"/>
      <c r="E9" s="204"/>
      <c r="F9" s="443">
        <v>31</v>
      </c>
      <c r="G9" s="157" t="s">
        <v>315</v>
      </c>
      <c r="H9" s="867">
        <v>999999</v>
      </c>
      <c r="I9" s="450">
        <f>H9/IF(C8="B",0.5,1)</f>
        <v>999999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>
      <c r="A10" s="1023"/>
      <c r="B10" s="1005"/>
      <c r="C10" s="1007"/>
      <c r="D10" s="1008"/>
      <c r="E10" s="204"/>
      <c r="F10" s="175">
        <v>32</v>
      </c>
      <c r="G10" s="202" t="s">
        <v>241</v>
      </c>
      <c r="H10" s="216"/>
      <c r="I10" s="309">
        <f>IF(I9=0,,H8/I9)</f>
        <v>1.8000018000017999E-3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>
      <c r="A11" s="1023"/>
      <c r="B11" s="1005"/>
      <c r="C11" s="1007"/>
      <c r="D11" s="1008"/>
      <c r="E11" s="204"/>
      <c r="F11" s="443"/>
      <c r="G11" s="200" t="s">
        <v>311</v>
      </c>
      <c r="H11" s="176"/>
      <c r="I11" s="445"/>
      <c r="J11" s="318"/>
      <c r="K11" s="158"/>
      <c r="L11" s="199"/>
      <c r="M11" s="1015" t="s">
        <v>314</v>
      </c>
      <c r="N11" s="1016"/>
      <c r="O11" s="1016"/>
      <c r="P11" s="1016"/>
      <c r="Q11" s="1017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>
      <c r="A12" s="1023"/>
      <c r="B12" s="1005"/>
      <c r="C12" s="1007"/>
      <c r="D12" s="1008"/>
      <c r="E12" s="204"/>
      <c r="F12" s="443">
        <v>33</v>
      </c>
      <c r="G12" s="157" t="s">
        <v>448</v>
      </c>
      <c r="H12" s="433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>
      <c r="A13" s="1023"/>
      <c r="B13" s="1005"/>
      <c r="C13" s="1007"/>
      <c r="D13" s="1008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990" t="s">
        <v>313</v>
      </c>
      <c r="M13" s="991"/>
      <c r="N13" s="253"/>
      <c r="O13" s="789">
        <v>0.32</v>
      </c>
      <c r="P13" s="158"/>
      <c r="Q13" s="976" t="s">
        <v>312</v>
      </c>
      <c r="R13" s="986"/>
      <c r="S13" s="1003">
        <f>+C20</f>
        <v>1.0625</v>
      </c>
      <c r="T13" s="986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>
      <c r="A14" s="1023"/>
      <c r="B14" s="1005"/>
      <c r="C14" s="1007"/>
      <c r="D14" s="1008"/>
      <c r="E14" s="204"/>
      <c r="F14" s="448">
        <v>35</v>
      </c>
      <c r="G14" s="256" t="s">
        <v>310</v>
      </c>
      <c r="H14" s="182"/>
      <c r="I14" s="450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>
      <c r="A15" s="1023">
        <v>2</v>
      </c>
      <c r="B15" s="1004" t="s">
        <v>306</v>
      </c>
      <c r="C15" s="1006" t="s">
        <v>343</v>
      </c>
      <c r="D15" s="1010"/>
      <c r="E15" s="204"/>
      <c r="F15" s="175">
        <v>36</v>
      </c>
      <c r="G15" s="202" t="s">
        <v>239</v>
      </c>
      <c r="H15" s="216"/>
      <c r="I15" s="309">
        <f>IF(I14=0,,H13*VLOOKUP(C28,$R$75:$T$83,2,FALSE)/I14)</f>
        <v>3.8666590778984114E-4</v>
      </c>
      <c r="J15" s="318"/>
      <c r="K15" s="158"/>
      <c r="L15" s="985" t="s">
        <v>309</v>
      </c>
      <c r="M15" s="977"/>
      <c r="N15" s="252"/>
      <c r="O15" s="790">
        <v>0.125</v>
      </c>
      <c r="P15" s="158"/>
      <c r="Q15" s="976" t="s">
        <v>308</v>
      </c>
      <c r="R15" s="986"/>
      <c r="S15" s="789">
        <v>5.5</v>
      </c>
      <c r="T15" s="913" t="s">
        <v>693</v>
      </c>
      <c r="U15" s="913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>
      <c r="A16" s="1023"/>
      <c r="B16" s="1005"/>
      <c r="C16" s="1007"/>
      <c r="D16" s="1010"/>
      <c r="E16" s="204"/>
      <c r="F16" s="443"/>
      <c r="G16" s="200" t="s">
        <v>301</v>
      </c>
      <c r="H16" s="176"/>
      <c r="I16" s="445"/>
      <c r="J16" s="318"/>
      <c r="K16" s="158"/>
      <c r="L16" s="915" t="s">
        <v>694</v>
      </c>
      <c r="M16" s="909"/>
      <c r="N16" s="914"/>
      <c r="O16" s="790">
        <v>0.02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>
      <c r="A17" s="1023"/>
      <c r="B17" s="1005"/>
      <c r="C17" s="1007"/>
      <c r="D17" s="1010"/>
      <c r="E17" s="204"/>
      <c r="F17" s="443">
        <v>37</v>
      </c>
      <c r="G17" s="204" t="s">
        <v>452</v>
      </c>
      <c r="H17" s="318"/>
      <c r="I17" s="451">
        <f>IF(OR(C28="HS",C28="HL"),T30,U52)</f>
        <v>296.48881286238725</v>
      </c>
      <c r="J17" s="318"/>
      <c r="K17" s="158"/>
      <c r="L17" s="911" t="s">
        <v>690</v>
      </c>
      <c r="M17" s="912"/>
      <c r="N17" s="158"/>
      <c r="O17" s="158">
        <v>0</v>
      </c>
      <c r="P17" s="158"/>
      <c r="Q17" s="1018" t="s">
        <v>304</v>
      </c>
      <c r="R17" s="1019"/>
      <c r="S17" s="255">
        <f>+D23</f>
        <v>36.196227913723895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>
      <c r="A18" s="1023"/>
      <c r="B18" s="1005"/>
      <c r="C18" s="1007"/>
      <c r="D18" s="1010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990" t="s">
        <v>303</v>
      </c>
      <c r="M18" s="991"/>
      <c r="N18" s="252"/>
      <c r="O18" s="789">
        <f>SUM(O13:O16)</f>
        <v>0.46500000000000002</v>
      </c>
      <c r="P18" s="158"/>
      <c r="Q18" s="976" t="s">
        <v>302</v>
      </c>
      <c r="R18" s="977"/>
      <c r="S18" s="986"/>
      <c r="T18" s="254">
        <f>144-S15</f>
        <v>138.5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>
      <c r="A19" s="1023"/>
      <c r="B19" s="1005"/>
      <c r="C19" s="1009"/>
      <c r="D19" s="1010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>
      <c r="A20" s="795">
        <v>3</v>
      </c>
      <c r="B20" s="157" t="s">
        <v>298</v>
      </c>
      <c r="C20" s="277">
        <v>1.0625</v>
      </c>
      <c r="D20" s="794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4.0760391204403217E-2</v>
      </c>
      <c r="J20" s="318"/>
      <c r="K20" s="158"/>
      <c r="L20" s="916" t="s">
        <v>300</v>
      </c>
      <c r="M20" s="910"/>
      <c r="N20" s="914"/>
      <c r="O20" s="790">
        <v>0.02</v>
      </c>
      <c r="P20" s="158"/>
      <c r="Q20" s="976" t="s">
        <v>299</v>
      </c>
      <c r="R20" s="986"/>
      <c r="S20" s="252">
        <f>IF(ISERROR(T18/O22),"",T18/O22)</f>
        <v>292.00927682901113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>
      <c r="A21" s="796">
        <v>4</v>
      </c>
      <c r="B21" s="793" t="s">
        <v>295</v>
      </c>
      <c r="C21" s="249"/>
      <c r="D21" s="248">
        <f>IF(ISERROR(IF(D22&gt;0,,C21)),,IF(D22&gt;0,,C21))</f>
        <v>0</v>
      </c>
      <c r="E21" s="157"/>
      <c r="F21" s="443"/>
      <c r="G21" s="200" t="s">
        <v>446</v>
      </c>
      <c r="H21" s="176"/>
      <c r="I21" s="445"/>
      <c r="J21" s="318"/>
      <c r="K21" s="158"/>
      <c r="L21" s="962" t="s">
        <v>691</v>
      </c>
      <c r="M21" s="963"/>
      <c r="N21" s="963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3.0163523261436578</v>
      </c>
      <c r="E22" s="204"/>
      <c r="F22" s="443">
        <v>40</v>
      </c>
      <c r="G22" s="204" t="s">
        <v>452</v>
      </c>
      <c r="H22" s="317">
        <v>6000</v>
      </c>
      <c r="I22" s="445"/>
      <c r="J22" s="318"/>
      <c r="K22" s="158"/>
      <c r="L22" s="985" t="s">
        <v>297</v>
      </c>
      <c r="M22" s="986"/>
      <c r="N22" s="235"/>
      <c r="O22" s="250">
        <f>O18*(1+O20)</f>
        <v>0.47430000000000005</v>
      </c>
      <c r="P22" s="158"/>
      <c r="Q22" s="976" t="s">
        <v>296</v>
      </c>
      <c r="R22" s="977"/>
      <c r="S22" s="977"/>
      <c r="T22" s="203">
        <f>IF(S20="",,S20 - 1)</f>
        <v>291.00927682901113</v>
      </c>
      <c r="U22" s="158"/>
      <c r="V22" s="198"/>
      <c r="W22" s="158"/>
      <c r="X22" s="158"/>
      <c r="Y22" s="158"/>
    </row>
    <row r="23" spans="1:29" ht="13.5" thickBot="1">
      <c r="A23" s="304">
        <v>6</v>
      </c>
      <c r="B23" s="180" t="s">
        <v>291</v>
      </c>
      <c r="C23" s="179"/>
      <c r="D23" s="212">
        <f>(D22+D21)*12</f>
        <v>36.196227913723895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>
      <c r="A24" s="1032">
        <v>7</v>
      </c>
      <c r="B24" s="792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974" t="s">
        <v>699</v>
      </c>
      <c r="M24" s="975"/>
      <c r="N24" s="975"/>
      <c r="O24" s="919">
        <f>IF(ISERROR(S17/T22),,S17/T22)</f>
        <v>0.12438169775251454</v>
      </c>
      <c r="P24" s="243" t="s">
        <v>22</v>
      </c>
      <c r="Q24" s="964" t="s">
        <v>692</v>
      </c>
      <c r="R24" s="964"/>
      <c r="S24" s="964"/>
      <c r="T24" s="964"/>
      <c r="U24" s="964"/>
      <c r="V24" s="198"/>
      <c r="W24" s="158"/>
      <c r="X24" s="158"/>
      <c r="Y24" s="158"/>
    </row>
    <row r="25" spans="1:29" s="237" customFormat="1" ht="13.5" thickBot="1">
      <c r="A25" s="1032"/>
      <c r="B25" s="1030" t="s">
        <v>22</v>
      </c>
      <c r="C25" s="1030"/>
      <c r="D25" s="1031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>
      <c r="A26" s="1032"/>
      <c r="B26" s="1030"/>
      <c r="C26" s="1030"/>
      <c r="D26" s="1031"/>
      <c r="E26" s="157"/>
      <c r="F26" s="443"/>
      <c r="G26" s="200" t="s">
        <v>356</v>
      </c>
      <c r="H26" s="176"/>
      <c r="I26" s="445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>
      <c r="A27" s="233"/>
      <c r="B27" s="232" t="s">
        <v>286</v>
      </c>
      <c r="C27" s="231"/>
      <c r="D27" s="230"/>
      <c r="E27" s="157"/>
      <c r="F27" s="307">
        <v>43</v>
      </c>
      <c r="G27" s="1024"/>
      <c r="H27" s="1025"/>
      <c r="I27" s="1026"/>
      <c r="J27" s="158"/>
      <c r="K27" s="158"/>
      <c r="L27" s="971" t="s">
        <v>289</v>
      </c>
      <c r="M27" s="972"/>
      <c r="N27" s="972"/>
      <c r="O27" s="972"/>
      <c r="P27" s="973"/>
      <c r="Q27" s="976" t="s">
        <v>280</v>
      </c>
      <c r="R27" s="977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>
      <c r="A28" s="1032">
        <v>8</v>
      </c>
      <c r="B28" s="1034" t="s">
        <v>676</v>
      </c>
      <c r="C28" s="1006" t="s">
        <v>284</v>
      </c>
      <c r="D28" s="1037"/>
      <c r="E28" s="157"/>
      <c r="F28" s="307"/>
      <c r="G28" s="1027"/>
      <c r="H28" s="1028"/>
      <c r="I28" s="1029"/>
      <c r="J28" s="158"/>
      <c r="K28" s="158"/>
      <c r="L28" s="236"/>
      <c r="M28" s="229"/>
      <c r="N28" s="229"/>
      <c r="O28" s="229"/>
      <c r="P28" s="228"/>
      <c r="Q28" s="978" t="s">
        <v>288</v>
      </c>
      <c r="R28" s="979"/>
      <c r="S28" s="980"/>
      <c r="T28" s="787">
        <v>8</v>
      </c>
      <c r="U28" s="157" t="s">
        <v>698</v>
      </c>
      <c r="V28" s="198"/>
      <c r="W28" s="158"/>
      <c r="X28" s="158"/>
      <c r="Y28" s="158"/>
    </row>
    <row r="29" spans="1:29" ht="15.75" customHeight="1">
      <c r="A29" s="1032"/>
      <c r="B29" s="1034"/>
      <c r="C29" s="1007"/>
      <c r="D29" s="1037"/>
      <c r="E29" s="157"/>
      <c r="F29" s="443">
        <v>44</v>
      </c>
      <c r="G29" s="204" t="s">
        <v>451</v>
      </c>
      <c r="H29" s="159"/>
      <c r="I29" s="450">
        <v>0</v>
      </c>
      <c r="J29" s="158"/>
      <c r="K29" s="158"/>
      <c r="L29" s="917" t="s">
        <v>695</v>
      </c>
      <c r="M29" s="918"/>
      <c r="N29" s="918"/>
      <c r="O29" s="918"/>
      <c r="P29" s="228"/>
      <c r="Q29" s="320" t="s">
        <v>278</v>
      </c>
      <c r="R29" s="321"/>
      <c r="S29" s="319"/>
      <c r="T29" s="234">
        <f>T27/T28</f>
        <v>450</v>
      </c>
      <c r="U29" s="318"/>
      <c r="V29" s="344"/>
      <c r="W29" s="318"/>
      <c r="X29" s="318"/>
      <c r="Y29" s="223"/>
    </row>
    <row r="30" spans="1:29" ht="15.75" customHeight="1" thickBot="1">
      <c r="A30" s="1032"/>
      <c r="B30" s="1034"/>
      <c r="C30" s="1007"/>
      <c r="D30" s="1037"/>
      <c r="E30" s="157"/>
      <c r="F30" s="443">
        <v>45</v>
      </c>
      <c r="G30" s="171" t="s">
        <v>358</v>
      </c>
      <c r="H30" s="452">
        <v>0</v>
      </c>
      <c r="I30" s="306"/>
      <c r="J30" s="158"/>
      <c r="K30" s="158"/>
      <c r="L30" s="917" t="s">
        <v>696</v>
      </c>
      <c r="M30" s="984" t="s">
        <v>709</v>
      </c>
      <c r="N30" s="984"/>
      <c r="O30" s="934">
        <v>4.1000000000000002E-2</v>
      </c>
      <c r="P30" s="158"/>
      <c r="Q30" s="931" t="s">
        <v>287</v>
      </c>
      <c r="R30" s="932"/>
      <c r="S30" s="933"/>
      <c r="T30" s="929">
        <f>IF(ISERROR(T29*0.9),"",T29*0.9)</f>
        <v>405</v>
      </c>
      <c r="U30" s="930" t="s">
        <v>707</v>
      </c>
      <c r="V30" s="198"/>
      <c r="W30" s="158"/>
      <c r="X30" s="318"/>
      <c r="Y30" s="223"/>
    </row>
    <row r="31" spans="1:29" ht="15.75" customHeight="1" thickBot="1">
      <c r="A31" s="1032"/>
      <c r="B31" s="1034"/>
      <c r="C31" s="1007"/>
      <c r="D31" s="1037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>
      <c r="A32" s="1032"/>
      <c r="B32" s="1034"/>
      <c r="C32" s="1007"/>
      <c r="D32" s="1037"/>
      <c r="E32" s="157"/>
      <c r="F32" s="304"/>
      <c r="G32" s="188"/>
      <c r="H32" s="182"/>
      <c r="I32" s="186"/>
      <c r="J32" s="158"/>
      <c r="K32" s="158"/>
      <c r="L32" s="917" t="s">
        <v>697</v>
      </c>
      <c r="M32" s="918"/>
      <c r="N32" s="918"/>
      <c r="O32" s="921">
        <f>O24-O30</f>
        <v>8.3381697752514528E-2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>
      <c r="A33" s="1032"/>
      <c r="B33" s="1034"/>
      <c r="C33" s="1007"/>
      <c r="D33" s="1037"/>
      <c r="E33" s="157"/>
      <c r="F33" s="443"/>
      <c r="G33" s="200" t="s">
        <v>293</v>
      </c>
      <c r="H33" s="176"/>
      <c r="I33" s="445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>
      <c r="A34" s="1032"/>
      <c r="B34" s="1034"/>
      <c r="C34" s="1007"/>
      <c r="D34" s="1037"/>
      <c r="E34" s="157"/>
      <c r="F34" s="307">
        <v>47</v>
      </c>
      <c r="G34" s="981" t="s">
        <v>685</v>
      </c>
      <c r="H34" s="982"/>
      <c r="I34" s="983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>
      <c r="A35" s="1032"/>
      <c r="B35" s="1034"/>
      <c r="C35" s="1007"/>
      <c r="D35" s="1037"/>
      <c r="E35" s="157"/>
      <c r="F35" s="307"/>
      <c r="G35" s="334"/>
      <c r="H35" s="335"/>
      <c r="I35" s="340"/>
      <c r="J35" s="158"/>
      <c r="K35" s="158"/>
      <c r="L35" s="992" t="s">
        <v>683</v>
      </c>
      <c r="M35" s="993"/>
      <c r="N35" s="993"/>
      <c r="O35" s="994"/>
      <c r="P35" s="158"/>
      <c r="Q35" s="985" t="s">
        <v>280</v>
      </c>
      <c r="R35" s="986"/>
      <c r="S35" s="215">
        <f>+T27</f>
        <v>3600</v>
      </c>
      <c r="T35" s="922"/>
      <c r="U35" s="922"/>
      <c r="V35" s="923"/>
      <c r="W35" s="318"/>
      <c r="X35" s="318"/>
      <c r="Y35" s="158"/>
    </row>
    <row r="36" spans="1:25" ht="15.75" customHeight="1" thickBot="1">
      <c r="A36" s="1033"/>
      <c r="B36" s="1035"/>
      <c r="C36" s="1036"/>
      <c r="D36" s="1038"/>
      <c r="E36" s="157"/>
      <c r="F36" s="443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976" t="s">
        <v>279</v>
      </c>
      <c r="R36" s="977"/>
      <c r="S36" s="986"/>
      <c r="T36" s="924">
        <v>10.8</v>
      </c>
      <c r="U36" s="157" t="s">
        <v>700</v>
      </c>
      <c r="V36" s="198"/>
      <c r="W36" s="158"/>
      <c r="X36" s="158"/>
      <c r="Y36" s="158"/>
    </row>
    <row r="37" spans="1:25" ht="14.25" customHeight="1" thickTop="1" thickBot="1">
      <c r="A37" s="796"/>
      <c r="B37" s="200" t="s">
        <v>277</v>
      </c>
      <c r="C37" s="168"/>
      <c r="D37" s="794"/>
      <c r="E37" s="157"/>
      <c r="F37" s="443">
        <v>49</v>
      </c>
      <c r="G37" s="171" t="s">
        <v>254</v>
      </c>
      <c r="H37" s="907">
        <v>0.19</v>
      </c>
      <c r="I37" s="306"/>
      <c r="J37" s="158"/>
      <c r="K37" s="158"/>
      <c r="L37" s="997" t="s">
        <v>706</v>
      </c>
      <c r="M37" s="999" t="s">
        <v>704</v>
      </c>
      <c r="N37" s="999"/>
      <c r="O37" s="259"/>
      <c r="P37" s="158"/>
      <c r="Q37" s="320" t="s">
        <v>278</v>
      </c>
      <c r="R37" s="321"/>
      <c r="S37" s="319"/>
      <c r="T37" s="215">
        <f>S35/T36</f>
        <v>333.33333333333331</v>
      </c>
      <c r="U37" s="158"/>
      <c r="V37" s="198"/>
      <c r="W37" s="158"/>
      <c r="X37" s="158"/>
      <c r="Y37" s="158"/>
    </row>
    <row r="38" spans="1:25" ht="13.5" thickBot="1">
      <c r="A38" s="796">
        <v>9</v>
      </c>
      <c r="B38" s="157" t="s">
        <v>276</v>
      </c>
      <c r="C38" s="277">
        <v>1.4379999999999999</v>
      </c>
      <c r="D38" s="794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998"/>
      <c r="M38" s="999" t="s">
        <v>705</v>
      </c>
      <c r="N38" s="999"/>
      <c r="O38" s="928" t="e">
        <f>3600/O37*0.8</f>
        <v>#DIV/0!</v>
      </c>
      <c r="P38" s="318"/>
      <c r="Q38" s="926" t="s">
        <v>703</v>
      </c>
      <c r="R38" s="927"/>
      <c r="S38" s="788">
        <v>0.9</v>
      </c>
      <c r="T38" s="925">
        <f>T37*0.9</f>
        <v>300</v>
      </c>
      <c r="U38" s="214"/>
      <c r="V38" s="344"/>
      <c r="W38" s="318"/>
      <c r="X38" s="158"/>
      <c r="Y38" s="158"/>
    </row>
    <row r="39" spans="1:25" ht="13.5" thickTop="1">
      <c r="A39" s="304">
        <v>10</v>
      </c>
      <c r="B39" s="180" t="s">
        <v>275</v>
      </c>
      <c r="C39" s="179" t="s">
        <v>22</v>
      </c>
      <c r="D39" s="189">
        <f>+O15</f>
        <v>0.125</v>
      </c>
      <c r="E39" s="157"/>
      <c r="F39" s="443"/>
      <c r="G39" s="200" t="s">
        <v>281</v>
      </c>
      <c r="H39" s="176"/>
      <c r="I39" s="445"/>
      <c r="J39" s="158"/>
      <c r="K39" s="158"/>
      <c r="L39" s="199"/>
      <c r="M39" s="158"/>
      <c r="N39" s="158"/>
      <c r="O39" s="158"/>
      <c r="P39" s="158"/>
      <c r="S39" s="995" t="s">
        <v>701</v>
      </c>
      <c r="T39" s="996"/>
      <c r="U39" s="996"/>
      <c r="V39" s="344"/>
      <c r="W39" s="318"/>
      <c r="X39" s="158"/>
      <c r="Y39" s="158"/>
    </row>
    <row r="40" spans="1:25" ht="13.5" thickBot="1">
      <c r="A40" s="304">
        <v>11</v>
      </c>
      <c r="B40" s="180" t="s">
        <v>273</v>
      </c>
      <c r="C40" s="179"/>
      <c r="D40" s="189">
        <f>+O16</f>
        <v>0.02</v>
      </c>
      <c r="E40" s="157"/>
      <c r="F40" s="443">
        <v>51</v>
      </c>
      <c r="G40" s="439" t="s">
        <v>24</v>
      </c>
      <c r="H40" s="440"/>
      <c r="I40" s="441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>
      <c r="A41" s="175">
        <v>12</v>
      </c>
      <c r="B41" s="202" t="s">
        <v>272</v>
      </c>
      <c r="C41" s="202"/>
      <c r="D41" s="217">
        <f>SUM(D39:D40)+C38</f>
        <v>1.583</v>
      </c>
      <c r="E41" s="157"/>
      <c r="F41" s="443"/>
      <c r="G41" s="908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>
      <c r="A42" s="796"/>
      <c r="B42" s="200" t="s">
        <v>268</v>
      </c>
      <c r="C42" s="168"/>
      <c r="D42" s="794">
        <v>0</v>
      </c>
      <c r="E42" s="157"/>
      <c r="F42" s="443">
        <v>52</v>
      </c>
      <c r="G42" s="204" t="s">
        <v>257</v>
      </c>
      <c r="H42" s="336"/>
      <c r="I42" s="445"/>
      <c r="J42" s="158"/>
      <c r="K42" s="158"/>
      <c r="L42" s="1000" t="s">
        <v>274</v>
      </c>
      <c r="M42" s="1001"/>
      <c r="N42" s="1001"/>
      <c r="O42" s="1001"/>
      <c r="P42" s="1002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>
      <c r="A43" s="796">
        <v>13</v>
      </c>
      <c r="B43" s="157" t="s">
        <v>266</v>
      </c>
      <c r="C43" s="276">
        <v>2.1</v>
      </c>
      <c r="D43" s="794"/>
      <c r="E43" s="157"/>
      <c r="F43" s="443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>
      <c r="A44" s="304">
        <v>14</v>
      </c>
      <c r="B44" s="180" t="s">
        <v>264</v>
      </c>
      <c r="C44" s="179"/>
      <c r="D44" s="286">
        <f>IF(ISERROR(VLOOKUP(C28,L83:M89,2,FALSE)),,VLOOKUP(C28,L83:M89,2,FALSE))</f>
        <v>0.02</v>
      </c>
      <c r="E44" s="157"/>
      <c r="F44" s="444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85" t="s">
        <v>270</v>
      </c>
      <c r="M44" s="977"/>
      <c r="N44" s="986"/>
      <c r="O44" s="284">
        <v>6</v>
      </c>
      <c r="P44" s="214"/>
      <c r="Q44" s="976" t="s">
        <v>269</v>
      </c>
      <c r="R44" s="986"/>
      <c r="S44" s="215">
        <f>T22*O44</f>
        <v>1746.0556609740668</v>
      </c>
      <c r="T44" s="318"/>
      <c r="U44" s="214"/>
      <c r="V44" s="344"/>
      <c r="W44" s="318"/>
      <c r="X44" s="158"/>
      <c r="Y44" s="158"/>
    </row>
    <row r="45" spans="1:25" ht="13.5" thickTop="1">
      <c r="A45" s="304">
        <v>15</v>
      </c>
      <c r="B45" s="180" t="s">
        <v>262</v>
      </c>
      <c r="C45" s="179"/>
      <c r="D45" s="212">
        <f>+S15</f>
        <v>5.5</v>
      </c>
      <c r="E45" s="157"/>
      <c r="F45" s="443"/>
      <c r="G45" s="200" t="s">
        <v>267</v>
      </c>
      <c r="H45" s="176"/>
      <c r="I45" s="445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>
      <c r="A46" s="304">
        <v>16</v>
      </c>
      <c r="B46" s="180" t="s">
        <v>260</v>
      </c>
      <c r="C46" s="179"/>
      <c r="D46" s="208">
        <f>+S20</f>
        <v>292.00927682901113</v>
      </c>
      <c r="E46" s="157"/>
      <c r="F46" s="443">
        <v>55</v>
      </c>
      <c r="G46" s="439" t="s">
        <v>24</v>
      </c>
      <c r="H46" s="440"/>
      <c r="I46" s="441"/>
      <c r="K46" s="158"/>
      <c r="L46" s="985" t="s">
        <v>689</v>
      </c>
      <c r="M46" s="977"/>
      <c r="N46" s="977"/>
      <c r="O46" s="977"/>
      <c r="P46" s="977"/>
      <c r="Q46" s="977"/>
      <c r="R46" s="986"/>
      <c r="S46" s="158"/>
      <c r="T46" s="158"/>
      <c r="U46" s="213">
        <f>T38 * 8</f>
        <v>2400</v>
      </c>
      <c r="V46" s="198"/>
      <c r="W46" s="158"/>
      <c r="X46" s="158"/>
      <c r="Y46" s="158"/>
    </row>
    <row r="47" spans="1:25" s="6" customFormat="1">
      <c r="A47" s="304">
        <v>17</v>
      </c>
      <c r="B47" s="180" t="s">
        <v>258</v>
      </c>
      <c r="C47" s="179"/>
      <c r="D47" s="211">
        <f>+T22</f>
        <v>291.00927682901113</v>
      </c>
      <c r="E47" s="157"/>
      <c r="F47" s="443"/>
      <c r="G47" s="337"/>
      <c r="H47" s="338"/>
      <c r="I47" s="341"/>
      <c r="K47" s="158"/>
      <c r="L47" s="985" t="s">
        <v>263</v>
      </c>
      <c r="M47" s="977"/>
      <c r="N47" s="977"/>
      <c r="O47" s="977"/>
      <c r="P47" s="977"/>
      <c r="Q47" s="977"/>
      <c r="R47" s="986"/>
      <c r="S47" s="158"/>
      <c r="T47" s="158"/>
      <c r="U47" s="210">
        <f>IF(ISERROR(U46/S44),"",U46/S44)-1</f>
        <v>0.37452662801202985</v>
      </c>
      <c r="V47" s="198"/>
      <c r="W47" s="158"/>
      <c r="X47" s="158"/>
      <c r="Y47" s="158"/>
    </row>
    <row r="48" spans="1:25" s="6" customFormat="1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41.916476534296038</v>
      </c>
      <c r="E48" s="157"/>
      <c r="F48" s="443">
        <v>56</v>
      </c>
      <c r="G48" s="204" t="s">
        <v>257</v>
      </c>
      <c r="H48" s="333"/>
      <c r="I48" s="445"/>
      <c r="K48" s="158"/>
      <c r="L48" s="985" t="s">
        <v>261</v>
      </c>
      <c r="M48" s="977"/>
      <c r="N48" s="977"/>
      <c r="O48" s="977"/>
      <c r="P48" s="977"/>
      <c r="Q48" s="977"/>
      <c r="R48" s="986"/>
      <c r="S48" s="158"/>
      <c r="T48" s="158"/>
      <c r="U48" s="210">
        <f>U47*15</f>
        <v>5.6178994201804482</v>
      </c>
      <c r="V48" s="198"/>
      <c r="W48" s="158"/>
      <c r="X48" s="158"/>
      <c r="Y48" s="158"/>
    </row>
    <row r="49" spans="1:25" s="6" customFormat="1" ht="13.5" thickBot="1">
      <c r="A49" s="205">
        <v>19</v>
      </c>
      <c r="B49" s="180" t="s">
        <v>252</v>
      </c>
      <c r="C49" s="179"/>
      <c r="D49" s="178">
        <f>+V54</f>
        <v>0.12438169775251454</v>
      </c>
      <c r="E49" s="157"/>
      <c r="F49" s="443">
        <v>57</v>
      </c>
      <c r="G49" s="171" t="s">
        <v>254</v>
      </c>
      <c r="H49" s="281"/>
      <c r="I49" s="207"/>
      <c r="K49" s="158"/>
      <c r="L49" s="987" t="s">
        <v>686</v>
      </c>
      <c r="M49" s="988"/>
      <c r="N49" s="988"/>
      <c r="O49" s="988"/>
      <c r="P49" s="988"/>
      <c r="Q49" s="988"/>
      <c r="R49" s="989"/>
      <c r="S49" s="158"/>
      <c r="T49" s="158"/>
      <c r="U49" s="210">
        <f>U46/480</f>
        <v>5</v>
      </c>
      <c r="V49" s="198"/>
      <c r="W49" s="158"/>
      <c r="X49" s="158"/>
      <c r="Y49" s="158"/>
    </row>
    <row r="50" spans="1:25" s="6" customFormat="1" ht="13.5" thickBot="1">
      <c r="A50" s="175">
        <v>20</v>
      </c>
      <c r="B50" s="202" t="s">
        <v>250</v>
      </c>
      <c r="C50" s="173"/>
      <c r="D50" s="172">
        <f>D49*C43</f>
        <v>0.26120156528028055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990" t="s">
        <v>687</v>
      </c>
      <c r="M50" s="991"/>
      <c r="N50" s="991"/>
      <c r="O50" s="991"/>
      <c r="P50" s="991"/>
      <c r="Q50" s="991"/>
      <c r="R50" s="991"/>
      <c r="S50" s="986"/>
      <c r="T50" s="158"/>
      <c r="U50" s="210">
        <f>480 - U48</f>
        <v>474.38210057981956</v>
      </c>
      <c r="V50" s="198"/>
      <c r="W50" s="158"/>
      <c r="X50" s="158"/>
      <c r="Y50" s="158"/>
    </row>
    <row r="51" spans="1:25" s="6" customFormat="1" ht="14.25" thickTop="1" thickBot="1">
      <c r="A51" s="796"/>
      <c r="B51" s="200" t="s">
        <v>237</v>
      </c>
      <c r="C51" s="168"/>
      <c r="D51" s="794"/>
      <c r="E51" s="157"/>
      <c r="F51" s="965" t="s">
        <v>245</v>
      </c>
      <c r="G51" s="966"/>
      <c r="H51" s="966"/>
      <c r="I51" s="967"/>
      <c r="K51" s="158"/>
      <c r="L51" s="985" t="s">
        <v>253</v>
      </c>
      <c r="M51" s="977"/>
      <c r="N51" s="977"/>
      <c r="O51" s="977"/>
      <c r="P51" s="977"/>
      <c r="Q51" s="977"/>
      <c r="R51" s="977"/>
      <c r="S51" s="986"/>
      <c r="T51" s="158"/>
      <c r="U51" s="206">
        <f>U50*U49</f>
        <v>2371.910502899098</v>
      </c>
      <c r="V51" s="198"/>
      <c r="W51" s="158"/>
      <c r="X51" s="158"/>
      <c r="Y51" s="158"/>
    </row>
    <row r="52" spans="1:25" ht="13.5" thickBot="1">
      <c r="A52" s="796">
        <v>21</v>
      </c>
      <c r="B52" s="157" t="s">
        <v>246</v>
      </c>
      <c r="C52" s="276">
        <v>0.55000000000000004</v>
      </c>
      <c r="D52" s="794"/>
      <c r="E52" s="157"/>
      <c r="F52" s="968"/>
      <c r="G52" s="969"/>
      <c r="H52" s="969"/>
      <c r="I52" s="970"/>
      <c r="K52" s="158"/>
      <c r="L52" s="985" t="s">
        <v>688</v>
      </c>
      <c r="M52" s="977"/>
      <c r="N52" s="977"/>
      <c r="O52" s="977"/>
      <c r="P52" s="977"/>
      <c r="Q52" s="977"/>
      <c r="R52" s="977"/>
      <c r="S52" s="986"/>
      <c r="T52" s="158"/>
      <c r="U52" s="203">
        <f>IF(ISERROR(U51/8),,U51/8)</f>
        <v>296.48881286238725</v>
      </c>
      <c r="V52" s="198"/>
      <c r="W52" s="158"/>
      <c r="X52" s="158"/>
      <c r="Y52" s="158"/>
    </row>
    <row r="53" spans="1:25" ht="13.5" customHeight="1" thickBot="1">
      <c r="A53" s="796"/>
      <c r="B53" s="157"/>
      <c r="C53" s="168"/>
      <c r="D53" s="794"/>
      <c r="E53" s="157"/>
      <c r="F53" s="303">
        <v>59</v>
      </c>
      <c r="G53" s="194" t="s">
        <v>228</v>
      </c>
      <c r="H53" s="193"/>
      <c r="I53" s="192">
        <f>D64</f>
        <v>0.21331461164556245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>
      <c r="A54" s="796"/>
      <c r="B54" s="185" t="s">
        <v>243</v>
      </c>
      <c r="C54" s="168"/>
      <c r="D54" s="794"/>
      <c r="E54" s="157"/>
      <c r="F54" s="304">
        <v>60</v>
      </c>
      <c r="G54" s="188" t="s">
        <v>241</v>
      </c>
      <c r="H54" s="182"/>
      <c r="I54" s="187">
        <f>I10</f>
        <v>1.8000018000017999E-3</v>
      </c>
      <c r="K54" s="158"/>
      <c r="L54" s="1044" t="s">
        <v>248</v>
      </c>
      <c r="M54" s="1045"/>
      <c r="N54" s="1045"/>
      <c r="O54" s="1046"/>
      <c r="P54" s="1049">
        <f>U52</f>
        <v>296.48881286238725</v>
      </c>
      <c r="Q54" s="1050"/>
      <c r="R54" s="1048" t="s">
        <v>702</v>
      </c>
      <c r="S54" s="323" t="s">
        <v>247</v>
      </c>
      <c r="T54" s="324"/>
      <c r="U54" s="324"/>
      <c r="V54" s="347">
        <f>O24</f>
        <v>0.12438169775251454</v>
      </c>
      <c r="W54" s="158"/>
      <c r="X54" s="218"/>
      <c r="Y54" s="158"/>
    </row>
    <row r="55" spans="1:25" ht="13.5" thickBot="1">
      <c r="A55" s="796">
        <v>22</v>
      </c>
      <c r="B55" s="157" t="s">
        <v>242</v>
      </c>
      <c r="C55" s="278"/>
      <c r="D55" s="794"/>
      <c r="E55" s="146"/>
      <c r="F55" s="304">
        <v>61</v>
      </c>
      <c r="G55" s="188" t="s">
        <v>577</v>
      </c>
      <c r="H55" s="182"/>
      <c r="I55" s="187">
        <f>I15</f>
        <v>3.8666590778984114E-4</v>
      </c>
      <c r="L55" s="199"/>
      <c r="M55" s="158"/>
      <c r="N55" s="158"/>
      <c r="O55" s="158"/>
      <c r="P55" s="158"/>
      <c r="Q55" s="158"/>
      <c r="R55" s="1048"/>
      <c r="S55" s="158"/>
      <c r="T55" s="158"/>
      <c r="U55" s="158"/>
      <c r="V55" s="198"/>
      <c r="W55" s="158"/>
      <c r="X55" s="158"/>
      <c r="Y55" s="158"/>
    </row>
    <row r="56" spans="1:25" ht="13.5" thickBot="1">
      <c r="A56" s="304">
        <v>23</v>
      </c>
      <c r="B56" s="188" t="s">
        <v>240</v>
      </c>
      <c r="C56" s="398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4.0760391204403217E-2</v>
      </c>
      <c r="L56" s="1044" t="s">
        <v>244</v>
      </c>
      <c r="M56" s="1045"/>
      <c r="N56" s="1045"/>
      <c r="O56" s="1046"/>
      <c r="P56" s="1047">
        <f>T30</f>
        <v>405</v>
      </c>
      <c r="Q56" s="994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>
      <c r="A59" s="796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1041" t="s">
        <v>349</v>
      </c>
      <c r="M59" s="1043"/>
      <c r="N59"/>
      <c r="O59" s="1041" t="s">
        <v>351</v>
      </c>
      <c r="P59" s="1043"/>
      <c r="Q59"/>
      <c r="R59" s="1041" t="s">
        <v>328</v>
      </c>
      <c r="S59" s="1042"/>
      <c r="T59" s="1042"/>
      <c r="U59" s="1043"/>
    </row>
    <row r="60" spans="1:25" ht="12.75" customHeight="1">
      <c r="A60" s="796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6" t="s">
        <v>675</v>
      </c>
      <c r="W60" s="876" t="s">
        <v>681</v>
      </c>
      <c r="X60" s="876" t="s">
        <v>682</v>
      </c>
      <c r="Y60" s="876" t="s">
        <v>684</v>
      </c>
    </row>
    <row r="61" spans="1:25">
      <c r="A61" s="304">
        <v>27</v>
      </c>
      <c r="B61" s="180" t="s">
        <v>230</v>
      </c>
      <c r="C61" s="179"/>
      <c r="D61" s="178">
        <f>IF(ISNUMBER(C55),"",IF(ISBLANK(C60),"",C60*D49))</f>
        <v>8.7067188426760173E-2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899"/>
      <c r="X61" s="899"/>
      <c r="Y61" s="899"/>
    </row>
    <row r="62" spans="1:25" ht="13.5" thickBot="1">
      <c r="A62" s="175">
        <v>28</v>
      </c>
      <c r="B62" s="174" t="s">
        <v>229</v>
      </c>
      <c r="C62" s="173"/>
      <c r="D62" s="172">
        <f>IF(ISNUMBER(C55),,IF(ISBLANK(C60),,D61*C52))</f>
        <v>4.78869536347181E-2</v>
      </c>
      <c r="E62" s="146"/>
      <c r="F62" s="304">
        <v>68</v>
      </c>
      <c r="G62" s="180" t="s">
        <v>231</v>
      </c>
      <c r="H62" s="182"/>
      <c r="I62" s="181">
        <f>SUM(I53:I61)</f>
        <v>0.27358034545655729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8"/>
      <c r="X62" s="878"/>
      <c r="Y62" s="878"/>
    </row>
    <row r="63" spans="1:25" ht="13.5" thickTop="1">
      <c r="A63" s="796"/>
      <c r="B63" s="157"/>
      <c r="C63" s="168"/>
      <c r="D63" s="794"/>
      <c r="E63" s="146"/>
      <c r="F63" s="443">
        <v>69</v>
      </c>
      <c r="G63" s="171" t="s">
        <v>353</v>
      </c>
      <c r="H63" s="170">
        <v>0.43</v>
      </c>
      <c r="I63" s="169">
        <f>+H63*SUM(I55:I57)</f>
        <v>1.885564938011159E-2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8"/>
      <c r="X63" s="878"/>
      <c r="Y63" s="878"/>
    </row>
    <row r="64" spans="1:25" ht="13.5" thickBot="1">
      <c r="A64" s="165">
        <v>29</v>
      </c>
      <c r="B64" s="164" t="s">
        <v>228</v>
      </c>
      <c r="C64" s="163"/>
      <c r="D64" s="162">
        <f>D50-(D58+D62)</f>
        <v>0.21331461164556245</v>
      </c>
      <c r="E64" s="146"/>
      <c r="F64" s="165">
        <v>70</v>
      </c>
      <c r="G64" s="167" t="s">
        <v>352</v>
      </c>
      <c r="H64" s="166"/>
      <c r="I64" s="162">
        <f>+I63+I62</f>
        <v>0.29243599483666888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8"/>
      <c r="X64" s="878"/>
      <c r="Y64" s="878"/>
    </row>
    <row r="65" spans="1:25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8"/>
      <c r="X65" s="878"/>
      <c r="Y65" s="878"/>
    </row>
    <row r="66" spans="1:25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8"/>
      <c r="X66" s="878"/>
      <c r="Y66" s="878"/>
    </row>
    <row r="67" spans="1:25">
      <c r="L67" s="199"/>
      <c r="M67" s="198"/>
      <c r="O67" s="199"/>
      <c r="P67" s="198"/>
      <c r="R67" s="802" t="s">
        <v>657</v>
      </c>
      <c r="S67" s="803">
        <v>4.5</v>
      </c>
      <c r="T67" s="804" t="s">
        <v>338</v>
      </c>
      <c r="U67" s="805">
        <v>1.4999999999999999E-2</v>
      </c>
      <c r="V67">
        <v>12</v>
      </c>
      <c r="W67" s="878"/>
      <c r="X67" s="878"/>
      <c r="Y67" s="878"/>
    </row>
    <row r="68" spans="1:25" ht="13.5" thickBot="1">
      <c r="E68" s="158"/>
      <c r="L68" s="197"/>
      <c r="M68" s="195"/>
      <c r="O68" s="197"/>
      <c r="P68" s="195"/>
      <c r="R68" s="806" t="s">
        <v>658</v>
      </c>
      <c r="S68" s="807">
        <v>5.5</v>
      </c>
      <c r="T68" s="808" t="s">
        <v>338</v>
      </c>
      <c r="U68" s="809">
        <v>1.4999999999999999E-2</v>
      </c>
      <c r="V68">
        <v>12</v>
      </c>
      <c r="W68" s="878"/>
      <c r="X68" s="878"/>
      <c r="Y68" s="878"/>
    </row>
    <row r="69" spans="1:25">
      <c r="R69" s="875" t="s">
        <v>674</v>
      </c>
      <c r="S69" s="878"/>
      <c r="T69" s="878"/>
      <c r="U69" s="878"/>
      <c r="V69" s="878">
        <v>12</v>
      </c>
      <c r="W69" s="878"/>
      <c r="X69" s="878"/>
      <c r="Y69" s="878"/>
    </row>
    <row r="70" spans="1:25">
      <c r="R70" s="877" t="s">
        <v>679</v>
      </c>
      <c r="S70" s="878"/>
      <c r="T70" s="878"/>
      <c r="U70" s="878"/>
      <c r="V70" s="878"/>
      <c r="W70" s="878"/>
      <c r="X70" s="878"/>
      <c r="Y70" s="878"/>
    </row>
    <row r="71" spans="1:25" s="158" customFormat="1">
      <c r="A71" s="154"/>
      <c r="B71"/>
      <c r="C71" s="156"/>
      <c r="D71" s="155"/>
      <c r="E71"/>
      <c r="F71" s="146"/>
      <c r="G71"/>
      <c r="H71" s="155"/>
      <c r="I71" s="155"/>
      <c r="R71" s="877" t="s">
        <v>677</v>
      </c>
      <c r="S71" s="879">
        <v>1.5</v>
      </c>
      <c r="T71" s="879"/>
      <c r="U71" s="880"/>
      <c r="V71" s="878">
        <v>3</v>
      </c>
      <c r="W71" s="878"/>
      <c r="X71" s="878"/>
      <c r="Y71" s="878"/>
    </row>
    <row r="72" spans="1:25" ht="13.5" thickBot="1">
      <c r="R72" s="877" t="s">
        <v>678</v>
      </c>
      <c r="S72" s="879">
        <v>1.5</v>
      </c>
      <c r="T72" s="878"/>
      <c r="U72" s="881"/>
      <c r="V72" s="878">
        <v>4</v>
      </c>
      <c r="W72" s="878"/>
      <c r="X72" s="878"/>
      <c r="Y72" s="878"/>
    </row>
    <row r="73" spans="1:25">
      <c r="E73" s="158"/>
      <c r="L73" s="1039" t="s">
        <v>335</v>
      </c>
      <c r="M73" s="1040"/>
      <c r="N73" s="150"/>
      <c r="O73" s="1039" t="s">
        <v>334</v>
      </c>
      <c r="P73" s="1040"/>
      <c r="R73" s="1041" t="s">
        <v>333</v>
      </c>
      <c r="S73" s="1042"/>
      <c r="T73" s="1043"/>
      <c r="V73" s="158"/>
      <c r="W73" s="158"/>
      <c r="X73" s="158"/>
      <c r="Y73" s="158"/>
    </row>
    <row r="74" spans="1:25" ht="25.5">
      <c r="E74" s="158"/>
      <c r="L74" s="883" t="s">
        <v>328</v>
      </c>
      <c r="M74" s="884" t="s">
        <v>331</v>
      </c>
      <c r="N74" s="885"/>
      <c r="O74" s="883" t="s">
        <v>332</v>
      </c>
      <c r="P74" s="884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>
      <c r="E75" s="158"/>
      <c r="L75" s="886" t="s">
        <v>324</v>
      </c>
      <c r="M75" s="887">
        <v>6.5000000000000002E-2</v>
      </c>
      <c r="N75" s="150"/>
      <c r="O75" s="888">
        <v>0.25</v>
      </c>
      <c r="P75" s="889">
        <v>9.2999999999999999E-2</v>
      </c>
      <c r="R75" s="199" t="s">
        <v>158</v>
      </c>
      <c r="S75" s="431">
        <f>'Standard Rates'!D21</f>
        <v>24.166595070245833</v>
      </c>
      <c r="T75" s="315"/>
    </row>
    <row r="76" spans="1:25">
      <c r="L76" s="886" t="s">
        <v>323</v>
      </c>
      <c r="M76" s="887">
        <v>8.5000000000000006E-2</v>
      </c>
      <c r="N76" s="150"/>
      <c r="O76" s="888">
        <v>0.375</v>
      </c>
      <c r="P76" s="889">
        <v>9.2999999999999999E-2</v>
      </c>
      <c r="R76" s="199" t="s">
        <v>326</v>
      </c>
      <c r="S76" s="431">
        <f>S75</f>
        <v>24.166595070245833</v>
      </c>
      <c r="T76" s="315"/>
    </row>
    <row r="77" spans="1:25">
      <c r="L77" s="886"/>
      <c r="M77" s="889"/>
      <c r="N77" s="150"/>
      <c r="O77" s="888">
        <v>0.5</v>
      </c>
      <c r="P77" s="889">
        <v>0.125</v>
      </c>
      <c r="R77" s="199" t="s">
        <v>325</v>
      </c>
      <c r="S77" s="431">
        <f>S76</f>
        <v>24.166595070245833</v>
      </c>
      <c r="T77" s="315"/>
    </row>
    <row r="78" spans="1:25">
      <c r="L78" s="886"/>
      <c r="M78" s="889"/>
      <c r="N78" s="150"/>
      <c r="O78" s="888">
        <v>0.625</v>
      </c>
      <c r="P78" s="889">
        <v>0.125</v>
      </c>
      <c r="R78" s="199" t="s">
        <v>284</v>
      </c>
      <c r="S78" s="431">
        <f>S77</f>
        <v>24.166595070245833</v>
      </c>
      <c r="T78" s="315"/>
    </row>
    <row r="79" spans="1:25">
      <c r="L79" s="886"/>
      <c r="M79" s="889"/>
      <c r="N79" s="150"/>
      <c r="O79" s="888">
        <v>2</v>
      </c>
      <c r="P79" s="889">
        <v>0.17799999999999999</v>
      </c>
      <c r="R79" s="177" t="s">
        <v>324</v>
      </c>
      <c r="S79" s="431">
        <f>'Standard Rates'!C21</f>
        <v>28.948176247763396</v>
      </c>
      <c r="T79" s="315"/>
    </row>
    <row r="80" spans="1:25">
      <c r="L80" s="886"/>
      <c r="M80" s="889"/>
      <c r="N80" s="150"/>
      <c r="O80" s="886"/>
      <c r="P80" s="889"/>
      <c r="R80" s="199" t="s">
        <v>323</v>
      </c>
      <c r="S80" s="431">
        <f>'Standard Rates'!B21</f>
        <v>29.823982408189707</v>
      </c>
      <c r="T80" s="315"/>
    </row>
    <row r="81" spans="12:23" ht="13.5" thickBot="1">
      <c r="L81" s="890"/>
      <c r="M81" s="891"/>
      <c r="N81" s="150"/>
      <c r="O81" s="890"/>
      <c r="P81" s="891"/>
      <c r="R81" s="177" t="s">
        <v>357</v>
      </c>
      <c r="S81" s="431">
        <f>'Standard Rates'!E21</f>
        <v>16.219741700491745</v>
      </c>
      <c r="T81" s="797"/>
    </row>
    <row r="82" spans="12:23" ht="15.75" thickBot="1">
      <c r="L82" s="150"/>
      <c r="M82" s="150"/>
      <c r="N82" s="150"/>
      <c r="O82" s="868"/>
      <c r="P82" s="868"/>
      <c r="R82" s="798" t="s">
        <v>657</v>
      </c>
      <c r="S82" s="799">
        <v>21.85</v>
      </c>
      <c r="T82" s="797"/>
      <c r="U82" s="312"/>
      <c r="V82" s="312"/>
      <c r="W82" s="312"/>
    </row>
    <row r="83" spans="12:23" ht="15.75" thickBot="1">
      <c r="L83" s="892" t="s">
        <v>329</v>
      </c>
      <c r="M83" s="893"/>
      <c r="N83" s="150"/>
      <c r="O83" s="150"/>
      <c r="P83" s="150"/>
      <c r="R83" s="800" t="s">
        <v>658</v>
      </c>
      <c r="S83" s="801">
        <v>21.85</v>
      </c>
      <c r="T83" s="316"/>
      <c r="U83" s="311"/>
      <c r="V83" s="313"/>
      <c r="W83" s="311"/>
    </row>
    <row r="84" spans="12:23" ht="25.5">
      <c r="L84" s="883" t="s">
        <v>328</v>
      </c>
      <c r="M84" s="884" t="s">
        <v>327</v>
      </c>
      <c r="N84" s="150"/>
      <c r="O84" s="150"/>
      <c r="P84" s="150"/>
      <c r="R84" s="875" t="s">
        <v>674</v>
      </c>
      <c r="S84" s="312"/>
      <c r="T84" s="312"/>
      <c r="U84" s="311"/>
      <c r="V84" s="313"/>
      <c r="W84" s="311"/>
    </row>
    <row r="85" spans="12:23" ht="15">
      <c r="L85" s="894" t="s">
        <v>158</v>
      </c>
      <c r="M85" s="895">
        <v>0.02</v>
      </c>
      <c r="N85" s="150"/>
      <c r="O85" s="150"/>
      <c r="P85" s="150"/>
      <c r="R85" s="877" t="s">
        <v>677</v>
      </c>
      <c r="S85" s="311"/>
      <c r="T85" s="311"/>
      <c r="U85" s="311"/>
      <c r="V85" s="313"/>
      <c r="W85" s="311"/>
    </row>
    <row r="86" spans="12:23" ht="15">
      <c r="L86" s="894" t="s">
        <v>326</v>
      </c>
      <c r="M86" s="895">
        <v>0.02</v>
      </c>
      <c r="N86" s="150"/>
      <c r="O86" s="150"/>
      <c r="P86" s="150"/>
      <c r="R86" s="310" t="s">
        <v>678</v>
      </c>
      <c r="S86" s="311"/>
      <c r="T86" s="311"/>
    </row>
    <row r="87" spans="12:23" ht="15">
      <c r="L87" s="894" t="s">
        <v>325</v>
      </c>
      <c r="M87" s="895">
        <v>0.02</v>
      </c>
      <c r="N87" s="150"/>
      <c r="O87" s="150"/>
      <c r="P87" s="150"/>
      <c r="R87" s="310"/>
      <c r="S87" s="311"/>
      <c r="T87" s="311"/>
    </row>
    <row r="88" spans="12:23">
      <c r="L88" s="894" t="s">
        <v>284</v>
      </c>
      <c r="M88" s="895">
        <v>0.02</v>
      </c>
      <c r="N88" s="150"/>
      <c r="O88" s="150"/>
      <c r="P88" s="150"/>
    </row>
    <row r="89" spans="12:23">
      <c r="L89" s="894" t="s">
        <v>324</v>
      </c>
      <c r="M89" s="896">
        <v>0.01</v>
      </c>
      <c r="N89" s="150"/>
      <c r="O89" s="150"/>
      <c r="P89" s="150"/>
    </row>
    <row r="90" spans="12:23">
      <c r="L90" s="894" t="s">
        <v>323</v>
      </c>
      <c r="M90" s="896">
        <v>0.01</v>
      </c>
      <c r="N90" s="150"/>
      <c r="O90" s="150"/>
      <c r="P90" s="150"/>
    </row>
    <row r="91" spans="12:23">
      <c r="L91" s="894" t="s">
        <v>657</v>
      </c>
      <c r="M91" s="896">
        <v>0.01</v>
      </c>
      <c r="N91" s="150"/>
      <c r="O91" s="150"/>
      <c r="P91" s="150"/>
    </row>
    <row r="92" spans="12:23" ht="13.5" thickBot="1">
      <c r="L92" s="897" t="s">
        <v>658</v>
      </c>
      <c r="M92" s="898">
        <v>0.01</v>
      </c>
      <c r="N92" s="150"/>
      <c r="O92" s="150"/>
      <c r="P92" s="150"/>
    </row>
  </sheetData>
  <mergeCells count="68">
    <mergeCell ref="L56:O56"/>
    <mergeCell ref="P56:Q56"/>
    <mergeCell ref="L51:S51"/>
    <mergeCell ref="L52:S52"/>
    <mergeCell ref="L54:O54"/>
    <mergeCell ref="R54:R55"/>
    <mergeCell ref="P54:Q54"/>
    <mergeCell ref="L73:M73"/>
    <mergeCell ref="R73:T73"/>
    <mergeCell ref="R59:U59"/>
    <mergeCell ref="O73:P73"/>
    <mergeCell ref="O59:P59"/>
    <mergeCell ref="L59:M59"/>
    <mergeCell ref="A15:A19"/>
    <mergeCell ref="G27:I28"/>
    <mergeCell ref="B25:D26"/>
    <mergeCell ref="A24:A26"/>
    <mergeCell ref="A28:A36"/>
    <mergeCell ref="B28:B36"/>
    <mergeCell ref="C28:C36"/>
    <mergeCell ref="D28:D36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A6:D6"/>
    <mergeCell ref="F6:I6"/>
    <mergeCell ref="A8:A14"/>
    <mergeCell ref="L46:R46"/>
    <mergeCell ref="L42:P42"/>
    <mergeCell ref="L44:N44"/>
    <mergeCell ref="S13:T13"/>
    <mergeCell ref="B8:B14"/>
    <mergeCell ref="C8:C14"/>
    <mergeCell ref="D8:D14"/>
    <mergeCell ref="B15:B19"/>
    <mergeCell ref="C15:C19"/>
    <mergeCell ref="D15:D19"/>
    <mergeCell ref="M38:N38"/>
    <mergeCell ref="M37:N37"/>
    <mergeCell ref="Q35:R35"/>
    <mergeCell ref="Q36:S36"/>
    <mergeCell ref="Q44:R44"/>
    <mergeCell ref="L21:N21"/>
    <mergeCell ref="Q24:U24"/>
    <mergeCell ref="F51:I52"/>
    <mergeCell ref="L27:P27"/>
    <mergeCell ref="L24:N24"/>
    <mergeCell ref="Q27:R27"/>
    <mergeCell ref="Q28:S28"/>
    <mergeCell ref="G34:I34"/>
    <mergeCell ref="M30:N30"/>
    <mergeCell ref="L47:R47"/>
    <mergeCell ref="L48:R48"/>
    <mergeCell ref="L49:R49"/>
    <mergeCell ref="L50:S50"/>
    <mergeCell ref="L35:O35"/>
    <mergeCell ref="S39:U39"/>
    <mergeCell ref="L37:L38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5" t="s">
        <v>21</v>
      </c>
      <c r="B3" s="966"/>
      <c r="C3" s="966"/>
      <c r="D3" s="967"/>
      <c r="E3" s="263"/>
      <c r="F3" s="965" t="s">
        <v>320</v>
      </c>
      <c r="G3" s="966"/>
      <c r="H3" s="966"/>
      <c r="I3" s="967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4" t="s">
        <v>317</v>
      </c>
      <c r="C5" s="1006"/>
      <c r="D5" s="1058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5"/>
      <c r="C6" s="1007"/>
      <c r="D6" s="1058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5"/>
      <c r="C7" s="1007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5"/>
      <c r="C8" s="1007"/>
      <c r="D8" s="1058"/>
      <c r="E8" s="204"/>
      <c r="F8" s="443"/>
      <c r="G8" s="200" t="s">
        <v>311</v>
      </c>
      <c r="H8" s="176"/>
      <c r="I8" s="445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5"/>
      <c r="C9" s="1007"/>
      <c r="D9" s="1058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5"/>
      <c r="C10" s="1007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90" t="s">
        <v>313</v>
      </c>
      <c r="M10" s="991"/>
      <c r="N10" s="253"/>
      <c r="O10" s="285">
        <f>C33</f>
        <v>0</v>
      </c>
      <c r="P10" s="158"/>
      <c r="Q10" s="976" t="s">
        <v>312</v>
      </c>
      <c r="R10" s="986"/>
      <c r="S10" s="1003">
        <f>+C17</f>
        <v>0</v>
      </c>
      <c r="T10" s="986"/>
      <c r="U10" s="158"/>
      <c r="V10" s="198"/>
      <c r="W10" s="158"/>
      <c r="X10" s="158"/>
      <c r="Y10" s="158"/>
    </row>
    <row r="11" spans="1:25" s="237" customFormat="1" ht="13.5" thickBot="1">
      <c r="A11" s="1023"/>
      <c r="B11" s="1005"/>
      <c r="C11" s="1007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4" t="s">
        <v>306</v>
      </c>
      <c r="C12" s="1006"/>
      <c r="D12" s="101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5" t="s">
        <v>309</v>
      </c>
      <c r="M12" s="977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6" t="s">
        <v>308</v>
      </c>
      <c r="R12" s="98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5"/>
      <c r="C13" s="1007"/>
      <c r="D13" s="1010"/>
      <c r="E13" s="204"/>
      <c r="F13" s="443"/>
      <c r="G13" s="200" t="s">
        <v>301</v>
      </c>
      <c r="H13" s="176"/>
      <c r="I13" s="445"/>
      <c r="J13" s="318"/>
      <c r="K13" s="158"/>
      <c r="L13" s="985" t="s">
        <v>307</v>
      </c>
      <c r="M13" s="977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5"/>
      <c r="C14" s="1007"/>
      <c r="D14" s="1010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5"/>
      <c r="C15" s="1007"/>
      <c r="D15" s="101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0" t="s">
        <v>303</v>
      </c>
      <c r="M15" s="991"/>
      <c r="N15" s="252"/>
      <c r="O15" s="254">
        <f>SUM(O10:O13)</f>
        <v>0</v>
      </c>
      <c r="P15" s="158"/>
      <c r="Q15" s="976" t="s">
        <v>302</v>
      </c>
      <c r="R15" s="977"/>
      <c r="S15" s="98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5"/>
      <c r="C16" s="1009"/>
      <c r="D16" s="101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0" t="s">
        <v>300</v>
      </c>
      <c r="M17" s="991"/>
      <c r="N17" s="252"/>
      <c r="O17" s="301">
        <f>+D39</f>
        <v>0</v>
      </c>
      <c r="P17" s="158"/>
      <c r="Q17" s="976" t="s">
        <v>299</v>
      </c>
      <c r="R17" s="98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85" t="s">
        <v>297</v>
      </c>
      <c r="M19" s="986"/>
      <c r="N19" s="235"/>
      <c r="O19" s="250">
        <f>O15*(1+O17)</f>
        <v>0</v>
      </c>
      <c r="P19" s="158"/>
      <c r="Q19" s="976" t="s">
        <v>296</v>
      </c>
      <c r="R19" s="977"/>
      <c r="S19" s="977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5" t="s">
        <v>292</v>
      </c>
      <c r="M21" s="977"/>
      <c r="N21" s="977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6" t="s">
        <v>280</v>
      </c>
      <c r="R24" s="977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8" t="s">
        <v>288</v>
      </c>
      <c r="R25" s="979"/>
      <c r="S25" s="980"/>
      <c r="T25" s="235">
        <v>7.5</v>
      </c>
      <c r="U25" s="158"/>
      <c r="V25" s="198"/>
      <c r="W25" s="158"/>
      <c r="X25" s="158"/>
      <c r="Y25" s="158"/>
    </row>
    <row r="26" spans="1:25">
      <c r="A26" s="1032">
        <v>8</v>
      </c>
      <c r="B26" s="1005" t="s">
        <v>285</v>
      </c>
      <c r="C26" s="1006"/>
      <c r="D26" s="1010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>
      <c r="A27" s="1032"/>
      <c r="B27" s="1005"/>
      <c r="C27" s="1007"/>
      <c r="D27" s="1010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>
      <c r="A28" s="1032"/>
      <c r="B28" s="1005"/>
      <c r="C28" s="1007"/>
      <c r="D28" s="101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5"/>
      <c r="C29" s="1007"/>
      <c r="D29" s="1010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5"/>
      <c r="C30" s="1007"/>
      <c r="D30" s="1010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92" t="s">
        <v>282</v>
      </c>
      <c r="M31" s="993"/>
      <c r="N31" s="993"/>
      <c r="O31" s="994"/>
      <c r="P31" s="158"/>
      <c r="Q31" s="985" t="s">
        <v>280</v>
      </c>
      <c r="R31" s="98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6" t="s">
        <v>279</v>
      </c>
      <c r="R32" s="977"/>
      <c r="S32" s="986"/>
      <c r="T32" s="283"/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1000" t="s">
        <v>274</v>
      </c>
      <c r="M38" s="1001"/>
      <c r="N38" s="1001"/>
      <c r="O38" s="1001"/>
      <c r="P38" s="1002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5" t="s">
        <v>270</v>
      </c>
      <c r="M40" s="977"/>
      <c r="N40" s="986"/>
      <c r="O40" s="284">
        <v>6</v>
      </c>
      <c r="P40" s="214"/>
      <c r="Q40" s="976" t="s">
        <v>269</v>
      </c>
      <c r="R40" s="98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85" t="s">
        <v>265</v>
      </c>
      <c r="M42" s="977"/>
      <c r="N42" s="977"/>
      <c r="O42" s="977"/>
      <c r="P42" s="977"/>
      <c r="Q42" s="977"/>
      <c r="R42" s="986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85" t="s">
        <v>263</v>
      </c>
      <c r="M43" s="977"/>
      <c r="N43" s="977"/>
      <c r="O43" s="977"/>
      <c r="P43" s="977"/>
      <c r="Q43" s="977"/>
      <c r="R43" s="98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85" t="s">
        <v>261</v>
      </c>
      <c r="M44" s="977"/>
      <c r="N44" s="977"/>
      <c r="O44" s="977"/>
      <c r="P44" s="977"/>
      <c r="Q44" s="977"/>
      <c r="R44" s="98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987" t="s">
        <v>259</v>
      </c>
      <c r="M45" s="988"/>
      <c r="N45" s="988"/>
      <c r="O45" s="988"/>
      <c r="P45" s="988"/>
      <c r="Q45" s="988"/>
      <c r="R45" s="989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0" t="s">
        <v>256</v>
      </c>
      <c r="M46" s="991"/>
      <c r="N46" s="991"/>
      <c r="O46" s="991"/>
      <c r="P46" s="991"/>
      <c r="Q46" s="991"/>
      <c r="R46" s="991"/>
      <c r="S46" s="98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965" t="s">
        <v>245</v>
      </c>
      <c r="G47" s="966"/>
      <c r="H47" s="966"/>
      <c r="I47" s="967"/>
      <c r="K47" s="158"/>
      <c r="L47" s="985" t="s">
        <v>253</v>
      </c>
      <c r="M47" s="977"/>
      <c r="N47" s="977"/>
      <c r="O47" s="977"/>
      <c r="P47" s="977"/>
      <c r="Q47" s="977"/>
      <c r="R47" s="977"/>
      <c r="S47" s="98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968"/>
      <c r="G48" s="969"/>
      <c r="H48" s="969"/>
      <c r="I48" s="970"/>
      <c r="K48" s="158"/>
      <c r="L48" s="985" t="s">
        <v>251</v>
      </c>
      <c r="M48" s="977"/>
      <c r="N48" s="977"/>
      <c r="O48" s="977"/>
      <c r="P48" s="977"/>
      <c r="Q48" s="977"/>
      <c r="R48" s="977"/>
      <c r="S48" s="98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4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>
        <f>T27</f>
        <v>432</v>
      </c>
      <c r="Q52" s="99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5" t="s">
        <v>21</v>
      </c>
      <c r="B3" s="966"/>
      <c r="C3" s="966"/>
      <c r="D3" s="967"/>
      <c r="E3" s="263"/>
      <c r="F3" s="965" t="s">
        <v>320</v>
      </c>
      <c r="G3" s="966"/>
      <c r="H3" s="966"/>
      <c r="I3" s="967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4" t="s">
        <v>317</v>
      </c>
      <c r="C5" s="1006"/>
      <c r="D5" s="1058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5"/>
      <c r="C6" s="1007"/>
      <c r="D6" s="1058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5"/>
      <c r="C7" s="1007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5"/>
      <c r="C8" s="1007"/>
      <c r="D8" s="1058"/>
      <c r="E8" s="204"/>
      <c r="F8" s="443"/>
      <c r="G8" s="200" t="s">
        <v>311</v>
      </c>
      <c r="H8" s="176"/>
      <c r="I8" s="445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5"/>
      <c r="C9" s="1007"/>
      <c r="D9" s="1058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5"/>
      <c r="C10" s="1007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90" t="s">
        <v>313</v>
      </c>
      <c r="M10" s="991"/>
      <c r="N10" s="253"/>
      <c r="O10" s="285">
        <f>C33</f>
        <v>0</v>
      </c>
      <c r="P10" s="158"/>
      <c r="Q10" s="976" t="s">
        <v>312</v>
      </c>
      <c r="R10" s="986"/>
      <c r="S10" s="1003">
        <f>+C17</f>
        <v>0</v>
      </c>
      <c r="T10" s="986"/>
      <c r="U10" s="158"/>
      <c r="V10" s="198"/>
      <c r="W10" s="158"/>
      <c r="X10" s="158"/>
      <c r="Y10" s="158"/>
    </row>
    <row r="11" spans="1:25" s="237" customFormat="1" ht="13.5" thickBot="1">
      <c r="A11" s="1023"/>
      <c r="B11" s="1005"/>
      <c r="C11" s="1007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4" t="s">
        <v>306</v>
      </c>
      <c r="C12" s="1006"/>
      <c r="D12" s="101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5" t="s">
        <v>309</v>
      </c>
      <c r="M12" s="977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6" t="s">
        <v>308</v>
      </c>
      <c r="R12" s="98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5"/>
      <c r="C13" s="1007"/>
      <c r="D13" s="1010"/>
      <c r="E13" s="204"/>
      <c r="F13" s="443"/>
      <c r="G13" s="200" t="s">
        <v>301</v>
      </c>
      <c r="H13" s="176"/>
      <c r="I13" s="445"/>
      <c r="J13" s="318"/>
      <c r="K13" s="158"/>
      <c r="L13" s="985" t="s">
        <v>307</v>
      </c>
      <c r="M13" s="977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5"/>
      <c r="C14" s="1007"/>
      <c r="D14" s="1010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5"/>
      <c r="C15" s="1007"/>
      <c r="D15" s="101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0" t="s">
        <v>303</v>
      </c>
      <c r="M15" s="991"/>
      <c r="N15" s="252"/>
      <c r="O15" s="254">
        <f>SUM(O10:O13)</f>
        <v>0</v>
      </c>
      <c r="P15" s="158"/>
      <c r="Q15" s="976" t="s">
        <v>302</v>
      </c>
      <c r="R15" s="977"/>
      <c r="S15" s="98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5"/>
      <c r="C16" s="1009"/>
      <c r="D16" s="101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0" t="s">
        <v>300</v>
      </c>
      <c r="M17" s="991"/>
      <c r="N17" s="252"/>
      <c r="O17" s="301">
        <f>+D39</f>
        <v>0</v>
      </c>
      <c r="P17" s="158"/>
      <c r="Q17" s="976" t="s">
        <v>299</v>
      </c>
      <c r="R17" s="98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85" t="s">
        <v>297</v>
      </c>
      <c r="M19" s="986"/>
      <c r="N19" s="235"/>
      <c r="O19" s="250">
        <f>O15*(1+O17)</f>
        <v>0</v>
      </c>
      <c r="P19" s="158"/>
      <c r="Q19" s="976" t="s">
        <v>296</v>
      </c>
      <c r="R19" s="977"/>
      <c r="S19" s="977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5" t="s">
        <v>292</v>
      </c>
      <c r="M21" s="977"/>
      <c r="N21" s="977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6" t="s">
        <v>280</v>
      </c>
      <c r="R24" s="977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8" t="s">
        <v>288</v>
      </c>
      <c r="R25" s="979"/>
      <c r="S25" s="980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5" t="s">
        <v>285</v>
      </c>
      <c r="C26" s="1006"/>
      <c r="D26" s="1010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5"/>
      <c r="C27" s="1007"/>
      <c r="D27" s="1010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5"/>
      <c r="C28" s="1007"/>
      <c r="D28" s="101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5"/>
      <c r="C29" s="1007"/>
      <c r="D29" s="1010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5"/>
      <c r="C30" s="1007"/>
      <c r="D30" s="1010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92" t="s">
        <v>282</v>
      </c>
      <c r="M31" s="993"/>
      <c r="N31" s="993"/>
      <c r="O31" s="994"/>
      <c r="P31" s="158"/>
      <c r="Q31" s="985" t="s">
        <v>280</v>
      </c>
      <c r="R31" s="98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6" t="s">
        <v>279</v>
      </c>
      <c r="R32" s="977"/>
      <c r="S32" s="986"/>
      <c r="T32" s="283">
        <v>16</v>
      </c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1000" t="s">
        <v>274</v>
      </c>
      <c r="M38" s="1001"/>
      <c r="N38" s="1001"/>
      <c r="O38" s="1001"/>
      <c r="P38" s="1002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5" t="s">
        <v>270</v>
      </c>
      <c r="M40" s="977"/>
      <c r="N40" s="986"/>
      <c r="O40" s="284">
        <v>6</v>
      </c>
      <c r="P40" s="214"/>
      <c r="Q40" s="976" t="s">
        <v>269</v>
      </c>
      <c r="R40" s="98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85" t="s">
        <v>265</v>
      </c>
      <c r="M42" s="977"/>
      <c r="N42" s="977"/>
      <c r="O42" s="977"/>
      <c r="P42" s="977"/>
      <c r="Q42" s="977"/>
      <c r="R42" s="98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85" t="s">
        <v>263</v>
      </c>
      <c r="M43" s="977"/>
      <c r="N43" s="977"/>
      <c r="O43" s="977"/>
      <c r="P43" s="977"/>
      <c r="Q43" s="977"/>
      <c r="R43" s="98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85" t="s">
        <v>261</v>
      </c>
      <c r="M44" s="977"/>
      <c r="N44" s="977"/>
      <c r="O44" s="977"/>
      <c r="P44" s="977"/>
      <c r="Q44" s="977"/>
      <c r="R44" s="98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987" t="s">
        <v>259</v>
      </c>
      <c r="M45" s="988"/>
      <c r="N45" s="988"/>
      <c r="O45" s="988"/>
      <c r="P45" s="988"/>
      <c r="Q45" s="988"/>
      <c r="R45" s="989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0" t="s">
        <v>256</v>
      </c>
      <c r="M46" s="991"/>
      <c r="N46" s="991"/>
      <c r="O46" s="991"/>
      <c r="P46" s="991"/>
      <c r="Q46" s="991"/>
      <c r="R46" s="991"/>
      <c r="S46" s="98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965" t="s">
        <v>245</v>
      </c>
      <c r="G47" s="966"/>
      <c r="H47" s="966"/>
      <c r="I47" s="967"/>
      <c r="K47" s="158"/>
      <c r="L47" s="985" t="s">
        <v>253</v>
      </c>
      <c r="M47" s="977"/>
      <c r="N47" s="977"/>
      <c r="O47" s="977"/>
      <c r="P47" s="977"/>
      <c r="Q47" s="977"/>
      <c r="R47" s="977"/>
      <c r="S47" s="98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968"/>
      <c r="G48" s="969"/>
      <c r="H48" s="969"/>
      <c r="I48" s="970"/>
      <c r="K48" s="158"/>
      <c r="L48" s="985" t="s">
        <v>251</v>
      </c>
      <c r="M48" s="977"/>
      <c r="N48" s="977"/>
      <c r="O48" s="977"/>
      <c r="P48" s="977"/>
      <c r="Q48" s="977"/>
      <c r="R48" s="977"/>
      <c r="S48" s="98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4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5" t="s">
        <v>21</v>
      </c>
      <c r="B3" s="966"/>
      <c r="C3" s="966"/>
      <c r="D3" s="967"/>
      <c r="E3" s="263"/>
      <c r="F3" s="965" t="s">
        <v>320</v>
      </c>
      <c r="G3" s="966"/>
      <c r="H3" s="966"/>
      <c r="I3" s="967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4" t="s">
        <v>317</v>
      </c>
      <c r="C5" s="1006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5"/>
      <c r="C6" s="1007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5"/>
      <c r="C7" s="1007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5"/>
      <c r="C8" s="1007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5"/>
      <c r="C9" s="1007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5"/>
      <c r="C10" s="1007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90" t="s">
        <v>313</v>
      </c>
      <c r="M10" s="991"/>
      <c r="N10" s="253"/>
      <c r="O10" s="285">
        <f>C33</f>
        <v>0</v>
      </c>
      <c r="P10" s="158"/>
      <c r="Q10" s="976" t="s">
        <v>312</v>
      </c>
      <c r="R10" s="986"/>
      <c r="S10" s="1003">
        <f>+C17</f>
        <v>0</v>
      </c>
      <c r="T10" s="986"/>
      <c r="U10" s="158"/>
      <c r="V10" s="198"/>
      <c r="W10" s="158"/>
      <c r="X10" s="158"/>
      <c r="Y10" s="158"/>
    </row>
    <row r="11" spans="1:25" s="237" customFormat="1" ht="13.5" thickBot="1">
      <c r="A11" s="1023"/>
      <c r="B11" s="1005"/>
      <c r="C11" s="1007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4" t="s">
        <v>306</v>
      </c>
      <c r="C12" s="1006"/>
      <c r="D12" s="101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5" t="s">
        <v>309</v>
      </c>
      <c r="M12" s="977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6" t="s">
        <v>308</v>
      </c>
      <c r="R12" s="98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5"/>
      <c r="C13" s="1007"/>
      <c r="D13" s="1010"/>
      <c r="E13" s="204"/>
      <c r="F13" s="710"/>
      <c r="G13" s="200" t="s">
        <v>301</v>
      </c>
      <c r="H13" s="176"/>
      <c r="I13" s="712"/>
      <c r="J13" s="318"/>
      <c r="K13" s="158"/>
      <c r="L13" s="985" t="s">
        <v>307</v>
      </c>
      <c r="M13" s="977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5"/>
      <c r="C14" s="1007"/>
      <c r="D14" s="101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5"/>
      <c r="C15" s="1007"/>
      <c r="D15" s="101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0" t="s">
        <v>303</v>
      </c>
      <c r="M15" s="991"/>
      <c r="N15" s="252"/>
      <c r="O15" s="254">
        <f>SUM(O10:O13)</f>
        <v>0</v>
      </c>
      <c r="P15" s="158"/>
      <c r="Q15" s="976" t="s">
        <v>302</v>
      </c>
      <c r="R15" s="977"/>
      <c r="S15" s="98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5"/>
      <c r="C16" s="1009"/>
      <c r="D16" s="101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0" t="s">
        <v>300</v>
      </c>
      <c r="M17" s="991"/>
      <c r="N17" s="252"/>
      <c r="O17" s="301">
        <f>+D39</f>
        <v>0</v>
      </c>
      <c r="P17" s="158"/>
      <c r="Q17" s="976" t="s">
        <v>299</v>
      </c>
      <c r="R17" s="98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5" t="s">
        <v>297</v>
      </c>
      <c r="M19" s="986"/>
      <c r="N19" s="235"/>
      <c r="O19" s="250">
        <f>O15*(1+O17)</f>
        <v>0</v>
      </c>
      <c r="P19" s="158"/>
      <c r="Q19" s="976" t="s">
        <v>296</v>
      </c>
      <c r="R19" s="977"/>
      <c r="S19" s="977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5" t="s">
        <v>292</v>
      </c>
      <c r="M21" s="977"/>
      <c r="N21" s="977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6" t="s">
        <v>280</v>
      </c>
      <c r="R24" s="977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8" t="s">
        <v>288</v>
      </c>
      <c r="R25" s="979"/>
      <c r="S25" s="980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5" t="s">
        <v>285</v>
      </c>
      <c r="C26" s="1006"/>
      <c r="D26" s="101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5"/>
      <c r="C27" s="1007"/>
      <c r="D27" s="101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5"/>
      <c r="C28" s="1007"/>
      <c r="D28" s="101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5"/>
      <c r="C29" s="1007"/>
      <c r="D29" s="101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5"/>
      <c r="C30" s="1007"/>
      <c r="D30" s="1010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92" t="s">
        <v>282</v>
      </c>
      <c r="M31" s="993"/>
      <c r="N31" s="993"/>
      <c r="O31" s="994"/>
      <c r="P31" s="158"/>
      <c r="Q31" s="985" t="s">
        <v>280</v>
      </c>
      <c r="R31" s="98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6" t="s">
        <v>279</v>
      </c>
      <c r="R32" s="977"/>
      <c r="S32" s="986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00" t="s">
        <v>274</v>
      </c>
      <c r="M38" s="1001"/>
      <c r="N38" s="1001"/>
      <c r="O38" s="1001"/>
      <c r="P38" s="1002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5" t="s">
        <v>270</v>
      </c>
      <c r="M40" s="977"/>
      <c r="N40" s="986"/>
      <c r="O40" s="284">
        <v>6</v>
      </c>
      <c r="P40" s="214"/>
      <c r="Q40" s="976" t="s">
        <v>269</v>
      </c>
      <c r="R40" s="98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5" t="s">
        <v>265</v>
      </c>
      <c r="M42" s="977"/>
      <c r="N42" s="977"/>
      <c r="O42" s="977"/>
      <c r="P42" s="977"/>
      <c r="Q42" s="977"/>
      <c r="R42" s="98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5" t="s">
        <v>263</v>
      </c>
      <c r="M43" s="977"/>
      <c r="N43" s="977"/>
      <c r="O43" s="977"/>
      <c r="P43" s="977"/>
      <c r="Q43" s="977"/>
      <c r="R43" s="98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5" t="s">
        <v>261</v>
      </c>
      <c r="M44" s="977"/>
      <c r="N44" s="977"/>
      <c r="O44" s="977"/>
      <c r="P44" s="977"/>
      <c r="Q44" s="977"/>
      <c r="R44" s="98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7" t="s">
        <v>259</v>
      </c>
      <c r="M45" s="988"/>
      <c r="N45" s="988"/>
      <c r="O45" s="988"/>
      <c r="P45" s="988"/>
      <c r="Q45" s="988"/>
      <c r="R45" s="989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0" t="s">
        <v>256</v>
      </c>
      <c r="M46" s="991"/>
      <c r="N46" s="991"/>
      <c r="O46" s="991"/>
      <c r="P46" s="991"/>
      <c r="Q46" s="991"/>
      <c r="R46" s="991"/>
      <c r="S46" s="98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5" t="s">
        <v>245</v>
      </c>
      <c r="G47" s="966"/>
      <c r="H47" s="966"/>
      <c r="I47" s="967"/>
      <c r="K47" s="158"/>
      <c r="L47" s="985" t="s">
        <v>253</v>
      </c>
      <c r="M47" s="977"/>
      <c r="N47" s="977"/>
      <c r="O47" s="977"/>
      <c r="P47" s="977"/>
      <c r="Q47" s="977"/>
      <c r="R47" s="977"/>
      <c r="S47" s="98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8"/>
      <c r="G48" s="969"/>
      <c r="H48" s="969"/>
      <c r="I48" s="970"/>
      <c r="K48" s="158"/>
      <c r="L48" s="985" t="s">
        <v>251</v>
      </c>
      <c r="M48" s="977"/>
      <c r="N48" s="977"/>
      <c r="O48" s="977"/>
      <c r="P48" s="977"/>
      <c r="Q48" s="977"/>
      <c r="R48" s="977"/>
      <c r="S48" s="98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4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5" t="s">
        <v>21</v>
      </c>
      <c r="B3" s="966"/>
      <c r="C3" s="966"/>
      <c r="D3" s="967"/>
      <c r="E3" s="263"/>
      <c r="F3" s="965" t="s">
        <v>320</v>
      </c>
      <c r="G3" s="966"/>
      <c r="H3" s="966"/>
      <c r="I3" s="967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4" t="s">
        <v>317</v>
      </c>
      <c r="C5" s="1006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5"/>
      <c r="C6" s="1007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5"/>
      <c r="C7" s="1007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5"/>
      <c r="C8" s="1007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5"/>
      <c r="C9" s="1007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5"/>
      <c r="C10" s="1007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90" t="s">
        <v>313</v>
      </c>
      <c r="M10" s="991"/>
      <c r="N10" s="253"/>
      <c r="O10" s="285">
        <f>C33</f>
        <v>0</v>
      </c>
      <c r="P10" s="158"/>
      <c r="Q10" s="976" t="s">
        <v>312</v>
      </c>
      <c r="R10" s="986"/>
      <c r="S10" s="1003">
        <f>+C17</f>
        <v>0</v>
      </c>
      <c r="T10" s="986"/>
      <c r="U10" s="158"/>
      <c r="V10" s="198"/>
      <c r="W10" s="158"/>
      <c r="X10" s="158"/>
      <c r="Y10" s="158"/>
    </row>
    <row r="11" spans="1:25" s="237" customFormat="1" ht="13.5" thickBot="1">
      <c r="A11" s="1023"/>
      <c r="B11" s="1005"/>
      <c r="C11" s="1007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4" t="s">
        <v>306</v>
      </c>
      <c r="C12" s="1006"/>
      <c r="D12" s="101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5" t="s">
        <v>309</v>
      </c>
      <c r="M12" s="977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6" t="s">
        <v>308</v>
      </c>
      <c r="R12" s="98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5"/>
      <c r="C13" s="1007"/>
      <c r="D13" s="1010"/>
      <c r="E13" s="204"/>
      <c r="F13" s="710"/>
      <c r="G13" s="200" t="s">
        <v>301</v>
      </c>
      <c r="H13" s="176"/>
      <c r="I13" s="712"/>
      <c r="J13" s="318"/>
      <c r="K13" s="158"/>
      <c r="L13" s="985" t="s">
        <v>307</v>
      </c>
      <c r="M13" s="977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5"/>
      <c r="C14" s="1007"/>
      <c r="D14" s="101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5"/>
      <c r="C15" s="1007"/>
      <c r="D15" s="101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0" t="s">
        <v>303</v>
      </c>
      <c r="M15" s="991"/>
      <c r="N15" s="252"/>
      <c r="O15" s="254">
        <f>SUM(O10:O13)</f>
        <v>0</v>
      </c>
      <c r="P15" s="158"/>
      <c r="Q15" s="976" t="s">
        <v>302</v>
      </c>
      <c r="R15" s="977"/>
      <c r="S15" s="98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5"/>
      <c r="C16" s="1009"/>
      <c r="D16" s="101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0" t="s">
        <v>300</v>
      </c>
      <c r="M17" s="991"/>
      <c r="N17" s="252"/>
      <c r="O17" s="301">
        <f>+D39</f>
        <v>0</v>
      </c>
      <c r="P17" s="158"/>
      <c r="Q17" s="976" t="s">
        <v>299</v>
      </c>
      <c r="R17" s="98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5" t="s">
        <v>297</v>
      </c>
      <c r="M19" s="986"/>
      <c r="N19" s="235"/>
      <c r="O19" s="250">
        <f>O15*(1+O17)</f>
        <v>0</v>
      </c>
      <c r="P19" s="158"/>
      <c r="Q19" s="976" t="s">
        <v>296</v>
      </c>
      <c r="R19" s="977"/>
      <c r="S19" s="977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5" t="s">
        <v>292</v>
      </c>
      <c r="M21" s="977"/>
      <c r="N21" s="977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6" t="s">
        <v>280</v>
      </c>
      <c r="R24" s="977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8" t="s">
        <v>288</v>
      </c>
      <c r="R25" s="979"/>
      <c r="S25" s="980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5" t="s">
        <v>285</v>
      </c>
      <c r="C26" s="1006"/>
      <c r="D26" s="101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5"/>
      <c r="C27" s="1007"/>
      <c r="D27" s="101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5"/>
      <c r="C28" s="1007"/>
      <c r="D28" s="101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5"/>
      <c r="C29" s="1007"/>
      <c r="D29" s="101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5"/>
      <c r="C30" s="1007"/>
      <c r="D30" s="1010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92" t="s">
        <v>282</v>
      </c>
      <c r="M31" s="993"/>
      <c r="N31" s="993"/>
      <c r="O31" s="994"/>
      <c r="P31" s="158"/>
      <c r="Q31" s="985" t="s">
        <v>280</v>
      </c>
      <c r="R31" s="98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6" t="s">
        <v>279</v>
      </c>
      <c r="R32" s="977"/>
      <c r="S32" s="986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00" t="s">
        <v>274</v>
      </c>
      <c r="M38" s="1001"/>
      <c r="N38" s="1001"/>
      <c r="O38" s="1001"/>
      <c r="P38" s="1002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5" t="s">
        <v>270</v>
      </c>
      <c r="M40" s="977"/>
      <c r="N40" s="986"/>
      <c r="O40" s="284">
        <v>6</v>
      </c>
      <c r="P40" s="214"/>
      <c r="Q40" s="976" t="s">
        <v>269</v>
      </c>
      <c r="R40" s="98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5" t="s">
        <v>265</v>
      </c>
      <c r="M42" s="977"/>
      <c r="N42" s="977"/>
      <c r="O42" s="977"/>
      <c r="P42" s="977"/>
      <c r="Q42" s="977"/>
      <c r="R42" s="98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5" t="s">
        <v>263</v>
      </c>
      <c r="M43" s="977"/>
      <c r="N43" s="977"/>
      <c r="O43" s="977"/>
      <c r="P43" s="977"/>
      <c r="Q43" s="977"/>
      <c r="R43" s="98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5" t="s">
        <v>261</v>
      </c>
      <c r="M44" s="977"/>
      <c r="N44" s="977"/>
      <c r="O44" s="977"/>
      <c r="P44" s="977"/>
      <c r="Q44" s="977"/>
      <c r="R44" s="98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7" t="s">
        <v>259</v>
      </c>
      <c r="M45" s="988"/>
      <c r="N45" s="988"/>
      <c r="O45" s="988"/>
      <c r="P45" s="988"/>
      <c r="Q45" s="988"/>
      <c r="R45" s="989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0" t="s">
        <v>256</v>
      </c>
      <c r="M46" s="991"/>
      <c r="N46" s="991"/>
      <c r="O46" s="991"/>
      <c r="P46" s="991"/>
      <c r="Q46" s="991"/>
      <c r="R46" s="991"/>
      <c r="S46" s="98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5" t="s">
        <v>245</v>
      </c>
      <c r="G47" s="966"/>
      <c r="H47" s="966"/>
      <c r="I47" s="967"/>
      <c r="K47" s="158"/>
      <c r="L47" s="985" t="s">
        <v>253</v>
      </c>
      <c r="M47" s="977"/>
      <c r="N47" s="977"/>
      <c r="O47" s="977"/>
      <c r="P47" s="977"/>
      <c r="Q47" s="977"/>
      <c r="R47" s="977"/>
      <c r="S47" s="98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8"/>
      <c r="G48" s="969"/>
      <c r="H48" s="969"/>
      <c r="I48" s="970"/>
      <c r="K48" s="158"/>
      <c r="L48" s="985" t="s">
        <v>251</v>
      </c>
      <c r="M48" s="977"/>
      <c r="N48" s="977"/>
      <c r="O48" s="977"/>
      <c r="P48" s="977"/>
      <c r="Q48" s="977"/>
      <c r="R48" s="977"/>
      <c r="S48" s="98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4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4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5" t="s">
        <v>21</v>
      </c>
      <c r="B3" s="966"/>
      <c r="C3" s="966"/>
      <c r="D3" s="967"/>
      <c r="E3" s="263"/>
      <c r="F3" s="965" t="s">
        <v>320</v>
      </c>
      <c r="G3" s="966"/>
      <c r="H3" s="966"/>
      <c r="I3" s="967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4" t="s">
        <v>317</v>
      </c>
      <c r="C5" s="1006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5"/>
      <c r="C6" s="1007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5"/>
      <c r="C7" s="1007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5"/>
      <c r="C8" s="1007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5"/>
      <c r="C9" s="1007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5"/>
      <c r="C10" s="1007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90" t="s">
        <v>313</v>
      </c>
      <c r="M10" s="991"/>
      <c r="N10" s="253"/>
      <c r="O10" s="285">
        <f>C33</f>
        <v>0</v>
      </c>
      <c r="P10" s="158"/>
      <c r="Q10" s="976" t="s">
        <v>312</v>
      </c>
      <c r="R10" s="986"/>
      <c r="S10" s="1003">
        <f>+C17</f>
        <v>0</v>
      </c>
      <c r="T10" s="986"/>
      <c r="U10" s="158"/>
      <c r="V10" s="198"/>
      <c r="W10" s="158"/>
      <c r="X10" s="158"/>
      <c r="Y10" s="158"/>
    </row>
    <row r="11" spans="1:25" s="237" customFormat="1" ht="13.5" thickBot="1">
      <c r="A11" s="1023"/>
      <c r="B11" s="1005"/>
      <c r="C11" s="1007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4" t="s">
        <v>306</v>
      </c>
      <c r="C12" s="1006"/>
      <c r="D12" s="101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5" t="s">
        <v>309</v>
      </c>
      <c r="M12" s="977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6" t="s">
        <v>308</v>
      </c>
      <c r="R12" s="98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5"/>
      <c r="C13" s="1007"/>
      <c r="D13" s="1010"/>
      <c r="E13" s="204"/>
      <c r="F13" s="710"/>
      <c r="G13" s="200" t="s">
        <v>301</v>
      </c>
      <c r="H13" s="176"/>
      <c r="I13" s="712"/>
      <c r="J13" s="318"/>
      <c r="K13" s="158"/>
      <c r="L13" s="985" t="s">
        <v>307</v>
      </c>
      <c r="M13" s="977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5"/>
      <c r="C14" s="1007"/>
      <c r="D14" s="101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5"/>
      <c r="C15" s="1007"/>
      <c r="D15" s="101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0" t="s">
        <v>303</v>
      </c>
      <c r="M15" s="991"/>
      <c r="N15" s="252"/>
      <c r="O15" s="254">
        <f>SUM(O10:O13)</f>
        <v>0</v>
      </c>
      <c r="P15" s="158"/>
      <c r="Q15" s="976" t="s">
        <v>302</v>
      </c>
      <c r="R15" s="977"/>
      <c r="S15" s="98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5"/>
      <c r="C16" s="1009"/>
      <c r="D16" s="101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0" t="s">
        <v>300</v>
      </c>
      <c r="M17" s="991"/>
      <c r="N17" s="252"/>
      <c r="O17" s="301">
        <f>+D39</f>
        <v>0</v>
      </c>
      <c r="P17" s="158"/>
      <c r="Q17" s="976" t="s">
        <v>299</v>
      </c>
      <c r="R17" s="98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5" t="s">
        <v>297</v>
      </c>
      <c r="M19" s="986"/>
      <c r="N19" s="235"/>
      <c r="O19" s="250">
        <f>O15*(1+O17)</f>
        <v>0</v>
      </c>
      <c r="P19" s="158"/>
      <c r="Q19" s="976" t="s">
        <v>296</v>
      </c>
      <c r="R19" s="977"/>
      <c r="S19" s="977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5" t="s">
        <v>292</v>
      </c>
      <c r="M21" s="977"/>
      <c r="N21" s="977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6" t="s">
        <v>280</v>
      </c>
      <c r="R24" s="977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8" t="s">
        <v>288</v>
      </c>
      <c r="R25" s="979"/>
      <c r="S25" s="980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5" t="s">
        <v>285</v>
      </c>
      <c r="C26" s="1006"/>
      <c r="D26" s="101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5"/>
      <c r="C27" s="1007"/>
      <c r="D27" s="101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5"/>
      <c r="C28" s="1007"/>
      <c r="D28" s="101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5"/>
      <c r="C29" s="1007"/>
      <c r="D29" s="101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5"/>
      <c r="C30" s="1007"/>
      <c r="D30" s="1010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92" t="s">
        <v>282</v>
      </c>
      <c r="M31" s="993"/>
      <c r="N31" s="993"/>
      <c r="O31" s="994"/>
      <c r="P31" s="158"/>
      <c r="Q31" s="985" t="s">
        <v>280</v>
      </c>
      <c r="R31" s="98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6" t="s">
        <v>279</v>
      </c>
      <c r="R32" s="977"/>
      <c r="S32" s="986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00" t="s">
        <v>274</v>
      </c>
      <c r="M38" s="1001"/>
      <c r="N38" s="1001"/>
      <c r="O38" s="1001"/>
      <c r="P38" s="1002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5" t="s">
        <v>270</v>
      </c>
      <c r="M40" s="977"/>
      <c r="N40" s="986"/>
      <c r="O40" s="284">
        <v>6</v>
      </c>
      <c r="P40" s="214"/>
      <c r="Q40" s="976" t="s">
        <v>269</v>
      </c>
      <c r="R40" s="98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5" t="s">
        <v>265</v>
      </c>
      <c r="M42" s="977"/>
      <c r="N42" s="977"/>
      <c r="O42" s="977"/>
      <c r="P42" s="977"/>
      <c r="Q42" s="977"/>
      <c r="R42" s="98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5" t="s">
        <v>263</v>
      </c>
      <c r="M43" s="977"/>
      <c r="N43" s="977"/>
      <c r="O43" s="977"/>
      <c r="P43" s="977"/>
      <c r="Q43" s="977"/>
      <c r="R43" s="98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5" t="s">
        <v>261</v>
      </c>
      <c r="M44" s="977"/>
      <c r="N44" s="977"/>
      <c r="O44" s="977"/>
      <c r="P44" s="977"/>
      <c r="Q44" s="977"/>
      <c r="R44" s="98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7" t="s">
        <v>259</v>
      </c>
      <c r="M45" s="988"/>
      <c r="N45" s="988"/>
      <c r="O45" s="988"/>
      <c r="P45" s="988"/>
      <c r="Q45" s="988"/>
      <c r="R45" s="989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0" t="s">
        <v>256</v>
      </c>
      <c r="M46" s="991"/>
      <c r="N46" s="991"/>
      <c r="O46" s="991"/>
      <c r="P46" s="991"/>
      <c r="Q46" s="991"/>
      <c r="R46" s="991"/>
      <c r="S46" s="98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5" t="s">
        <v>245</v>
      </c>
      <c r="G47" s="966"/>
      <c r="H47" s="966"/>
      <c r="I47" s="967"/>
      <c r="K47" s="158"/>
      <c r="L47" s="985" t="s">
        <v>253</v>
      </c>
      <c r="M47" s="977"/>
      <c r="N47" s="977"/>
      <c r="O47" s="977"/>
      <c r="P47" s="977"/>
      <c r="Q47" s="977"/>
      <c r="R47" s="977"/>
      <c r="S47" s="98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8"/>
      <c r="G48" s="969"/>
      <c r="H48" s="969"/>
      <c r="I48" s="970"/>
      <c r="K48" s="158"/>
      <c r="L48" s="985" t="s">
        <v>251</v>
      </c>
      <c r="M48" s="977"/>
      <c r="N48" s="977"/>
      <c r="O48" s="977"/>
      <c r="P48" s="977"/>
      <c r="Q48" s="977"/>
      <c r="R48" s="977"/>
      <c r="S48" s="98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4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/>
  <sheetData>
    <row r="3" spans="1:3">
      <c r="A3" s="146" t="s">
        <v>223</v>
      </c>
    </row>
    <row r="5" spans="1:3">
      <c r="B5" s="149"/>
      <c r="C5" s="151" t="s">
        <v>224</v>
      </c>
    </row>
    <row r="6" spans="1:3">
      <c r="B6" s="140"/>
      <c r="C6" s="151" t="s">
        <v>225</v>
      </c>
    </row>
    <row r="7" spans="1:3">
      <c r="B7" s="150"/>
      <c r="C7" s="151" t="s">
        <v>226</v>
      </c>
    </row>
    <row r="8" spans="1:3">
      <c r="B8" s="147"/>
      <c r="C8" s="151" t="s">
        <v>227</v>
      </c>
    </row>
    <row r="9" spans="1:3">
      <c r="B9" s="148"/>
      <c r="C9" s="151" t="s">
        <v>384</v>
      </c>
    </row>
    <row r="11" spans="1:3">
      <c r="A11" s="150"/>
      <c r="B11" s="146" t="s">
        <v>383</v>
      </c>
    </row>
    <row r="12" spans="1:3">
      <c r="A12" s="363"/>
    </row>
    <row r="13" spans="1:3">
      <c r="A13" s="152">
        <v>1</v>
      </c>
      <c r="B13" s="146" t="s">
        <v>396</v>
      </c>
    </row>
    <row r="14" spans="1:3">
      <c r="A14" s="152">
        <v>2</v>
      </c>
      <c r="B14" s="146" t="s">
        <v>397</v>
      </c>
    </row>
    <row r="15" spans="1:3">
      <c r="A15" s="152">
        <v>3</v>
      </c>
      <c r="B15" s="146" t="s">
        <v>398</v>
      </c>
    </row>
    <row r="16" spans="1:3">
      <c r="A16" s="152">
        <v>4</v>
      </c>
      <c r="B16" s="146" t="s">
        <v>399</v>
      </c>
    </row>
    <row r="17" spans="1:2">
      <c r="A17" s="152"/>
      <c r="B17" t="s">
        <v>382</v>
      </c>
    </row>
    <row r="18" spans="1:2">
      <c r="A18" s="153">
        <v>5</v>
      </c>
      <c r="B18" s="399" t="s">
        <v>400</v>
      </c>
    </row>
    <row r="19" spans="1:2">
      <c r="A19" s="153"/>
      <c r="B19" s="362" t="s">
        <v>401</v>
      </c>
    </row>
    <row r="20" spans="1:2">
      <c r="A20" s="153">
        <v>6</v>
      </c>
      <c r="B20" s="146" t="s">
        <v>402</v>
      </c>
    </row>
    <row r="21" spans="1:2">
      <c r="A21" s="152">
        <v>7</v>
      </c>
      <c r="B21" s="146" t="s">
        <v>403</v>
      </c>
    </row>
    <row r="22" spans="1:2">
      <c r="A22" s="152">
        <v>8</v>
      </c>
      <c r="B22" s="146" t="s">
        <v>404</v>
      </c>
    </row>
    <row r="23" spans="1:2">
      <c r="A23" s="152">
        <v>9</v>
      </c>
      <c r="B23" s="146" t="s">
        <v>405</v>
      </c>
    </row>
    <row r="24" spans="1:2">
      <c r="A24" s="153">
        <v>10</v>
      </c>
      <c r="B24" s="146" t="s">
        <v>455</v>
      </c>
    </row>
    <row r="25" spans="1:2">
      <c r="A25" s="153">
        <v>11</v>
      </c>
      <c r="B25" s="146" t="s">
        <v>456</v>
      </c>
    </row>
    <row r="26" spans="1:2">
      <c r="A26" s="153">
        <v>12</v>
      </c>
      <c r="B26" s="146" t="s">
        <v>457</v>
      </c>
    </row>
    <row r="27" spans="1:2">
      <c r="A27" s="152">
        <v>13</v>
      </c>
      <c r="B27" s="146" t="s">
        <v>458</v>
      </c>
    </row>
    <row r="28" spans="1:2">
      <c r="A28" s="152">
        <v>14</v>
      </c>
      <c r="B28" s="146" t="s">
        <v>459</v>
      </c>
    </row>
    <row r="29" spans="1:2">
      <c r="A29" s="153">
        <v>15</v>
      </c>
      <c r="B29" s="146" t="s">
        <v>460</v>
      </c>
    </row>
    <row r="30" spans="1:2">
      <c r="A30" s="153">
        <v>16</v>
      </c>
      <c r="B30" s="146" t="s">
        <v>461</v>
      </c>
    </row>
    <row r="31" spans="1:2">
      <c r="A31" s="153">
        <v>17</v>
      </c>
      <c r="B31" s="146" t="s">
        <v>462</v>
      </c>
    </row>
    <row r="32" spans="1:2">
      <c r="A32" s="153">
        <v>18</v>
      </c>
      <c r="B32" s="399" t="s">
        <v>463</v>
      </c>
    </row>
    <row r="33" spans="1:2">
      <c r="A33" s="153"/>
      <c r="B33" s="399" t="s">
        <v>464</v>
      </c>
    </row>
    <row r="34" spans="1:2">
      <c r="A34" s="153"/>
      <c r="B34" s="362" t="s">
        <v>465</v>
      </c>
    </row>
    <row r="35" spans="1:2">
      <c r="A35" s="153">
        <v>19</v>
      </c>
      <c r="B35" s="146" t="s">
        <v>467</v>
      </c>
    </row>
    <row r="36" spans="1:2">
      <c r="A36" s="153"/>
      <c r="B36" t="s">
        <v>466</v>
      </c>
    </row>
    <row r="37" spans="1:2">
      <c r="A37" s="153">
        <v>20</v>
      </c>
      <c r="B37" s="146" t="s">
        <v>468</v>
      </c>
    </row>
    <row r="38" spans="1:2">
      <c r="A38" s="152">
        <v>21</v>
      </c>
      <c r="B38" s="146" t="s">
        <v>469</v>
      </c>
    </row>
    <row r="39" spans="1:2">
      <c r="A39" s="152">
        <v>22</v>
      </c>
      <c r="B39" s="146" t="s">
        <v>470</v>
      </c>
    </row>
    <row r="40" spans="1:2">
      <c r="A40" s="153">
        <v>23</v>
      </c>
      <c r="B40" s="146" t="s">
        <v>471</v>
      </c>
    </row>
    <row r="41" spans="1:2">
      <c r="A41" s="153">
        <v>24</v>
      </c>
      <c r="B41" s="146" t="s">
        <v>472</v>
      </c>
    </row>
    <row r="42" spans="1:2">
      <c r="A42" s="153">
        <v>25</v>
      </c>
      <c r="B42" s="146" t="s">
        <v>473</v>
      </c>
    </row>
    <row r="43" spans="1:2">
      <c r="A43" s="152">
        <v>26</v>
      </c>
      <c r="B43" s="146" t="s">
        <v>474</v>
      </c>
    </row>
    <row r="44" spans="1:2">
      <c r="A44" s="153">
        <v>27</v>
      </c>
      <c r="B44" s="146" t="s">
        <v>475</v>
      </c>
    </row>
    <row r="45" spans="1:2">
      <c r="A45" s="153">
        <v>28</v>
      </c>
      <c r="B45" s="146" t="s">
        <v>476</v>
      </c>
    </row>
    <row r="46" spans="1:2">
      <c r="A46" s="153">
        <v>29</v>
      </c>
      <c r="B46" s="146" t="s">
        <v>477</v>
      </c>
    </row>
    <row r="47" spans="1:2">
      <c r="A47" s="152">
        <v>30</v>
      </c>
      <c r="B47" s="146" t="s">
        <v>478</v>
      </c>
    </row>
    <row r="48" spans="1:2">
      <c r="A48" s="152">
        <v>31</v>
      </c>
      <c r="B48" s="146" t="s">
        <v>479</v>
      </c>
    </row>
    <row r="49" spans="1:2">
      <c r="A49" s="153">
        <v>32</v>
      </c>
      <c r="B49" s="146" t="s">
        <v>480</v>
      </c>
    </row>
    <row r="50" spans="1:2">
      <c r="A50" s="153">
        <v>33</v>
      </c>
      <c r="B50" s="146" t="s">
        <v>490</v>
      </c>
    </row>
    <row r="51" spans="1:2">
      <c r="A51" s="153">
        <v>34</v>
      </c>
      <c r="B51" s="146" t="s">
        <v>491</v>
      </c>
    </row>
    <row r="52" spans="1:2">
      <c r="A52" s="152">
        <v>35</v>
      </c>
      <c r="B52" s="146" t="s">
        <v>481</v>
      </c>
    </row>
    <row r="53" spans="1:2">
      <c r="A53" s="152">
        <v>36</v>
      </c>
      <c r="B53" s="146" t="s">
        <v>482</v>
      </c>
    </row>
    <row r="54" spans="1:2">
      <c r="A54" s="152">
        <v>37</v>
      </c>
      <c r="B54" s="146" t="s">
        <v>485</v>
      </c>
    </row>
    <row r="55" spans="1:2">
      <c r="A55" s="153">
        <v>38</v>
      </c>
      <c r="B55" s="146" t="s">
        <v>483</v>
      </c>
    </row>
    <row r="56" spans="1:2">
      <c r="A56" s="153" t="s">
        <v>453</v>
      </c>
      <c r="B56" s="146" t="s">
        <v>484</v>
      </c>
    </row>
    <row r="57" spans="1:2">
      <c r="A57" s="152">
        <v>39</v>
      </c>
      <c r="B57" s="6" t="s">
        <v>238</v>
      </c>
    </row>
    <row r="58" spans="1:2">
      <c r="A58" s="152">
        <v>40</v>
      </c>
      <c r="B58" s="146" t="s">
        <v>485</v>
      </c>
    </row>
    <row r="59" spans="1:2">
      <c r="A59" s="152">
        <v>41</v>
      </c>
      <c r="B59" s="146" t="s">
        <v>483</v>
      </c>
    </row>
    <row r="60" spans="1:2">
      <c r="A60" s="152" t="s">
        <v>454</v>
      </c>
      <c r="B60" s="146" t="s">
        <v>484</v>
      </c>
    </row>
    <row r="61" spans="1:2">
      <c r="A61" s="152">
        <v>42</v>
      </c>
      <c r="B61" s="6" t="s">
        <v>238</v>
      </c>
    </row>
    <row r="62" spans="1:2">
      <c r="A62" s="153">
        <v>43</v>
      </c>
      <c r="B62" s="146" t="s">
        <v>487</v>
      </c>
    </row>
    <row r="63" spans="1:2">
      <c r="A63" s="154">
        <v>44</v>
      </c>
      <c r="B63" s="146" t="s">
        <v>492</v>
      </c>
    </row>
    <row r="64" spans="1:2">
      <c r="A64" s="154">
        <v>45</v>
      </c>
      <c r="B64" s="146" t="s">
        <v>488</v>
      </c>
    </row>
    <row r="65" spans="1:2">
      <c r="A65" s="154">
        <v>46</v>
      </c>
      <c r="B65" s="146" t="s">
        <v>489</v>
      </c>
    </row>
    <row r="66" spans="1:2">
      <c r="A66" s="154">
        <v>47</v>
      </c>
      <c r="B66" s="146" t="s">
        <v>486</v>
      </c>
    </row>
    <row r="67" spans="1:2">
      <c r="A67" s="154">
        <v>48</v>
      </c>
      <c r="B67" s="146" t="s">
        <v>494</v>
      </c>
    </row>
    <row r="68" spans="1:2">
      <c r="A68" s="154">
        <v>49</v>
      </c>
      <c r="B68" s="146" t="s">
        <v>493</v>
      </c>
    </row>
    <row r="69" spans="1:2">
      <c r="A69" s="154">
        <v>50</v>
      </c>
      <c r="B69" s="146" t="s">
        <v>495</v>
      </c>
    </row>
    <row r="70" spans="1:2">
      <c r="A70" s="154">
        <v>51</v>
      </c>
      <c r="B70" s="146" t="s">
        <v>486</v>
      </c>
    </row>
    <row r="71" spans="1:2">
      <c r="A71" s="154">
        <v>52</v>
      </c>
      <c r="B71" s="146" t="s">
        <v>494</v>
      </c>
    </row>
    <row r="72" spans="1:2">
      <c r="A72" s="154">
        <v>53</v>
      </c>
      <c r="B72" s="146" t="s">
        <v>493</v>
      </c>
    </row>
    <row r="73" spans="1:2">
      <c r="A73" s="154">
        <v>54</v>
      </c>
      <c r="B73" s="146" t="s">
        <v>495</v>
      </c>
    </row>
    <row r="74" spans="1:2">
      <c r="A74" s="154">
        <v>55</v>
      </c>
      <c r="B74" s="146" t="s">
        <v>486</v>
      </c>
    </row>
    <row r="75" spans="1:2">
      <c r="A75" s="154">
        <v>56</v>
      </c>
      <c r="B75" s="146" t="s">
        <v>494</v>
      </c>
    </row>
    <row r="76" spans="1:2">
      <c r="A76" s="154">
        <v>57</v>
      </c>
      <c r="B76" s="146" t="s">
        <v>493</v>
      </c>
    </row>
    <row r="77" spans="1:2">
      <c r="A77" s="154">
        <v>58</v>
      </c>
      <c r="B77" s="146" t="s">
        <v>495</v>
      </c>
    </row>
    <row r="78" spans="1:2">
      <c r="A78" s="154">
        <v>59</v>
      </c>
      <c r="B78" s="146" t="s">
        <v>496</v>
      </c>
    </row>
    <row r="79" spans="1:2">
      <c r="A79" s="154">
        <v>60</v>
      </c>
      <c r="B79" s="146" t="s">
        <v>497</v>
      </c>
    </row>
    <row r="80" spans="1:2">
      <c r="A80" s="154">
        <v>61</v>
      </c>
      <c r="B80" s="146" t="s">
        <v>498</v>
      </c>
    </row>
    <row r="81" spans="1:2">
      <c r="A81" s="154">
        <v>62</v>
      </c>
      <c r="B81" s="146" t="s">
        <v>499</v>
      </c>
    </row>
    <row r="82" spans="1:2">
      <c r="A82" s="154">
        <v>63</v>
      </c>
      <c r="B82" s="146" t="s">
        <v>500</v>
      </c>
    </row>
    <row r="83" spans="1:2">
      <c r="A83" s="154">
        <v>64</v>
      </c>
      <c r="B83" s="146" t="s">
        <v>501</v>
      </c>
    </row>
    <row r="84" spans="1:2">
      <c r="A84" s="154">
        <v>65</v>
      </c>
      <c r="B84" s="146" t="s">
        <v>506</v>
      </c>
    </row>
    <row r="85" spans="1:2">
      <c r="A85" s="154">
        <v>66</v>
      </c>
      <c r="B85" s="146" t="s">
        <v>505</v>
      </c>
    </row>
    <row r="86" spans="1:2">
      <c r="A86" s="154">
        <v>67</v>
      </c>
      <c r="B86" s="146" t="s">
        <v>504</v>
      </c>
    </row>
    <row r="87" spans="1:2">
      <c r="A87" s="154">
        <v>68</v>
      </c>
      <c r="B87" s="146" t="s">
        <v>502</v>
      </c>
    </row>
    <row r="88" spans="1:2">
      <c r="A88" s="154">
        <v>69</v>
      </c>
      <c r="B88" s="146" t="s">
        <v>353</v>
      </c>
    </row>
    <row r="89" spans="1: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15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5" t="s">
        <v>21</v>
      </c>
      <c r="B3" s="966"/>
      <c r="C3" s="966"/>
      <c r="D3" s="967"/>
      <c r="E3" s="263"/>
      <c r="F3" s="965" t="s">
        <v>320</v>
      </c>
      <c r="G3" s="966"/>
      <c r="H3" s="966"/>
      <c r="I3" s="967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4" t="s">
        <v>317</v>
      </c>
      <c r="C5" s="1006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5"/>
      <c r="C6" s="1007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5"/>
      <c r="C7" s="1007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5"/>
      <c r="C8" s="1007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5"/>
      <c r="C9" s="1007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5"/>
      <c r="C10" s="1007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90" t="s">
        <v>313</v>
      </c>
      <c r="M10" s="991"/>
      <c r="N10" s="253"/>
      <c r="O10" s="285">
        <f>C33</f>
        <v>0</v>
      </c>
      <c r="P10" s="158"/>
      <c r="Q10" s="976" t="s">
        <v>312</v>
      </c>
      <c r="R10" s="986"/>
      <c r="S10" s="1003">
        <f>+C17</f>
        <v>0</v>
      </c>
      <c r="T10" s="986"/>
      <c r="U10" s="158"/>
      <c r="V10" s="198"/>
      <c r="W10" s="158"/>
      <c r="X10" s="158"/>
      <c r="Y10" s="158"/>
    </row>
    <row r="11" spans="1:25" s="237" customFormat="1" ht="13.5" thickBot="1">
      <c r="A11" s="1023"/>
      <c r="B11" s="1005"/>
      <c r="C11" s="1007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4" t="s">
        <v>306</v>
      </c>
      <c r="C12" s="1006"/>
      <c r="D12" s="101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5" t="s">
        <v>309</v>
      </c>
      <c r="M12" s="977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6" t="s">
        <v>308</v>
      </c>
      <c r="R12" s="98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5"/>
      <c r="C13" s="1007"/>
      <c r="D13" s="1010"/>
      <c r="E13" s="204"/>
      <c r="F13" s="710"/>
      <c r="G13" s="200" t="s">
        <v>301</v>
      </c>
      <c r="H13" s="176"/>
      <c r="I13" s="712"/>
      <c r="J13" s="318"/>
      <c r="K13" s="158"/>
      <c r="L13" s="985" t="s">
        <v>307</v>
      </c>
      <c r="M13" s="977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5"/>
      <c r="C14" s="1007"/>
      <c r="D14" s="101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5"/>
      <c r="C15" s="1007"/>
      <c r="D15" s="101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0" t="s">
        <v>303</v>
      </c>
      <c r="M15" s="991"/>
      <c r="N15" s="252"/>
      <c r="O15" s="254">
        <f>SUM(O10:O13)</f>
        <v>0</v>
      </c>
      <c r="P15" s="158"/>
      <c r="Q15" s="976" t="s">
        <v>302</v>
      </c>
      <c r="R15" s="977"/>
      <c r="S15" s="98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5"/>
      <c r="C16" s="1009"/>
      <c r="D16" s="101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0" t="s">
        <v>300</v>
      </c>
      <c r="M17" s="991"/>
      <c r="N17" s="252"/>
      <c r="O17" s="301">
        <f>+D39</f>
        <v>0</v>
      </c>
      <c r="P17" s="158"/>
      <c r="Q17" s="976" t="s">
        <v>299</v>
      </c>
      <c r="R17" s="98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5" t="s">
        <v>297</v>
      </c>
      <c r="M19" s="986"/>
      <c r="N19" s="235"/>
      <c r="O19" s="250">
        <f>O15*(1+O17)</f>
        <v>0</v>
      </c>
      <c r="P19" s="158"/>
      <c r="Q19" s="976" t="s">
        <v>296</v>
      </c>
      <c r="R19" s="977"/>
      <c r="S19" s="977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5" t="s">
        <v>292</v>
      </c>
      <c r="M21" s="977"/>
      <c r="N21" s="977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6" t="s">
        <v>280</v>
      </c>
      <c r="R24" s="977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8" t="s">
        <v>288</v>
      </c>
      <c r="R25" s="979"/>
      <c r="S25" s="980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5" t="s">
        <v>285</v>
      </c>
      <c r="C26" s="1006"/>
      <c r="D26" s="101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5"/>
      <c r="C27" s="1007"/>
      <c r="D27" s="101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5"/>
      <c r="C28" s="1007"/>
      <c r="D28" s="101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5"/>
      <c r="C29" s="1007"/>
      <c r="D29" s="101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5"/>
      <c r="C30" s="1007"/>
      <c r="D30" s="1010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92" t="s">
        <v>282</v>
      </c>
      <c r="M31" s="993"/>
      <c r="N31" s="993"/>
      <c r="O31" s="994"/>
      <c r="P31" s="158"/>
      <c r="Q31" s="985" t="s">
        <v>280</v>
      </c>
      <c r="R31" s="98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6" t="s">
        <v>279</v>
      </c>
      <c r="R32" s="977"/>
      <c r="S32" s="986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00" t="s">
        <v>274</v>
      </c>
      <c r="M38" s="1001"/>
      <c r="N38" s="1001"/>
      <c r="O38" s="1001"/>
      <c r="P38" s="1002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5" t="s">
        <v>270</v>
      </c>
      <c r="M40" s="977"/>
      <c r="N40" s="986"/>
      <c r="O40" s="284">
        <v>6</v>
      </c>
      <c r="P40" s="214"/>
      <c r="Q40" s="976" t="s">
        <v>269</v>
      </c>
      <c r="R40" s="98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5" t="s">
        <v>265</v>
      </c>
      <c r="M42" s="977"/>
      <c r="N42" s="977"/>
      <c r="O42" s="977"/>
      <c r="P42" s="977"/>
      <c r="Q42" s="977"/>
      <c r="R42" s="98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5" t="s">
        <v>263</v>
      </c>
      <c r="M43" s="977"/>
      <c r="N43" s="977"/>
      <c r="O43" s="977"/>
      <c r="P43" s="977"/>
      <c r="Q43" s="977"/>
      <c r="R43" s="98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5" t="s">
        <v>261</v>
      </c>
      <c r="M44" s="977"/>
      <c r="N44" s="977"/>
      <c r="O44" s="977"/>
      <c r="P44" s="977"/>
      <c r="Q44" s="977"/>
      <c r="R44" s="98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7" t="s">
        <v>259</v>
      </c>
      <c r="M45" s="988"/>
      <c r="N45" s="988"/>
      <c r="O45" s="988"/>
      <c r="P45" s="988"/>
      <c r="Q45" s="988"/>
      <c r="R45" s="989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0" t="s">
        <v>256</v>
      </c>
      <c r="M46" s="991"/>
      <c r="N46" s="991"/>
      <c r="O46" s="991"/>
      <c r="P46" s="991"/>
      <c r="Q46" s="991"/>
      <c r="R46" s="991"/>
      <c r="S46" s="98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5" t="s">
        <v>245</v>
      </c>
      <c r="G47" s="966"/>
      <c r="H47" s="966"/>
      <c r="I47" s="967"/>
      <c r="K47" s="158"/>
      <c r="L47" s="985" t="s">
        <v>253</v>
      </c>
      <c r="M47" s="977"/>
      <c r="N47" s="977"/>
      <c r="O47" s="977"/>
      <c r="P47" s="977"/>
      <c r="Q47" s="977"/>
      <c r="R47" s="977"/>
      <c r="S47" s="98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8"/>
      <c r="G48" s="969"/>
      <c r="H48" s="969"/>
      <c r="I48" s="970"/>
      <c r="K48" s="158"/>
      <c r="L48" s="985" t="s">
        <v>251</v>
      </c>
      <c r="M48" s="977"/>
      <c r="N48" s="977"/>
      <c r="O48" s="977"/>
      <c r="P48" s="977"/>
      <c r="Q48" s="977"/>
      <c r="R48" s="977"/>
      <c r="S48" s="98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4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16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5" t="s">
        <v>21</v>
      </c>
      <c r="B3" s="966"/>
      <c r="C3" s="966"/>
      <c r="D3" s="967"/>
      <c r="E3" s="263"/>
      <c r="F3" s="965" t="s">
        <v>320</v>
      </c>
      <c r="G3" s="966"/>
      <c r="H3" s="966"/>
      <c r="I3" s="967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4" t="s">
        <v>317</v>
      </c>
      <c r="C5" s="1006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5"/>
      <c r="C6" s="1007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5"/>
      <c r="C7" s="1007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5"/>
      <c r="C8" s="1007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5"/>
      <c r="C9" s="1007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5"/>
      <c r="C10" s="1007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90" t="s">
        <v>313</v>
      </c>
      <c r="M10" s="991"/>
      <c r="N10" s="253"/>
      <c r="O10" s="285">
        <f>C33</f>
        <v>0</v>
      </c>
      <c r="P10" s="158"/>
      <c r="Q10" s="976" t="s">
        <v>312</v>
      </c>
      <c r="R10" s="986"/>
      <c r="S10" s="1003">
        <f>+C17</f>
        <v>0</v>
      </c>
      <c r="T10" s="986"/>
      <c r="U10" s="158"/>
      <c r="V10" s="198"/>
      <c r="W10" s="158"/>
      <c r="X10" s="158"/>
      <c r="Y10" s="158"/>
    </row>
    <row r="11" spans="1:25" s="237" customFormat="1" ht="13.5" thickBot="1">
      <c r="A11" s="1023"/>
      <c r="B11" s="1005"/>
      <c r="C11" s="1007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4" t="s">
        <v>306</v>
      </c>
      <c r="C12" s="1006"/>
      <c r="D12" s="101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5" t="s">
        <v>309</v>
      </c>
      <c r="M12" s="977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6" t="s">
        <v>308</v>
      </c>
      <c r="R12" s="98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5"/>
      <c r="C13" s="1007"/>
      <c r="D13" s="1010"/>
      <c r="E13" s="204"/>
      <c r="F13" s="710"/>
      <c r="G13" s="200" t="s">
        <v>301</v>
      </c>
      <c r="H13" s="176"/>
      <c r="I13" s="712"/>
      <c r="J13" s="318"/>
      <c r="K13" s="158"/>
      <c r="L13" s="985" t="s">
        <v>307</v>
      </c>
      <c r="M13" s="977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5"/>
      <c r="C14" s="1007"/>
      <c r="D14" s="101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5"/>
      <c r="C15" s="1007"/>
      <c r="D15" s="101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0" t="s">
        <v>303</v>
      </c>
      <c r="M15" s="991"/>
      <c r="N15" s="252"/>
      <c r="O15" s="254">
        <f>SUM(O10:O13)</f>
        <v>0</v>
      </c>
      <c r="P15" s="158"/>
      <c r="Q15" s="976" t="s">
        <v>302</v>
      </c>
      <c r="R15" s="977"/>
      <c r="S15" s="98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5"/>
      <c r="C16" s="1009"/>
      <c r="D16" s="101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0" t="s">
        <v>300</v>
      </c>
      <c r="M17" s="991"/>
      <c r="N17" s="252"/>
      <c r="O17" s="301">
        <f>+D39</f>
        <v>0</v>
      </c>
      <c r="P17" s="158"/>
      <c r="Q17" s="976" t="s">
        <v>299</v>
      </c>
      <c r="R17" s="98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5" t="s">
        <v>297</v>
      </c>
      <c r="M19" s="986"/>
      <c r="N19" s="235"/>
      <c r="O19" s="250">
        <f>O15*(1+O17)</f>
        <v>0</v>
      </c>
      <c r="P19" s="158"/>
      <c r="Q19" s="976" t="s">
        <v>296</v>
      </c>
      <c r="R19" s="977"/>
      <c r="S19" s="977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5" t="s">
        <v>292</v>
      </c>
      <c r="M21" s="977"/>
      <c r="N21" s="977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6" t="s">
        <v>280</v>
      </c>
      <c r="R24" s="977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8" t="s">
        <v>288</v>
      </c>
      <c r="R25" s="979"/>
      <c r="S25" s="980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5" t="s">
        <v>285</v>
      </c>
      <c r="C26" s="1006"/>
      <c r="D26" s="101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5"/>
      <c r="C27" s="1007"/>
      <c r="D27" s="101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5"/>
      <c r="C28" s="1007"/>
      <c r="D28" s="101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5"/>
      <c r="C29" s="1007"/>
      <c r="D29" s="101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5"/>
      <c r="C30" s="1007"/>
      <c r="D30" s="1010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92" t="s">
        <v>282</v>
      </c>
      <c r="M31" s="993"/>
      <c r="N31" s="993"/>
      <c r="O31" s="994"/>
      <c r="P31" s="158"/>
      <c r="Q31" s="985" t="s">
        <v>280</v>
      </c>
      <c r="R31" s="98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6" t="s">
        <v>279</v>
      </c>
      <c r="R32" s="977"/>
      <c r="S32" s="986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00" t="s">
        <v>274</v>
      </c>
      <c r="M38" s="1001"/>
      <c r="N38" s="1001"/>
      <c r="O38" s="1001"/>
      <c r="P38" s="1002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5" t="s">
        <v>270</v>
      </c>
      <c r="M40" s="977"/>
      <c r="N40" s="986"/>
      <c r="O40" s="284">
        <v>6</v>
      </c>
      <c r="P40" s="214"/>
      <c r="Q40" s="976" t="s">
        <v>269</v>
      </c>
      <c r="R40" s="98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5" t="s">
        <v>265</v>
      </c>
      <c r="M42" s="977"/>
      <c r="N42" s="977"/>
      <c r="O42" s="977"/>
      <c r="P42" s="977"/>
      <c r="Q42" s="977"/>
      <c r="R42" s="98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5" t="s">
        <v>263</v>
      </c>
      <c r="M43" s="977"/>
      <c r="N43" s="977"/>
      <c r="O43" s="977"/>
      <c r="P43" s="977"/>
      <c r="Q43" s="977"/>
      <c r="R43" s="98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5" t="s">
        <v>261</v>
      </c>
      <c r="M44" s="977"/>
      <c r="N44" s="977"/>
      <c r="O44" s="977"/>
      <c r="P44" s="977"/>
      <c r="Q44" s="977"/>
      <c r="R44" s="98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7" t="s">
        <v>259</v>
      </c>
      <c r="M45" s="988"/>
      <c r="N45" s="988"/>
      <c r="O45" s="988"/>
      <c r="P45" s="988"/>
      <c r="Q45" s="988"/>
      <c r="R45" s="989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0" t="s">
        <v>256</v>
      </c>
      <c r="M46" s="991"/>
      <c r="N46" s="991"/>
      <c r="O46" s="991"/>
      <c r="P46" s="991"/>
      <c r="Q46" s="991"/>
      <c r="R46" s="991"/>
      <c r="S46" s="98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5" t="s">
        <v>245</v>
      </c>
      <c r="G47" s="966"/>
      <c r="H47" s="966"/>
      <c r="I47" s="967"/>
      <c r="K47" s="158"/>
      <c r="L47" s="985" t="s">
        <v>253</v>
      </c>
      <c r="M47" s="977"/>
      <c r="N47" s="977"/>
      <c r="O47" s="977"/>
      <c r="P47" s="977"/>
      <c r="Q47" s="977"/>
      <c r="R47" s="977"/>
      <c r="S47" s="98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8"/>
      <c r="G48" s="969"/>
      <c r="H48" s="969"/>
      <c r="I48" s="970"/>
      <c r="K48" s="158"/>
      <c r="L48" s="985" t="s">
        <v>251</v>
      </c>
      <c r="M48" s="977"/>
      <c r="N48" s="977"/>
      <c r="O48" s="977"/>
      <c r="P48" s="977"/>
      <c r="Q48" s="977"/>
      <c r="R48" s="977"/>
      <c r="S48" s="98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4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7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5" t="s">
        <v>21</v>
      </c>
      <c r="B3" s="966"/>
      <c r="C3" s="966"/>
      <c r="D3" s="967"/>
      <c r="E3" s="263"/>
      <c r="F3" s="965" t="s">
        <v>320</v>
      </c>
      <c r="G3" s="966"/>
      <c r="H3" s="966"/>
      <c r="I3" s="967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4" t="s">
        <v>317</v>
      </c>
      <c r="C5" s="1006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5"/>
      <c r="C6" s="1007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5"/>
      <c r="C7" s="1007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5"/>
      <c r="C8" s="1007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5"/>
      <c r="C9" s="1007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5"/>
      <c r="C10" s="1007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90" t="s">
        <v>313</v>
      </c>
      <c r="M10" s="991"/>
      <c r="N10" s="253"/>
      <c r="O10" s="285">
        <f>C33</f>
        <v>0</v>
      </c>
      <c r="P10" s="158"/>
      <c r="Q10" s="976" t="s">
        <v>312</v>
      </c>
      <c r="R10" s="986"/>
      <c r="S10" s="1003">
        <f>+C17</f>
        <v>0</v>
      </c>
      <c r="T10" s="986"/>
      <c r="U10" s="158"/>
      <c r="V10" s="198"/>
      <c r="W10" s="158"/>
      <c r="X10" s="158"/>
      <c r="Y10" s="158"/>
    </row>
    <row r="11" spans="1:25" s="237" customFormat="1" ht="13.5" thickBot="1">
      <c r="A11" s="1023"/>
      <c r="B11" s="1005"/>
      <c r="C11" s="1007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4" t="s">
        <v>306</v>
      </c>
      <c r="C12" s="1006"/>
      <c r="D12" s="101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5" t="s">
        <v>309</v>
      </c>
      <c r="M12" s="977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6" t="s">
        <v>308</v>
      </c>
      <c r="R12" s="98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5"/>
      <c r="C13" s="1007"/>
      <c r="D13" s="1010"/>
      <c r="E13" s="204"/>
      <c r="F13" s="710"/>
      <c r="G13" s="200" t="s">
        <v>301</v>
      </c>
      <c r="H13" s="176"/>
      <c r="I13" s="712"/>
      <c r="J13" s="318"/>
      <c r="K13" s="158"/>
      <c r="L13" s="985" t="s">
        <v>307</v>
      </c>
      <c r="M13" s="977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5"/>
      <c r="C14" s="1007"/>
      <c r="D14" s="101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5"/>
      <c r="C15" s="1007"/>
      <c r="D15" s="101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0" t="s">
        <v>303</v>
      </c>
      <c r="M15" s="991"/>
      <c r="N15" s="252"/>
      <c r="O15" s="254">
        <f>SUM(O10:O13)</f>
        <v>0</v>
      </c>
      <c r="P15" s="158"/>
      <c r="Q15" s="976" t="s">
        <v>302</v>
      </c>
      <c r="R15" s="977"/>
      <c r="S15" s="98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5"/>
      <c r="C16" s="1009"/>
      <c r="D16" s="101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0" t="s">
        <v>300</v>
      </c>
      <c r="M17" s="991"/>
      <c r="N17" s="252"/>
      <c r="O17" s="301">
        <f>+D39</f>
        <v>0</v>
      </c>
      <c r="P17" s="158"/>
      <c r="Q17" s="976" t="s">
        <v>299</v>
      </c>
      <c r="R17" s="98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5" t="s">
        <v>297</v>
      </c>
      <c r="M19" s="986"/>
      <c r="N19" s="235"/>
      <c r="O19" s="250">
        <f>O15*(1+O17)</f>
        <v>0</v>
      </c>
      <c r="P19" s="158"/>
      <c r="Q19" s="976" t="s">
        <v>296</v>
      </c>
      <c r="R19" s="977"/>
      <c r="S19" s="977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5" t="s">
        <v>292</v>
      </c>
      <c r="M21" s="977"/>
      <c r="N21" s="977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6" t="s">
        <v>280</v>
      </c>
      <c r="R24" s="977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8" t="s">
        <v>288</v>
      </c>
      <c r="R25" s="979"/>
      <c r="S25" s="980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5" t="s">
        <v>285</v>
      </c>
      <c r="C26" s="1006"/>
      <c r="D26" s="101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5"/>
      <c r="C27" s="1007"/>
      <c r="D27" s="101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5"/>
      <c r="C28" s="1007"/>
      <c r="D28" s="101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5"/>
      <c r="C29" s="1007"/>
      <c r="D29" s="101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5"/>
      <c r="C30" s="1007"/>
      <c r="D30" s="1010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92" t="s">
        <v>282</v>
      </c>
      <c r="M31" s="993"/>
      <c r="N31" s="993"/>
      <c r="O31" s="994"/>
      <c r="P31" s="158"/>
      <c r="Q31" s="985" t="s">
        <v>280</v>
      </c>
      <c r="R31" s="98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6" t="s">
        <v>279</v>
      </c>
      <c r="R32" s="977"/>
      <c r="S32" s="986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00" t="s">
        <v>274</v>
      </c>
      <c r="M38" s="1001"/>
      <c r="N38" s="1001"/>
      <c r="O38" s="1001"/>
      <c r="P38" s="1002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5" t="s">
        <v>270</v>
      </c>
      <c r="M40" s="977"/>
      <c r="N40" s="986"/>
      <c r="O40" s="284">
        <v>6</v>
      </c>
      <c r="P40" s="214"/>
      <c r="Q40" s="976" t="s">
        <v>269</v>
      </c>
      <c r="R40" s="98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5" t="s">
        <v>265</v>
      </c>
      <c r="M42" s="977"/>
      <c r="N42" s="977"/>
      <c r="O42" s="977"/>
      <c r="P42" s="977"/>
      <c r="Q42" s="977"/>
      <c r="R42" s="98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5" t="s">
        <v>263</v>
      </c>
      <c r="M43" s="977"/>
      <c r="N43" s="977"/>
      <c r="O43" s="977"/>
      <c r="P43" s="977"/>
      <c r="Q43" s="977"/>
      <c r="R43" s="98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5" t="s">
        <v>261</v>
      </c>
      <c r="M44" s="977"/>
      <c r="N44" s="977"/>
      <c r="O44" s="977"/>
      <c r="P44" s="977"/>
      <c r="Q44" s="977"/>
      <c r="R44" s="98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7" t="s">
        <v>259</v>
      </c>
      <c r="M45" s="988"/>
      <c r="N45" s="988"/>
      <c r="O45" s="988"/>
      <c r="P45" s="988"/>
      <c r="Q45" s="988"/>
      <c r="R45" s="989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0" t="s">
        <v>256</v>
      </c>
      <c r="M46" s="991"/>
      <c r="N46" s="991"/>
      <c r="O46" s="991"/>
      <c r="P46" s="991"/>
      <c r="Q46" s="991"/>
      <c r="R46" s="991"/>
      <c r="S46" s="98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5" t="s">
        <v>245</v>
      </c>
      <c r="G47" s="966"/>
      <c r="H47" s="966"/>
      <c r="I47" s="967"/>
      <c r="K47" s="158"/>
      <c r="L47" s="985" t="s">
        <v>253</v>
      </c>
      <c r="M47" s="977"/>
      <c r="N47" s="977"/>
      <c r="O47" s="977"/>
      <c r="P47" s="977"/>
      <c r="Q47" s="977"/>
      <c r="R47" s="977"/>
      <c r="S47" s="98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8"/>
      <c r="G48" s="969"/>
      <c r="H48" s="969"/>
      <c r="I48" s="970"/>
      <c r="K48" s="158"/>
      <c r="L48" s="985" t="s">
        <v>251</v>
      </c>
      <c r="M48" s="977"/>
      <c r="N48" s="977"/>
      <c r="O48" s="977"/>
      <c r="P48" s="977"/>
      <c r="Q48" s="977"/>
      <c r="R48" s="977"/>
      <c r="S48" s="98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4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5" t="s">
        <v>21</v>
      </c>
      <c r="B3" s="966"/>
      <c r="C3" s="966"/>
      <c r="D3" s="967"/>
      <c r="E3" s="263"/>
      <c r="F3" s="965" t="s">
        <v>320</v>
      </c>
      <c r="G3" s="966"/>
      <c r="H3" s="966"/>
      <c r="I3" s="967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4" t="s">
        <v>317</v>
      </c>
      <c r="C5" s="1006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5"/>
      <c r="C6" s="1007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5"/>
      <c r="C7" s="1007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5"/>
      <c r="C8" s="1007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5"/>
      <c r="C9" s="1007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5"/>
      <c r="C10" s="1007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90" t="s">
        <v>313</v>
      </c>
      <c r="M10" s="991"/>
      <c r="N10" s="253"/>
      <c r="O10" s="285">
        <f>C33</f>
        <v>0</v>
      </c>
      <c r="P10" s="158"/>
      <c r="Q10" s="976" t="s">
        <v>312</v>
      </c>
      <c r="R10" s="986"/>
      <c r="S10" s="1003">
        <f>+C17</f>
        <v>0</v>
      </c>
      <c r="T10" s="986"/>
      <c r="U10" s="158"/>
      <c r="V10" s="198"/>
      <c r="W10" s="158"/>
      <c r="X10" s="158"/>
      <c r="Y10" s="158"/>
    </row>
    <row r="11" spans="1:25" s="237" customFormat="1" ht="13.5" thickBot="1">
      <c r="A11" s="1023"/>
      <c r="B11" s="1005"/>
      <c r="C11" s="1007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4" t="s">
        <v>306</v>
      </c>
      <c r="C12" s="1006"/>
      <c r="D12" s="101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5" t="s">
        <v>309</v>
      </c>
      <c r="M12" s="977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6" t="s">
        <v>308</v>
      </c>
      <c r="R12" s="98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5"/>
      <c r="C13" s="1007"/>
      <c r="D13" s="1010"/>
      <c r="E13" s="204"/>
      <c r="F13" s="710"/>
      <c r="G13" s="200" t="s">
        <v>301</v>
      </c>
      <c r="H13" s="176"/>
      <c r="I13" s="712"/>
      <c r="J13" s="318"/>
      <c r="K13" s="158"/>
      <c r="L13" s="985" t="s">
        <v>307</v>
      </c>
      <c r="M13" s="977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5"/>
      <c r="C14" s="1007"/>
      <c r="D14" s="101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5"/>
      <c r="C15" s="1007"/>
      <c r="D15" s="101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0" t="s">
        <v>303</v>
      </c>
      <c r="M15" s="991"/>
      <c r="N15" s="252"/>
      <c r="O15" s="254">
        <f>SUM(O10:O13)</f>
        <v>0</v>
      </c>
      <c r="P15" s="158"/>
      <c r="Q15" s="976" t="s">
        <v>302</v>
      </c>
      <c r="R15" s="977"/>
      <c r="S15" s="98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5"/>
      <c r="C16" s="1009"/>
      <c r="D16" s="101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0" t="s">
        <v>300</v>
      </c>
      <c r="M17" s="991"/>
      <c r="N17" s="252"/>
      <c r="O17" s="301">
        <f>+D39</f>
        <v>0</v>
      </c>
      <c r="P17" s="158"/>
      <c r="Q17" s="976" t="s">
        <v>299</v>
      </c>
      <c r="R17" s="98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5" t="s">
        <v>297</v>
      </c>
      <c r="M19" s="986"/>
      <c r="N19" s="235"/>
      <c r="O19" s="250">
        <f>O15*(1+O17)</f>
        <v>0</v>
      </c>
      <c r="P19" s="158"/>
      <c r="Q19" s="976" t="s">
        <v>296</v>
      </c>
      <c r="R19" s="977"/>
      <c r="S19" s="977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5" t="s">
        <v>292</v>
      </c>
      <c r="M21" s="977"/>
      <c r="N21" s="977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6" t="s">
        <v>280</v>
      </c>
      <c r="R24" s="977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8" t="s">
        <v>288</v>
      </c>
      <c r="R25" s="979"/>
      <c r="S25" s="980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5" t="s">
        <v>285</v>
      </c>
      <c r="C26" s="1006"/>
      <c r="D26" s="101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5"/>
      <c r="C27" s="1007"/>
      <c r="D27" s="101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5"/>
      <c r="C28" s="1007"/>
      <c r="D28" s="101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5"/>
      <c r="C29" s="1007"/>
      <c r="D29" s="101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5"/>
      <c r="C30" s="1007"/>
      <c r="D30" s="1010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92" t="s">
        <v>282</v>
      </c>
      <c r="M31" s="993"/>
      <c r="N31" s="993"/>
      <c r="O31" s="994"/>
      <c r="P31" s="158"/>
      <c r="Q31" s="985" t="s">
        <v>280</v>
      </c>
      <c r="R31" s="98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6" t="s">
        <v>279</v>
      </c>
      <c r="R32" s="977"/>
      <c r="S32" s="986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00" t="s">
        <v>274</v>
      </c>
      <c r="M38" s="1001"/>
      <c r="N38" s="1001"/>
      <c r="O38" s="1001"/>
      <c r="P38" s="1002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5" t="s">
        <v>270</v>
      </c>
      <c r="M40" s="977"/>
      <c r="N40" s="986"/>
      <c r="O40" s="284">
        <v>6</v>
      </c>
      <c r="P40" s="214"/>
      <c r="Q40" s="976" t="s">
        <v>269</v>
      </c>
      <c r="R40" s="98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5" t="s">
        <v>265</v>
      </c>
      <c r="M42" s="977"/>
      <c r="N42" s="977"/>
      <c r="O42" s="977"/>
      <c r="P42" s="977"/>
      <c r="Q42" s="977"/>
      <c r="R42" s="98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5" t="s">
        <v>263</v>
      </c>
      <c r="M43" s="977"/>
      <c r="N43" s="977"/>
      <c r="O43" s="977"/>
      <c r="P43" s="977"/>
      <c r="Q43" s="977"/>
      <c r="R43" s="98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5" t="s">
        <v>261</v>
      </c>
      <c r="M44" s="977"/>
      <c r="N44" s="977"/>
      <c r="O44" s="977"/>
      <c r="P44" s="977"/>
      <c r="Q44" s="977"/>
      <c r="R44" s="98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7" t="s">
        <v>259</v>
      </c>
      <c r="M45" s="988"/>
      <c r="N45" s="988"/>
      <c r="O45" s="988"/>
      <c r="P45" s="988"/>
      <c r="Q45" s="988"/>
      <c r="R45" s="989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0" t="s">
        <v>256</v>
      </c>
      <c r="M46" s="991"/>
      <c r="N46" s="991"/>
      <c r="O46" s="991"/>
      <c r="P46" s="991"/>
      <c r="Q46" s="991"/>
      <c r="R46" s="991"/>
      <c r="S46" s="98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5" t="s">
        <v>245</v>
      </c>
      <c r="G47" s="966"/>
      <c r="H47" s="966"/>
      <c r="I47" s="967"/>
      <c r="K47" s="158"/>
      <c r="L47" s="985" t="s">
        <v>253</v>
      </c>
      <c r="M47" s="977"/>
      <c r="N47" s="977"/>
      <c r="O47" s="977"/>
      <c r="P47" s="977"/>
      <c r="Q47" s="977"/>
      <c r="R47" s="977"/>
      <c r="S47" s="98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8"/>
      <c r="G48" s="969"/>
      <c r="H48" s="969"/>
      <c r="I48" s="970"/>
      <c r="K48" s="158"/>
      <c r="L48" s="985" t="s">
        <v>251</v>
      </c>
      <c r="M48" s="977"/>
      <c r="N48" s="977"/>
      <c r="O48" s="977"/>
      <c r="P48" s="977"/>
      <c r="Q48" s="977"/>
      <c r="R48" s="977"/>
      <c r="S48" s="98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4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/>
  <cols>
    <col min="1" max="1" width="1.7109375" customWidth="1"/>
    <col min="2" max="2" width="8" customWidth="1"/>
    <col min="5" max="5" width="8.42578125" customWidth="1"/>
  </cols>
  <sheetData>
    <row r="1" spans="1:12" ht="15.7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41848</v>
      </c>
      <c r="L4" s="14"/>
    </row>
    <row r="5" spans="1:1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>
      <c r="F16" s="28"/>
    </row>
    <row r="18" spans="1:19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>
      <c r="A60" s="14"/>
      <c r="B60" s="66"/>
      <c r="C60" s="67"/>
      <c r="D60" s="68" t="s">
        <v>101</v>
      </c>
      <c r="E60" s="68"/>
      <c r="F60" s="69" t="e">
        <f ca="1">IRR(OFFSET(G76,0,0,1,(2+H12)))</f>
        <v>#NUM!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>
      <c r="A110" s="14"/>
      <c r="B110" s="16" t="str">
        <f>K5&amp;" "</f>
        <v xml:space="preserve">abc </v>
      </c>
      <c r="C110" s="85">
        <f ca="1">K4</f>
        <v>41848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/>
  <cols>
    <col min="1" max="1" width="26.28515625" customWidth="1"/>
    <col min="2" max="11" width="12.28515625" customWidth="1"/>
  </cols>
  <sheetData>
    <row r="1" spans="1:16" ht="15">
      <c r="A1" s="4" t="s">
        <v>385</v>
      </c>
    </row>
    <row r="2" spans="1:16" ht="15">
      <c r="A2" s="4" t="s">
        <v>386</v>
      </c>
    </row>
    <row r="3" spans="1:16">
      <c r="A3" s="146"/>
    </row>
    <row r="4" spans="1:16">
      <c r="A4" s="151" t="s">
        <v>388</v>
      </c>
    </row>
    <row r="5" spans="1:16">
      <c r="A5" s="151" t="s">
        <v>389</v>
      </c>
    </row>
    <row r="7" spans="1:16">
      <c r="A7" s="378" t="s">
        <v>390</v>
      </c>
    </row>
    <row r="8" spans="1:16">
      <c r="A8" s="151" t="s">
        <v>391</v>
      </c>
    </row>
    <row r="9" spans="1:16">
      <c r="A9" s="151" t="s">
        <v>392</v>
      </c>
    </row>
    <row r="10" spans="1:16">
      <c r="A10" s="151"/>
    </row>
    <row r="11" spans="1:16" ht="13.5" thickBot="1">
      <c r="A11" s="378"/>
    </row>
    <row r="12" spans="1:16" s="364" customFormat="1" ht="25.5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2" t="s">
        <v>680</v>
      </c>
    </row>
    <row r="14" spans="1:16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>
      <c r="A24" s="378" t="s">
        <v>393</v>
      </c>
    </row>
    <row r="25" spans="1:11">
      <c r="A25" s="151" t="s">
        <v>394</v>
      </c>
    </row>
    <row r="26" spans="1:11">
      <c r="A26" s="400" t="s">
        <v>406</v>
      </c>
    </row>
    <row r="28" spans="1:11">
      <c r="C28" s="401" t="s">
        <v>44</v>
      </c>
      <c r="D28" s="402"/>
      <c r="E28" s="402"/>
      <c r="F28" s="402"/>
      <c r="G28" s="232" t="s">
        <v>407</v>
      </c>
      <c r="H28" s="403" t="s">
        <v>408</v>
      </c>
    </row>
    <row r="29" spans="1:11">
      <c r="C29" s="404"/>
      <c r="D29" s="405" t="s">
        <v>44</v>
      </c>
      <c r="E29" s="158"/>
      <c r="F29" s="158"/>
      <c r="G29" s="406">
        <v>928202.36000000022</v>
      </c>
      <c r="H29" s="407">
        <v>1398209.6099999999</v>
      </c>
    </row>
    <row r="30" spans="1:11">
      <c r="C30" s="404"/>
      <c r="D30" s="408" t="s">
        <v>395</v>
      </c>
      <c r="E30" s="158"/>
      <c r="F30" s="158"/>
      <c r="G30" s="406">
        <v>72539.540000000008</v>
      </c>
      <c r="H30" s="407">
        <v>124295.76000000001</v>
      </c>
      <c r="I30" s="409"/>
    </row>
    <row r="31" spans="1:11">
      <c r="C31" s="404"/>
      <c r="D31" s="408" t="s">
        <v>409</v>
      </c>
      <c r="E31" s="158"/>
      <c r="F31" s="158"/>
      <c r="G31" s="406">
        <v>97289.02</v>
      </c>
      <c r="H31" s="407">
        <v>125498</v>
      </c>
      <c r="I31" s="409"/>
    </row>
    <row r="32" spans="1:11">
      <c r="C32" s="404"/>
      <c r="D32" s="408" t="s">
        <v>410</v>
      </c>
      <c r="E32" s="158"/>
      <c r="F32" s="158"/>
      <c r="G32" s="406">
        <v>657236</v>
      </c>
      <c r="H32" s="407">
        <v>64509.21</v>
      </c>
      <c r="I32" s="409"/>
    </row>
    <row r="33" spans="3:9">
      <c r="C33" s="404"/>
      <c r="D33" s="410" t="s">
        <v>411</v>
      </c>
      <c r="E33" s="158"/>
      <c r="F33" s="158"/>
      <c r="G33" s="411">
        <v>57747</v>
      </c>
      <c r="H33" s="412">
        <v>-253753</v>
      </c>
      <c r="I33" s="413"/>
    </row>
    <row r="34" spans="3:9">
      <c r="C34" s="404"/>
      <c r="D34" s="405" t="s">
        <v>412</v>
      </c>
      <c r="E34" s="158"/>
      <c r="F34" s="158"/>
      <c r="G34" s="406">
        <v>1813013.9200000002</v>
      </c>
      <c r="H34" s="407">
        <v>1458759.5799999998</v>
      </c>
    </row>
    <row r="35" spans="3:9">
      <c r="C35" s="404"/>
      <c r="D35" s="158"/>
      <c r="E35" s="158"/>
      <c r="F35" s="158"/>
      <c r="G35" s="406"/>
      <c r="H35" s="407"/>
    </row>
    <row r="36" spans="3:9">
      <c r="C36" s="404" t="s">
        <v>40</v>
      </c>
      <c r="D36" s="158"/>
      <c r="E36" s="158"/>
      <c r="F36" s="158"/>
      <c r="G36" s="406"/>
      <c r="H36" s="407"/>
    </row>
    <row r="37" spans="3:9">
      <c r="C37" s="404"/>
      <c r="D37" s="405" t="s">
        <v>413</v>
      </c>
      <c r="E37" s="158"/>
      <c r="F37" s="158"/>
      <c r="G37" s="406">
        <v>50487.53</v>
      </c>
      <c r="H37" s="407">
        <v>22720.460000000003</v>
      </c>
    </row>
    <row r="38" spans="3:9">
      <c r="C38" s="404"/>
      <c r="D38" s="414" t="s">
        <v>414</v>
      </c>
      <c r="E38" s="158"/>
      <c r="F38" s="158"/>
      <c r="G38" s="406">
        <v>177384.13999999998</v>
      </c>
      <c r="H38" s="407"/>
    </row>
    <row r="39" spans="3:9">
      <c r="C39" s="404"/>
      <c r="D39" s="414" t="s">
        <v>415</v>
      </c>
      <c r="E39" s="158"/>
      <c r="F39" s="158"/>
      <c r="G39" s="406">
        <v>198073.66999999998</v>
      </c>
      <c r="H39" s="407"/>
    </row>
    <row r="40" spans="3:9">
      <c r="C40" s="404"/>
      <c r="D40" s="408" t="s">
        <v>416</v>
      </c>
      <c r="E40" s="158"/>
      <c r="F40" s="158"/>
      <c r="G40" s="406">
        <v>56952.549999999996</v>
      </c>
      <c r="H40" s="407">
        <v>54268.13</v>
      </c>
    </row>
    <row r="41" spans="3:9">
      <c r="C41" s="404"/>
      <c r="D41" s="408" t="s">
        <v>417</v>
      </c>
      <c r="E41" s="158"/>
      <c r="F41" s="158"/>
      <c r="G41" s="406">
        <v>20509.95</v>
      </c>
      <c r="H41" s="407">
        <v>162956.35000000003</v>
      </c>
    </row>
    <row r="42" spans="3:9">
      <c r="C42" s="404"/>
      <c r="D42" s="408" t="s">
        <v>418</v>
      </c>
      <c r="E42" s="158"/>
      <c r="F42" s="158"/>
      <c r="G42" s="406">
        <v>56623.369999999995</v>
      </c>
      <c r="H42" s="407">
        <v>68823.709999999992</v>
      </c>
    </row>
    <row r="43" spans="3:9">
      <c r="C43" s="404"/>
      <c r="D43" s="414" t="s">
        <v>419</v>
      </c>
      <c r="E43" s="158"/>
      <c r="F43" s="158"/>
      <c r="G43" s="406">
        <v>68217.11</v>
      </c>
      <c r="H43" s="407">
        <v>43354.22</v>
      </c>
    </row>
    <row r="44" spans="3:9">
      <c r="C44" s="404"/>
      <c r="D44" s="414" t="s">
        <v>420</v>
      </c>
      <c r="E44" s="158"/>
      <c r="F44" s="158"/>
      <c r="G44" s="406">
        <v>99146.59</v>
      </c>
      <c r="H44" s="407">
        <v>25951.409999999996</v>
      </c>
    </row>
    <row r="45" spans="3:9">
      <c r="C45" s="404"/>
      <c r="D45" s="414" t="s">
        <v>144</v>
      </c>
      <c r="E45" s="158"/>
      <c r="F45" s="158"/>
      <c r="G45" s="406">
        <v>48257.590000000004</v>
      </c>
      <c r="H45" s="407">
        <v>183897.47000000003</v>
      </c>
    </row>
    <row r="46" spans="3:9">
      <c r="C46" s="404"/>
      <c r="D46" s="414" t="s">
        <v>421</v>
      </c>
      <c r="E46" s="158"/>
      <c r="F46" s="158"/>
      <c r="G46" s="406">
        <v>341025.3</v>
      </c>
      <c r="H46" s="407">
        <v>101451.79000000001</v>
      </c>
    </row>
    <row r="47" spans="3:9">
      <c r="C47" s="404"/>
      <c r="D47" s="414" t="s">
        <v>422</v>
      </c>
      <c r="E47" s="158"/>
      <c r="F47" s="158"/>
      <c r="G47" s="406">
        <v>92824.48</v>
      </c>
      <c r="H47" s="407">
        <v>40105.24</v>
      </c>
    </row>
    <row r="48" spans="3:9">
      <c r="C48" s="404"/>
      <c r="D48" s="414" t="s">
        <v>423</v>
      </c>
      <c r="E48" s="158"/>
      <c r="F48" s="158"/>
      <c r="G48" s="406">
        <v>73715.179999999993</v>
      </c>
      <c r="H48" s="407">
        <v>66714.010000000009</v>
      </c>
    </row>
    <row r="49" spans="1:9">
      <c r="C49" s="404"/>
      <c r="D49" s="410" t="s">
        <v>424</v>
      </c>
      <c r="E49" s="158"/>
      <c r="F49" s="158"/>
      <c r="G49" s="411">
        <v>43955</v>
      </c>
      <c r="H49" s="412">
        <v>-143303</v>
      </c>
      <c r="I49" s="413"/>
    </row>
    <row r="50" spans="1:9">
      <c r="C50" s="404"/>
      <c r="D50" s="414" t="s">
        <v>130</v>
      </c>
      <c r="E50" s="158"/>
      <c r="F50" s="158"/>
      <c r="G50" s="406">
        <v>1327172.4599999997</v>
      </c>
      <c r="H50" s="407">
        <v>626939.79</v>
      </c>
      <c r="I50" s="409"/>
    </row>
    <row r="51" spans="1:9">
      <c r="C51" s="404"/>
      <c r="D51" s="158"/>
      <c r="E51" s="158"/>
      <c r="F51" s="158"/>
      <c r="G51" s="158"/>
      <c r="H51" s="415"/>
    </row>
    <row r="52" spans="1:9">
      <c r="C52" s="416" t="s">
        <v>425</v>
      </c>
      <c r="D52" s="417"/>
      <c r="E52" s="418"/>
      <c r="F52" s="418"/>
      <c r="G52" s="419">
        <v>0.73202552134845145</v>
      </c>
      <c r="H52" s="420">
        <v>0.42977595389639195</v>
      </c>
    </row>
    <row r="54" spans="1:9">
      <c r="A54" s="378" t="s">
        <v>426</v>
      </c>
    </row>
    <row r="55" spans="1:9">
      <c r="A55" s="400" t="s">
        <v>427</v>
      </c>
    </row>
    <row r="56" spans="1:9">
      <c r="A56" s="400" t="s">
        <v>428</v>
      </c>
    </row>
    <row r="59" spans="1:9">
      <c r="B59" s="401"/>
      <c r="C59" s="402"/>
      <c r="D59" s="402"/>
      <c r="E59" s="421" t="s">
        <v>429</v>
      </c>
      <c r="F59" s="402"/>
      <c r="G59" s="421" t="s">
        <v>430</v>
      </c>
      <c r="H59" s="402"/>
      <c r="I59" s="403" t="s">
        <v>431</v>
      </c>
    </row>
    <row r="60" spans="1:9">
      <c r="B60" s="404" t="s">
        <v>432</v>
      </c>
      <c r="C60" s="158"/>
      <c r="D60" s="158"/>
      <c r="E60" s="422">
        <v>401583.84</v>
      </c>
      <c r="F60" s="158"/>
      <c r="G60" s="422">
        <v>401583.84</v>
      </c>
      <c r="H60" s="158"/>
      <c r="I60" s="423">
        <v>401583.84</v>
      </c>
    </row>
    <row r="61" spans="1:9">
      <c r="B61" s="404" t="s">
        <v>433</v>
      </c>
      <c r="C61" s="158"/>
      <c r="D61" s="158"/>
      <c r="E61" s="422">
        <v>311718.02</v>
      </c>
      <c r="F61" s="158"/>
      <c r="G61" s="422"/>
      <c r="H61" s="158"/>
      <c r="I61" s="423">
        <v>311718.02</v>
      </c>
    </row>
    <row r="62" spans="1:9">
      <c r="B62" s="404" t="s">
        <v>434</v>
      </c>
      <c r="C62" s="158"/>
      <c r="D62" s="158"/>
      <c r="E62" s="422">
        <v>35565.18</v>
      </c>
      <c r="F62" s="158"/>
      <c r="G62" s="422"/>
      <c r="H62" s="158"/>
      <c r="I62" s="423"/>
    </row>
    <row r="63" spans="1:9">
      <c r="B63" s="404" t="s">
        <v>435</v>
      </c>
      <c r="C63" s="158"/>
      <c r="D63" s="158"/>
      <c r="E63" s="422">
        <v>1455647.6300000001</v>
      </c>
      <c r="F63" s="158"/>
      <c r="G63" s="422">
        <v>1455647.6300000001</v>
      </c>
      <c r="H63" s="158"/>
      <c r="I63" s="423">
        <v>1455647.6300000001</v>
      </c>
    </row>
    <row r="64" spans="1:9">
      <c r="B64" s="404" t="s">
        <v>436</v>
      </c>
      <c r="C64" s="158"/>
      <c r="D64" s="158"/>
      <c r="E64" s="422">
        <v>226197.30999999994</v>
      </c>
      <c r="F64" s="158"/>
      <c r="G64" s="422">
        <v>226197.30999999994</v>
      </c>
      <c r="H64" s="158"/>
      <c r="I64" s="423">
        <v>226197.30999999994</v>
      </c>
    </row>
    <row r="65" spans="2:9">
      <c r="B65" s="404" t="s">
        <v>437</v>
      </c>
      <c r="C65" s="158"/>
      <c r="D65" s="158"/>
      <c r="E65" s="422">
        <v>113815.09000000001</v>
      </c>
      <c r="F65" s="158"/>
      <c r="G65" s="422">
        <v>113815.09000000001</v>
      </c>
      <c r="H65" s="158"/>
      <c r="I65" s="423">
        <v>113815.09000000001</v>
      </c>
    </row>
    <row r="66" spans="2:9">
      <c r="B66" s="404" t="s">
        <v>438</v>
      </c>
      <c r="C66" s="158"/>
      <c r="D66" s="158"/>
      <c r="E66" s="422">
        <v>7159.8000000000011</v>
      </c>
      <c r="F66" s="158"/>
      <c r="G66" s="422">
        <v>7159.8000000000011</v>
      </c>
      <c r="H66" s="158"/>
      <c r="I66" s="423">
        <v>7159.8000000000011</v>
      </c>
    </row>
    <row r="67" spans="2:9">
      <c r="B67" s="404" t="s">
        <v>439</v>
      </c>
      <c r="C67" s="158"/>
      <c r="D67" s="158"/>
      <c r="E67" s="422">
        <v>276602.59999999998</v>
      </c>
      <c r="F67" s="158"/>
      <c r="G67" s="422">
        <v>276602.59999999998</v>
      </c>
      <c r="H67" s="158"/>
      <c r="I67" s="423">
        <v>276602.59999999998</v>
      </c>
    </row>
    <row r="68" spans="2:9">
      <c r="B68" s="404" t="s">
        <v>440</v>
      </c>
      <c r="C68" s="158"/>
      <c r="D68" s="158"/>
      <c r="E68" s="422">
        <v>160501.99999999997</v>
      </c>
      <c r="F68" s="158"/>
      <c r="G68" s="422">
        <v>160501.99999999997</v>
      </c>
      <c r="H68" s="158"/>
      <c r="I68" s="423"/>
    </row>
    <row r="69" spans="2:9">
      <c r="B69" s="424" t="s">
        <v>441</v>
      </c>
      <c r="C69" s="158"/>
      <c r="D69" s="158"/>
      <c r="E69" s="425">
        <v>90870.37</v>
      </c>
      <c r="F69" s="158"/>
      <c r="G69" s="425">
        <v>90870.37</v>
      </c>
      <c r="H69" s="158"/>
      <c r="I69" s="426">
        <v>0</v>
      </c>
    </row>
    <row r="70" spans="2:9">
      <c r="B70" s="404" t="s">
        <v>442</v>
      </c>
      <c r="C70" s="158"/>
      <c r="D70" s="158"/>
      <c r="E70" s="422">
        <v>3079661.8400000003</v>
      </c>
      <c r="F70" s="158"/>
      <c r="G70" s="422">
        <v>2732378.64</v>
      </c>
      <c r="H70" s="158"/>
      <c r="I70" s="423">
        <v>2792724.29</v>
      </c>
    </row>
    <row r="71" spans="2:9">
      <c r="B71" s="404"/>
      <c r="C71" s="158"/>
      <c r="D71" s="158"/>
      <c r="E71" s="158"/>
      <c r="F71" s="158"/>
      <c r="G71" s="158"/>
      <c r="H71" s="158"/>
      <c r="I71" s="415"/>
    </row>
    <row r="72" spans="2:9">
      <c r="B72" s="404" t="s">
        <v>443</v>
      </c>
      <c r="C72" s="158"/>
      <c r="D72" s="158"/>
      <c r="E72" s="422">
        <v>19369583.239999998</v>
      </c>
      <c r="F72" s="158"/>
      <c r="G72" s="422">
        <v>19369583.239999998</v>
      </c>
      <c r="H72" s="158"/>
      <c r="I72" s="423">
        <v>19369583.239999998</v>
      </c>
    </row>
    <row r="73" spans="2:9">
      <c r="B73" s="404"/>
      <c r="C73" s="158"/>
      <c r="D73" s="158"/>
      <c r="E73" s="158"/>
      <c r="F73" s="158"/>
      <c r="G73" s="158"/>
      <c r="H73" s="158"/>
      <c r="I73" s="415"/>
    </row>
    <row r="74" spans="2:9">
      <c r="B74" s="427" t="s">
        <v>444</v>
      </c>
      <c r="C74" s="428"/>
      <c r="D74" s="428"/>
      <c r="E74" s="429">
        <v>0.15899473942424383</v>
      </c>
      <c r="F74" s="428"/>
      <c r="G74" s="429">
        <v>0.1410654326499593</v>
      </c>
      <c r="H74" s="428"/>
      <c r="I74" s="430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8"/>
  <sheetViews>
    <sheetView showGridLines="0" workbookViewId="0">
      <selection activeCell="C13" sqref="C13"/>
    </sheetView>
  </sheetViews>
  <sheetFormatPr defaultRowHeight="15"/>
  <cols>
    <col min="1" max="1" width="2.5703125" style="731" customWidth="1"/>
    <col min="2" max="2" width="19.5703125" style="731" customWidth="1"/>
    <col min="3" max="3" width="16.28515625" style="731" customWidth="1"/>
    <col min="4" max="4" width="18.140625" style="731" customWidth="1"/>
    <col min="5" max="5" width="17.42578125" style="731" customWidth="1"/>
    <col min="6" max="6" width="16" style="731" bestFit="1" customWidth="1"/>
    <col min="7" max="7" width="15" style="731" bestFit="1" customWidth="1"/>
    <col min="8" max="8" width="15" style="731" customWidth="1"/>
    <col min="9" max="9" width="9.5703125" style="731" bestFit="1" customWidth="1"/>
    <col min="10" max="11" width="9.5703125" style="731" customWidth="1"/>
    <col min="12" max="12" width="10.140625" style="731" customWidth="1"/>
    <col min="13" max="13" width="9.7109375" style="731" customWidth="1"/>
    <col min="14" max="14" width="9.140625" style="731" hidden="1" customWidth="1"/>
    <col min="15" max="16384" width="9.140625" style="731"/>
  </cols>
  <sheetData>
    <row r="1" spans="1:14" ht="3" customHeight="1"/>
    <row r="2" spans="1:14" ht="18">
      <c r="D2" s="732" t="s">
        <v>591</v>
      </c>
      <c r="N2" s="731" t="s">
        <v>592</v>
      </c>
    </row>
    <row r="3" spans="1:14">
      <c r="N3" s="731" t="s">
        <v>593</v>
      </c>
    </row>
    <row r="4" spans="1:14">
      <c r="A4" s="733" t="s">
        <v>594</v>
      </c>
      <c r="B4" s="734"/>
      <c r="C4" s="943">
        <f>Assembly!C2</f>
        <v>0</v>
      </c>
      <c r="D4" s="944"/>
      <c r="E4" s="944"/>
      <c r="F4" s="944"/>
      <c r="G4" s="944"/>
      <c r="H4" s="944"/>
      <c r="I4" s="944"/>
      <c r="J4" s="944"/>
      <c r="K4" s="945"/>
    </row>
    <row r="5" spans="1:14">
      <c r="A5" s="733" t="s">
        <v>595</v>
      </c>
      <c r="B5" s="734"/>
      <c r="C5" s="946">
        <f>Assembly!R2</f>
        <v>3334</v>
      </c>
      <c r="D5" s="944"/>
      <c r="E5" s="944"/>
      <c r="F5" s="944"/>
      <c r="G5" s="944"/>
      <c r="H5" s="944"/>
      <c r="I5" s="944"/>
      <c r="J5" s="944"/>
      <c r="K5" s="945"/>
      <c r="N5" s="731" t="s">
        <v>596</v>
      </c>
    </row>
    <row r="6" spans="1:14">
      <c r="A6" s="735" t="s">
        <v>597</v>
      </c>
      <c r="B6" s="736"/>
      <c r="C6" s="946"/>
      <c r="D6" s="944"/>
      <c r="E6" s="944"/>
      <c r="F6" s="944"/>
      <c r="G6" s="944"/>
      <c r="H6" s="944"/>
      <c r="I6" s="944"/>
      <c r="J6" s="944"/>
      <c r="K6" s="945"/>
      <c r="N6" s="731" t="s">
        <v>598</v>
      </c>
    </row>
    <row r="7" spans="1:14">
      <c r="A7" s="735"/>
      <c r="B7" s="736"/>
      <c r="C7" s="737"/>
      <c r="D7" s="738"/>
      <c r="E7" s="738"/>
      <c r="F7" s="738"/>
      <c r="G7" s="738"/>
      <c r="H7" s="738"/>
      <c r="I7" s="738"/>
      <c r="J7" s="738"/>
      <c r="K7" s="739"/>
    </row>
    <row r="8" spans="1:14">
      <c r="A8" s="733" t="s">
        <v>599</v>
      </c>
      <c r="B8" s="734"/>
      <c r="C8" s="946"/>
      <c r="D8" s="944"/>
      <c r="E8" s="944"/>
      <c r="F8" s="944"/>
      <c r="G8" s="944"/>
      <c r="H8" s="944"/>
      <c r="I8" s="944"/>
      <c r="J8" s="944"/>
      <c r="K8" s="945"/>
      <c r="N8" s="731" t="s">
        <v>600</v>
      </c>
    </row>
    <row r="9" spans="1:14">
      <c r="A9" s="733" t="s">
        <v>601</v>
      </c>
      <c r="B9" s="740"/>
      <c r="C9" s="946" t="s">
        <v>598</v>
      </c>
      <c r="D9" s="944"/>
      <c r="E9" s="944"/>
      <c r="F9" s="944"/>
      <c r="G9" s="944"/>
      <c r="H9" s="944"/>
      <c r="I9" s="944"/>
      <c r="J9" s="944"/>
      <c r="K9" s="945"/>
      <c r="N9" s="731" t="s">
        <v>602</v>
      </c>
    </row>
    <row r="11" spans="1:14">
      <c r="A11" s="731" t="s">
        <v>603</v>
      </c>
      <c r="C11" s="741">
        <f>Assembly!R3</f>
        <v>2222</v>
      </c>
      <c r="D11" s="741"/>
      <c r="E11" s="741"/>
      <c r="F11" s="741"/>
      <c r="G11" s="741"/>
      <c r="H11" s="741"/>
      <c r="I11" s="940" t="s">
        <v>604</v>
      </c>
      <c r="J11" s="940" t="s">
        <v>605</v>
      </c>
      <c r="K11" s="940" t="s">
        <v>606</v>
      </c>
    </row>
    <row r="12" spans="1:14" ht="21" customHeight="1">
      <c r="A12" s="731" t="s">
        <v>607</v>
      </c>
      <c r="B12" s="742"/>
      <c r="C12" s="743">
        <f>Assembly!R4</f>
        <v>222</v>
      </c>
      <c r="D12" s="743"/>
      <c r="E12" s="743"/>
      <c r="F12" s="743"/>
      <c r="G12" s="743"/>
      <c r="H12" s="744"/>
      <c r="I12" s="941"/>
      <c r="J12" s="941"/>
      <c r="K12" s="941"/>
    </row>
    <row r="13" spans="1:14" ht="40.5" customHeight="1">
      <c r="A13" s="731" t="s">
        <v>1</v>
      </c>
      <c r="B13" s="742"/>
      <c r="C13" s="743"/>
      <c r="D13" s="743"/>
      <c r="E13" s="743"/>
      <c r="F13" s="743"/>
      <c r="G13" s="743"/>
      <c r="H13" s="744"/>
      <c r="I13" s="942"/>
      <c r="J13" s="942"/>
      <c r="K13" s="942"/>
    </row>
    <row r="14" spans="1:14">
      <c r="B14" s="745" t="s">
        <v>608</v>
      </c>
      <c r="C14" s="746"/>
      <c r="D14" s="747"/>
      <c r="E14" s="747"/>
      <c r="F14" s="747"/>
      <c r="G14" s="747"/>
      <c r="H14" s="747"/>
      <c r="I14" s="747"/>
      <c r="J14" s="747"/>
      <c r="K14" s="747"/>
    </row>
    <row r="15" spans="1:14">
      <c r="B15" s="748" t="s">
        <v>609</v>
      </c>
      <c r="C15" s="749"/>
      <c r="D15" s="749"/>
      <c r="E15" s="749"/>
      <c r="F15" s="749"/>
      <c r="G15" s="749"/>
      <c r="H15" s="749"/>
      <c r="I15" s="750">
        <f>SUM(C15:H15)</f>
        <v>0</v>
      </c>
      <c r="J15" s="751"/>
      <c r="K15" s="750"/>
    </row>
    <row r="16" spans="1:14">
      <c r="B16" s="752" t="s">
        <v>222</v>
      </c>
      <c r="C16" s="753"/>
      <c r="D16" s="753"/>
      <c r="E16" s="753"/>
      <c r="F16" s="754"/>
      <c r="G16" s="754"/>
      <c r="H16" s="754"/>
      <c r="I16" s="755">
        <f>IFERROR(+I25/I$15,0)</f>
        <v>0</v>
      </c>
      <c r="J16" s="753">
        <v>0</v>
      </c>
      <c r="K16" s="755"/>
    </row>
    <row r="17" spans="2:11">
      <c r="B17" s="752" t="s">
        <v>21</v>
      </c>
      <c r="C17" s="753"/>
      <c r="D17" s="753"/>
      <c r="E17" s="753"/>
      <c r="F17" s="753"/>
      <c r="G17" s="753"/>
      <c r="H17" s="753"/>
      <c r="I17" s="755">
        <f>IFERROR(+I26/I$15,0)</f>
        <v>0</v>
      </c>
      <c r="J17" s="753">
        <v>0</v>
      </c>
      <c r="K17" s="755"/>
    </row>
    <row r="18" spans="2:11">
      <c r="B18" s="752" t="s">
        <v>44</v>
      </c>
      <c r="C18" s="753"/>
      <c r="D18" s="753"/>
      <c r="E18" s="753"/>
      <c r="F18" s="753"/>
      <c r="G18" s="753"/>
      <c r="H18" s="753"/>
      <c r="I18" s="755">
        <f>IFERROR(+I27/I$15,0)</f>
        <v>0</v>
      </c>
      <c r="J18" s="753">
        <v>0</v>
      </c>
      <c r="K18" s="755"/>
    </row>
    <row r="19" spans="2:11">
      <c r="B19" s="752" t="s">
        <v>40</v>
      </c>
      <c r="C19" s="753"/>
      <c r="D19" s="753"/>
      <c r="E19" s="753"/>
      <c r="F19" s="753"/>
      <c r="G19" s="753"/>
      <c r="H19" s="753"/>
      <c r="I19" s="755">
        <f>IFERROR(+I28/I$15,0)</f>
        <v>0</v>
      </c>
      <c r="J19" s="753">
        <v>0</v>
      </c>
      <c r="K19" s="755"/>
    </row>
    <row r="20" spans="2:11" ht="16.5">
      <c r="B20" s="756" t="s">
        <v>610</v>
      </c>
      <c r="C20" s="757">
        <f>SUM(C17:C19)</f>
        <v>0</v>
      </c>
      <c r="D20" s="757">
        <f t="shared" ref="D20:I20" si="0">SUM(D17:D19)</f>
        <v>0</v>
      </c>
      <c r="E20" s="757">
        <f t="shared" si="0"/>
        <v>0</v>
      </c>
      <c r="F20" s="757">
        <f t="shared" si="0"/>
        <v>0</v>
      </c>
      <c r="G20" s="757">
        <f t="shared" si="0"/>
        <v>0</v>
      </c>
      <c r="H20" s="757">
        <f t="shared" si="0"/>
        <v>0</v>
      </c>
      <c r="I20" s="757">
        <f t="shared" si="0"/>
        <v>0</v>
      </c>
      <c r="J20" s="758"/>
      <c r="K20" s="759"/>
    </row>
    <row r="21" spans="2:11">
      <c r="B21" s="752" t="s">
        <v>39</v>
      </c>
      <c r="C21" s="760">
        <f t="shared" ref="C21:H21" si="1">C16-SUM(C17:C19)</f>
        <v>0</v>
      </c>
      <c r="D21" s="760">
        <f t="shared" si="1"/>
        <v>0</v>
      </c>
      <c r="E21" s="760">
        <f t="shared" si="1"/>
        <v>0</v>
      </c>
      <c r="F21" s="760">
        <f t="shared" si="1"/>
        <v>0</v>
      </c>
      <c r="G21" s="760">
        <f t="shared" si="1"/>
        <v>0</v>
      </c>
      <c r="H21" s="760">
        <f t="shared" si="1"/>
        <v>0</v>
      </c>
      <c r="I21" s="755">
        <f>IFERROR(+I29/I$15,0)</f>
        <v>0</v>
      </c>
      <c r="J21" s="760">
        <f>J16-SUM(J17:J19)</f>
        <v>0</v>
      </c>
      <c r="K21" s="755"/>
    </row>
    <row r="22" spans="2:11">
      <c r="B22" s="752" t="s">
        <v>41</v>
      </c>
      <c r="C22" s="760">
        <f>IFERROR(C30/C15,0)</f>
        <v>0</v>
      </c>
      <c r="D22" s="760">
        <v>0</v>
      </c>
      <c r="E22" s="760">
        <v>0</v>
      </c>
      <c r="F22" s="760">
        <v>0</v>
      </c>
      <c r="G22" s="760">
        <v>0</v>
      </c>
      <c r="H22" s="760">
        <v>0</v>
      </c>
      <c r="I22" s="755">
        <f>IFERROR(+I30/I$15,0)</f>
        <v>0</v>
      </c>
      <c r="J22" s="760">
        <v>0</v>
      </c>
      <c r="K22" s="755"/>
    </row>
    <row r="23" spans="2:11">
      <c r="B23" s="752" t="s">
        <v>611</v>
      </c>
      <c r="C23" s="760">
        <f t="shared" ref="C23:H23" si="2">C21-C22</f>
        <v>0</v>
      </c>
      <c r="D23" s="760">
        <f t="shared" si="2"/>
        <v>0</v>
      </c>
      <c r="E23" s="760">
        <f t="shared" si="2"/>
        <v>0</v>
      </c>
      <c r="F23" s="760">
        <f t="shared" si="2"/>
        <v>0</v>
      </c>
      <c r="G23" s="760">
        <f t="shared" si="2"/>
        <v>0</v>
      </c>
      <c r="H23" s="760">
        <f t="shared" si="2"/>
        <v>0</v>
      </c>
      <c r="I23" s="755">
        <f>IFERROR(+I31/I$15,0)</f>
        <v>0</v>
      </c>
      <c r="J23" s="760">
        <f>J21-J22</f>
        <v>0</v>
      </c>
      <c r="K23" s="755"/>
    </row>
    <row r="24" spans="2:11">
      <c r="B24" s="761" t="s">
        <v>612</v>
      </c>
      <c r="C24" s="762"/>
      <c r="D24" s="762"/>
      <c r="E24" s="762"/>
      <c r="F24" s="762"/>
      <c r="G24" s="762"/>
      <c r="H24" s="762"/>
      <c r="I24" s="762"/>
      <c r="J24" s="762"/>
      <c r="K24" s="762"/>
    </row>
    <row r="25" spans="2:11">
      <c r="B25" s="752" t="s">
        <v>613</v>
      </c>
      <c r="C25" s="763">
        <f t="shared" ref="C25:H28" si="3">+C$15*C16</f>
        <v>0</v>
      </c>
      <c r="D25" s="763">
        <f t="shared" si="3"/>
        <v>0</v>
      </c>
      <c r="E25" s="763">
        <f t="shared" si="3"/>
        <v>0</v>
      </c>
      <c r="F25" s="763">
        <f t="shared" si="3"/>
        <v>0</v>
      </c>
      <c r="G25" s="763">
        <f t="shared" si="3"/>
        <v>0</v>
      </c>
      <c r="H25" s="763">
        <f t="shared" si="3"/>
        <v>0</v>
      </c>
      <c r="I25" s="763">
        <f>SUM(C25:H25)</f>
        <v>0</v>
      </c>
      <c r="J25" s="763">
        <f>+J$15*J16</f>
        <v>0</v>
      </c>
      <c r="K25" s="763"/>
    </row>
    <row r="26" spans="2:11">
      <c r="B26" s="752" t="s">
        <v>21</v>
      </c>
      <c r="C26" s="763">
        <f t="shared" si="3"/>
        <v>0</v>
      </c>
      <c r="D26" s="763">
        <f t="shared" si="3"/>
        <v>0</v>
      </c>
      <c r="E26" s="763">
        <f t="shared" si="3"/>
        <v>0</v>
      </c>
      <c r="F26" s="763">
        <f t="shared" si="3"/>
        <v>0</v>
      </c>
      <c r="G26" s="763">
        <f t="shared" si="3"/>
        <v>0</v>
      </c>
      <c r="H26" s="763">
        <f t="shared" si="3"/>
        <v>0</v>
      </c>
      <c r="I26" s="763">
        <f t="shared" ref="I26:I31" si="4">SUM(C26:H26)</f>
        <v>0</v>
      </c>
      <c r="J26" s="763">
        <f>+J$15*J17</f>
        <v>0</v>
      </c>
      <c r="K26" s="763"/>
    </row>
    <row r="27" spans="2:11">
      <c r="B27" s="752" t="s">
        <v>44</v>
      </c>
      <c r="C27" s="763">
        <f t="shared" si="3"/>
        <v>0</v>
      </c>
      <c r="D27" s="763">
        <f t="shared" si="3"/>
        <v>0</v>
      </c>
      <c r="E27" s="763">
        <f t="shared" si="3"/>
        <v>0</v>
      </c>
      <c r="F27" s="763">
        <f t="shared" si="3"/>
        <v>0</v>
      </c>
      <c r="G27" s="763">
        <f t="shared" si="3"/>
        <v>0</v>
      </c>
      <c r="H27" s="763">
        <f t="shared" si="3"/>
        <v>0</v>
      </c>
      <c r="I27" s="763">
        <f t="shared" si="4"/>
        <v>0</v>
      </c>
      <c r="J27" s="763">
        <f>+J$15*J18</f>
        <v>0</v>
      </c>
      <c r="K27" s="763"/>
    </row>
    <row r="28" spans="2:11">
      <c r="B28" s="752" t="s">
        <v>40</v>
      </c>
      <c r="C28" s="763">
        <f t="shared" si="3"/>
        <v>0</v>
      </c>
      <c r="D28" s="763">
        <f t="shared" si="3"/>
        <v>0</v>
      </c>
      <c r="E28" s="763">
        <f t="shared" si="3"/>
        <v>0</v>
      </c>
      <c r="F28" s="763">
        <f t="shared" si="3"/>
        <v>0</v>
      </c>
      <c r="G28" s="763">
        <f t="shared" si="3"/>
        <v>0</v>
      </c>
      <c r="H28" s="763">
        <f t="shared" si="3"/>
        <v>0</v>
      </c>
      <c r="I28" s="763">
        <f t="shared" si="4"/>
        <v>0</v>
      </c>
      <c r="J28" s="763">
        <f>+J$15*J19</f>
        <v>0</v>
      </c>
      <c r="K28" s="763"/>
    </row>
    <row r="29" spans="2:11">
      <c r="B29" s="752" t="s">
        <v>39</v>
      </c>
      <c r="C29" s="763">
        <f t="shared" ref="C29:H31" si="5">+C$15*C21</f>
        <v>0</v>
      </c>
      <c r="D29" s="763">
        <f t="shared" si="5"/>
        <v>0</v>
      </c>
      <c r="E29" s="763">
        <f t="shared" si="5"/>
        <v>0</v>
      </c>
      <c r="F29" s="763">
        <f t="shared" si="5"/>
        <v>0</v>
      </c>
      <c r="G29" s="763">
        <f t="shared" si="5"/>
        <v>0</v>
      </c>
      <c r="H29" s="763">
        <f t="shared" si="5"/>
        <v>0</v>
      </c>
      <c r="I29" s="763">
        <f t="shared" si="4"/>
        <v>0</v>
      </c>
      <c r="J29" s="763">
        <f>+J$15*J21</f>
        <v>0</v>
      </c>
      <c r="K29" s="763"/>
    </row>
    <row r="30" spans="2:11">
      <c r="B30" s="752" t="s">
        <v>41</v>
      </c>
      <c r="C30" s="763">
        <f>C25*0.159</f>
        <v>0</v>
      </c>
      <c r="D30" s="763">
        <f t="shared" si="5"/>
        <v>0</v>
      </c>
      <c r="E30" s="763">
        <f t="shared" si="5"/>
        <v>0</v>
      </c>
      <c r="F30" s="763">
        <f t="shared" si="5"/>
        <v>0</v>
      </c>
      <c r="G30" s="763">
        <f t="shared" si="5"/>
        <v>0</v>
      </c>
      <c r="H30" s="763">
        <f t="shared" si="5"/>
        <v>0</v>
      </c>
      <c r="I30" s="763">
        <f t="shared" si="4"/>
        <v>0</v>
      </c>
      <c r="J30" s="763">
        <f>+J$15*J22</f>
        <v>0</v>
      </c>
      <c r="K30" s="763"/>
    </row>
    <row r="31" spans="2:11">
      <c r="B31" s="752" t="s">
        <v>611</v>
      </c>
      <c r="C31" s="763">
        <f>+C$15*C23</f>
        <v>0</v>
      </c>
      <c r="D31" s="763">
        <f t="shared" si="5"/>
        <v>0</v>
      </c>
      <c r="E31" s="763">
        <f t="shared" si="5"/>
        <v>0</v>
      </c>
      <c r="F31" s="763">
        <f t="shared" si="5"/>
        <v>0</v>
      </c>
      <c r="G31" s="763">
        <f t="shared" si="5"/>
        <v>0</v>
      </c>
      <c r="H31" s="763">
        <f t="shared" si="5"/>
        <v>0</v>
      </c>
      <c r="I31" s="763">
        <f t="shared" si="4"/>
        <v>0</v>
      </c>
      <c r="J31" s="763">
        <f>+J$15*J23</f>
        <v>0</v>
      </c>
      <c r="K31" s="763"/>
    </row>
    <row r="32" spans="2:11">
      <c r="B32" s="745" t="s">
        <v>614</v>
      </c>
      <c r="C32" s="764"/>
      <c r="D32" s="764"/>
      <c r="E32" s="764"/>
      <c r="F32" s="764"/>
      <c r="G32" s="764"/>
      <c r="H32" s="764"/>
      <c r="I32" s="764"/>
      <c r="J32" s="764"/>
      <c r="K32" s="764"/>
    </row>
    <row r="33" spans="1:11">
      <c r="B33" s="752" t="s">
        <v>21</v>
      </c>
      <c r="C33" s="765">
        <f t="shared" ref="C33:J38" si="6">IFERROR(C26/C$25,0)</f>
        <v>0</v>
      </c>
      <c r="D33" s="765">
        <f t="shared" si="6"/>
        <v>0</v>
      </c>
      <c r="E33" s="765">
        <f t="shared" si="6"/>
        <v>0</v>
      </c>
      <c r="F33" s="765">
        <f t="shared" si="6"/>
        <v>0</v>
      </c>
      <c r="G33" s="765">
        <f t="shared" si="6"/>
        <v>0</v>
      </c>
      <c r="H33" s="765">
        <f t="shared" si="6"/>
        <v>0</v>
      </c>
      <c r="I33" s="765">
        <f t="shared" si="6"/>
        <v>0</v>
      </c>
      <c r="J33" s="765">
        <f t="shared" si="6"/>
        <v>0</v>
      </c>
      <c r="K33" s="765"/>
    </row>
    <row r="34" spans="1:11">
      <c r="B34" s="752" t="s">
        <v>44</v>
      </c>
      <c r="C34" s="765">
        <f t="shared" si="6"/>
        <v>0</v>
      </c>
      <c r="D34" s="765">
        <f t="shared" si="6"/>
        <v>0</v>
      </c>
      <c r="E34" s="765">
        <f t="shared" si="6"/>
        <v>0</v>
      </c>
      <c r="F34" s="765">
        <f t="shared" si="6"/>
        <v>0</v>
      </c>
      <c r="G34" s="765">
        <f t="shared" si="6"/>
        <v>0</v>
      </c>
      <c r="H34" s="765">
        <f t="shared" si="6"/>
        <v>0</v>
      </c>
      <c r="I34" s="765">
        <f t="shared" si="6"/>
        <v>0</v>
      </c>
      <c r="J34" s="765">
        <f t="shared" si="6"/>
        <v>0</v>
      </c>
      <c r="K34" s="765"/>
    </row>
    <row r="35" spans="1:11">
      <c r="B35" s="752" t="s">
        <v>40</v>
      </c>
      <c r="C35" s="765">
        <f t="shared" si="6"/>
        <v>0</v>
      </c>
      <c r="D35" s="765">
        <f t="shared" si="6"/>
        <v>0</v>
      </c>
      <c r="E35" s="765">
        <f t="shared" si="6"/>
        <v>0</v>
      </c>
      <c r="F35" s="765">
        <f t="shared" si="6"/>
        <v>0</v>
      </c>
      <c r="G35" s="765">
        <f t="shared" si="6"/>
        <v>0</v>
      </c>
      <c r="H35" s="765">
        <f t="shared" si="6"/>
        <v>0</v>
      </c>
      <c r="I35" s="765">
        <f t="shared" si="6"/>
        <v>0</v>
      </c>
      <c r="J35" s="765">
        <f t="shared" si="6"/>
        <v>0</v>
      </c>
      <c r="K35" s="765"/>
    </row>
    <row r="36" spans="1:11">
      <c r="B36" s="752" t="s">
        <v>39</v>
      </c>
      <c r="C36" s="765">
        <f t="shared" si="6"/>
        <v>0</v>
      </c>
      <c r="D36" s="765">
        <f t="shared" si="6"/>
        <v>0</v>
      </c>
      <c r="E36" s="765">
        <f t="shared" si="6"/>
        <v>0</v>
      </c>
      <c r="F36" s="765">
        <f t="shared" si="6"/>
        <v>0</v>
      </c>
      <c r="G36" s="765">
        <f t="shared" si="6"/>
        <v>0</v>
      </c>
      <c r="H36" s="765">
        <f t="shared" si="6"/>
        <v>0</v>
      </c>
      <c r="I36" s="765">
        <f t="shared" si="6"/>
        <v>0</v>
      </c>
      <c r="J36" s="765">
        <f t="shared" si="6"/>
        <v>0</v>
      </c>
      <c r="K36" s="765"/>
    </row>
    <row r="37" spans="1:11">
      <c r="B37" s="752" t="s">
        <v>41</v>
      </c>
      <c r="C37" s="765">
        <f t="shared" si="6"/>
        <v>0</v>
      </c>
      <c r="D37" s="765">
        <f t="shared" si="6"/>
        <v>0</v>
      </c>
      <c r="E37" s="765">
        <f t="shared" si="6"/>
        <v>0</v>
      </c>
      <c r="F37" s="765">
        <f t="shared" si="6"/>
        <v>0</v>
      </c>
      <c r="G37" s="765">
        <f t="shared" si="6"/>
        <v>0</v>
      </c>
      <c r="H37" s="765">
        <f t="shared" si="6"/>
        <v>0</v>
      </c>
      <c r="I37" s="765">
        <f t="shared" si="6"/>
        <v>0</v>
      </c>
      <c r="J37" s="765">
        <f t="shared" si="6"/>
        <v>0</v>
      </c>
      <c r="K37" s="765"/>
    </row>
    <row r="38" spans="1:11">
      <c r="B38" s="752" t="s">
        <v>611</v>
      </c>
      <c r="C38" s="765">
        <f t="shared" si="6"/>
        <v>0</v>
      </c>
      <c r="D38" s="765">
        <f t="shared" si="6"/>
        <v>0</v>
      </c>
      <c r="E38" s="765">
        <f t="shared" si="6"/>
        <v>0</v>
      </c>
      <c r="F38" s="765">
        <f t="shared" si="6"/>
        <v>0</v>
      </c>
      <c r="G38" s="765">
        <f t="shared" si="6"/>
        <v>0</v>
      </c>
      <c r="H38" s="765">
        <f t="shared" si="6"/>
        <v>0</v>
      </c>
      <c r="I38" s="765">
        <f t="shared" si="6"/>
        <v>0</v>
      </c>
      <c r="J38" s="765">
        <f t="shared" si="6"/>
        <v>0</v>
      </c>
      <c r="K38" s="765"/>
    </row>
    <row r="39" spans="1:11">
      <c r="B39" s="766"/>
      <c r="C39" s="767"/>
      <c r="D39" s="768"/>
      <c r="E39" s="768"/>
      <c r="F39" s="768"/>
      <c r="G39" s="768"/>
      <c r="H39" s="768"/>
      <c r="I39" s="768"/>
      <c r="J39" s="768"/>
      <c r="K39" s="768"/>
    </row>
    <row r="40" spans="1:11" ht="17.25" customHeight="1">
      <c r="B40" s="769"/>
      <c r="C40" s="770"/>
      <c r="D40" s="771"/>
      <c r="E40" s="771"/>
      <c r="F40" s="771"/>
    </row>
    <row r="41" spans="1:11" ht="18.75">
      <c r="A41" s="936" t="s">
        <v>615</v>
      </c>
      <c r="B41" s="937"/>
      <c r="C41" s="937"/>
      <c r="D41" s="937"/>
      <c r="E41" s="937"/>
      <c r="F41" s="937"/>
      <c r="G41" s="937"/>
      <c r="H41" s="937"/>
      <c r="I41" s="937"/>
      <c r="J41" s="937"/>
      <c r="K41" s="937"/>
    </row>
    <row r="42" spans="1:11" ht="28.5" customHeight="1">
      <c r="A42" s="938" t="s">
        <v>616</v>
      </c>
      <c r="B42" s="938"/>
      <c r="C42" s="938"/>
      <c r="D42" s="938"/>
      <c r="E42" s="938"/>
      <c r="F42" s="938"/>
      <c r="G42" s="772"/>
      <c r="H42" s="772"/>
      <c r="I42" s="772"/>
      <c r="J42" s="772" t="s">
        <v>550</v>
      </c>
      <c r="K42" s="772"/>
    </row>
    <row r="43" spans="1:11" ht="28.5" customHeight="1">
      <c r="A43" s="939" t="s">
        <v>617</v>
      </c>
      <c r="B43" s="939"/>
      <c r="C43" s="939"/>
      <c r="D43" s="939"/>
      <c r="E43" s="939"/>
      <c r="F43" s="939"/>
      <c r="G43" s="772"/>
      <c r="H43" s="772"/>
      <c r="I43" s="772"/>
      <c r="J43" s="772" t="s">
        <v>550</v>
      </c>
      <c r="K43" s="772"/>
    </row>
    <row r="44" spans="1:11" ht="28.5" customHeight="1">
      <c r="A44" s="939" t="s">
        <v>618</v>
      </c>
      <c r="B44" s="939"/>
      <c r="C44" s="939"/>
      <c r="D44" s="939"/>
      <c r="E44" s="939"/>
      <c r="F44" s="939"/>
      <c r="G44" s="772"/>
      <c r="H44" s="772"/>
      <c r="I44" s="772"/>
      <c r="J44" s="772" t="s">
        <v>550</v>
      </c>
      <c r="K44" s="772"/>
    </row>
    <row r="45" spans="1:11" ht="28.5" customHeight="1">
      <c r="A45" s="939" t="s">
        <v>619</v>
      </c>
      <c r="B45" s="939"/>
      <c r="C45" s="939"/>
      <c r="D45" s="939"/>
      <c r="E45" s="939"/>
      <c r="F45" s="939"/>
      <c r="G45" s="772"/>
      <c r="H45" s="772"/>
      <c r="I45" s="772"/>
      <c r="J45" s="772" t="s">
        <v>550</v>
      </c>
      <c r="K45" s="772"/>
    </row>
    <row r="46" spans="1:11" ht="28.5" customHeight="1">
      <c r="A46" s="935" t="s">
        <v>620</v>
      </c>
      <c r="B46" s="935"/>
      <c r="C46" s="935"/>
      <c r="D46" s="935"/>
      <c r="E46" s="935"/>
      <c r="F46" s="935"/>
      <c r="G46" s="772"/>
      <c r="H46" s="772"/>
      <c r="I46" s="772"/>
      <c r="J46" s="772" t="s">
        <v>550</v>
      </c>
      <c r="K46" s="772"/>
    </row>
    <row r="47" spans="1:11" ht="28.5" customHeight="1">
      <c r="A47" s="935" t="s">
        <v>621</v>
      </c>
      <c r="B47" s="935"/>
      <c r="C47" s="935"/>
      <c r="D47" s="935"/>
      <c r="E47" s="935"/>
      <c r="F47" s="935"/>
      <c r="G47" s="772"/>
      <c r="H47" s="772"/>
      <c r="I47" s="772"/>
      <c r="J47" s="772" t="s">
        <v>550</v>
      </c>
      <c r="K47" s="772"/>
    </row>
    <row r="48" spans="1:11" ht="28.5" customHeight="1">
      <c r="A48" s="935" t="s">
        <v>622</v>
      </c>
      <c r="B48" s="935"/>
      <c r="C48" s="935"/>
      <c r="D48" s="935"/>
      <c r="E48" s="935"/>
      <c r="F48" s="935"/>
      <c r="G48" s="772"/>
      <c r="H48" s="772"/>
      <c r="I48" s="772"/>
      <c r="J48" s="772" t="s">
        <v>550</v>
      </c>
      <c r="K48" s="772"/>
    </row>
  </sheetData>
  <mergeCells count="16">
    <mergeCell ref="I11:I13"/>
    <mergeCell ref="J11:J13"/>
    <mergeCell ref="K11:K13"/>
    <mergeCell ref="C4:K4"/>
    <mergeCell ref="C5:K5"/>
    <mergeCell ref="C6:K6"/>
    <mergeCell ref="C8:K8"/>
    <mergeCell ref="C9:K9"/>
    <mergeCell ref="A47:F47"/>
    <mergeCell ref="A48:F48"/>
    <mergeCell ref="A41:K41"/>
    <mergeCell ref="A42:F42"/>
    <mergeCell ref="A43:F43"/>
    <mergeCell ref="A44:F44"/>
    <mergeCell ref="A45:F45"/>
    <mergeCell ref="A46:F46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7:H43"/>
  <sheetViews>
    <sheetView showGridLines="0" workbookViewId="0">
      <selection activeCell="C13" sqref="C13"/>
    </sheetView>
  </sheetViews>
  <sheetFormatPr defaultRowHeight="15"/>
  <cols>
    <col min="1" max="1" width="4.42578125" style="731" customWidth="1"/>
    <col min="2" max="2" width="17.5703125" style="731" customWidth="1"/>
    <col min="3" max="3" width="13.85546875" style="731" customWidth="1"/>
    <col min="4" max="4" width="35.28515625" style="731" bestFit="1" customWidth="1"/>
    <col min="5" max="8" width="13.85546875" style="731" customWidth="1"/>
    <col min="9" max="16384" width="9.140625" style="731"/>
  </cols>
  <sheetData>
    <row r="7" spans="1:2">
      <c r="A7" s="947">
        <f>+'Internal Sign Off'!C4</f>
        <v>0</v>
      </c>
      <c r="B7" s="947"/>
    </row>
    <row r="8" spans="1:2">
      <c r="A8" s="731">
        <f>+'Internal Sign Off'!C5</f>
        <v>3334</v>
      </c>
    </row>
    <row r="9" spans="1:2">
      <c r="A9" s="731">
        <f>+'Internal Sign Off'!C6</f>
        <v>0</v>
      </c>
    </row>
    <row r="10" spans="1:2">
      <c r="A10" s="731">
        <f>+'Internal Sign Off'!C7</f>
        <v>0</v>
      </c>
    </row>
    <row r="17" spans="1:8" ht="15.75" thickBot="1"/>
    <row r="18" spans="1:8" ht="26.25" thickBot="1">
      <c r="B18" s="773" t="s">
        <v>623</v>
      </c>
      <c r="C18" s="774" t="s">
        <v>603</v>
      </c>
      <c r="D18" s="774" t="s">
        <v>624</v>
      </c>
      <c r="E18" s="775" t="s">
        <v>625</v>
      </c>
      <c r="F18" s="775" t="s">
        <v>626</v>
      </c>
      <c r="G18" s="774" t="s">
        <v>627</v>
      </c>
      <c r="H18" s="776" t="s">
        <v>628</v>
      </c>
    </row>
    <row r="19" spans="1:8" ht="15.75" thickTop="1">
      <c r="B19" s="777">
        <f>IF(+'Internal Sign Off'!C12=0,"",+'Internal Sign Off'!C12)</f>
        <v>222</v>
      </c>
      <c r="C19" s="777">
        <f>IF(+'Internal Sign Off'!C11=0,"",+'Internal Sign Off'!C11)</f>
        <v>2222</v>
      </c>
      <c r="D19" s="777" t="str">
        <f>IF(+'Internal Sign Off'!C13=0,"",+'Internal Sign Off'!C13)</f>
        <v/>
      </c>
      <c r="E19" s="777" t="str">
        <f>IF(+'Internal Sign Off'!C15=0,"",+'Internal Sign Off'!C15)</f>
        <v/>
      </c>
      <c r="F19" s="778"/>
      <c r="G19" s="779"/>
      <c r="H19" s="780" t="str">
        <f>IF(+'Internal Sign Off'!C16=0,"",+'Internal Sign Off'!C16)</f>
        <v/>
      </c>
    </row>
    <row r="20" spans="1:8">
      <c r="B20" s="777" t="str">
        <f>IF(+'Internal Sign Off'!D12=0,"",+'Internal Sign Off'!D12)</f>
        <v/>
      </c>
      <c r="C20" s="777" t="str">
        <f>IF(+'Internal Sign Off'!D11=0,"",+'Internal Sign Off'!D11)</f>
        <v/>
      </c>
      <c r="D20" s="777" t="str">
        <f>IF(+'Internal Sign Off'!D13=0,"",+'Internal Sign Off'!D13)</f>
        <v/>
      </c>
      <c r="E20" s="777" t="str">
        <f>IF(+'Internal Sign Off'!D15=0,"",+'Internal Sign Off'!D15)</f>
        <v/>
      </c>
      <c r="F20" s="778"/>
      <c r="G20" s="779"/>
      <c r="H20" s="780" t="str">
        <f>IF(+'Internal Sign Off'!D16=0,"",+'Internal Sign Off'!D16)</f>
        <v/>
      </c>
    </row>
    <row r="21" spans="1:8">
      <c r="B21" s="777" t="str">
        <f>IF(+'Internal Sign Off'!E12=0,"",+'Internal Sign Off'!E12)</f>
        <v/>
      </c>
      <c r="C21" s="777" t="str">
        <f>IF(+'Internal Sign Off'!E11=0,"",+'Internal Sign Off'!E11)</f>
        <v/>
      </c>
      <c r="D21" s="777" t="str">
        <f>IF(+'Internal Sign Off'!E13=0,"",+'Internal Sign Off'!E13)</f>
        <v/>
      </c>
      <c r="E21" s="777" t="str">
        <f>IF(+'Internal Sign Off'!E15=0,"",+'Internal Sign Off'!E15)</f>
        <v/>
      </c>
      <c r="F21" s="778"/>
      <c r="G21" s="779"/>
      <c r="H21" s="780" t="str">
        <f>IF(+'Internal Sign Off'!E16=0,"",+'Internal Sign Off'!E16)</f>
        <v/>
      </c>
    </row>
    <row r="22" spans="1:8">
      <c r="B22" s="777" t="str">
        <f>IF(+'Internal Sign Off'!F12=0,"",+'Internal Sign Off'!F12)</f>
        <v/>
      </c>
      <c r="C22" s="777" t="str">
        <f>IF(+'Internal Sign Off'!F11=0,"",+'Internal Sign Off'!F11)</f>
        <v/>
      </c>
      <c r="D22" s="777" t="str">
        <f>IF(+'Internal Sign Off'!F13=0,"",+'Internal Sign Off'!F13)</f>
        <v/>
      </c>
      <c r="E22" s="777" t="str">
        <f>IF(+'Internal Sign Off'!F15=0,"",+'Internal Sign Off'!F15)</f>
        <v/>
      </c>
      <c r="F22" s="778"/>
      <c r="G22" s="779"/>
      <c r="H22" s="780" t="str">
        <f>IF(+'Internal Sign Off'!F16=0,"",+'Internal Sign Off'!F16)</f>
        <v/>
      </c>
    </row>
    <row r="23" spans="1:8">
      <c r="B23" s="777" t="str">
        <f>IF(+'Internal Sign Off'!G12=0,"",+'Internal Sign Off'!G12)</f>
        <v/>
      </c>
      <c r="C23" s="777" t="str">
        <f>IF(+'Internal Sign Off'!G11=0,"",+'Internal Sign Off'!G11)</f>
        <v/>
      </c>
      <c r="D23" s="777" t="str">
        <f>IF(+'Internal Sign Off'!G13=0,"",+'Internal Sign Off'!G13)</f>
        <v/>
      </c>
      <c r="E23" s="777" t="str">
        <f>IF(+'Internal Sign Off'!G15=0,"",+'Internal Sign Off'!G15)</f>
        <v/>
      </c>
      <c r="F23" s="778"/>
      <c r="G23" s="779"/>
      <c r="H23" s="780" t="str">
        <f>IF(+'Internal Sign Off'!G16=0,"",+'Internal Sign Off'!G16)</f>
        <v/>
      </c>
    </row>
    <row r="24" spans="1:8">
      <c r="B24" s="777" t="str">
        <f>IF(+'Internal Sign Off'!H12=0,"",+'Internal Sign Off'!H12)</f>
        <v/>
      </c>
      <c r="C24" s="777" t="str">
        <f>IF(+'Internal Sign Off'!H11=0,"",+'Internal Sign Off'!H11)</f>
        <v/>
      </c>
      <c r="D24" s="777" t="str">
        <f>IF(+'Internal Sign Off'!H13=0,"",+'Internal Sign Off'!H13)</f>
        <v/>
      </c>
      <c r="E24" s="777" t="str">
        <f>IF(+'Internal Sign Off'!H15=0,"",+'Internal Sign Off'!H15)</f>
        <v/>
      </c>
      <c r="F24" s="778"/>
      <c r="G24" s="779"/>
      <c r="H24" s="780" t="str">
        <f>IF(+'Internal Sign Off'!H16=0,"",+'Internal Sign Off'!H16)</f>
        <v/>
      </c>
    </row>
    <row r="26" spans="1:8">
      <c r="A26" s="781" t="s">
        <v>629</v>
      </c>
    </row>
    <row r="27" spans="1:8">
      <c r="A27" s="731" t="s">
        <v>630</v>
      </c>
      <c r="C27" s="731" t="s">
        <v>631</v>
      </c>
    </row>
    <row r="28" spans="1:8">
      <c r="A28" s="731" t="s">
        <v>632</v>
      </c>
      <c r="C28" s="731" t="s">
        <v>633</v>
      </c>
    </row>
    <row r="29" spans="1:8">
      <c r="A29" s="731" t="s">
        <v>634</v>
      </c>
      <c r="C29" s="731" t="s">
        <v>635</v>
      </c>
    </row>
    <row r="30" spans="1:8">
      <c r="A30" s="731" t="s">
        <v>636</v>
      </c>
      <c r="C30" s="731" t="s">
        <v>637</v>
      </c>
    </row>
    <row r="31" spans="1:8">
      <c r="A31" s="731" t="s">
        <v>638</v>
      </c>
      <c r="C31" s="731" t="s">
        <v>639</v>
      </c>
    </row>
    <row r="32" spans="1:8">
      <c r="A32" s="731" t="s">
        <v>640</v>
      </c>
      <c r="C32" s="731" t="s">
        <v>641</v>
      </c>
    </row>
    <row r="33" spans="1:3">
      <c r="A33" s="731" t="s">
        <v>642</v>
      </c>
      <c r="C33" s="731" t="s">
        <v>643</v>
      </c>
    </row>
    <row r="35" spans="1:3">
      <c r="A35" s="731" t="s">
        <v>644</v>
      </c>
    </row>
    <row r="38" spans="1:3">
      <c r="A38" s="731" t="s">
        <v>645</v>
      </c>
    </row>
    <row r="42" spans="1:3">
      <c r="A42" s="731" t="s">
        <v>646</v>
      </c>
    </row>
    <row r="43" spans="1:3">
      <c r="A43" s="731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oleObject progId="MSPhotoEd.3" shapeId="29697" r:id="rId4"/>
  </oleObject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RowHeight="12.75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>
      <c r="A1" s="105" t="s">
        <v>26</v>
      </c>
    </row>
    <row r="2" spans="1:11" ht="15.75">
      <c r="A2" s="105" t="s">
        <v>27</v>
      </c>
    </row>
    <row r="4" spans="1:11" ht="21.75" customHeight="1">
      <c r="B4" s="107" t="s">
        <v>28</v>
      </c>
      <c r="C4" s="948"/>
      <c r="D4" s="949"/>
      <c r="E4" s="949"/>
      <c r="F4" s="950"/>
    </row>
    <row r="5" spans="1:11" ht="21.75" customHeight="1">
      <c r="B5" s="107" t="s">
        <v>34</v>
      </c>
      <c r="C5" s="948"/>
      <c r="D5" s="949"/>
      <c r="E5" s="949"/>
      <c r="F5" s="950"/>
    </row>
    <row r="6" spans="1:11" ht="21.75" customHeight="1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>
      <c r="B7" s="107" t="s">
        <v>51</v>
      </c>
      <c r="C7" s="948"/>
      <c r="D7" s="949"/>
      <c r="E7" s="949"/>
      <c r="F7" s="950"/>
    </row>
    <row r="8" spans="1:11" ht="21.75" customHeight="1">
      <c r="C8" s="108"/>
      <c r="D8" s="108"/>
      <c r="E8" s="108"/>
      <c r="F8" s="108"/>
    </row>
    <row r="9" spans="1:11" ht="25.5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>
      <c r="B10" s="115" t="s">
        <v>29</v>
      </c>
      <c r="C10" s="141"/>
      <c r="D10" s="141"/>
      <c r="E10" s="141"/>
      <c r="F10" s="142"/>
    </row>
    <row r="11" spans="1:11">
      <c r="B11" s="115" t="s">
        <v>30</v>
      </c>
      <c r="C11" s="141"/>
      <c r="D11" s="141"/>
      <c r="E11" s="141"/>
      <c r="F11" s="142"/>
    </row>
    <row r="12" spans="1:11">
      <c r="B12" s="115" t="s">
        <v>38</v>
      </c>
      <c r="C12" s="141"/>
      <c r="D12" s="141"/>
      <c r="E12" s="141"/>
      <c r="F12" s="142"/>
    </row>
    <row r="13" spans="1:11">
      <c r="B13" s="115" t="s">
        <v>37</v>
      </c>
      <c r="C13" s="141"/>
      <c r="D13" s="141"/>
      <c r="E13" s="141"/>
      <c r="F13" s="142"/>
      <c r="H13" s="900" t="s">
        <v>668</v>
      </c>
      <c r="I13" s="900"/>
      <c r="J13" s="900"/>
      <c r="K13" s="900"/>
    </row>
    <row r="14" spans="1:11">
      <c r="B14" s="115" t="s">
        <v>39</v>
      </c>
      <c r="C14" s="141"/>
      <c r="D14" s="141"/>
      <c r="E14" s="141"/>
      <c r="F14" s="142"/>
    </row>
    <row r="15" spans="1:11">
      <c r="B15" s="115" t="s">
        <v>31</v>
      </c>
      <c r="C15" s="141"/>
      <c r="D15" s="141"/>
      <c r="E15" s="141"/>
      <c r="F15" s="142"/>
    </row>
    <row r="16" spans="1:11">
      <c r="B16" s="115" t="s">
        <v>40</v>
      </c>
      <c r="C16" s="141"/>
      <c r="D16" s="141"/>
      <c r="E16" s="141"/>
      <c r="F16" s="142"/>
    </row>
    <row r="17" spans="2:28">
      <c r="B17" s="115" t="s">
        <v>41</v>
      </c>
      <c r="C17" s="141"/>
      <c r="D17" s="141"/>
      <c r="E17" s="141"/>
      <c r="F17" s="142"/>
    </row>
    <row r="18" spans="2:28">
      <c r="B18" s="115" t="s">
        <v>25</v>
      </c>
      <c r="C18" s="141"/>
      <c r="D18" s="141"/>
      <c r="E18" s="141"/>
      <c r="F18" s="142"/>
    </row>
    <row r="19" spans="2:28">
      <c r="B19" s="117" t="s">
        <v>50</v>
      </c>
      <c r="C19" s="143"/>
      <c r="D19" s="143"/>
      <c r="E19" s="143"/>
      <c r="F19" s="144"/>
    </row>
    <row r="21" spans="2:28" ht="25.5">
      <c r="B21" s="128" t="s">
        <v>49</v>
      </c>
      <c r="C21" s="129"/>
      <c r="D21" s="130"/>
      <c r="E21" s="130" t="s">
        <v>42</v>
      </c>
      <c r="F21" s="130" t="s">
        <v>43</v>
      </c>
      <c r="G21" s="901" t="s">
        <v>666</v>
      </c>
      <c r="H21" s="900"/>
      <c r="I21" s="900"/>
      <c r="J21" s="900"/>
      <c r="K21" s="900"/>
    </row>
    <row r="22" spans="2:28">
      <c r="B22" s="132" t="s">
        <v>222</v>
      </c>
      <c r="C22" s="133"/>
      <c r="D22" s="134"/>
      <c r="E22" s="145"/>
      <c r="F22" s="689">
        <f>+E22</f>
        <v>0</v>
      </c>
    </row>
    <row r="23" spans="2:28">
      <c r="B23" s="115" t="s">
        <v>21</v>
      </c>
      <c r="C23" s="108"/>
      <c r="D23" s="111"/>
      <c r="E23" s="111">
        <f>Assembly!H95</f>
        <v>0.22792999626094707</v>
      </c>
      <c r="F23" s="120">
        <f>E23</f>
        <v>0.22792999626094707</v>
      </c>
    </row>
    <row r="24" spans="2:28">
      <c r="B24" s="115" t="s">
        <v>44</v>
      </c>
      <c r="C24" s="108"/>
      <c r="D24" s="111"/>
      <c r="E24" s="111">
        <f>Assembly!H96</f>
        <v>4.3850347395608349E-2</v>
      </c>
      <c r="F24" s="120">
        <f>E24</f>
        <v>4.3850347395608349E-2</v>
      </c>
    </row>
    <row r="25" spans="2:28">
      <c r="B25" s="121" t="s">
        <v>40</v>
      </c>
      <c r="C25" s="108"/>
      <c r="D25" s="361"/>
      <c r="E25" s="122">
        <f>Assembly!H97</f>
        <v>2.065565118011339E-2</v>
      </c>
      <c r="F25" s="123">
        <f>E25-Assembly!H85-Assembly!H86-Assembly!H88-Assembly!H89-'Machined Part #1'!I54-'Machined Part #1'!I58-'Pacific Quote #2'!I50-'Pacific Quote #2'!I54-'Pacific Quote #3'!I50-'Pacific Quote #3'!I54</f>
        <v>1.885564938011159E-2</v>
      </c>
      <c r="AA25" s="686" t="s">
        <v>581</v>
      </c>
    </row>
    <row r="26" spans="2:28">
      <c r="B26" s="115" t="s">
        <v>39</v>
      </c>
      <c r="C26" s="108"/>
      <c r="D26" s="112"/>
      <c r="E26" s="111">
        <f>E22-E23-E24-E25</f>
        <v>-0.29243599483666877</v>
      </c>
      <c r="F26" s="120">
        <f>F22-F23-F24-F25</f>
        <v>-0.29063599303666698</v>
      </c>
      <c r="AA26" s="695" t="str">
        <f>'Standard Rates'!E59</f>
        <v>Std Project</v>
      </c>
      <c r="AB26" s="685">
        <f>'Standard Rates'!E74</f>
        <v>0.15899473942424383</v>
      </c>
    </row>
    <row r="27" spans="2:28">
      <c r="B27" s="121" t="s">
        <v>41</v>
      </c>
      <c r="C27" s="696" t="s">
        <v>429</v>
      </c>
      <c r="D27" s="687">
        <f>VLOOKUP(C27,$AA$26:$AB$28,2,FALSE)</f>
        <v>0.15899473942424383</v>
      </c>
      <c r="E27" s="122">
        <f>E22*D27</f>
        <v>0</v>
      </c>
      <c r="F27" s="123">
        <f>F22*0.15</f>
        <v>0</v>
      </c>
      <c r="AA27" s="695" t="str">
        <f>'Standard Rates'!G59</f>
        <v>Machining Only</v>
      </c>
      <c r="AB27" s="685">
        <f>'Standard Rates'!G74</f>
        <v>0.1410654326499593</v>
      </c>
    </row>
    <row r="28" spans="2:28">
      <c r="B28" s="115" t="s">
        <v>45</v>
      </c>
      <c r="C28" s="108"/>
      <c r="D28" s="112"/>
      <c r="E28" s="111">
        <f>E26-E27</f>
        <v>-0.29243599483666877</v>
      </c>
      <c r="F28" s="120">
        <f>F26-F27</f>
        <v>-0.29063599303666698</v>
      </c>
      <c r="AA28" s="106" t="str">
        <f>'Standard Rates'!I59</f>
        <v>Direct Ship</v>
      </c>
      <c r="AB28" s="685">
        <f>'Standard Rates'!I74</f>
        <v>0.1441809178543792</v>
      </c>
    </row>
    <row r="29" spans="2:28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8"/>
    </row>
    <row r="30" spans="2:28">
      <c r="B30" s="115"/>
      <c r="C30" s="108"/>
      <c r="D30" s="108"/>
      <c r="E30" s="108"/>
      <c r="F30" s="116"/>
    </row>
    <row r="31" spans="2:28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1" t="s">
        <v>667</v>
      </c>
      <c r="H33" s="900"/>
      <c r="I33" s="900"/>
    </row>
    <row r="34" spans="2:9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>
      <c r="B35" s="117" t="s">
        <v>216</v>
      </c>
      <c r="C35" s="118"/>
      <c r="D35" s="118"/>
      <c r="E35" s="118"/>
      <c r="F35" s="329" t="str">
        <f ca="1">IF(ISERROR('Cash Flow'!F60),"",'Cash Flow'!F60)</f>
        <v/>
      </c>
    </row>
    <row r="37" spans="2:9">
      <c r="B37" s="136" t="s">
        <v>221</v>
      </c>
      <c r="C37" s="133"/>
      <c r="D37" s="133"/>
      <c r="E37" s="133"/>
      <c r="F37" s="129"/>
    </row>
    <row r="38" spans="2:9">
      <c r="B38" s="115"/>
      <c r="C38" s="108"/>
      <c r="D38" s="108"/>
      <c r="E38" s="108"/>
      <c r="F38" s="116"/>
    </row>
    <row r="39" spans="2:9">
      <c r="B39" s="115"/>
      <c r="C39" s="108"/>
      <c r="D39" s="108"/>
      <c r="E39" s="108"/>
      <c r="F39" s="116"/>
    </row>
    <row r="40" spans="2:9">
      <c r="B40" s="115" t="s">
        <v>217</v>
      </c>
      <c r="C40" s="118"/>
      <c r="D40" s="118"/>
      <c r="E40" s="118"/>
      <c r="F40" s="116"/>
    </row>
    <row r="41" spans="2:9">
      <c r="B41" s="115"/>
      <c r="C41" s="108"/>
      <c r="D41" s="108"/>
      <c r="E41" s="108"/>
      <c r="F41" s="116"/>
    </row>
    <row r="42" spans="2:9">
      <c r="B42" s="115"/>
      <c r="C42" s="108"/>
      <c r="D42" s="108"/>
      <c r="E42" s="108"/>
      <c r="F42" s="116"/>
    </row>
    <row r="43" spans="2:9">
      <c r="B43" s="115" t="s">
        <v>220</v>
      </c>
      <c r="C43" s="118"/>
      <c r="D43" s="118"/>
      <c r="E43" s="118"/>
      <c r="F43" s="116"/>
    </row>
    <row r="44" spans="2:9">
      <c r="B44" s="115"/>
      <c r="C44" s="108"/>
      <c r="D44" s="108"/>
      <c r="E44" s="108"/>
      <c r="F44" s="116"/>
    </row>
    <row r="45" spans="2:9">
      <c r="B45" s="115"/>
      <c r="C45" s="108"/>
      <c r="D45" s="108"/>
      <c r="E45" s="108"/>
      <c r="F45" s="116"/>
    </row>
    <row r="46" spans="2:9">
      <c r="B46" s="115" t="s">
        <v>219</v>
      </c>
      <c r="C46" s="118"/>
      <c r="D46" s="118"/>
      <c r="E46" s="118"/>
      <c r="F46" s="116"/>
    </row>
    <row r="47" spans="2:9">
      <c r="B47" s="115"/>
      <c r="C47" s="108"/>
      <c r="D47" s="108"/>
      <c r="E47" s="108"/>
      <c r="F47" s="116"/>
    </row>
    <row r="48" spans="2:9">
      <c r="B48" s="115"/>
      <c r="C48" s="108"/>
      <c r="D48" s="108"/>
      <c r="E48" s="108"/>
      <c r="F48" s="116"/>
    </row>
    <row r="49" spans="2:6">
      <c r="B49" s="115" t="s">
        <v>218</v>
      </c>
      <c r="C49" s="118"/>
      <c r="D49" s="118"/>
      <c r="E49" s="118"/>
      <c r="F49" s="116"/>
    </row>
    <row r="50" spans="2:6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RowHeight="11.25" outlineLevelRow="1" outlineLevelCol="1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>
      <c r="A1" s="951" t="s">
        <v>20</v>
      </c>
      <c r="B1" s="951"/>
      <c r="C1" s="951"/>
      <c r="D1" s="951"/>
      <c r="E1" s="951"/>
      <c r="F1" s="951"/>
      <c r="G1" s="951"/>
      <c r="H1" s="951"/>
      <c r="I1" s="951"/>
      <c r="J1" s="951"/>
      <c r="K1" s="951"/>
      <c r="L1" s="951"/>
      <c r="M1" s="951"/>
      <c r="N1" s="951"/>
      <c r="O1" s="951"/>
      <c r="P1" s="951"/>
      <c r="Q1" s="951"/>
      <c r="R1" s="951"/>
    </row>
    <row r="2" spans="1:34" s="4" customFormat="1" ht="12.75" customHeight="1" thickBot="1">
      <c r="A2" s="625" t="s">
        <v>16</v>
      </c>
      <c r="B2" s="626"/>
      <c r="C2" s="627"/>
      <c r="D2" s="628"/>
      <c r="E2" s="628"/>
      <c r="F2" s="628"/>
      <c r="G2" s="628"/>
      <c r="H2" s="628"/>
      <c r="I2" s="722"/>
      <c r="J2" s="722"/>
      <c r="K2" s="791"/>
      <c r="L2" s="722"/>
      <c r="M2" s="722"/>
      <c r="N2" s="791"/>
      <c r="O2" s="722"/>
      <c r="P2" s="722"/>
      <c r="Q2" s="629" t="s">
        <v>13</v>
      </c>
      <c r="R2" s="630">
        <v>3334</v>
      </c>
    </row>
    <row r="3" spans="1:34" s="4" customFormat="1" ht="12.75" customHeight="1" thickBot="1">
      <c r="A3" s="625" t="s">
        <v>0</v>
      </c>
      <c r="B3" s="626"/>
      <c r="C3" s="631"/>
      <c r="D3" s="628"/>
      <c r="E3" s="628"/>
      <c r="F3" s="628"/>
      <c r="G3" s="628"/>
      <c r="H3" s="628"/>
      <c r="I3" s="722"/>
      <c r="J3" s="785"/>
      <c r="K3" s="786"/>
      <c r="L3" s="786"/>
      <c r="M3" s="785"/>
      <c r="N3" s="786"/>
      <c r="O3" s="786"/>
      <c r="P3" s="785"/>
      <c r="Q3" s="629" t="s">
        <v>14</v>
      </c>
      <c r="R3" s="630">
        <v>2222</v>
      </c>
    </row>
    <row r="4" spans="1:34" s="4" customFormat="1" ht="12.75" customHeight="1">
      <c r="A4" s="625" t="s">
        <v>449</v>
      </c>
      <c r="B4" s="626"/>
      <c r="C4" s="631">
        <v>2</v>
      </c>
      <c r="D4" s="628"/>
      <c r="E4" s="628"/>
      <c r="F4" s="628"/>
      <c r="G4" s="628"/>
      <c r="H4" s="628"/>
      <c r="I4" s="722"/>
      <c r="J4" s="722"/>
      <c r="K4" s="791"/>
      <c r="L4" s="722"/>
      <c r="M4" s="722"/>
      <c r="N4" s="791"/>
      <c r="O4" s="722"/>
      <c r="P4" s="722"/>
      <c r="Q4" s="629" t="s">
        <v>15</v>
      </c>
      <c r="R4" s="630">
        <v>222</v>
      </c>
      <c r="S4" s="902" t="s">
        <v>661</v>
      </c>
      <c r="T4" s="902"/>
      <c r="U4" s="902"/>
    </row>
    <row r="5" spans="1:34" ht="12.75" customHeight="1" thickBot="1">
      <c r="A5" s="632"/>
      <c r="B5" s="574"/>
      <c r="C5" s="574"/>
      <c r="D5" s="574"/>
      <c r="E5" s="632"/>
      <c r="F5" s="574"/>
      <c r="G5" s="574"/>
      <c r="H5" s="574"/>
      <c r="I5" s="574"/>
      <c r="J5" s="574"/>
      <c r="K5" s="574"/>
      <c r="L5" s="574"/>
      <c r="M5" s="574"/>
      <c r="N5" s="574"/>
      <c r="O5" s="574"/>
      <c r="P5" s="574"/>
      <c r="Q5" s="633"/>
      <c r="R5" s="574"/>
    </row>
    <row r="6" spans="1:34" ht="12.75" customHeight="1">
      <c r="A6" s="609" t="s">
        <v>5</v>
      </c>
      <c r="B6" s="615"/>
      <c r="C6" s="615"/>
      <c r="D6" s="615"/>
      <c r="E6" s="634"/>
      <c r="F6" s="634"/>
      <c r="G6" s="634"/>
      <c r="H6" s="635"/>
      <c r="I6" s="635"/>
      <c r="J6" s="841"/>
      <c r="K6" s="586"/>
      <c r="L6" s="635"/>
      <c r="M6" s="635"/>
      <c r="N6" s="586"/>
      <c r="O6" s="635"/>
      <c r="P6" s="635"/>
      <c r="Q6" s="837"/>
      <c r="R6" s="721"/>
    </row>
    <row r="7" spans="1:34" ht="13.5" customHeight="1" thickBot="1">
      <c r="A7" s="607"/>
      <c r="B7" s="616" t="s">
        <v>1</v>
      </c>
      <c r="C7" s="636" t="s">
        <v>12</v>
      </c>
      <c r="D7" s="636" t="s">
        <v>4</v>
      </c>
      <c r="E7" s="636" t="s">
        <v>2</v>
      </c>
      <c r="F7" s="636" t="s">
        <v>19</v>
      </c>
      <c r="G7" s="636" t="s">
        <v>17</v>
      </c>
      <c r="H7" s="637" t="s">
        <v>18</v>
      </c>
      <c r="I7" s="723" t="s">
        <v>649</v>
      </c>
      <c r="J7" s="842" t="s">
        <v>18</v>
      </c>
      <c r="K7" s="586"/>
      <c r="L7" s="810" t="s">
        <v>649</v>
      </c>
      <c r="M7" s="637" t="s">
        <v>18</v>
      </c>
      <c r="N7" s="586"/>
      <c r="O7" s="810" t="s">
        <v>649</v>
      </c>
      <c r="P7" s="637" t="s">
        <v>18</v>
      </c>
      <c r="Q7" s="952" t="s">
        <v>3</v>
      </c>
      <c r="R7" s="953"/>
    </row>
    <row r="8" spans="1:34" ht="12.75" customHeight="1">
      <c r="A8" s="653" t="s">
        <v>549</v>
      </c>
      <c r="B8" s="572"/>
      <c r="C8" s="612"/>
      <c r="D8" s="612"/>
      <c r="E8" s="612"/>
      <c r="F8" s="612"/>
      <c r="G8" s="612"/>
      <c r="H8" s="638"/>
      <c r="I8" s="638"/>
      <c r="J8" s="843"/>
      <c r="K8" s="681"/>
      <c r="L8" s="638"/>
      <c r="M8" s="824"/>
      <c r="N8" s="681"/>
      <c r="O8" s="638"/>
      <c r="P8" s="824"/>
      <c r="Q8" s="838"/>
      <c r="R8" s="715"/>
    </row>
    <row r="9" spans="1:34" ht="12.75">
      <c r="A9" s="617">
        <v>1</v>
      </c>
      <c r="B9" s="618"/>
      <c r="C9" s="618"/>
      <c r="D9" s="619"/>
      <c r="E9" s="619"/>
      <c r="F9" s="619"/>
      <c r="G9" s="620"/>
      <c r="H9" s="474">
        <f>G9*$F$9</f>
        <v>0</v>
      </c>
      <c r="I9" s="474"/>
      <c r="J9" s="844">
        <f>I9*$F$9</f>
        <v>0</v>
      </c>
      <c r="K9" s="812"/>
      <c r="L9" s="474"/>
      <c r="M9" s="327">
        <f>L9*$F$9</f>
        <v>0</v>
      </c>
      <c r="N9" s="812"/>
      <c r="O9" s="474"/>
      <c r="P9" s="327">
        <f>O9*$F$9</f>
        <v>0</v>
      </c>
      <c r="Q9" s="669"/>
      <c r="R9" s="670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>
      <c r="A10" s="613">
        <v>2</v>
      </c>
      <c r="B10" s="621"/>
      <c r="C10" s="621"/>
      <c r="D10" s="596"/>
      <c r="E10" s="596"/>
      <c r="F10" s="596"/>
      <c r="G10" s="622"/>
      <c r="H10" s="474">
        <f>G10*$F$10</f>
        <v>0</v>
      </c>
      <c r="I10" s="474"/>
      <c r="J10" s="844">
        <f>I10*$F$10</f>
        <v>0</v>
      </c>
      <c r="K10" s="812"/>
      <c r="L10" s="474"/>
      <c r="M10" s="327">
        <f>L10*$F$10</f>
        <v>0</v>
      </c>
      <c r="N10" s="812"/>
      <c r="O10" s="474"/>
      <c r="P10" s="327">
        <f>O10*$F$10</f>
        <v>0</v>
      </c>
      <c r="Q10" s="669"/>
      <c r="R10" s="670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>
      <c r="A11" s="613">
        <v>3</v>
      </c>
      <c r="B11" s="621"/>
      <c r="C11" s="621"/>
      <c r="D11" s="596"/>
      <c r="E11" s="596"/>
      <c r="F11" s="596"/>
      <c r="G11" s="622"/>
      <c r="H11" s="474">
        <f>G11*$F$11</f>
        <v>0</v>
      </c>
      <c r="I11" s="474"/>
      <c r="J11" s="844">
        <f>I11*$F$11</f>
        <v>0</v>
      </c>
      <c r="K11" s="812"/>
      <c r="L11" s="474"/>
      <c r="M11" s="327">
        <f>L11*$F$11</f>
        <v>0</v>
      </c>
      <c r="N11" s="812"/>
      <c r="O11" s="474"/>
      <c r="P11" s="327">
        <f>O11*$F$11</f>
        <v>0</v>
      </c>
      <c r="Q11" s="669"/>
      <c r="R11" s="670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>
      <c r="A12" s="613">
        <v>4</v>
      </c>
      <c r="B12" s="621"/>
      <c r="C12" s="621"/>
      <c r="D12" s="596"/>
      <c r="E12" s="596"/>
      <c r="F12" s="596"/>
      <c r="G12" s="622"/>
      <c r="H12" s="474">
        <f>G12*$F$12</f>
        <v>0</v>
      </c>
      <c r="I12" s="474"/>
      <c r="J12" s="844">
        <f>I12*$F$12</f>
        <v>0</v>
      </c>
      <c r="K12" s="812"/>
      <c r="L12" s="474"/>
      <c r="M12" s="327">
        <f>L12*$F$12</f>
        <v>0</v>
      </c>
      <c r="N12" s="812"/>
      <c r="O12" s="474"/>
      <c r="P12" s="327">
        <f>O12*$F$12</f>
        <v>0</v>
      </c>
      <c r="Q12" s="669"/>
      <c r="R12" s="670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>
      <c r="A13" s="613">
        <v>5</v>
      </c>
      <c r="B13" s="621"/>
      <c r="C13" s="621"/>
      <c r="D13" s="596"/>
      <c r="E13" s="596"/>
      <c r="F13" s="596"/>
      <c r="G13" s="622"/>
      <c r="H13" s="474">
        <f>G13*$F$13</f>
        <v>0</v>
      </c>
      <c r="I13" s="474"/>
      <c r="J13" s="844">
        <f>I13*$F$13</f>
        <v>0</v>
      </c>
      <c r="K13" s="812"/>
      <c r="L13" s="474"/>
      <c r="M13" s="327">
        <f>L13*$F$13</f>
        <v>0</v>
      </c>
      <c r="N13" s="812"/>
      <c r="O13" s="474"/>
      <c r="P13" s="327">
        <f>O13*$F$13</f>
        <v>0</v>
      </c>
      <c r="Q13" s="669"/>
      <c r="R13" s="670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>
      <c r="A14" s="613">
        <v>6</v>
      </c>
      <c r="B14" s="621"/>
      <c r="C14" s="621"/>
      <c r="D14" s="596"/>
      <c r="E14" s="596"/>
      <c r="F14" s="596"/>
      <c r="G14" s="622"/>
      <c r="H14" s="474">
        <f>G14*$F$14</f>
        <v>0</v>
      </c>
      <c r="I14" s="474"/>
      <c r="J14" s="844">
        <f>I14*$F$14</f>
        <v>0</v>
      </c>
      <c r="K14" s="812"/>
      <c r="L14" s="474"/>
      <c r="M14" s="327">
        <f>L14*$F$14</f>
        <v>0</v>
      </c>
      <c r="N14" s="812"/>
      <c r="O14" s="474"/>
      <c r="P14" s="327">
        <f>O14*$F$14</f>
        <v>0</v>
      </c>
      <c r="Q14" s="669"/>
      <c r="R14" s="670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>
      <c r="A15" s="613">
        <v>7</v>
      </c>
      <c r="B15" s="621"/>
      <c r="C15" s="623"/>
      <c r="D15" s="596"/>
      <c r="E15" s="596"/>
      <c r="F15" s="596"/>
      <c r="G15" s="622"/>
      <c r="H15" s="474">
        <f>G15*$F$15</f>
        <v>0</v>
      </c>
      <c r="I15" s="474"/>
      <c r="J15" s="844">
        <f>I15*$F$15</f>
        <v>0</v>
      </c>
      <c r="K15" s="812"/>
      <c r="L15" s="474"/>
      <c r="M15" s="327">
        <f>L15*$F$15</f>
        <v>0</v>
      </c>
      <c r="N15" s="812"/>
      <c r="O15" s="474"/>
      <c r="P15" s="327">
        <f>O15*$F$15</f>
        <v>0</v>
      </c>
      <c r="Q15" s="669"/>
      <c r="R15" s="670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>
      <c r="A16" s="613">
        <v>8</v>
      </c>
      <c r="B16" s="621"/>
      <c r="C16" s="621"/>
      <c r="D16" s="596"/>
      <c r="E16" s="596"/>
      <c r="F16" s="596"/>
      <c r="G16" s="622"/>
      <c r="H16" s="474">
        <f>G16*$F$16</f>
        <v>0</v>
      </c>
      <c r="I16" s="474"/>
      <c r="J16" s="844">
        <f>I16*$F$16</f>
        <v>0</v>
      </c>
      <c r="K16" s="812"/>
      <c r="L16" s="474"/>
      <c r="M16" s="327">
        <f>L16*$F$16</f>
        <v>0</v>
      </c>
      <c r="N16" s="812"/>
      <c r="O16" s="474"/>
      <c r="P16" s="327">
        <f>O16*$F$16</f>
        <v>0</v>
      </c>
      <c r="Q16" s="669"/>
      <c r="R16" s="670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>
      <c r="A17" s="613">
        <v>9</v>
      </c>
      <c r="B17" s="621"/>
      <c r="C17" s="596"/>
      <c r="D17" s="596"/>
      <c r="E17" s="596"/>
      <c r="F17" s="596"/>
      <c r="G17" s="622"/>
      <c r="H17" s="474">
        <f>G17*$F$17</f>
        <v>0</v>
      </c>
      <c r="I17" s="474"/>
      <c r="J17" s="844">
        <f>I17*$F$17</f>
        <v>0</v>
      </c>
      <c r="K17" s="812"/>
      <c r="L17" s="474"/>
      <c r="M17" s="327">
        <f>L17*$F$17</f>
        <v>0</v>
      </c>
      <c r="N17" s="812"/>
      <c r="O17" s="474"/>
      <c r="P17" s="327">
        <f>O17*$F$17</f>
        <v>0</v>
      </c>
      <c r="Q17" s="669"/>
      <c r="R17" s="670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>
      <c r="A18" s="613">
        <v>10</v>
      </c>
      <c r="B18" s="621"/>
      <c r="C18" s="596"/>
      <c r="D18" s="596"/>
      <c r="E18" s="596"/>
      <c r="F18" s="596"/>
      <c r="G18" s="622"/>
      <c r="H18" s="474">
        <f t="shared" ref="H18:H31" si="0">G18*F18</f>
        <v>0</v>
      </c>
      <c r="I18" s="474"/>
      <c r="J18" s="844"/>
      <c r="K18" s="812"/>
      <c r="L18" s="474"/>
      <c r="M18" s="327"/>
      <c r="N18" s="812"/>
      <c r="O18" s="474"/>
      <c r="P18" s="327"/>
      <c r="Q18" s="669"/>
      <c r="R18" s="670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>
      <c r="A19" s="613">
        <v>11</v>
      </c>
      <c r="B19" s="621"/>
      <c r="C19" s="596"/>
      <c r="D19" s="596"/>
      <c r="E19" s="596"/>
      <c r="F19" s="596"/>
      <c r="G19" s="622"/>
      <c r="H19" s="474">
        <f t="shared" si="0"/>
        <v>0</v>
      </c>
      <c r="I19" s="474"/>
      <c r="J19" s="844"/>
      <c r="K19" s="812"/>
      <c r="L19" s="474"/>
      <c r="M19" s="327"/>
      <c r="N19" s="812"/>
      <c r="O19" s="474"/>
      <c r="P19" s="327"/>
      <c r="Q19" s="669"/>
      <c r="R19" s="670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>
      <c r="A20" s="613">
        <v>12</v>
      </c>
      <c r="B20" s="621"/>
      <c r="C20" s="596"/>
      <c r="D20" s="596"/>
      <c r="E20" s="596"/>
      <c r="F20" s="596"/>
      <c r="G20" s="622"/>
      <c r="H20" s="474">
        <f t="shared" si="0"/>
        <v>0</v>
      </c>
      <c r="I20" s="474"/>
      <c r="J20" s="844"/>
      <c r="K20" s="812"/>
      <c r="L20" s="474"/>
      <c r="M20" s="327"/>
      <c r="N20" s="812"/>
      <c r="O20" s="474"/>
      <c r="P20" s="327"/>
      <c r="Q20" s="669"/>
      <c r="R20" s="670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>
      <c r="A21" s="613">
        <v>13</v>
      </c>
      <c r="B21" s="621"/>
      <c r="C21" s="596"/>
      <c r="D21" s="596"/>
      <c r="E21" s="596"/>
      <c r="F21" s="596"/>
      <c r="G21" s="622"/>
      <c r="H21" s="474">
        <f t="shared" si="0"/>
        <v>0</v>
      </c>
      <c r="I21" s="474"/>
      <c r="J21" s="844"/>
      <c r="K21" s="812"/>
      <c r="L21" s="474"/>
      <c r="M21" s="327"/>
      <c r="N21" s="812"/>
      <c r="O21" s="474"/>
      <c r="P21" s="327"/>
      <c r="Q21" s="669"/>
      <c r="R21" s="670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>
      <c r="A22" s="613">
        <v>14</v>
      </c>
      <c r="B22" s="621"/>
      <c r="C22" s="596"/>
      <c r="D22" s="596"/>
      <c r="E22" s="596"/>
      <c r="F22" s="596"/>
      <c r="G22" s="622"/>
      <c r="H22" s="474">
        <f t="shared" si="0"/>
        <v>0</v>
      </c>
      <c r="I22" s="474"/>
      <c r="J22" s="844"/>
      <c r="K22" s="812"/>
      <c r="L22" s="474"/>
      <c r="M22" s="327"/>
      <c r="N22" s="812"/>
      <c r="O22" s="474"/>
      <c r="P22" s="327"/>
      <c r="Q22" s="669"/>
      <c r="R22" s="670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>
      <c r="A23" s="613">
        <v>15</v>
      </c>
      <c r="B23" s="621"/>
      <c r="C23" s="596"/>
      <c r="D23" s="596"/>
      <c r="E23" s="596"/>
      <c r="F23" s="596"/>
      <c r="G23" s="622"/>
      <c r="H23" s="474">
        <f t="shared" si="0"/>
        <v>0</v>
      </c>
      <c r="I23" s="474"/>
      <c r="J23" s="844"/>
      <c r="K23" s="812"/>
      <c r="L23" s="474"/>
      <c r="M23" s="327"/>
      <c r="N23" s="812"/>
      <c r="O23" s="474"/>
      <c r="P23" s="327"/>
      <c r="Q23" s="669"/>
      <c r="R23" s="670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>
      <c r="A24" s="613">
        <v>16</v>
      </c>
      <c r="B24" s="621"/>
      <c r="C24" s="596"/>
      <c r="D24" s="596"/>
      <c r="E24" s="596"/>
      <c r="F24" s="596"/>
      <c r="G24" s="622"/>
      <c r="H24" s="474">
        <f t="shared" si="0"/>
        <v>0</v>
      </c>
      <c r="I24" s="474"/>
      <c r="J24" s="844"/>
      <c r="K24" s="812"/>
      <c r="L24" s="474"/>
      <c r="M24" s="327"/>
      <c r="N24" s="812"/>
      <c r="O24" s="474"/>
      <c r="P24" s="327"/>
      <c r="Q24" s="669"/>
      <c r="R24" s="670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>
      <c r="A25" s="613">
        <v>17</v>
      </c>
      <c r="B25" s="621"/>
      <c r="C25" s="596"/>
      <c r="D25" s="596"/>
      <c r="E25" s="596"/>
      <c r="F25" s="596"/>
      <c r="G25" s="622"/>
      <c r="H25" s="474">
        <f t="shared" si="0"/>
        <v>0</v>
      </c>
      <c r="I25" s="474"/>
      <c r="J25" s="844"/>
      <c r="K25" s="812"/>
      <c r="L25" s="474"/>
      <c r="M25" s="327"/>
      <c r="N25" s="812"/>
      <c r="O25" s="474"/>
      <c r="P25" s="327"/>
      <c r="Q25" s="669"/>
      <c r="R25" s="670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>
      <c r="A26" s="613">
        <v>18</v>
      </c>
      <c r="B26" s="621"/>
      <c r="C26" s="596"/>
      <c r="D26" s="596"/>
      <c r="E26" s="596"/>
      <c r="F26" s="596"/>
      <c r="G26" s="622"/>
      <c r="H26" s="474">
        <f t="shared" si="0"/>
        <v>0</v>
      </c>
      <c r="I26" s="474"/>
      <c r="J26" s="844"/>
      <c r="K26" s="812"/>
      <c r="L26" s="474"/>
      <c r="M26" s="327"/>
      <c r="N26" s="812"/>
      <c r="O26" s="474"/>
      <c r="P26" s="327"/>
      <c r="Q26" s="669"/>
      <c r="R26" s="670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>
      <c r="A27" s="613">
        <v>19</v>
      </c>
      <c r="B27" s="621"/>
      <c r="C27" s="596"/>
      <c r="D27" s="596"/>
      <c r="E27" s="596"/>
      <c r="F27" s="596"/>
      <c r="G27" s="622"/>
      <c r="H27" s="474">
        <f t="shared" si="0"/>
        <v>0</v>
      </c>
      <c r="I27" s="474"/>
      <c r="J27" s="844"/>
      <c r="K27" s="812"/>
      <c r="L27" s="474"/>
      <c r="M27" s="327"/>
      <c r="N27" s="812"/>
      <c r="O27" s="474"/>
      <c r="P27" s="327"/>
      <c r="Q27" s="669"/>
      <c r="R27" s="670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>
      <c r="A28" s="613">
        <v>20</v>
      </c>
      <c r="B28" s="621"/>
      <c r="C28" s="596"/>
      <c r="D28" s="596"/>
      <c r="E28" s="596"/>
      <c r="F28" s="596"/>
      <c r="G28" s="622"/>
      <c r="H28" s="474">
        <f t="shared" si="0"/>
        <v>0</v>
      </c>
      <c r="I28" s="474"/>
      <c r="J28" s="844"/>
      <c r="K28" s="812"/>
      <c r="L28" s="474"/>
      <c r="M28" s="327"/>
      <c r="N28" s="812"/>
      <c r="O28" s="474"/>
      <c r="P28" s="327"/>
      <c r="Q28" s="669"/>
      <c r="R28" s="670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>
      <c r="A29" s="613">
        <v>21</v>
      </c>
      <c r="B29" s="621"/>
      <c r="C29" s="596"/>
      <c r="D29" s="596"/>
      <c r="E29" s="596"/>
      <c r="F29" s="596"/>
      <c r="G29" s="622"/>
      <c r="H29" s="474">
        <f t="shared" si="0"/>
        <v>0</v>
      </c>
      <c r="I29" s="474"/>
      <c r="J29" s="844"/>
      <c r="K29" s="812"/>
      <c r="L29" s="474"/>
      <c r="M29" s="327"/>
      <c r="N29" s="812"/>
      <c r="O29" s="474"/>
      <c r="P29" s="327"/>
      <c r="Q29" s="669"/>
      <c r="R29" s="670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>
      <c r="A30" s="613">
        <v>22</v>
      </c>
      <c r="B30" s="621"/>
      <c r="C30" s="596"/>
      <c r="D30" s="596"/>
      <c r="E30" s="596"/>
      <c r="F30" s="596"/>
      <c r="G30" s="622"/>
      <c r="H30" s="474">
        <f t="shared" si="0"/>
        <v>0</v>
      </c>
      <c r="I30" s="474"/>
      <c r="J30" s="844"/>
      <c r="K30" s="812"/>
      <c r="L30" s="474"/>
      <c r="M30" s="327"/>
      <c r="N30" s="812"/>
      <c r="O30" s="474"/>
      <c r="P30" s="327"/>
      <c r="Q30" s="669"/>
      <c r="R30" s="670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>
      <c r="A31" s="613">
        <v>23</v>
      </c>
      <c r="B31" s="621"/>
      <c r="C31" s="596"/>
      <c r="D31" s="596"/>
      <c r="E31" s="596"/>
      <c r="F31" s="596"/>
      <c r="G31" s="622"/>
      <c r="H31" s="474">
        <f t="shared" si="0"/>
        <v>0</v>
      </c>
      <c r="I31" s="474"/>
      <c r="J31" s="844"/>
      <c r="K31" s="812"/>
      <c r="L31" s="474"/>
      <c r="M31" s="327"/>
      <c r="N31" s="812"/>
      <c r="O31" s="474"/>
      <c r="P31" s="327"/>
      <c r="Q31" s="669"/>
      <c r="R31" s="670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>
      <c r="A32" s="654"/>
      <c r="B32" s="576"/>
      <c r="C32" s="603"/>
      <c r="D32" s="603"/>
      <c r="E32" s="603"/>
      <c r="F32" s="603"/>
      <c r="G32" s="624" t="s">
        <v>556</v>
      </c>
      <c r="H32" s="471">
        <f>SUM(H9:H31)</f>
        <v>0</v>
      </c>
      <c r="I32" s="471"/>
      <c r="J32" s="845">
        <f>SUM(J9:J31)</f>
        <v>0</v>
      </c>
      <c r="K32" s="813"/>
      <c r="L32" s="471"/>
      <c r="M32" s="825">
        <f>SUM(M9:M31)</f>
        <v>0</v>
      </c>
      <c r="N32" s="813"/>
      <c r="O32" s="471"/>
      <c r="P32" s="825">
        <f>SUM(P9:P31)</f>
        <v>0</v>
      </c>
      <c r="Q32" s="680"/>
      <c r="R32" s="667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>
      <c r="A33" s="655" t="s">
        <v>574</v>
      </c>
      <c r="B33" s="354"/>
      <c r="C33" s="353"/>
      <c r="D33" s="353" t="s">
        <v>672</v>
      </c>
      <c r="E33" s="472" t="s">
        <v>546</v>
      </c>
      <c r="F33" s="472" t="s">
        <v>547</v>
      </c>
      <c r="G33" s="473" t="s">
        <v>548</v>
      </c>
      <c r="H33" s="470"/>
      <c r="I33" s="470"/>
      <c r="J33" s="846"/>
      <c r="K33" s="812"/>
      <c r="L33" s="470"/>
      <c r="M33" s="470"/>
      <c r="N33" s="812"/>
      <c r="O33" s="470"/>
      <c r="P33" s="470"/>
      <c r="Q33" s="668"/>
      <c r="R33" s="657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>
      <c r="A34" s="614">
        <v>1</v>
      </c>
      <c r="B34" s="871" t="s">
        <v>673</v>
      </c>
      <c r="C34" s="612"/>
      <c r="D34" s="612"/>
      <c r="E34" s="395">
        <f>'Machined Part #1'!I53+'Machined Part #1'!I59+'Machined Part #1'!I60+'Machined Part #1'!I61</f>
        <v>0.22792999626094707</v>
      </c>
      <c r="F34" s="395">
        <f>'Machined Part #1'!I55+'Machined Part #1'!I56+'Machined Part #1'!I57</f>
        <v>4.3850347395608349E-2</v>
      </c>
      <c r="G34" s="468">
        <f>'Machined Part #1'!I63+'Machined Part #1'!I54+'Machined Part #1'!I58</f>
        <v>2.065565118011339E-2</v>
      </c>
      <c r="H34" s="327">
        <f>'Machined Part #1'!I64</f>
        <v>0.29243599483666888</v>
      </c>
      <c r="I34" s="327"/>
      <c r="J34" s="844">
        <f t="shared" ref="J34:J43" si="1">$H34</f>
        <v>0.29243599483666888</v>
      </c>
      <c r="K34" s="812"/>
      <c r="L34" s="327"/>
      <c r="M34" s="327">
        <f t="shared" ref="M34:M43" si="2">$H34</f>
        <v>0.29243599483666888</v>
      </c>
      <c r="N34" s="812"/>
      <c r="O34" s="327"/>
      <c r="P34" s="327">
        <f t="shared" ref="P34:P43" si="3">$H34</f>
        <v>0.29243599483666888</v>
      </c>
      <c r="Q34" s="669"/>
      <c r="R34" s="670"/>
      <c r="T34" s="903" t="s">
        <v>662</v>
      </c>
      <c r="U34" s="903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>
      <c r="A35" s="613">
        <v>2</v>
      </c>
      <c r="B35" s="871" t="s">
        <v>673</v>
      </c>
      <c r="C35" s="582"/>
      <c r="D35" s="582"/>
      <c r="E35" s="396">
        <f>'Pacific Quote #2'!I49+'Pacific Quote #2'!I55+'Pacific Quote #2'!I56+'Pacific Quote #2'!I57</f>
        <v>0</v>
      </c>
      <c r="F35" s="396">
        <f>'Pacific Quote #2'!I51+'Pacific Quote #2'!I52+'Pacific Quote #2'!I53</f>
        <v>0</v>
      </c>
      <c r="G35" s="465">
        <f>'Pacific Quote #2'!I59+'Pacific Quote #2'!I50+'Pacific Quote #2'!I54</f>
        <v>0</v>
      </c>
      <c r="H35" s="469">
        <f>'Pacific Quote #2'!I60</f>
        <v>0</v>
      </c>
      <c r="I35" s="469"/>
      <c r="J35" s="844">
        <f t="shared" si="1"/>
        <v>0</v>
      </c>
      <c r="K35" s="812"/>
      <c r="L35" s="469"/>
      <c r="M35" s="327">
        <f t="shared" si="2"/>
        <v>0</v>
      </c>
      <c r="N35" s="812"/>
      <c r="O35" s="469"/>
      <c r="P35" s="327">
        <f t="shared" si="3"/>
        <v>0</v>
      </c>
      <c r="Q35" s="669"/>
      <c r="R35" s="670"/>
    </row>
    <row r="36" spans="1:34">
      <c r="A36" s="613">
        <v>3</v>
      </c>
      <c r="B36" s="871" t="s">
        <v>673</v>
      </c>
      <c r="C36" s="582"/>
      <c r="D36" s="582"/>
      <c r="E36" s="396">
        <f>'Pacific Quote #3'!I49+'Pacific Quote #3'!I55+'Pacific Quote #3'!I56+'Pacific Quote #3'!I57</f>
        <v>0</v>
      </c>
      <c r="F36" s="396">
        <f>'Pacific Quote #3'!I51+'Pacific Quote #3'!I52+'Pacific Quote #3'!I53</f>
        <v>0</v>
      </c>
      <c r="G36" s="465">
        <f>'Pacific Quote #3'!I59+'Pacific Quote #3'!I50+'Pacific Quote #3'!I54</f>
        <v>0</v>
      </c>
      <c r="H36" s="469">
        <f>'Pacific Quote #3'!I60</f>
        <v>0</v>
      </c>
      <c r="I36" s="469"/>
      <c r="J36" s="844">
        <f t="shared" si="1"/>
        <v>0</v>
      </c>
      <c r="K36" s="812"/>
      <c r="L36" s="469"/>
      <c r="M36" s="327">
        <f t="shared" si="2"/>
        <v>0</v>
      </c>
      <c r="N36" s="812"/>
      <c r="O36" s="469"/>
      <c r="P36" s="327">
        <f t="shared" si="3"/>
        <v>0</v>
      </c>
      <c r="Q36" s="669"/>
      <c r="R36" s="670"/>
    </row>
    <row r="37" spans="1:34" hidden="1" outlineLevel="1">
      <c r="A37" s="613">
        <v>4</v>
      </c>
      <c r="B37" s="583" t="s">
        <v>582</v>
      </c>
      <c r="C37" s="582"/>
      <c r="D37" s="582"/>
      <c r="E37" s="396">
        <f>'Pacific Quote #4'!I49+'Pacific Quote #4'!I55+'Pacific Quote #4'!I56+'Pacific Quote #4'!I57</f>
        <v>0</v>
      </c>
      <c r="F37" s="396">
        <f>'Pacific Quote #4'!I51+'Pacific Quote #4'!I52+'Pacific Quote #4'!I53</f>
        <v>0</v>
      </c>
      <c r="G37" s="465">
        <f>'Pacific Quote #4'!I59+'Pacific Quote #4'!I50+'Pacific Quote #4'!I54</f>
        <v>0</v>
      </c>
      <c r="H37" s="469">
        <f>'Pacific Quote #4'!I60</f>
        <v>0</v>
      </c>
      <c r="I37" s="469"/>
      <c r="J37" s="844">
        <f t="shared" si="1"/>
        <v>0</v>
      </c>
      <c r="K37" s="812"/>
      <c r="L37" s="469"/>
      <c r="M37" s="327">
        <f t="shared" si="2"/>
        <v>0</v>
      </c>
      <c r="N37" s="812"/>
      <c r="O37" s="469"/>
      <c r="P37" s="327">
        <f t="shared" si="3"/>
        <v>0</v>
      </c>
      <c r="Q37" s="669"/>
      <c r="R37" s="670"/>
    </row>
    <row r="38" spans="1:34" hidden="1" outlineLevel="1">
      <c r="A38" s="613">
        <v>5</v>
      </c>
      <c r="B38" s="583" t="s">
        <v>583</v>
      </c>
      <c r="C38" s="582"/>
      <c r="D38" s="582"/>
      <c r="E38" s="396">
        <f>'Pacific Quote #5'!I49+'Pacific Quote #5'!I55+'Pacific Quote #5'!I56+'Pacific Quote #5'!I57</f>
        <v>0</v>
      </c>
      <c r="F38" s="396">
        <f>'Pacific Quote #5'!I51+'Pacific Quote #5'!I52+'Pacific Quote #5'!I53</f>
        <v>0</v>
      </c>
      <c r="G38" s="465">
        <f>'Pacific Quote #5'!I59+'Pacific Quote #5'!I50+'Pacific Quote #5'!I54</f>
        <v>0</v>
      </c>
      <c r="H38" s="469">
        <f>'Pacific Quote #5'!I60</f>
        <v>0</v>
      </c>
      <c r="I38" s="469"/>
      <c r="J38" s="844">
        <f t="shared" si="1"/>
        <v>0</v>
      </c>
      <c r="K38" s="812"/>
      <c r="L38" s="469"/>
      <c r="M38" s="327">
        <f t="shared" si="2"/>
        <v>0</v>
      </c>
      <c r="N38" s="812"/>
      <c r="O38" s="469"/>
      <c r="P38" s="327">
        <f t="shared" si="3"/>
        <v>0</v>
      </c>
      <c r="Q38" s="669"/>
      <c r="R38" s="670"/>
    </row>
    <row r="39" spans="1:34" hidden="1" outlineLevel="1">
      <c r="A39" s="613">
        <v>6</v>
      </c>
      <c r="B39" s="583" t="s">
        <v>584</v>
      </c>
      <c r="C39" s="582"/>
      <c r="D39" s="582"/>
      <c r="E39" s="396">
        <f>'Pacific Quote #6'!I49+'Pacific Quote #6'!I55+'Pacific Quote #6'!I56+'Pacific Quote #6'!I57</f>
        <v>0</v>
      </c>
      <c r="F39" s="396">
        <f>'Pacific Quote #6'!I51+'Pacific Quote #6'!I52+'Pacific Quote #6'!I53</f>
        <v>0</v>
      </c>
      <c r="G39" s="465">
        <f>'Pacific Quote #6'!I59+'Pacific Quote #6'!I50+'Pacific Quote #6'!I54</f>
        <v>0</v>
      </c>
      <c r="H39" s="469">
        <f>'Pacific Quote #6'!I60</f>
        <v>0</v>
      </c>
      <c r="I39" s="469"/>
      <c r="J39" s="844">
        <f t="shared" si="1"/>
        <v>0</v>
      </c>
      <c r="K39" s="812"/>
      <c r="L39" s="469"/>
      <c r="M39" s="327">
        <f t="shared" si="2"/>
        <v>0</v>
      </c>
      <c r="N39" s="812"/>
      <c r="O39" s="469"/>
      <c r="P39" s="327">
        <f t="shared" si="3"/>
        <v>0</v>
      </c>
      <c r="Q39" s="669"/>
      <c r="R39" s="670"/>
    </row>
    <row r="40" spans="1:34" hidden="1" outlineLevel="1">
      <c r="A40" s="613">
        <v>7</v>
      </c>
      <c r="B40" s="583" t="s">
        <v>585</v>
      </c>
      <c r="C40" s="582"/>
      <c r="D40" s="582"/>
      <c r="E40" s="396">
        <f>'Pacific Quote #7'!I49+'Pacific Quote #7'!I55+'Pacific Quote #7'!I56+'Pacific Quote #7'!I57</f>
        <v>0</v>
      </c>
      <c r="F40" s="396">
        <f>'Pacific Quote #7'!I51+'Pacific Quote #7'!I52+'Pacific Quote #7'!I53</f>
        <v>0</v>
      </c>
      <c r="G40" s="465">
        <f>'Pacific Quote #7'!I59+'Pacific Quote #7'!I50+'Pacific Quote #7'!I54</f>
        <v>0</v>
      </c>
      <c r="H40" s="469">
        <f>'Pacific Quote #7'!I60</f>
        <v>0</v>
      </c>
      <c r="I40" s="469"/>
      <c r="J40" s="844">
        <f t="shared" si="1"/>
        <v>0</v>
      </c>
      <c r="K40" s="812"/>
      <c r="L40" s="469"/>
      <c r="M40" s="327">
        <f t="shared" si="2"/>
        <v>0</v>
      </c>
      <c r="N40" s="812"/>
      <c r="O40" s="469"/>
      <c r="P40" s="327">
        <f t="shared" si="3"/>
        <v>0</v>
      </c>
      <c r="Q40" s="669"/>
      <c r="R40" s="670"/>
    </row>
    <row r="41" spans="1:34" hidden="1" outlineLevel="1">
      <c r="A41" s="613">
        <v>8</v>
      </c>
      <c r="B41" s="583" t="s">
        <v>586</v>
      </c>
      <c r="C41" s="582"/>
      <c r="D41" s="582"/>
      <c r="E41" s="396">
        <f>'Pacific Quote #8'!I49+'Pacific Quote #8'!I55+'Pacific Quote #8'!I56+'Pacific Quote #8'!I57</f>
        <v>0</v>
      </c>
      <c r="F41" s="396">
        <f>'Pacific Quote #8'!I51+'Pacific Quote #8'!I52+'Pacific Quote #8'!I53</f>
        <v>0</v>
      </c>
      <c r="G41" s="465">
        <f>'Pacific Quote #8'!I59+'Pacific Quote #8'!I50+'Pacific Quote #8'!I54</f>
        <v>0</v>
      </c>
      <c r="H41" s="469">
        <f>'Pacific Quote #8'!I60</f>
        <v>0</v>
      </c>
      <c r="I41" s="469"/>
      <c r="J41" s="844">
        <f t="shared" si="1"/>
        <v>0</v>
      </c>
      <c r="K41" s="812"/>
      <c r="L41" s="469"/>
      <c r="M41" s="327">
        <f t="shared" si="2"/>
        <v>0</v>
      </c>
      <c r="N41" s="812"/>
      <c r="O41" s="469"/>
      <c r="P41" s="327">
        <f t="shared" si="3"/>
        <v>0</v>
      </c>
      <c r="Q41" s="669"/>
      <c r="R41" s="670"/>
    </row>
    <row r="42" spans="1:34" hidden="1" outlineLevel="1">
      <c r="A42" s="613">
        <v>9</v>
      </c>
      <c r="B42" s="583" t="s">
        <v>589</v>
      </c>
      <c r="C42" s="582"/>
      <c r="D42" s="582"/>
      <c r="E42" s="396"/>
      <c r="F42" s="396"/>
      <c r="G42" s="465"/>
      <c r="H42" s="469">
        <f>'Pacific Quote #9'!I60</f>
        <v>0</v>
      </c>
      <c r="I42" s="469"/>
      <c r="J42" s="844">
        <f t="shared" si="1"/>
        <v>0</v>
      </c>
      <c r="K42" s="812"/>
      <c r="L42" s="469"/>
      <c r="M42" s="327">
        <f t="shared" si="2"/>
        <v>0</v>
      </c>
      <c r="N42" s="812"/>
      <c r="O42" s="469"/>
      <c r="P42" s="327">
        <f t="shared" si="3"/>
        <v>0</v>
      </c>
      <c r="Q42" s="669"/>
      <c r="R42" s="670"/>
    </row>
    <row r="43" spans="1:34" hidden="1" outlineLevel="1">
      <c r="A43" s="613">
        <v>10</v>
      </c>
      <c r="B43" s="583" t="s">
        <v>590</v>
      </c>
      <c r="C43" s="582"/>
      <c r="D43" s="582"/>
      <c r="E43" s="396"/>
      <c r="F43" s="396"/>
      <c r="G43" s="465"/>
      <c r="H43" s="469">
        <f>'Pacific Quote #10'!I60</f>
        <v>0</v>
      </c>
      <c r="I43" s="469"/>
      <c r="J43" s="844">
        <f t="shared" si="1"/>
        <v>0</v>
      </c>
      <c r="K43" s="812"/>
      <c r="L43" s="469"/>
      <c r="M43" s="327">
        <f t="shared" si="2"/>
        <v>0</v>
      </c>
      <c r="N43" s="812"/>
      <c r="O43" s="469"/>
      <c r="P43" s="327">
        <f t="shared" si="3"/>
        <v>0</v>
      </c>
      <c r="Q43" s="669"/>
      <c r="R43" s="670"/>
    </row>
    <row r="44" spans="1:34" ht="12" collapsed="1" thickBot="1">
      <c r="A44" s="607"/>
      <c r="B44" s="616"/>
      <c r="C44" s="608"/>
      <c r="D44" s="608"/>
      <c r="E44" s="3"/>
      <c r="F44" s="3"/>
      <c r="G44" s="477" t="s">
        <v>555</v>
      </c>
      <c r="H44" s="467">
        <f>SUM(H34:H43)</f>
        <v>0.29243599483666888</v>
      </c>
      <c r="I44" s="467"/>
      <c r="J44" s="847">
        <f>SUM(J34:J43)</f>
        <v>0.29243599483666888</v>
      </c>
      <c r="K44" s="814"/>
      <c r="L44" s="467"/>
      <c r="M44" s="467">
        <f>SUM(M34:M43)</f>
        <v>0.29243599483666888</v>
      </c>
      <c r="N44" s="814"/>
      <c r="O44" s="467"/>
      <c r="P44" s="467">
        <f>SUM(P34:P43)</f>
        <v>0.29243599483666888</v>
      </c>
      <c r="Q44" s="671"/>
      <c r="R44" s="672"/>
    </row>
    <row r="45" spans="1:34" ht="12" thickBot="1">
      <c r="A45" s="673" t="s">
        <v>575</v>
      </c>
      <c r="B45" s="583"/>
      <c r="C45" s="582"/>
      <c r="D45" s="582"/>
      <c r="E45" s="674"/>
      <c r="F45" s="674"/>
      <c r="G45" s="675"/>
      <c r="H45" s="475"/>
      <c r="I45" s="475"/>
      <c r="J45" s="848"/>
      <c r="K45" s="814"/>
      <c r="L45" s="475"/>
      <c r="M45" s="475"/>
      <c r="N45" s="814"/>
      <c r="O45" s="475"/>
      <c r="P45" s="475"/>
      <c r="Q45" s="669"/>
      <c r="R45" s="670"/>
    </row>
    <row r="46" spans="1:34">
      <c r="A46" s="614">
        <v>1</v>
      </c>
      <c r="B46" s="615"/>
      <c r="C46" s="612"/>
      <c r="D46" s="612"/>
      <c r="E46" s="662"/>
      <c r="F46" s="662"/>
      <c r="G46" s="663"/>
      <c r="H46" s="469">
        <f>SUM(E46:G46)</f>
        <v>0</v>
      </c>
      <c r="I46" s="469"/>
      <c r="J46" s="849">
        <f>$H46</f>
        <v>0</v>
      </c>
      <c r="K46" s="815"/>
      <c r="L46" s="469"/>
      <c r="M46" s="469">
        <f>$H46</f>
        <v>0</v>
      </c>
      <c r="N46" s="815"/>
      <c r="O46" s="469"/>
      <c r="P46" s="469">
        <f>$H46</f>
        <v>0</v>
      </c>
      <c r="Q46" s="669"/>
      <c r="R46" s="670"/>
    </row>
    <row r="47" spans="1:34">
      <c r="A47" s="613">
        <v>2</v>
      </c>
      <c r="B47" s="583"/>
      <c r="C47" s="582"/>
      <c r="D47" s="582"/>
      <c r="E47" s="664"/>
      <c r="F47" s="664"/>
      <c r="G47" s="665"/>
      <c r="H47" s="469">
        <f t="shared" ref="H47:H55" si="4">SUM(E47:G47)</f>
        <v>0</v>
      </c>
      <c r="I47" s="469"/>
      <c r="J47" s="849">
        <f>$H47</f>
        <v>0</v>
      </c>
      <c r="K47" s="815"/>
      <c r="L47" s="469"/>
      <c r="M47" s="469">
        <f>$H47</f>
        <v>0</v>
      </c>
      <c r="N47" s="815"/>
      <c r="O47" s="469"/>
      <c r="P47" s="469">
        <f>$H47</f>
        <v>0</v>
      </c>
      <c r="Q47" s="669"/>
      <c r="R47" s="670"/>
    </row>
    <row r="48" spans="1:34">
      <c r="A48" s="613">
        <v>3</v>
      </c>
      <c r="B48" s="583"/>
      <c r="C48" s="582"/>
      <c r="D48" s="582"/>
      <c r="E48" s="664"/>
      <c r="F48" s="664"/>
      <c r="G48" s="665"/>
      <c r="H48" s="469">
        <f t="shared" si="4"/>
        <v>0</v>
      </c>
      <c r="I48" s="469"/>
      <c r="J48" s="849">
        <f>$H48</f>
        <v>0</v>
      </c>
      <c r="K48" s="815"/>
      <c r="L48" s="469"/>
      <c r="M48" s="469">
        <f>$H48</f>
        <v>0</v>
      </c>
      <c r="N48" s="815"/>
      <c r="O48" s="469"/>
      <c r="P48" s="469">
        <f>$H48</f>
        <v>0</v>
      </c>
      <c r="Q48" s="669"/>
      <c r="R48" s="670"/>
    </row>
    <row r="49" spans="1:18">
      <c r="A49" s="613">
        <v>4</v>
      </c>
      <c r="B49" s="583"/>
      <c r="C49" s="582"/>
      <c r="D49" s="582"/>
      <c r="E49" s="666"/>
      <c r="F49" s="666"/>
      <c r="G49" s="665"/>
      <c r="H49" s="469">
        <f t="shared" si="4"/>
        <v>0</v>
      </c>
      <c r="I49" s="469"/>
      <c r="J49" s="849">
        <f>$H49</f>
        <v>0</v>
      </c>
      <c r="K49" s="815"/>
      <c r="L49" s="469"/>
      <c r="M49" s="469">
        <f>$H49</f>
        <v>0</v>
      </c>
      <c r="N49" s="815"/>
      <c r="O49" s="469"/>
      <c r="P49" s="469">
        <f>$H49</f>
        <v>0</v>
      </c>
      <c r="Q49" s="669"/>
      <c r="R49" s="670"/>
    </row>
    <row r="50" spans="1:18">
      <c r="A50" s="613">
        <v>5</v>
      </c>
      <c r="B50" s="583"/>
      <c r="C50" s="582"/>
      <c r="D50" s="582"/>
      <c r="E50" s="666"/>
      <c r="F50" s="666"/>
      <c r="G50" s="665"/>
      <c r="H50" s="469">
        <f t="shared" si="4"/>
        <v>0</v>
      </c>
      <c r="I50" s="469"/>
      <c r="J50" s="849">
        <f>$H50</f>
        <v>0</v>
      </c>
      <c r="K50" s="815"/>
      <c r="L50" s="469"/>
      <c r="M50" s="469">
        <f>$H50</f>
        <v>0</v>
      </c>
      <c r="N50" s="815"/>
      <c r="O50" s="469"/>
      <c r="P50" s="469">
        <f>$H50</f>
        <v>0</v>
      </c>
      <c r="Q50" s="669"/>
      <c r="R50" s="670"/>
    </row>
    <row r="51" spans="1:18" hidden="1" outlineLevel="1">
      <c r="A51" s="613">
        <v>6</v>
      </c>
      <c r="B51" s="583"/>
      <c r="C51" s="582"/>
      <c r="D51" s="582"/>
      <c r="E51" s="666"/>
      <c r="F51" s="666"/>
      <c r="G51" s="665"/>
      <c r="H51" s="469">
        <f t="shared" si="4"/>
        <v>0</v>
      </c>
      <c r="I51" s="469"/>
      <c r="J51" s="849"/>
      <c r="K51" s="815"/>
      <c r="L51" s="469"/>
      <c r="M51" s="469"/>
      <c r="N51" s="815"/>
      <c r="O51" s="469"/>
      <c r="P51" s="469"/>
      <c r="Q51" s="669"/>
      <c r="R51" s="670"/>
    </row>
    <row r="52" spans="1:18" hidden="1" outlineLevel="1">
      <c r="A52" s="613">
        <v>7</v>
      </c>
      <c r="B52" s="583"/>
      <c r="C52" s="582"/>
      <c r="D52" s="582"/>
      <c r="E52" s="666"/>
      <c r="F52" s="666"/>
      <c r="G52" s="665"/>
      <c r="H52" s="469">
        <f t="shared" si="4"/>
        <v>0</v>
      </c>
      <c r="I52" s="469"/>
      <c r="J52" s="849"/>
      <c r="K52" s="815"/>
      <c r="L52" s="469"/>
      <c r="M52" s="469"/>
      <c r="N52" s="815"/>
      <c r="O52" s="469"/>
      <c r="P52" s="469"/>
      <c r="Q52" s="669"/>
      <c r="R52" s="670"/>
    </row>
    <row r="53" spans="1:18" hidden="1" outlineLevel="1">
      <c r="A53" s="613">
        <v>8</v>
      </c>
      <c r="B53" s="583"/>
      <c r="C53" s="582"/>
      <c r="D53" s="582"/>
      <c r="E53" s="666"/>
      <c r="F53" s="666"/>
      <c r="G53" s="665"/>
      <c r="H53" s="469">
        <f t="shared" si="4"/>
        <v>0</v>
      </c>
      <c r="I53" s="469"/>
      <c r="J53" s="849"/>
      <c r="K53" s="815"/>
      <c r="L53" s="469"/>
      <c r="M53" s="469"/>
      <c r="N53" s="815"/>
      <c r="O53" s="469"/>
      <c r="P53" s="469"/>
      <c r="Q53" s="669"/>
      <c r="R53" s="670"/>
    </row>
    <row r="54" spans="1:18" hidden="1" outlineLevel="1">
      <c r="A54" s="613">
        <v>9</v>
      </c>
      <c r="B54" s="583"/>
      <c r="C54" s="582"/>
      <c r="D54" s="582"/>
      <c r="E54" s="666"/>
      <c r="F54" s="666"/>
      <c r="G54" s="665"/>
      <c r="H54" s="469">
        <f t="shared" si="4"/>
        <v>0</v>
      </c>
      <c r="I54" s="469"/>
      <c r="J54" s="849"/>
      <c r="K54" s="815"/>
      <c r="L54" s="469"/>
      <c r="M54" s="469"/>
      <c r="N54" s="815"/>
      <c r="O54" s="469"/>
      <c r="P54" s="469"/>
      <c r="Q54" s="669"/>
      <c r="R54" s="670"/>
    </row>
    <row r="55" spans="1:18" hidden="1" outlineLevel="1">
      <c r="A55" s="613">
        <v>10</v>
      </c>
      <c r="B55" s="583"/>
      <c r="C55" s="582"/>
      <c r="D55" s="582"/>
      <c r="E55" s="666"/>
      <c r="F55" s="666"/>
      <c r="G55" s="665"/>
      <c r="H55" s="469">
        <f t="shared" si="4"/>
        <v>0</v>
      </c>
      <c r="I55" s="469"/>
      <c r="J55" s="849"/>
      <c r="K55" s="815"/>
      <c r="L55" s="469"/>
      <c r="M55" s="469"/>
      <c r="N55" s="815"/>
      <c r="O55" s="469"/>
      <c r="P55" s="469"/>
      <c r="Q55" s="669"/>
      <c r="R55" s="670"/>
    </row>
    <row r="56" spans="1:18" ht="12" collapsed="1" thickBot="1">
      <c r="A56" s="607"/>
      <c r="B56" s="616"/>
      <c r="C56" s="608"/>
      <c r="D56" s="608"/>
      <c r="E56" s="608"/>
      <c r="F56" s="608"/>
      <c r="G56" s="676" t="s">
        <v>554</v>
      </c>
      <c r="H56" s="466">
        <f>SUM(H46:H55)</f>
        <v>0</v>
      </c>
      <c r="I56" s="466"/>
      <c r="J56" s="850">
        <f>SUM(J46:J55)</f>
        <v>0</v>
      </c>
      <c r="K56" s="814"/>
      <c r="L56" s="466"/>
      <c r="M56" s="466">
        <f>SUM(M46:M55)</f>
        <v>0</v>
      </c>
      <c r="N56" s="814"/>
      <c r="O56" s="466"/>
      <c r="P56" s="466">
        <f>SUM(P46:P55)</f>
        <v>0</v>
      </c>
      <c r="Q56" s="669"/>
      <c r="R56" s="670"/>
    </row>
    <row r="57" spans="1:18">
      <c r="A57" s="580" t="s">
        <v>663</v>
      </c>
      <c r="B57" s="581"/>
      <c r="C57" s="581"/>
      <c r="D57" s="581"/>
      <c r="E57" s="581"/>
      <c r="F57" s="582"/>
      <c r="G57" s="582"/>
      <c r="H57" s="325"/>
      <c r="I57" s="325"/>
      <c r="J57" s="851"/>
      <c r="K57" s="816"/>
      <c r="L57" s="325"/>
      <c r="M57" s="325"/>
      <c r="N57" s="816"/>
      <c r="O57" s="325"/>
      <c r="P57" s="325"/>
      <c r="Q57" s="669"/>
      <c r="R57" s="670"/>
    </row>
    <row r="58" spans="1:18" ht="15" customHeight="1" thickBot="1">
      <c r="A58" s="656"/>
      <c r="B58" s="572"/>
      <c r="C58" s="582"/>
      <c r="D58" s="572"/>
      <c r="E58" s="584"/>
      <c r="F58" s="585" t="s">
        <v>664</v>
      </c>
      <c r="G58" s="586" t="s">
        <v>17</v>
      </c>
      <c r="H58" s="476"/>
      <c r="I58" s="476"/>
      <c r="J58" s="852"/>
      <c r="K58" s="816"/>
      <c r="L58" s="476"/>
      <c r="M58" s="476"/>
      <c r="N58" s="816"/>
      <c r="O58" s="476"/>
      <c r="P58" s="476"/>
      <c r="Q58" s="671"/>
      <c r="R58" s="672"/>
    </row>
    <row r="59" spans="1:18">
      <c r="A59" s="613">
        <v>1</v>
      </c>
      <c r="B59" s="587"/>
      <c r="C59" s="588"/>
      <c r="D59" s="588"/>
      <c r="E59" s="589"/>
      <c r="F59" s="590"/>
      <c r="G59" s="591"/>
      <c r="H59" s="718">
        <f t="shared" ref="H59:H64" si="5">G59*F59</f>
        <v>0</v>
      </c>
      <c r="I59" s="718"/>
      <c r="J59" s="849">
        <f t="shared" ref="J59:J64" si="6">$H59</f>
        <v>0</v>
      </c>
      <c r="K59" s="815"/>
      <c r="L59" s="469"/>
      <c r="M59" s="469">
        <f t="shared" ref="M59:M64" si="7">$H59</f>
        <v>0</v>
      </c>
      <c r="N59" s="815"/>
      <c r="O59" s="469"/>
      <c r="P59" s="469">
        <f t="shared" ref="P59:P64" si="8">$H59</f>
        <v>0</v>
      </c>
      <c r="Q59" s="838"/>
      <c r="R59" s="715"/>
    </row>
    <row r="60" spans="1:18">
      <c r="A60" s="613">
        <v>2</v>
      </c>
      <c r="B60" s="592"/>
      <c r="C60" s="593"/>
      <c r="D60" s="593"/>
      <c r="E60" s="594"/>
      <c r="F60" s="595"/>
      <c r="G60" s="596"/>
      <c r="H60" s="474">
        <f t="shared" si="5"/>
        <v>0</v>
      </c>
      <c r="I60" s="474"/>
      <c r="J60" s="849">
        <f t="shared" si="6"/>
        <v>0</v>
      </c>
      <c r="K60" s="815"/>
      <c r="L60" s="469"/>
      <c r="M60" s="469">
        <f t="shared" si="7"/>
        <v>0</v>
      </c>
      <c r="N60" s="815"/>
      <c r="O60" s="469"/>
      <c r="P60" s="469">
        <f t="shared" si="8"/>
        <v>0</v>
      </c>
      <c r="Q60" s="669"/>
      <c r="R60" s="670"/>
    </row>
    <row r="61" spans="1:18" ht="12" thickBot="1">
      <c r="A61" s="613">
        <v>3</v>
      </c>
      <c r="B61" s="597"/>
      <c r="C61" s="598"/>
      <c r="D61" s="598"/>
      <c r="E61" s="599"/>
      <c r="F61" s="600"/>
      <c r="G61" s="601"/>
      <c r="H61" s="719">
        <f t="shared" si="5"/>
        <v>0</v>
      </c>
      <c r="I61" s="719"/>
      <c r="J61" s="849">
        <f t="shared" si="6"/>
        <v>0</v>
      </c>
      <c r="K61" s="815"/>
      <c r="L61" s="469"/>
      <c r="M61" s="469">
        <f t="shared" si="7"/>
        <v>0</v>
      </c>
      <c r="N61" s="815"/>
      <c r="O61" s="469"/>
      <c r="P61" s="469">
        <f t="shared" si="8"/>
        <v>0</v>
      </c>
      <c r="Q61" s="669"/>
      <c r="R61" s="670"/>
    </row>
    <row r="62" spans="1:18">
      <c r="A62" s="613">
        <v>4</v>
      </c>
      <c r="B62" s="592"/>
      <c r="C62" s="593"/>
      <c r="D62" s="593"/>
      <c r="E62" s="594"/>
      <c r="F62" s="595"/>
      <c r="G62" s="596"/>
      <c r="H62" s="718">
        <f t="shared" si="5"/>
        <v>0</v>
      </c>
      <c r="I62" s="718"/>
      <c r="J62" s="849">
        <f t="shared" si="6"/>
        <v>0</v>
      </c>
      <c r="K62" s="815"/>
      <c r="L62" s="469"/>
      <c r="M62" s="469">
        <f t="shared" si="7"/>
        <v>0</v>
      </c>
      <c r="N62" s="815"/>
      <c r="O62" s="469"/>
      <c r="P62" s="469">
        <f t="shared" si="8"/>
        <v>0</v>
      </c>
      <c r="Q62" s="669"/>
      <c r="R62" s="670"/>
    </row>
    <row r="63" spans="1:18">
      <c r="A63" s="613">
        <v>5</v>
      </c>
      <c r="B63" s="592"/>
      <c r="C63" s="593"/>
      <c r="D63" s="593"/>
      <c r="E63" s="594"/>
      <c r="F63" s="595"/>
      <c r="G63" s="596"/>
      <c r="H63" s="474">
        <f t="shared" si="5"/>
        <v>0</v>
      </c>
      <c r="I63" s="474"/>
      <c r="J63" s="849">
        <f t="shared" si="6"/>
        <v>0</v>
      </c>
      <c r="K63" s="815"/>
      <c r="L63" s="469"/>
      <c r="M63" s="469">
        <f t="shared" si="7"/>
        <v>0</v>
      </c>
      <c r="N63" s="815"/>
      <c r="O63" s="469"/>
      <c r="P63" s="469">
        <f t="shared" si="8"/>
        <v>0</v>
      </c>
      <c r="Q63" s="669"/>
      <c r="R63" s="670"/>
    </row>
    <row r="64" spans="1:18" ht="12" thickBot="1">
      <c r="A64" s="613">
        <v>6</v>
      </c>
      <c r="B64" s="602"/>
      <c r="C64" s="603"/>
      <c r="D64" s="603"/>
      <c r="E64" s="604"/>
      <c r="F64" s="605"/>
      <c r="G64" s="606"/>
      <c r="H64" s="719">
        <f t="shared" si="5"/>
        <v>0</v>
      </c>
      <c r="I64" s="719"/>
      <c r="J64" s="849">
        <f t="shared" si="6"/>
        <v>0</v>
      </c>
      <c r="K64" s="815"/>
      <c r="L64" s="469"/>
      <c r="M64" s="469">
        <f t="shared" si="7"/>
        <v>0</v>
      </c>
      <c r="N64" s="815"/>
      <c r="O64" s="469"/>
      <c r="P64" s="469">
        <f t="shared" si="8"/>
        <v>0</v>
      </c>
      <c r="Q64" s="669"/>
      <c r="R64" s="670"/>
    </row>
    <row r="65" spans="1:31" ht="12" thickBot="1">
      <c r="A65" s="607"/>
      <c r="B65" s="573"/>
      <c r="C65" s="573"/>
      <c r="D65" s="573"/>
      <c r="E65" s="608"/>
      <c r="F65" s="573"/>
      <c r="G65" s="579" t="s">
        <v>553</v>
      </c>
      <c r="H65" s="720">
        <f>SUM(H59:H64)</f>
        <v>0</v>
      </c>
      <c r="I65" s="720"/>
      <c r="J65" s="853">
        <f>SUM(J59:J64)</f>
        <v>0</v>
      </c>
      <c r="K65" s="817"/>
      <c r="L65" s="720"/>
      <c r="M65" s="826">
        <f>SUM(M59:M64)</f>
        <v>0</v>
      </c>
      <c r="N65" s="817"/>
      <c r="O65" s="720"/>
      <c r="P65" s="826">
        <f>SUM(P59:P64)</f>
        <v>0</v>
      </c>
      <c r="Q65" s="671"/>
      <c r="R65" s="672"/>
    </row>
    <row r="66" spans="1:31">
      <c r="A66" s="609" t="s">
        <v>557</v>
      </c>
      <c r="B66" s="575"/>
      <c r="C66" s="610"/>
      <c r="D66" s="611"/>
      <c r="E66" s="612"/>
      <c r="F66" s="575"/>
      <c r="G66" s="575"/>
      <c r="H66" s="325"/>
      <c r="I66" s="325"/>
      <c r="J66" s="851"/>
      <c r="K66" s="816"/>
      <c r="L66" s="325"/>
      <c r="M66" s="325"/>
      <c r="N66" s="816"/>
      <c r="O66" s="325"/>
      <c r="P66" s="325"/>
      <c r="Q66" s="838"/>
      <c r="R66" s="715"/>
    </row>
    <row r="67" spans="1:31">
      <c r="A67" s="613"/>
      <c r="B67" s="583" t="s">
        <v>6</v>
      </c>
      <c r="C67" s="572"/>
      <c r="D67" s="572"/>
      <c r="E67" s="586" t="s">
        <v>360</v>
      </c>
      <c r="F67" s="586" t="s">
        <v>9</v>
      </c>
      <c r="G67" s="583" t="s">
        <v>361</v>
      </c>
      <c r="H67" s="327"/>
      <c r="I67" s="327"/>
      <c r="J67" s="844"/>
      <c r="K67" s="812"/>
      <c r="L67" s="327"/>
      <c r="M67" s="327"/>
      <c r="N67" s="812"/>
      <c r="O67" s="327"/>
      <c r="P67" s="327"/>
      <c r="Q67" s="839"/>
      <c r="R67" s="716"/>
    </row>
    <row r="68" spans="1:31" ht="16.350000000000001" customHeight="1">
      <c r="A68" s="617">
        <v>1</v>
      </c>
      <c r="B68" s="569"/>
      <c r="C68" s="569"/>
      <c r="D68" s="569"/>
      <c r="E68" s="690"/>
      <c r="F68" s="566"/>
      <c r="G68" s="392">
        <f>IF(ISERROR(HLOOKUP(E68,'Standard Rates'!$B$12:$K$21,10,FALSE)),,HLOOKUP(E68,'Standard Rates'!$B$12:$K$21,10,FALSE))</f>
        <v>0</v>
      </c>
      <c r="H68" s="389">
        <f>+(G68/60/60)*F68</f>
        <v>0</v>
      </c>
      <c r="I68" s="389"/>
      <c r="J68" s="849">
        <f t="shared" ref="J68:J79" si="9">$H68</f>
        <v>0</v>
      </c>
      <c r="K68" s="815"/>
      <c r="L68" s="469"/>
      <c r="M68" s="469">
        <f t="shared" ref="M68:M79" si="10">$H68</f>
        <v>0</v>
      </c>
      <c r="N68" s="815"/>
      <c r="O68" s="469"/>
      <c r="P68" s="469">
        <f t="shared" ref="P68:P79" si="11">$H68</f>
        <v>0</v>
      </c>
      <c r="Q68" s="840"/>
      <c r="R68" s="717"/>
    </row>
    <row r="69" spans="1:31" ht="16.350000000000001" customHeight="1">
      <c r="A69" s="613">
        <v>2</v>
      </c>
      <c r="B69" s="570"/>
      <c r="C69" s="570"/>
      <c r="D69" s="570"/>
      <c r="E69" s="690"/>
      <c r="F69" s="567"/>
      <c r="G69" s="393">
        <f>IF(ISERROR(HLOOKUP(E69,'Standard Rates'!$B$12:$K$21,10,FALSE)),,HLOOKUP(E69,'Standard Rates'!$B$12:$K$21,10,FALSE))</f>
        <v>0</v>
      </c>
      <c r="H69" s="390">
        <f t="shared" ref="H69:H79" si="12">+(G69/60/60)*F69</f>
        <v>0</v>
      </c>
      <c r="I69" s="390"/>
      <c r="J69" s="849">
        <f t="shared" si="9"/>
        <v>0</v>
      </c>
      <c r="K69" s="815"/>
      <c r="L69" s="469"/>
      <c r="M69" s="469">
        <f t="shared" si="10"/>
        <v>0</v>
      </c>
      <c r="N69" s="815"/>
      <c r="O69" s="469"/>
      <c r="P69" s="469">
        <f t="shared" si="11"/>
        <v>0</v>
      </c>
      <c r="Q69" s="669"/>
      <c r="R69" s="670"/>
    </row>
    <row r="70" spans="1:31" ht="16.350000000000001" customHeight="1">
      <c r="A70" s="677">
        <v>3</v>
      </c>
      <c r="B70" s="571"/>
      <c r="C70" s="571"/>
      <c r="D70" s="571"/>
      <c r="E70" s="690"/>
      <c r="F70" s="568"/>
      <c r="G70" s="393">
        <f>IF(ISERROR(HLOOKUP(E70,'Standard Rates'!$B$12:$K$21,10,FALSE)),,HLOOKUP(E70,'Standard Rates'!$B$12:$K$21,10,FALSE))</f>
        <v>0</v>
      </c>
      <c r="H70" s="391">
        <f t="shared" si="12"/>
        <v>0</v>
      </c>
      <c r="I70" s="391"/>
      <c r="J70" s="849">
        <f t="shared" si="9"/>
        <v>0</v>
      </c>
      <c r="K70" s="815"/>
      <c r="L70" s="469"/>
      <c r="M70" s="469">
        <f t="shared" si="10"/>
        <v>0</v>
      </c>
      <c r="N70" s="815"/>
      <c r="O70" s="469"/>
      <c r="P70" s="469">
        <f t="shared" si="11"/>
        <v>0</v>
      </c>
      <c r="Q70" s="839"/>
      <c r="R70" s="716"/>
    </row>
    <row r="71" spans="1:31" ht="16.350000000000001" customHeight="1">
      <c r="A71" s="617">
        <v>4</v>
      </c>
      <c r="B71" s="569"/>
      <c r="C71" s="569"/>
      <c r="D71" s="569"/>
      <c r="E71" s="690"/>
      <c r="F71" s="566"/>
      <c r="G71" s="392">
        <f>IF(ISERROR(HLOOKUP(E71,'Standard Rates'!$B$12:$K$21,10,FALSE)),,HLOOKUP(E71,'Standard Rates'!$B$12:$K$21,10,FALSE))</f>
        <v>0</v>
      </c>
      <c r="H71" s="389">
        <f t="shared" si="12"/>
        <v>0</v>
      </c>
      <c r="I71" s="389"/>
      <c r="J71" s="849">
        <f t="shared" si="9"/>
        <v>0</v>
      </c>
      <c r="K71" s="815"/>
      <c r="L71" s="469"/>
      <c r="M71" s="469">
        <f t="shared" si="10"/>
        <v>0</v>
      </c>
      <c r="N71" s="815"/>
      <c r="O71" s="469"/>
      <c r="P71" s="469">
        <f t="shared" si="11"/>
        <v>0</v>
      </c>
      <c r="Q71" s="840"/>
      <c r="R71" s="717"/>
    </row>
    <row r="72" spans="1:31" ht="16.350000000000001" customHeight="1">
      <c r="A72" s="613">
        <v>5</v>
      </c>
      <c r="B72" s="570"/>
      <c r="C72" s="570"/>
      <c r="D72" s="570"/>
      <c r="E72" s="690"/>
      <c r="F72" s="567"/>
      <c r="G72" s="393">
        <f>IF(ISERROR(HLOOKUP(E72,'Standard Rates'!$B$12:$K$21,10,FALSE)),,HLOOKUP(E72,'Standard Rates'!$B$12:$K$21,10,FALSE))</f>
        <v>0</v>
      </c>
      <c r="H72" s="390">
        <f t="shared" si="12"/>
        <v>0</v>
      </c>
      <c r="I72" s="390"/>
      <c r="J72" s="849">
        <f t="shared" si="9"/>
        <v>0</v>
      </c>
      <c r="K72" s="815"/>
      <c r="L72" s="469"/>
      <c r="M72" s="469">
        <f t="shared" si="10"/>
        <v>0</v>
      </c>
      <c r="N72" s="815"/>
      <c r="O72" s="469"/>
      <c r="P72" s="469">
        <f t="shared" si="11"/>
        <v>0</v>
      </c>
      <c r="Q72" s="669"/>
      <c r="R72" s="670"/>
      <c r="AE72" s="2" t="str">
        <f>'Standard Rates'!F$12</f>
        <v>Machine Shop</v>
      </c>
    </row>
    <row r="73" spans="1:31" ht="16.350000000000001" customHeight="1">
      <c r="A73" s="677">
        <v>6</v>
      </c>
      <c r="B73" s="571"/>
      <c r="C73" s="571"/>
      <c r="D73" s="571"/>
      <c r="E73" s="690"/>
      <c r="F73" s="568"/>
      <c r="G73" s="393">
        <f>IF(ISERROR(HLOOKUP(E73,'Standard Rates'!$B$12:$K$21,10,FALSE)),,HLOOKUP(E73,'Standard Rates'!$B$12:$K$21,10,FALSE))</f>
        <v>0</v>
      </c>
      <c r="H73" s="391">
        <f t="shared" si="12"/>
        <v>0</v>
      </c>
      <c r="I73" s="391"/>
      <c r="J73" s="849">
        <f t="shared" si="9"/>
        <v>0</v>
      </c>
      <c r="K73" s="815"/>
      <c r="L73" s="469"/>
      <c r="M73" s="469">
        <f t="shared" si="10"/>
        <v>0</v>
      </c>
      <c r="N73" s="815"/>
      <c r="O73" s="469"/>
      <c r="P73" s="469">
        <f t="shared" si="11"/>
        <v>0</v>
      </c>
      <c r="Q73" s="839"/>
      <c r="R73" s="716"/>
      <c r="AE73" s="2" t="str">
        <f>'Standard Rates'!G$12</f>
        <v>Clean Room</v>
      </c>
    </row>
    <row r="74" spans="1:31" ht="16.350000000000001" customHeight="1">
      <c r="A74" s="617">
        <v>7</v>
      </c>
      <c r="B74" s="569"/>
      <c r="C74" s="569"/>
      <c r="D74" s="569"/>
      <c r="E74" s="690"/>
      <c r="F74" s="566"/>
      <c r="G74" s="392">
        <f>IF(ISERROR(HLOOKUP(E74,'Standard Rates'!$B$12:$K$21,10,FALSE)),,HLOOKUP(E74,'Standard Rates'!$B$12:$K$21,10,FALSE))</f>
        <v>0</v>
      </c>
      <c r="H74" s="389">
        <f t="shared" si="12"/>
        <v>0</v>
      </c>
      <c r="I74" s="389"/>
      <c r="J74" s="849">
        <f t="shared" si="9"/>
        <v>0</v>
      </c>
      <c r="K74" s="815"/>
      <c r="L74" s="469"/>
      <c r="M74" s="469">
        <f t="shared" si="10"/>
        <v>0</v>
      </c>
      <c r="N74" s="815"/>
      <c r="O74" s="469"/>
      <c r="P74" s="469">
        <f t="shared" si="11"/>
        <v>0</v>
      </c>
      <c r="Q74" s="840"/>
      <c r="R74" s="717"/>
      <c r="AE74" s="2" t="str">
        <f>'Standard Rates'!H$12</f>
        <v>Assembly</v>
      </c>
    </row>
    <row r="75" spans="1:31" ht="16.350000000000001" customHeight="1">
      <c r="A75" s="613">
        <v>8</v>
      </c>
      <c r="B75" s="570"/>
      <c r="C75" s="570"/>
      <c r="D75" s="570"/>
      <c r="E75" s="690"/>
      <c r="F75" s="567"/>
      <c r="G75" s="393">
        <f>IF(ISERROR(HLOOKUP(E75,'Standard Rates'!$B$12:$K$21,10,FALSE)),,HLOOKUP(E75,'Standard Rates'!$B$12:$K$21,10,FALSE))</f>
        <v>0</v>
      </c>
      <c r="H75" s="390">
        <f t="shared" si="12"/>
        <v>0</v>
      </c>
      <c r="I75" s="390"/>
      <c r="J75" s="849">
        <f t="shared" si="9"/>
        <v>0</v>
      </c>
      <c r="K75" s="815"/>
      <c r="L75" s="469"/>
      <c r="M75" s="469">
        <f t="shared" si="10"/>
        <v>0</v>
      </c>
      <c r="N75" s="815"/>
      <c r="O75" s="469"/>
      <c r="P75" s="469">
        <f t="shared" si="11"/>
        <v>0</v>
      </c>
      <c r="Q75" s="669"/>
      <c r="R75" s="670"/>
      <c r="AE75" s="2" t="str">
        <f>'Standard Rates'!I$12</f>
        <v>Nozzles</v>
      </c>
    </row>
    <row r="76" spans="1:31" ht="16.350000000000001" customHeight="1">
      <c r="A76" s="677">
        <v>9</v>
      </c>
      <c r="B76" s="571"/>
      <c r="C76" s="571"/>
      <c r="D76" s="571"/>
      <c r="E76" s="690"/>
      <c r="F76" s="568"/>
      <c r="G76" s="393">
        <f>IF(ISERROR(HLOOKUP(E76,'Standard Rates'!$B$12:$K$21,10,FALSE)),,HLOOKUP(E76,'Standard Rates'!$B$12:$K$21,10,FALSE))</f>
        <v>0</v>
      </c>
      <c r="H76" s="391">
        <f t="shared" si="12"/>
        <v>0</v>
      </c>
      <c r="I76" s="391"/>
      <c r="J76" s="849">
        <f t="shared" si="9"/>
        <v>0</v>
      </c>
      <c r="K76" s="815"/>
      <c r="L76" s="469"/>
      <c r="M76" s="469">
        <f t="shared" si="10"/>
        <v>0</v>
      </c>
      <c r="N76" s="815"/>
      <c r="O76" s="469"/>
      <c r="P76" s="469">
        <f t="shared" si="11"/>
        <v>0</v>
      </c>
      <c r="Q76" s="839"/>
      <c r="R76" s="716"/>
      <c r="AE76" s="2" t="str">
        <f>'Standard Rates'!J$12</f>
        <v>Float Valves</v>
      </c>
    </row>
    <row r="77" spans="1:31" ht="16.350000000000001" customHeight="1">
      <c r="A77" s="617">
        <v>10</v>
      </c>
      <c r="B77" s="569"/>
      <c r="C77" s="569"/>
      <c r="D77" s="569"/>
      <c r="E77" s="690"/>
      <c r="F77" s="566"/>
      <c r="G77" s="392">
        <f>IF(ISERROR(HLOOKUP(E77,'Standard Rates'!$B$12:$K$21,10,FALSE)),,HLOOKUP(E77,'Standard Rates'!$B$12:$K$21,10,FALSE))</f>
        <v>0</v>
      </c>
      <c r="H77" s="389">
        <f t="shared" si="12"/>
        <v>0</v>
      </c>
      <c r="I77" s="389"/>
      <c r="J77" s="849">
        <f t="shared" si="9"/>
        <v>0</v>
      </c>
      <c r="K77" s="815"/>
      <c r="L77" s="469"/>
      <c r="M77" s="469">
        <f t="shared" si="10"/>
        <v>0</v>
      </c>
      <c r="N77" s="815"/>
      <c r="O77" s="469"/>
      <c r="P77" s="469">
        <f t="shared" si="11"/>
        <v>0</v>
      </c>
      <c r="Q77" s="840"/>
      <c r="R77" s="717"/>
      <c r="AE77" s="2" t="str">
        <f>'Standard Rates'!K$12</f>
        <v>Safety Valves</v>
      </c>
    </row>
    <row r="78" spans="1:31" ht="16.350000000000001" customHeight="1">
      <c r="A78" s="613">
        <v>11</v>
      </c>
      <c r="B78" s="570"/>
      <c r="C78" s="570"/>
      <c r="D78" s="570"/>
      <c r="E78" s="690"/>
      <c r="F78" s="567"/>
      <c r="G78" s="393">
        <f>IF(ISERROR(HLOOKUP(E78,'Standard Rates'!$B$12:$K$21,10,FALSE)),,HLOOKUP(E78,'Standard Rates'!$B$12:$K$21,10,FALSE))</f>
        <v>0</v>
      </c>
      <c r="H78" s="390">
        <f t="shared" si="12"/>
        <v>0</v>
      </c>
      <c r="I78" s="390"/>
      <c r="J78" s="849">
        <f t="shared" si="9"/>
        <v>0</v>
      </c>
      <c r="K78" s="815"/>
      <c r="L78" s="469"/>
      <c r="M78" s="469">
        <f t="shared" si="10"/>
        <v>0</v>
      </c>
      <c r="N78" s="815"/>
      <c r="O78" s="469"/>
      <c r="P78" s="469">
        <f t="shared" si="11"/>
        <v>0</v>
      </c>
      <c r="Q78" s="669"/>
      <c r="R78" s="670"/>
    </row>
    <row r="79" spans="1:31" ht="16.350000000000001" customHeight="1">
      <c r="A79" s="677">
        <v>12</v>
      </c>
      <c r="B79" s="571"/>
      <c r="C79" s="571"/>
      <c r="D79" s="571"/>
      <c r="E79" s="690"/>
      <c r="F79" s="568"/>
      <c r="G79" s="394">
        <f>IF(ISERROR(HLOOKUP(E79,'Standard Rates'!$B$12:$K$21,10,FALSE)),,HLOOKUP(E79,'Standard Rates'!$B$12:$K$21,10,FALSE))</f>
        <v>0</v>
      </c>
      <c r="H79" s="555">
        <f t="shared" si="12"/>
        <v>0</v>
      </c>
      <c r="I79" s="555"/>
      <c r="J79" s="849">
        <f t="shared" si="9"/>
        <v>0</v>
      </c>
      <c r="K79" s="815"/>
      <c r="L79" s="469"/>
      <c r="M79" s="469">
        <f t="shared" si="10"/>
        <v>0</v>
      </c>
      <c r="N79" s="815"/>
      <c r="O79" s="469"/>
      <c r="P79" s="469">
        <f t="shared" si="11"/>
        <v>0</v>
      </c>
      <c r="Q79" s="669"/>
      <c r="R79" s="670"/>
    </row>
    <row r="80" spans="1:31">
      <c r="A80" s="613"/>
      <c r="B80" s="572"/>
      <c r="C80" s="572"/>
      <c r="D80" s="572"/>
      <c r="E80" s="582"/>
      <c r="F80" s="582"/>
      <c r="G80" s="557" t="s">
        <v>552</v>
      </c>
      <c r="H80" s="464">
        <f>SUM(H68:H79)</f>
        <v>0</v>
      </c>
      <c r="I80" s="464"/>
      <c r="J80" s="854">
        <f>SUM(J68:J79)</f>
        <v>0</v>
      </c>
      <c r="K80" s="811"/>
      <c r="L80" s="827"/>
      <c r="M80" s="464">
        <f>SUM(M68:M79)</f>
        <v>0</v>
      </c>
      <c r="N80" s="811"/>
      <c r="O80" s="827"/>
      <c r="P80" s="464">
        <f>SUM(P68:P79)</f>
        <v>0</v>
      </c>
      <c r="Q80" s="669"/>
      <c r="R80" s="670"/>
    </row>
    <row r="81" spans="1:18" ht="12" thickBot="1">
      <c r="A81" s="607"/>
      <c r="B81" s="573"/>
      <c r="C81" s="573"/>
      <c r="D81" s="573"/>
      <c r="E81" s="573"/>
      <c r="F81" s="579" t="s">
        <v>381</v>
      </c>
      <c r="G81" s="558">
        <f>'Standard Rates'!G52</f>
        <v>0.73202552134845145</v>
      </c>
      <c r="H81" s="556">
        <f>($G$81*H80)</f>
        <v>0</v>
      </c>
      <c r="I81" s="556"/>
      <c r="J81" s="855">
        <f>($G$81*J80)</f>
        <v>0</v>
      </c>
      <c r="K81" s="818"/>
      <c r="L81" s="360"/>
      <c r="M81" s="556">
        <f>($G$81*M80)</f>
        <v>0</v>
      </c>
      <c r="N81" s="818"/>
      <c r="O81" s="360"/>
      <c r="P81" s="556">
        <f>($G$81*P80)</f>
        <v>0</v>
      </c>
      <c r="Q81" s="680"/>
      <c r="R81" s="667"/>
    </row>
    <row r="82" spans="1:18">
      <c r="A82" s="632"/>
      <c r="B82" s="574"/>
      <c r="C82" s="574"/>
      <c r="D82" s="574"/>
      <c r="E82" s="632"/>
      <c r="F82" s="574"/>
      <c r="G82" s="574"/>
      <c r="J82" s="856"/>
      <c r="K82" s="819"/>
      <c r="L82" s="828"/>
      <c r="M82" s="829"/>
      <c r="N82" s="819"/>
      <c r="O82" s="828"/>
      <c r="P82" s="829"/>
      <c r="Q82" s="574"/>
      <c r="R82" s="574"/>
    </row>
    <row r="83" spans="1:18" ht="23.25" thickBot="1">
      <c r="A83" s="643" t="s">
        <v>579</v>
      </c>
      <c r="B83" s="574"/>
      <c r="C83" s="574"/>
      <c r="D83" s="574"/>
      <c r="E83" s="632"/>
      <c r="F83" s="678" t="s">
        <v>208</v>
      </c>
      <c r="G83" s="585" t="s">
        <v>209</v>
      </c>
      <c r="J83" s="856"/>
      <c r="K83" s="819"/>
      <c r="L83" s="828"/>
      <c r="M83" s="829"/>
      <c r="N83" s="819"/>
      <c r="O83" s="828"/>
      <c r="P83" s="829"/>
      <c r="Q83" s="574"/>
      <c r="R83" s="574"/>
    </row>
    <row r="84" spans="1:18">
      <c r="A84" s="679" t="s">
        <v>580</v>
      </c>
      <c r="B84" s="575"/>
      <c r="C84" s="575"/>
      <c r="D84" s="575"/>
      <c r="E84" s="612"/>
      <c r="F84" s="575"/>
      <c r="G84" s="610"/>
      <c r="H84" s="102"/>
      <c r="I84" s="102"/>
      <c r="J84" s="857"/>
      <c r="K84" s="820"/>
      <c r="L84" s="830"/>
      <c r="M84" s="102"/>
      <c r="N84" s="820"/>
      <c r="O84" s="830"/>
      <c r="P84" s="102"/>
      <c r="Q84" s="574"/>
      <c r="R84" s="574"/>
    </row>
    <row r="85" spans="1:18">
      <c r="A85" s="613">
        <v>1</v>
      </c>
      <c r="B85" s="570"/>
      <c r="C85" s="570"/>
      <c r="D85" s="570"/>
      <c r="E85" s="593"/>
      <c r="F85" s="561"/>
      <c r="G85" s="691">
        <f>C4</f>
        <v>2</v>
      </c>
      <c r="H85" s="728">
        <f>IF(ISERROR(F85/G85/($C$3/$C$4)),,F85/G85/($C$3/$C$4))</f>
        <v>0</v>
      </c>
      <c r="I85" s="728"/>
      <c r="J85" s="849">
        <f>$H85</f>
        <v>0</v>
      </c>
      <c r="K85" s="815"/>
      <c r="L85" s="469"/>
      <c r="M85" s="469">
        <f>$H85</f>
        <v>0</v>
      </c>
      <c r="N85" s="904"/>
      <c r="O85" s="905"/>
      <c r="P85" s="905">
        <f>$H85</f>
        <v>0</v>
      </c>
      <c r="Q85" s="906" t="s">
        <v>665</v>
      </c>
      <c r="R85" s="906"/>
    </row>
    <row r="86" spans="1:18" ht="12" thickBot="1">
      <c r="A86" s="607">
        <v>2</v>
      </c>
      <c r="B86" s="576"/>
      <c r="C86" s="576"/>
      <c r="D86" s="576"/>
      <c r="E86" s="603"/>
      <c r="F86" s="562"/>
      <c r="G86" s="692">
        <f>C4</f>
        <v>2</v>
      </c>
      <c r="H86" s="729">
        <f>IF(ISERROR(F86/G86/($C$3/$C$4)),,F86/G86/($C$3/$C$4))</f>
        <v>0</v>
      </c>
      <c r="I86" s="729"/>
      <c r="J86" s="849">
        <f>$H86</f>
        <v>0</v>
      </c>
      <c r="K86" s="815"/>
      <c r="L86" s="469"/>
      <c r="M86" s="469">
        <f>$H86</f>
        <v>0</v>
      </c>
      <c r="N86" s="815"/>
      <c r="O86" s="469"/>
      <c r="P86" s="469">
        <f>$H86</f>
        <v>0</v>
      </c>
      <c r="Q86" s="574"/>
      <c r="R86" s="574"/>
    </row>
    <row r="87" spans="1:18">
      <c r="A87" s="679" t="s">
        <v>10</v>
      </c>
      <c r="B87" s="575"/>
      <c r="C87" s="575"/>
      <c r="D87" s="575"/>
      <c r="E87" s="612"/>
      <c r="F87" s="563"/>
      <c r="G87" s="563"/>
      <c r="H87" s="103"/>
      <c r="I87" s="103"/>
      <c r="J87" s="858"/>
      <c r="K87" s="821"/>
      <c r="L87" s="831"/>
      <c r="M87" s="103"/>
      <c r="N87" s="821"/>
      <c r="O87" s="831"/>
      <c r="P87" s="103"/>
      <c r="Q87" s="681"/>
      <c r="R87" s="572"/>
    </row>
    <row r="88" spans="1:18">
      <c r="A88" s="613">
        <v>1</v>
      </c>
      <c r="B88" s="570"/>
      <c r="C88" s="570"/>
      <c r="D88" s="570"/>
      <c r="E88" s="593"/>
      <c r="F88" s="564"/>
      <c r="G88" s="693">
        <f>C4</f>
        <v>2</v>
      </c>
      <c r="H88" s="728">
        <f>IF(ISERROR(F88/G88/($C$3/$C$4)),,F88/G88/($C$3/$C$4))</f>
        <v>0</v>
      </c>
      <c r="I88" s="728"/>
      <c r="J88" s="849">
        <f>$H88</f>
        <v>0</v>
      </c>
      <c r="K88" s="815"/>
      <c r="L88" s="469"/>
      <c r="M88" s="469">
        <f>$H88</f>
        <v>0</v>
      </c>
      <c r="N88" s="815"/>
      <c r="O88" s="469"/>
      <c r="P88" s="469">
        <f>$H88</f>
        <v>0</v>
      </c>
      <c r="Q88" s="682"/>
      <c r="R88" s="574"/>
    </row>
    <row r="89" spans="1:18" ht="12" thickBot="1">
      <c r="A89" s="607">
        <v>2</v>
      </c>
      <c r="B89" s="576"/>
      <c r="C89" s="576"/>
      <c r="D89" s="576"/>
      <c r="E89" s="603"/>
      <c r="F89" s="565"/>
      <c r="G89" s="694">
        <f>C4</f>
        <v>2</v>
      </c>
      <c r="H89" s="729">
        <f>IF(ISERROR(F89/G89/($C$3/$C$4)),,F89/G89/($C$3/$C$4))</f>
        <v>0</v>
      </c>
      <c r="I89" s="729"/>
      <c r="J89" s="849">
        <f>$H89</f>
        <v>0</v>
      </c>
      <c r="K89" s="815"/>
      <c r="L89" s="469"/>
      <c r="M89" s="469">
        <f>$H89</f>
        <v>0</v>
      </c>
      <c r="N89" s="815"/>
      <c r="O89" s="469"/>
      <c r="P89" s="469">
        <f>$H89</f>
        <v>0</v>
      </c>
      <c r="Q89" s="681"/>
      <c r="R89" s="574"/>
    </row>
    <row r="90" spans="1:18" ht="12" thickBot="1">
      <c r="A90" s="632"/>
      <c r="B90" s="574"/>
      <c r="C90" s="574"/>
      <c r="D90" s="574"/>
      <c r="E90" s="632"/>
      <c r="F90" s="574"/>
      <c r="G90" s="639"/>
      <c r="H90" s="104"/>
      <c r="I90" s="104"/>
      <c r="J90" s="859"/>
      <c r="K90" s="104"/>
      <c r="L90" s="832"/>
      <c r="M90" s="833"/>
      <c r="N90" s="104"/>
      <c r="O90" s="832"/>
      <c r="P90" s="833"/>
      <c r="Q90" s="682"/>
      <c r="R90" s="574"/>
    </row>
    <row r="91" spans="1:18" ht="12" thickBot="1">
      <c r="A91" s="640"/>
      <c r="B91" s="577"/>
      <c r="C91" s="577"/>
      <c r="D91" s="577"/>
      <c r="E91" s="641"/>
      <c r="F91" s="577"/>
      <c r="G91" s="642" t="s">
        <v>573</v>
      </c>
      <c r="H91" s="730">
        <f>H85+H86+H88+H89</f>
        <v>0</v>
      </c>
      <c r="I91" s="730"/>
      <c r="J91" s="860">
        <f>J85+J86+J88+J89</f>
        <v>0</v>
      </c>
      <c r="K91" s="822"/>
      <c r="L91" s="834"/>
      <c r="M91" s="730">
        <f>M85+M86+M88+M89</f>
        <v>0</v>
      </c>
      <c r="N91" s="822"/>
      <c r="O91" s="834"/>
      <c r="P91" s="730">
        <f>P85+P86+P88+P89</f>
        <v>0</v>
      </c>
      <c r="Q91" s="681"/>
      <c r="R91" s="574"/>
    </row>
    <row r="92" spans="1:18">
      <c r="A92" s="574"/>
      <c r="B92" s="574"/>
      <c r="C92" s="574"/>
      <c r="D92" s="574"/>
      <c r="E92" s="632"/>
      <c r="F92" s="574"/>
      <c r="G92" s="578"/>
      <c r="H92" s="5"/>
      <c r="I92" s="5"/>
      <c r="J92" s="861"/>
      <c r="K92" s="5"/>
      <c r="L92" s="835"/>
      <c r="M92" s="836"/>
      <c r="N92" s="5"/>
      <c r="O92" s="835"/>
      <c r="P92" s="836"/>
      <c r="Q92" s="572"/>
      <c r="R92" s="574"/>
    </row>
    <row r="93" spans="1:18">
      <c r="A93" s="643" t="s">
        <v>11</v>
      </c>
      <c r="B93" s="574"/>
      <c r="C93" s="574"/>
      <c r="D93" s="574"/>
      <c r="E93" s="632"/>
      <c r="F93" s="574"/>
      <c r="G93" s="574"/>
      <c r="J93" s="856"/>
      <c r="K93" s="819"/>
      <c r="L93" s="828"/>
      <c r="M93" s="829"/>
      <c r="N93" s="819"/>
      <c r="O93" s="828"/>
      <c r="P93" s="829"/>
      <c r="Q93" s="683"/>
      <c r="R93" s="574"/>
    </row>
    <row r="94" spans="1:18" ht="12" thickBot="1">
      <c r="A94" s="632"/>
      <c r="B94" s="574"/>
      <c r="C94" s="574"/>
      <c r="D94" s="574"/>
      <c r="E94" s="632"/>
      <c r="F94" s="574"/>
      <c r="G94" s="574"/>
      <c r="J94" s="856"/>
      <c r="K94" s="819"/>
      <c r="L94" s="828"/>
      <c r="M94" s="829"/>
      <c r="N94" s="819"/>
      <c r="O94" s="828"/>
      <c r="P94" s="829"/>
      <c r="Q94" s="582"/>
      <c r="R94" s="574"/>
    </row>
    <row r="95" spans="1:18">
      <c r="A95" s="614"/>
      <c r="B95" s="575"/>
      <c r="C95" s="575"/>
      <c r="D95" s="575"/>
      <c r="E95" s="612"/>
      <c r="F95" s="575"/>
      <c r="G95" s="610" t="s">
        <v>8</v>
      </c>
      <c r="H95" s="478">
        <f>H65+SUM(E46:E55)+SUM(E34:E43)+H32</f>
        <v>0.22792999626094707</v>
      </c>
      <c r="I95" s="478"/>
      <c r="J95" s="862">
        <f>J65+SUM(F46:F55)+SUM(F34:F43)+J32</f>
        <v>4.3850347395608349E-2</v>
      </c>
      <c r="K95" s="817"/>
      <c r="L95" s="478"/>
      <c r="M95" s="478">
        <f>M65+SUM(G46:G55)+SUM(G34:G43)+M32</f>
        <v>2.065565118011339E-2</v>
      </c>
      <c r="N95" s="817"/>
      <c r="O95" s="478"/>
      <c r="P95" s="478">
        <f>P65+SUM(H46:H55)+SUM(H34:H43)+P32</f>
        <v>0.29243599483666888</v>
      </c>
      <c r="Q95" s="682"/>
      <c r="R95" s="572"/>
    </row>
    <row r="96" spans="1:18">
      <c r="A96" s="613"/>
      <c r="B96" s="572"/>
      <c r="C96" s="572"/>
      <c r="D96" s="572"/>
      <c r="E96" s="582"/>
      <c r="F96" s="572"/>
      <c r="G96" s="578" t="s">
        <v>7</v>
      </c>
      <c r="H96" s="397">
        <f>H80+SUM(F46:F55)+SUM(F34:F43)</f>
        <v>4.3850347395608349E-2</v>
      </c>
      <c r="I96" s="397"/>
      <c r="J96" s="863">
        <f>J80+SUM(G46:G55)+SUM(G34:G43)</f>
        <v>2.065565118011339E-2</v>
      </c>
      <c r="K96" s="823"/>
      <c r="L96" s="397"/>
      <c r="M96" s="397">
        <f>M80+SUM(H46:H55)+SUM(H34:H43)</f>
        <v>0.29243599483666888</v>
      </c>
      <c r="N96" s="823"/>
      <c r="O96" s="397"/>
      <c r="P96" s="397">
        <f>P80+SUM(J46:J55)+SUM(J34:J43)</f>
        <v>0.29243599483666888</v>
      </c>
      <c r="Q96" s="681"/>
      <c r="R96" s="572"/>
    </row>
    <row r="97" spans="1:18">
      <c r="A97" s="644"/>
      <c r="B97" s="572"/>
      <c r="C97" s="572"/>
      <c r="D97" s="578"/>
      <c r="E97" s="572"/>
      <c r="F97" s="572"/>
      <c r="G97" s="578" t="s">
        <v>558</v>
      </c>
      <c r="H97" s="326">
        <f>H81+SUM(G46:G55)+SUM(G34:G43)+H91</f>
        <v>2.065565118011339E-2</v>
      </c>
      <c r="I97" s="326"/>
      <c r="J97" s="864">
        <f>J81+SUM(H46:H55)+SUM(H34:H43)+J91</f>
        <v>0.29243599483666888</v>
      </c>
      <c r="K97" s="816"/>
      <c r="L97" s="326"/>
      <c r="M97" s="326">
        <f>M81+SUM(J46:J55)+SUM(J34:J43)+M91</f>
        <v>0.29243599483666888</v>
      </c>
      <c r="N97" s="816"/>
      <c r="O97" s="326"/>
      <c r="P97" s="326">
        <f>P81+SUM(M46:M55)+SUM(M34:M43)+P91</f>
        <v>0.29243599483666888</v>
      </c>
      <c r="Q97" s="682"/>
      <c r="R97" s="572"/>
    </row>
    <row r="98" spans="1:18" ht="13.5" hidden="1" thickBot="1">
      <c r="A98" s="644"/>
      <c r="B98" s="572"/>
      <c r="C98" s="572"/>
      <c r="D98" s="578"/>
      <c r="E98" s="645"/>
      <c r="F98" s="646"/>
      <c r="G98" s="647" t="s">
        <v>559</v>
      </c>
      <c r="H98" s="559"/>
      <c r="I98" s="559"/>
      <c r="J98" s="865"/>
      <c r="K98" s="782"/>
      <c r="L98" s="559"/>
      <c r="M98" s="559"/>
      <c r="N98" s="782"/>
      <c r="O98" s="559"/>
      <c r="P98" s="559"/>
      <c r="Q98" s="682"/>
      <c r="R98" s="572"/>
    </row>
    <row r="99" spans="1:18" ht="13.5" thickBot="1">
      <c r="A99" s="648"/>
      <c r="B99" s="573"/>
      <c r="C99" s="573"/>
      <c r="D99" s="579"/>
      <c r="E99" s="649"/>
      <c r="F99" s="650"/>
      <c r="G99" s="651" t="s">
        <v>380</v>
      </c>
      <c r="H99" s="360">
        <f>SUM(H95:H98)</f>
        <v>0.29243599483666877</v>
      </c>
      <c r="I99" s="360"/>
      <c r="J99" s="866">
        <f>SUM(J95:J98)</f>
        <v>0.35694199341239063</v>
      </c>
      <c r="K99" s="818"/>
      <c r="L99" s="360"/>
      <c r="M99" s="360">
        <f>SUM(M95:M98)</f>
        <v>0.60552764085345112</v>
      </c>
      <c r="N99" s="818"/>
      <c r="O99" s="360"/>
      <c r="P99" s="360">
        <f>SUM(P95:P98)</f>
        <v>0.87730798451000669</v>
      </c>
      <c r="Q99" s="682"/>
      <c r="R99" s="572"/>
    </row>
    <row r="100" spans="1:18">
      <c r="A100" s="632"/>
      <c r="B100" s="574"/>
      <c r="C100" s="574"/>
      <c r="D100" s="574"/>
      <c r="E100" s="632"/>
      <c r="F100" s="574"/>
      <c r="G100" s="574"/>
      <c r="Q100" s="574"/>
      <c r="R100" s="574"/>
    </row>
    <row r="101" spans="1:18" ht="12" hidden="1" thickBot="1">
      <c r="A101" s="632"/>
      <c r="B101" s="574"/>
      <c r="C101" s="574"/>
      <c r="D101" s="574"/>
      <c r="E101" s="632"/>
      <c r="F101" s="574"/>
      <c r="G101" s="652" t="s">
        <v>570</v>
      </c>
      <c r="H101" s="560">
        <f>'Summary Sign Off'!E22</f>
        <v>0</v>
      </c>
      <c r="I101" s="783"/>
      <c r="J101" s="783"/>
      <c r="K101" s="783"/>
      <c r="L101" s="783"/>
      <c r="M101" s="783"/>
      <c r="N101" s="783"/>
      <c r="O101" s="783"/>
      <c r="P101" s="783"/>
      <c r="Q101" s="574"/>
      <c r="R101" s="574"/>
    </row>
    <row r="102" spans="1:18" ht="12" hidden="1" thickBot="1">
      <c r="A102" s="632"/>
      <c r="B102" s="574"/>
      <c r="C102" s="574"/>
      <c r="D102" s="574"/>
      <c r="E102" s="632"/>
      <c r="F102" s="574"/>
      <c r="G102" s="652"/>
      <c r="H102" s="660"/>
      <c r="I102" s="660"/>
      <c r="J102" s="660"/>
      <c r="K102" s="660"/>
      <c r="L102" s="660"/>
      <c r="M102" s="660"/>
      <c r="N102" s="660"/>
      <c r="O102" s="660"/>
      <c r="P102" s="660"/>
      <c r="Q102" s="574"/>
      <c r="R102" s="574"/>
    </row>
    <row r="103" spans="1:18" ht="12" hidden="1" thickBot="1">
      <c r="A103" s="632"/>
      <c r="B103" s="574"/>
      <c r="C103" s="574"/>
      <c r="D103" s="574"/>
      <c r="E103" s="632"/>
      <c r="F103" s="574"/>
      <c r="G103" s="652" t="s">
        <v>571</v>
      </c>
      <c r="H103" s="658">
        <f>'Summary Sign Off'!E29</f>
        <v>0</v>
      </c>
      <c r="I103" s="784"/>
      <c r="J103" s="784"/>
      <c r="K103" s="784"/>
      <c r="L103" s="784"/>
      <c r="M103" s="784"/>
      <c r="N103" s="784"/>
      <c r="O103" s="784"/>
      <c r="P103" s="784"/>
      <c r="Q103" s="574"/>
      <c r="R103" s="574"/>
    </row>
    <row r="104" spans="1:18" ht="12" hidden="1" thickBot="1">
      <c r="A104" s="574"/>
      <c r="B104" s="574"/>
      <c r="C104" s="574"/>
      <c r="D104" s="574"/>
      <c r="E104" s="574"/>
      <c r="F104" s="574"/>
      <c r="G104" s="652"/>
      <c r="Q104" s="574"/>
      <c r="R104" s="574"/>
    </row>
    <row r="105" spans="1:18" ht="12" hidden="1" thickBot="1">
      <c r="A105" s="574"/>
      <c r="B105" s="574"/>
      <c r="C105" s="574"/>
      <c r="D105" s="574"/>
      <c r="E105" s="574"/>
      <c r="F105" s="574"/>
      <c r="G105" s="652" t="s">
        <v>25</v>
      </c>
      <c r="H105" s="659">
        <f>'Summary Sign Off'!E32</f>
        <v>0</v>
      </c>
      <c r="I105" s="782"/>
      <c r="J105" s="782"/>
      <c r="K105" s="782"/>
      <c r="L105" s="782"/>
      <c r="M105" s="782"/>
      <c r="N105" s="782"/>
      <c r="O105" s="782"/>
      <c r="P105" s="782"/>
      <c r="Q105" s="574"/>
      <c r="R105" s="574"/>
    </row>
    <row r="106" spans="1:18" ht="12" hidden="1" thickBot="1">
      <c r="A106" s="574"/>
      <c r="B106" s="574"/>
      <c r="C106" s="574"/>
      <c r="D106" s="574"/>
      <c r="E106" s="574"/>
      <c r="F106" s="574"/>
      <c r="G106" s="652"/>
      <c r="Q106" s="574"/>
      <c r="R106" s="574"/>
    </row>
    <row r="107" spans="1:18" ht="12" hidden="1" thickBot="1">
      <c r="A107" s="574"/>
      <c r="B107" s="574"/>
      <c r="C107" s="574"/>
      <c r="D107" s="574"/>
      <c r="E107" s="574"/>
      <c r="F107" s="574"/>
      <c r="G107" s="652" t="s">
        <v>572</v>
      </c>
      <c r="H107" s="659">
        <f>'Summary Sign Off'!C10</f>
        <v>0</v>
      </c>
      <c r="I107" s="782"/>
      <c r="J107" s="782"/>
      <c r="K107" s="782"/>
      <c r="L107" s="782"/>
      <c r="M107" s="782"/>
      <c r="N107" s="782"/>
      <c r="O107" s="782"/>
      <c r="P107" s="782"/>
      <c r="Q107" s="574"/>
      <c r="R107" s="574"/>
    </row>
    <row r="108" spans="1:18">
      <c r="A108" s="2"/>
      <c r="B108" s="574"/>
      <c r="C108" s="574"/>
      <c r="D108" s="574"/>
      <c r="E108" s="2"/>
      <c r="Q108" s="574"/>
      <c r="R108" s="574"/>
    </row>
    <row r="109" spans="1:18">
      <c r="B109" s="574"/>
      <c r="C109" s="574"/>
      <c r="D109" s="574"/>
      <c r="Q109" s="574"/>
      <c r="R109" s="574"/>
    </row>
    <row r="110" spans="1:18">
      <c r="B110" s="574"/>
      <c r="C110" s="574"/>
      <c r="D110" s="574"/>
      <c r="Q110" s="574"/>
      <c r="R110" s="574"/>
    </row>
    <row r="111" spans="1:18">
      <c r="B111" s="574"/>
      <c r="C111" s="574"/>
      <c r="D111" s="574"/>
      <c r="Q111" s="574"/>
      <c r="R111" s="574"/>
    </row>
    <row r="112" spans="1:18">
      <c r="B112" s="574"/>
      <c r="C112" s="574"/>
      <c r="D112" s="574"/>
      <c r="Q112" s="574"/>
      <c r="R112" s="574"/>
    </row>
    <row r="113" spans="2:18">
      <c r="B113" s="574"/>
      <c r="C113" s="574"/>
      <c r="D113" s="574"/>
      <c r="Q113" s="574"/>
      <c r="R113" s="574"/>
    </row>
    <row r="114" spans="2:18">
      <c r="B114" s="574"/>
      <c r="C114" s="574"/>
      <c r="D114" s="574"/>
      <c r="Q114" s="574"/>
      <c r="R114" s="574"/>
    </row>
    <row r="115" spans="2:18">
      <c r="B115" s="574"/>
      <c r="C115" s="574"/>
      <c r="D115" s="574"/>
      <c r="Q115" s="574"/>
      <c r="R115" s="574"/>
    </row>
    <row r="116" spans="2:18">
      <c r="B116" s="574"/>
      <c r="C116" s="574"/>
      <c r="D116" s="574"/>
      <c r="Q116" s="574"/>
      <c r="R116" s="574"/>
    </row>
    <row r="117" spans="2:18">
      <c r="B117" s="574"/>
      <c r="C117" s="574"/>
      <c r="D117" s="574"/>
      <c r="Q117" s="574"/>
      <c r="R117" s="574"/>
    </row>
    <row r="118" spans="2:18">
      <c r="B118" s="574"/>
      <c r="C118" s="574"/>
      <c r="D118" s="574"/>
      <c r="Q118" s="574"/>
      <c r="R118" s="574"/>
    </row>
    <row r="119" spans="2:18">
      <c r="B119" s="574"/>
      <c r="C119" s="574"/>
      <c r="D119" s="574"/>
      <c r="Q119" s="574"/>
      <c r="R119" s="574"/>
    </row>
    <row r="120" spans="2:18">
      <c r="B120" s="574"/>
      <c r="C120" s="574"/>
      <c r="D120" s="574"/>
      <c r="Q120" s="574"/>
      <c r="R120" s="574"/>
    </row>
    <row r="121" spans="2:18">
      <c r="B121" s="574"/>
      <c r="C121" s="574"/>
      <c r="D121" s="574"/>
      <c r="Q121" s="574"/>
      <c r="R121" s="574"/>
    </row>
    <row r="122" spans="2:18">
      <c r="B122" s="574"/>
      <c r="C122" s="574"/>
      <c r="D122" s="574"/>
      <c r="Q122" s="574"/>
      <c r="R122" s="574"/>
    </row>
    <row r="123" spans="2:18">
      <c r="B123" s="574"/>
      <c r="C123" s="574"/>
      <c r="D123" s="574"/>
      <c r="Q123" s="574"/>
      <c r="R123" s="574"/>
    </row>
    <row r="124" spans="2:18">
      <c r="B124" s="574"/>
      <c r="C124" s="574"/>
      <c r="D124" s="574"/>
      <c r="Q124" s="574"/>
      <c r="R124" s="574"/>
    </row>
    <row r="125" spans="2:18">
      <c r="B125" s="574"/>
      <c r="C125" s="574"/>
      <c r="D125" s="574"/>
      <c r="Q125" s="574"/>
      <c r="R125" s="574"/>
    </row>
    <row r="126" spans="2:18">
      <c r="B126" s="574"/>
      <c r="C126" s="574"/>
      <c r="D126" s="574"/>
      <c r="Q126" s="574"/>
      <c r="R126" s="574"/>
    </row>
    <row r="127" spans="2:18">
      <c r="B127" s="574"/>
      <c r="C127" s="574"/>
      <c r="D127" s="574"/>
      <c r="Q127" s="574"/>
      <c r="R127" s="574"/>
    </row>
    <row r="128" spans="2:18">
      <c r="B128" s="574"/>
      <c r="C128" s="574"/>
      <c r="D128" s="574"/>
      <c r="Q128" s="574"/>
      <c r="R128" s="574"/>
    </row>
    <row r="129" spans="2:18">
      <c r="B129" s="574"/>
      <c r="C129" s="574"/>
      <c r="D129" s="574"/>
      <c r="Q129" s="574"/>
      <c r="R129" s="574"/>
    </row>
    <row r="130" spans="2:18">
      <c r="B130" s="574"/>
      <c r="C130" s="574"/>
      <c r="D130" s="574"/>
      <c r="Q130" s="574"/>
      <c r="R130" s="574"/>
    </row>
    <row r="131" spans="2:18">
      <c r="B131" s="574"/>
      <c r="C131" s="574"/>
      <c r="D131" s="574"/>
      <c r="Q131" s="574"/>
      <c r="R131" s="574"/>
    </row>
    <row r="132" spans="2:18">
      <c r="B132" s="574"/>
      <c r="C132" s="574"/>
      <c r="D132" s="574"/>
      <c r="Q132" s="574"/>
      <c r="R132" s="574"/>
    </row>
    <row r="133" spans="2:18">
      <c r="B133" s="574"/>
      <c r="C133" s="574"/>
      <c r="D133" s="574"/>
      <c r="Q133" s="574"/>
      <c r="R133" s="574"/>
    </row>
    <row r="134" spans="2:18">
      <c r="B134" s="574"/>
      <c r="C134" s="574"/>
      <c r="D134" s="574"/>
      <c r="Q134" s="574"/>
      <c r="R134" s="574"/>
    </row>
    <row r="135" spans="2:18">
      <c r="B135" s="574"/>
      <c r="C135" s="574"/>
      <c r="D135" s="574"/>
      <c r="Q135" s="574"/>
      <c r="R135" s="574"/>
    </row>
    <row r="136" spans="2:18">
      <c r="B136" s="574"/>
      <c r="C136" s="574"/>
      <c r="D136" s="574"/>
      <c r="Q136" s="574"/>
      <c r="R136" s="574"/>
    </row>
    <row r="137" spans="2:18">
      <c r="B137" s="574"/>
      <c r="C137" s="574"/>
      <c r="D137" s="574"/>
      <c r="Q137" s="574"/>
      <c r="R137" s="574"/>
    </row>
    <row r="138" spans="2:18">
      <c r="B138" s="574"/>
      <c r="C138" s="574"/>
      <c r="D138" s="574"/>
      <c r="Q138" s="574"/>
      <c r="R138" s="574"/>
    </row>
    <row r="139" spans="2:18">
      <c r="B139" s="574"/>
      <c r="C139" s="574"/>
      <c r="D139" s="574"/>
      <c r="Q139" s="574"/>
      <c r="R139" s="574"/>
    </row>
    <row r="140" spans="2:18">
      <c r="B140" s="574"/>
      <c r="C140" s="574"/>
      <c r="D140" s="574"/>
      <c r="Q140" s="574"/>
      <c r="R140" s="574"/>
    </row>
    <row r="141" spans="2:18">
      <c r="B141" s="574"/>
      <c r="C141" s="574"/>
      <c r="D141" s="574"/>
      <c r="Q141" s="574"/>
      <c r="R141" s="574"/>
    </row>
    <row r="142" spans="2:18">
      <c r="B142" s="574"/>
      <c r="C142" s="574"/>
      <c r="D142" s="574"/>
    </row>
    <row r="143" spans="2:18">
      <c r="B143" s="574"/>
      <c r="C143" s="574"/>
      <c r="D143" s="574"/>
    </row>
    <row r="144" spans="2:18">
      <c r="B144" s="574"/>
      <c r="C144" s="574"/>
      <c r="D144" s="574"/>
    </row>
    <row r="145" spans="2:4">
      <c r="B145" s="574"/>
      <c r="C145" s="574"/>
      <c r="D145" s="574"/>
    </row>
    <row r="146" spans="2:4">
      <c r="B146" s="574"/>
      <c r="C146" s="574"/>
      <c r="D146" s="574"/>
    </row>
    <row r="147" spans="2:4">
      <c r="B147" s="574"/>
      <c r="C147" s="574"/>
      <c r="D147" s="574"/>
    </row>
    <row r="148" spans="2:4">
      <c r="B148" s="574"/>
      <c r="C148" s="574"/>
      <c r="D148" s="574"/>
    </row>
    <row r="149" spans="2:4">
      <c r="B149" s="574"/>
      <c r="C149" s="574"/>
      <c r="D149" s="574"/>
    </row>
    <row r="150" spans="2:4">
      <c r="B150" s="574"/>
      <c r="C150" s="574"/>
      <c r="D150" s="574"/>
    </row>
    <row r="151" spans="2:4">
      <c r="B151" s="574"/>
      <c r="C151" s="574"/>
      <c r="D151" s="574"/>
    </row>
    <row r="152" spans="2:4">
      <c r="B152" s="574"/>
      <c r="C152" s="574"/>
      <c r="D152" s="574"/>
    </row>
    <row r="153" spans="2:4">
      <c r="B153" s="574"/>
      <c r="C153" s="574"/>
      <c r="D153" s="574"/>
    </row>
    <row r="154" spans="2:4">
      <c r="B154" s="574"/>
      <c r="C154" s="574"/>
      <c r="D154" s="574"/>
    </row>
    <row r="155" spans="2:4">
      <c r="B155" s="574"/>
      <c r="C155" s="574"/>
      <c r="D155" s="574"/>
    </row>
    <row r="156" spans="2:4">
      <c r="B156" s="574"/>
      <c r="C156" s="574"/>
      <c r="D156" s="574"/>
    </row>
    <row r="157" spans="2:4">
      <c r="B157" s="574"/>
      <c r="C157" s="574"/>
      <c r="D157" s="574"/>
    </row>
    <row r="158" spans="2:4">
      <c r="B158" s="574"/>
      <c r="C158" s="574"/>
      <c r="D158" s="574"/>
    </row>
    <row r="159" spans="2:4">
      <c r="B159" s="574"/>
      <c r="C159" s="574"/>
      <c r="D159" s="574"/>
    </row>
    <row r="160" spans="2:4">
      <c r="B160" s="574"/>
      <c r="C160" s="574"/>
      <c r="D160" s="574"/>
    </row>
    <row r="161" spans="2:4">
      <c r="B161" s="574"/>
      <c r="C161" s="574"/>
      <c r="D161" s="574"/>
    </row>
    <row r="162" spans="2:4">
      <c r="B162" s="574"/>
      <c r="C162" s="574"/>
      <c r="D162" s="574"/>
    </row>
    <row r="163" spans="2:4">
      <c r="B163" s="574"/>
      <c r="C163" s="574"/>
      <c r="D163" s="574"/>
    </row>
    <row r="164" spans="2:4">
      <c r="B164" s="574"/>
      <c r="C164" s="574"/>
      <c r="D164" s="574"/>
    </row>
    <row r="165" spans="2:4">
      <c r="B165" s="574"/>
      <c r="C165" s="574"/>
      <c r="D165" s="574"/>
    </row>
    <row r="166" spans="2:4">
      <c r="B166" s="574"/>
      <c r="C166" s="574"/>
      <c r="D166" s="574"/>
    </row>
    <row r="167" spans="2:4">
      <c r="B167" s="574"/>
      <c r="C167" s="574"/>
      <c r="D167" s="574"/>
    </row>
    <row r="168" spans="2:4">
      <c r="B168" s="574"/>
      <c r="C168" s="574"/>
      <c r="D168" s="574"/>
    </row>
    <row r="169" spans="2:4">
      <c r="B169" s="574"/>
      <c r="C169" s="574"/>
      <c r="D169" s="574"/>
    </row>
    <row r="170" spans="2:4">
      <c r="B170" s="574"/>
      <c r="C170" s="574"/>
      <c r="D170" s="574"/>
    </row>
    <row r="171" spans="2:4">
      <c r="B171" s="574"/>
      <c r="C171" s="574"/>
      <c r="D171" s="574"/>
    </row>
    <row r="172" spans="2:4">
      <c r="B172" s="574"/>
      <c r="C172" s="574"/>
      <c r="D172" s="574"/>
    </row>
    <row r="173" spans="2:4">
      <c r="B173" s="574"/>
      <c r="C173" s="574"/>
      <c r="D173" s="574"/>
    </row>
    <row r="174" spans="2:4">
      <c r="B174" s="574"/>
      <c r="C174" s="574"/>
      <c r="D174" s="574"/>
    </row>
    <row r="175" spans="2:4">
      <c r="B175" s="574"/>
      <c r="C175" s="574"/>
      <c r="D175" s="574"/>
    </row>
    <row r="176" spans="2:4">
      <c r="B176" s="574"/>
      <c r="C176" s="574"/>
      <c r="D176" s="574"/>
    </row>
    <row r="177" spans="2:4">
      <c r="B177" s="574"/>
      <c r="C177" s="574"/>
      <c r="D177" s="574"/>
    </row>
    <row r="178" spans="2:4">
      <c r="B178" s="574"/>
      <c r="C178" s="574"/>
      <c r="D178" s="574"/>
    </row>
    <row r="179" spans="2:4">
      <c r="B179" s="574"/>
      <c r="C179" s="574"/>
      <c r="D179" s="574"/>
    </row>
    <row r="180" spans="2:4">
      <c r="B180" s="574"/>
      <c r="C180" s="574"/>
      <c r="D180" s="574"/>
    </row>
    <row r="181" spans="2:4">
      <c r="B181" s="574"/>
      <c r="C181" s="574"/>
      <c r="D181" s="574"/>
    </row>
    <row r="182" spans="2:4">
      <c r="B182" s="574"/>
      <c r="C182" s="574"/>
      <c r="D182" s="574"/>
    </row>
    <row r="183" spans="2:4">
      <c r="B183" s="574"/>
      <c r="C183" s="574"/>
      <c r="D183" s="574"/>
    </row>
    <row r="184" spans="2:4">
      <c r="B184" s="574"/>
      <c r="C184" s="574"/>
      <c r="D184" s="574"/>
    </row>
    <row r="185" spans="2:4">
      <c r="B185" s="574"/>
      <c r="C185" s="574"/>
      <c r="D185" s="574"/>
    </row>
    <row r="186" spans="2:4">
      <c r="B186" s="574"/>
      <c r="C186" s="574"/>
      <c r="D186" s="574"/>
    </row>
    <row r="187" spans="2:4">
      <c r="B187" s="574"/>
      <c r="C187" s="574"/>
      <c r="D187" s="574"/>
    </row>
    <row r="188" spans="2:4">
      <c r="B188" s="574"/>
      <c r="C188" s="574"/>
      <c r="D188" s="574"/>
    </row>
    <row r="189" spans="2:4">
      <c r="B189" s="574"/>
      <c r="C189" s="574"/>
      <c r="D189" s="574"/>
    </row>
    <row r="190" spans="2:4">
      <c r="B190" s="574"/>
      <c r="C190" s="574"/>
      <c r="D190" s="574"/>
    </row>
    <row r="191" spans="2:4">
      <c r="B191" s="574"/>
      <c r="C191" s="574"/>
      <c r="D191" s="574"/>
    </row>
    <row r="192" spans="2:4">
      <c r="B192" s="574"/>
      <c r="C192" s="574"/>
      <c r="D192" s="574"/>
    </row>
    <row r="193" spans="2:4">
      <c r="B193" s="574"/>
      <c r="C193" s="574"/>
      <c r="D193" s="574"/>
    </row>
    <row r="194" spans="2:4">
      <c r="B194" s="574"/>
      <c r="C194" s="574"/>
      <c r="D194" s="574"/>
    </row>
    <row r="195" spans="2:4">
      <c r="B195" s="574"/>
      <c r="C195" s="574"/>
      <c r="D195" s="574"/>
    </row>
    <row r="196" spans="2:4">
      <c r="B196" s="574"/>
      <c r="C196" s="574"/>
      <c r="D196" s="574"/>
    </row>
    <row r="197" spans="2:4">
      <c r="B197" s="574"/>
      <c r="C197" s="574"/>
      <c r="D197" s="574"/>
    </row>
    <row r="198" spans="2:4">
      <c r="B198" s="574"/>
      <c r="C198" s="574"/>
      <c r="D198" s="574"/>
    </row>
    <row r="199" spans="2:4">
      <c r="B199" s="574"/>
      <c r="C199" s="574"/>
      <c r="D199" s="574"/>
    </row>
    <row r="200" spans="2:4">
      <c r="B200" s="574"/>
      <c r="C200" s="574"/>
      <c r="D200" s="574"/>
    </row>
    <row r="201" spans="2:4">
      <c r="B201" s="574"/>
      <c r="C201" s="574"/>
      <c r="D201" s="574"/>
    </row>
    <row r="202" spans="2:4">
      <c r="B202" s="574"/>
      <c r="C202" s="574"/>
      <c r="D202" s="574"/>
    </row>
    <row r="203" spans="2:4">
      <c r="B203" s="574"/>
      <c r="C203" s="574"/>
      <c r="D203" s="574"/>
    </row>
    <row r="204" spans="2:4">
      <c r="B204" s="574"/>
      <c r="C204" s="574"/>
      <c r="D204" s="574"/>
    </row>
    <row r="205" spans="2:4">
      <c r="B205" s="574"/>
      <c r="C205" s="574"/>
      <c r="D205" s="574"/>
    </row>
    <row r="206" spans="2:4">
      <c r="B206" s="574"/>
      <c r="C206" s="574"/>
      <c r="D206" s="574"/>
    </row>
    <row r="207" spans="2:4">
      <c r="B207" s="574"/>
      <c r="C207" s="574"/>
      <c r="D207" s="574"/>
    </row>
    <row r="208" spans="2:4">
      <c r="B208" s="574"/>
      <c r="C208" s="574"/>
      <c r="D208" s="574"/>
    </row>
    <row r="209" spans="2:4">
      <c r="B209" s="574"/>
      <c r="C209" s="574"/>
      <c r="D209" s="574"/>
    </row>
    <row r="210" spans="2:4">
      <c r="B210" s="574"/>
      <c r="C210" s="574"/>
      <c r="D210" s="574"/>
    </row>
    <row r="211" spans="2:4">
      <c r="B211" s="574"/>
      <c r="C211" s="574"/>
      <c r="D211" s="574"/>
    </row>
    <row r="212" spans="2:4">
      <c r="B212" s="574"/>
      <c r="C212" s="574"/>
      <c r="D212" s="574"/>
    </row>
    <row r="213" spans="2:4">
      <c r="B213" s="574"/>
      <c r="C213" s="574"/>
      <c r="D213" s="574"/>
    </row>
    <row r="214" spans="2:4">
      <c r="B214" s="574"/>
      <c r="C214" s="574"/>
      <c r="D214" s="574"/>
    </row>
    <row r="215" spans="2:4">
      <c r="B215" s="574"/>
      <c r="C215" s="574"/>
      <c r="D215" s="574"/>
    </row>
    <row r="216" spans="2:4">
      <c r="B216" s="574"/>
      <c r="C216" s="574"/>
      <c r="D216" s="574"/>
    </row>
    <row r="217" spans="2:4">
      <c r="B217" s="574"/>
      <c r="C217" s="574"/>
      <c r="D217" s="574"/>
    </row>
    <row r="218" spans="2:4">
      <c r="B218" s="574"/>
      <c r="C218" s="574"/>
      <c r="D218" s="574"/>
    </row>
    <row r="219" spans="2:4">
      <c r="B219" s="574"/>
      <c r="C219" s="574"/>
      <c r="D219" s="574"/>
    </row>
    <row r="220" spans="2:4">
      <c r="B220" s="574"/>
      <c r="C220" s="574"/>
      <c r="D220" s="574"/>
    </row>
    <row r="221" spans="2:4">
      <c r="B221" s="574"/>
      <c r="C221" s="574"/>
      <c r="D221" s="574"/>
    </row>
    <row r="222" spans="2:4">
      <c r="B222" s="574"/>
      <c r="C222" s="574"/>
      <c r="D222" s="574"/>
    </row>
    <row r="223" spans="2:4">
      <c r="B223" s="574"/>
      <c r="C223" s="574"/>
      <c r="D223" s="574"/>
    </row>
    <row r="224" spans="2:4">
      <c r="B224" s="574"/>
      <c r="C224" s="574"/>
      <c r="D224" s="574"/>
    </row>
    <row r="225" spans="2:4">
      <c r="B225" s="574"/>
      <c r="C225" s="574"/>
      <c r="D225" s="574"/>
    </row>
    <row r="226" spans="2:4">
      <c r="B226" s="574"/>
      <c r="C226" s="574"/>
      <c r="D226" s="574"/>
    </row>
    <row r="227" spans="2:4">
      <c r="B227" s="574"/>
      <c r="C227" s="574"/>
      <c r="D227" s="574"/>
    </row>
    <row r="228" spans="2:4">
      <c r="B228" s="574"/>
      <c r="C228" s="574"/>
      <c r="D228" s="574"/>
    </row>
    <row r="229" spans="2:4">
      <c r="B229" s="574"/>
      <c r="C229" s="574"/>
      <c r="D229" s="574"/>
    </row>
    <row r="230" spans="2:4">
      <c r="B230" s="574"/>
      <c r="C230" s="574"/>
      <c r="D230" s="574"/>
    </row>
    <row r="231" spans="2:4">
      <c r="B231" s="574"/>
      <c r="C231" s="574"/>
      <c r="D231" s="574"/>
    </row>
    <row r="232" spans="2:4">
      <c r="B232" s="574"/>
      <c r="C232" s="574"/>
      <c r="D232" s="574"/>
    </row>
    <row r="233" spans="2:4">
      <c r="B233" s="574"/>
      <c r="C233" s="574"/>
      <c r="D233" s="574"/>
    </row>
    <row r="234" spans="2:4">
      <c r="B234" s="574"/>
      <c r="C234" s="574"/>
      <c r="D234" s="574"/>
    </row>
    <row r="235" spans="2:4">
      <c r="B235" s="574"/>
      <c r="C235" s="574"/>
      <c r="D235" s="574"/>
    </row>
    <row r="236" spans="2:4">
      <c r="B236" s="574"/>
      <c r="C236" s="574"/>
      <c r="D236" s="574"/>
    </row>
    <row r="237" spans="2:4">
      <c r="B237" s="574"/>
      <c r="C237" s="574"/>
      <c r="D237" s="574"/>
    </row>
    <row r="238" spans="2:4">
      <c r="B238" s="574"/>
      <c r="C238" s="574"/>
      <c r="D238" s="574"/>
    </row>
    <row r="239" spans="2:4">
      <c r="B239" s="574"/>
      <c r="C239" s="574"/>
      <c r="D239" s="574"/>
    </row>
    <row r="240" spans="2:4">
      <c r="B240" s="574"/>
      <c r="C240" s="574"/>
      <c r="D240" s="574"/>
    </row>
    <row r="241" spans="2:4">
      <c r="B241" s="574"/>
      <c r="C241" s="574"/>
      <c r="D241" s="574"/>
    </row>
    <row r="242" spans="2:4">
      <c r="B242" s="574"/>
      <c r="C242" s="574"/>
      <c r="D242" s="574"/>
    </row>
    <row r="243" spans="2:4">
      <c r="B243" s="574"/>
      <c r="C243" s="574"/>
      <c r="D243" s="574"/>
    </row>
    <row r="244" spans="2:4">
      <c r="B244" s="574"/>
      <c r="C244" s="574"/>
      <c r="D244" s="574"/>
    </row>
    <row r="245" spans="2:4">
      <c r="B245" s="574"/>
      <c r="C245" s="574"/>
      <c r="D245" s="574"/>
    </row>
    <row r="246" spans="2:4">
      <c r="B246" s="574"/>
      <c r="C246" s="574"/>
      <c r="D246" s="574"/>
    </row>
    <row r="247" spans="2:4">
      <c r="B247" s="574"/>
      <c r="C247" s="574"/>
      <c r="D247" s="574"/>
    </row>
    <row r="248" spans="2:4">
      <c r="B248" s="574"/>
      <c r="C248" s="574"/>
      <c r="D248" s="574"/>
    </row>
    <row r="249" spans="2:4">
      <c r="B249" s="574"/>
      <c r="C249" s="574"/>
      <c r="D249" s="574"/>
    </row>
    <row r="250" spans="2:4">
      <c r="B250" s="574"/>
      <c r="C250" s="574"/>
      <c r="D250" s="574"/>
    </row>
    <row r="251" spans="2:4">
      <c r="B251" s="574"/>
      <c r="C251" s="574"/>
      <c r="D251" s="574"/>
    </row>
    <row r="252" spans="2:4">
      <c r="B252" s="574"/>
      <c r="C252" s="574"/>
      <c r="D252" s="574"/>
    </row>
    <row r="253" spans="2:4">
      <c r="B253" s="574"/>
      <c r="C253" s="574"/>
      <c r="D253" s="574"/>
    </row>
    <row r="254" spans="2:4">
      <c r="B254" s="574"/>
      <c r="C254" s="574"/>
      <c r="D254" s="574"/>
    </row>
    <row r="255" spans="2:4">
      <c r="B255" s="574"/>
      <c r="C255" s="574"/>
      <c r="D255" s="574"/>
    </row>
    <row r="256" spans="2:4">
      <c r="B256" s="574"/>
      <c r="C256" s="574"/>
      <c r="D256" s="574"/>
    </row>
    <row r="257" spans="2:4">
      <c r="B257" s="574"/>
      <c r="C257" s="574"/>
      <c r="D257" s="574"/>
    </row>
    <row r="258" spans="2:4">
      <c r="B258" s="574"/>
      <c r="C258" s="574"/>
      <c r="D258" s="574"/>
    </row>
    <row r="259" spans="2:4">
      <c r="B259" s="574"/>
      <c r="C259" s="574"/>
      <c r="D259" s="574"/>
    </row>
    <row r="260" spans="2:4">
      <c r="B260" s="574"/>
      <c r="C260" s="574"/>
      <c r="D260" s="574"/>
    </row>
    <row r="261" spans="2:4">
      <c r="B261" s="574"/>
      <c r="C261" s="574"/>
      <c r="D261" s="574"/>
    </row>
    <row r="262" spans="2:4">
      <c r="B262" s="574"/>
      <c r="C262" s="574"/>
      <c r="D262" s="574"/>
    </row>
    <row r="263" spans="2:4">
      <c r="B263" s="574"/>
      <c r="C263" s="574"/>
      <c r="D263" s="574"/>
    </row>
    <row r="264" spans="2:4">
      <c r="B264" s="574"/>
      <c r="C264" s="574"/>
      <c r="D264" s="574"/>
    </row>
    <row r="265" spans="2:4">
      <c r="B265" s="574"/>
      <c r="C265" s="574"/>
      <c r="D265" s="574"/>
    </row>
    <row r="266" spans="2:4">
      <c r="B266" s="574"/>
      <c r="C266" s="574"/>
      <c r="D266" s="574"/>
    </row>
    <row r="267" spans="2:4">
      <c r="B267" s="574"/>
      <c r="C267" s="574"/>
      <c r="D267" s="574"/>
    </row>
    <row r="268" spans="2:4">
      <c r="B268" s="574"/>
      <c r="C268" s="574"/>
      <c r="D268" s="574"/>
    </row>
    <row r="269" spans="2:4">
      <c r="B269" s="574"/>
      <c r="C269" s="574"/>
      <c r="D269" s="574"/>
    </row>
    <row r="270" spans="2:4">
      <c r="B270" s="574"/>
      <c r="C270" s="574"/>
      <c r="D270" s="574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legacyDrawing r:id="rId2"/>
  <controls>
    <control shapeId="2049" r:id="rId3" name="Clear_Content"/>
  </controls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9"/>
  <dimension ref="A1:P58"/>
  <sheetViews>
    <sheetView topLeftCell="A31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20"/>
  <dimension ref="A1:P58"/>
  <sheetViews>
    <sheetView topLeftCell="A25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21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awadley</cp:lastModifiedBy>
  <cp:lastPrinted>2012-09-25T16:12:10Z</cp:lastPrinted>
  <dcterms:created xsi:type="dcterms:W3CDTF">1996-10-14T23:33:28Z</dcterms:created>
  <dcterms:modified xsi:type="dcterms:W3CDTF">2014-07-28T16:09:08Z</dcterms:modified>
</cp:coreProperties>
</file>