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<sst xmlns="http://schemas.openxmlformats.org/spreadsheetml/2006/main" count="3066" uniqueCount="703">
  <si>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</si>
  <si>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</si>
  <si>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</si>
  <si>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</si>
  <si>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</si>
  <si>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</si>
  <si>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</si>
  <si>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</si>
  <si>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</si>
  <si>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</si>
  <si>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</si>
  <si>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</si>
  <si>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</si>
  <si>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</si>
  <si>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</si>
  <si>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</si>
  <si>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</si>
  <si>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</si>
  <si>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</si>
  <si>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</si>
  <si>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</si>
  <si>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</si>
  <si>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</si>
  <si>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</si>
  <si>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</si>
  <si>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</si>
  <si>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</si>
  <si>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</si>
  <si>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</si>
  <si>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</si>
  <si>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</si>
  <si>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</si>
  <si>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</si>
  <si>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</si>
  <si>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</si>
  <si>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</si>
  <si>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</si>
  <si>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</si>
  <si>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</si>
  <si>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</si>
  <si>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</si>
  <si>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</si>
  <si>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</si>
  <si>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</si>
  <si>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</si>
  <si>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</si>
  <si>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</si>
  <si>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</si>
  <si>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</si>
  <si>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</si>
  <si>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</si>
  <si>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</si>
  <si>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</si>
  <si>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</si>
  <si>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</si>
  <si>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</si>
  <si>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</si>
  <si>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</si>
  <si>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</si>
  <si>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</si>
  <si>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</si>
  <si>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</si>
  <si>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</si>
  <si>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</si>
  <si>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</si>
  <si>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</si>
  <si>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</si>
  <si>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</si>
  <si>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</si>
  <si>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</si>
  <si>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</si>
  <si>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</si>
  <si>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</si>
  <si>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</si>
  <si>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</si>
  <si>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</si>
  <si>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</si>
  <si>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</si>
  <si>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</si>
  <si>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</si>
  <si>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</si>
  <si>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</si>
  <si>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</si>
  <si>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</si>
  <si>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</si>
  <si>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</si>
  <si>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</si>
  <si>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</si>
  <si>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</si>
  <si>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</si>
  <si>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</si>
  <si>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</si>
  <si>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</si>
  <si>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</si>
  <si>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</si>
  <si>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</si>
  <si>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</si>
  <si>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</si>
  <si>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</si>
  <si>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</si>
  <si>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</si>
  <si>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</si>
  <si>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</si>
  <si>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</si>
  <si>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</si>
  <si>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</si>
  <si>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</si>
  <si>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</si>
  <si>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</si>
  <si>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</si>
  <si>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</si>
  <si>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</si>
  <si>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</si>
  <si>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</si>
  <si>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</si>
  <si>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</si>
  <si>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</si>
  <si>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</si>
  <si>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</si>
  <si>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</si>
  <si>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</si>
  <si>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</si>
  <si>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</si>
  <si>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</si>
  <si>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</si>
  <si>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</si>
  <si>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</si>
  <si>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</si>
  <si>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</si>
  <si>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</si>
  <si>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</si>
  <si>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</si>
  <si>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</si>
  <si>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</si>
  <si>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</si>
  <si>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</si>
  <si>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</si>
  <si>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</si>
  <si>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</si>
  <si>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</si>
  <si>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</si>
  <si>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</si>
  <si>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</si>
  <si>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</si>
  <si>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</si>
  <si>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</si>
  <si>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</si>
  <si>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</si>
  <si>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</si>
  <si>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</si>
  <si>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</si>
  <si>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</si>
  <si>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</si>
  <si>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</si>
  <si>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</si>
  <si>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</si>
  <si>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</si>
  <si>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</si>
  <si>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</si>
  <si>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</si>
  <si>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</si>
  <si>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</si>
  <si>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</si>
  <si>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</si>
  <si>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</si>
  <si>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</si>
  <si>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</si>
  <si>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</si>
  <si>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</si>
  <si>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</si>
  <si>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</si>
  <si>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</si>
  <si>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</si>
  <si>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</si>
  <si>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</si>
  <si>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</si>
  <si>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</si>
  <si>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</si>
  <si>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</si>
  <si>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</si>
  <si>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</si>
  <si>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</si>
  <si>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</si>
  <si>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</si>
  <si>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</si>
  <si>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</si>
  <si>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</si>
  <si>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</si>
  <si>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</si>
  <si>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</si>
  <si>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</si>
  <si>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</si>
  <si>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</si>
  <si>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</si>
  <si>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</si>
  <si>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</si>
  <si>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</si>
  <si>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</si>
  <si>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</si>
  <si>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</si>
  <si>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</si>
  <si>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</si>
  <si>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</si>
  <si>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</si>
  <si>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</si>
  <si>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</si>
  <si>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</si>
  <si>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</si>
  <si>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</si>
  <si>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</si>
  <si>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</si>
  <si>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</si>
  <si>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</si>
  <si>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</si>
  <si>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</si>
  <si>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</si>
  <si>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</si>
  <si>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</si>
  <si>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</si>
  <si>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</si>
  <si>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</si>
  <si>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</si>
  <si>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</si>
  <si>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</si>
  <si>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</si>
  <si>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</si>
  <si>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</si>
  <si>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</si>
  <si>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</si>
  <si>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</si>
  <si>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</si>
  <si>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</si>
  <si>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</si>
  <si>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</si>
  <si>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</si>
  <si>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</si>
  <si>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</si>
  <si>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</si>
  <si>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</si>
  <si>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</si>
  <si>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</si>
  <si>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</si>
  <si>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</si>
  <si>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</si>
  <si>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</si>
  <si>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</si>
  <si>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</si>
  <si>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</si>
  <si>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</si>
  <si>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</si>
  <si>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</si>
  <si>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</si>
  <si>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</si>
  <si>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</si>
  <si>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</si>
  <si>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</si>
  <si>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</si>
  <si>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</si>
  <si>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</si>
  <si>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</si>
  <si>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</si>
  <si>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</si>
  <si>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</si>
  <si>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</si>
  <si>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</si>
  <si>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</si>
  <si>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</si>
  <si>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</si>
  <si>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</si>
  <si>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</si>
  <si>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</si>
  <si>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</si>
  <si>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</si>
  <si>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</si>
  <si>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</si>
  <si>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</si>
  <si>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</si>
  <si>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</si>
  <si>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</si>
  <si>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</si>
  <si>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</si>
  <si>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</si>
  <si>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</si>
  <si>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</si>
  <si>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</si>
  <si>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</si>
  <si>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</si>
  <si>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</si>
  <si>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</si>
  <si>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</si>
  <si>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</si>
  <si>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</si>
  <si>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</si>
  <si>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</si>
  <si>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</si>
  <si>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</si>
  <si>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</si>
  <si>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</si>
  <si>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</si>
  <si>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</si>
  <si>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</si>
  <si>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</si>
  <si>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</si>
  <si>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</si>
  <si>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</si>
  <si>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</si>
  <si>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</si>
  <si>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</si>
  <si>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</si>
  <si>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</si>
  <si>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</si>
  <si>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</si>
  <si>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</si>
  <si>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</si>
  <si>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</si>
  <si>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</si>
  <si>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</si>
  <si>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</si>
  <si>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</si>
  <si>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</si>
  <si>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</si>
  <si>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</si>
  <si>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</si>
  <si>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</si>
  <si>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</si>
  <si>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</si>
  <si>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</si>
  <si>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</si>
  <si>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</si>
  <si>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</si>
  <si>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</si>
  <si>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</si>
  <si>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</si>
  <si>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</si>
  <si>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</si>
  <si>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</si>
  <si>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</si>
  <si>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</si>
  <si>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</si>
  <si>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</si>
  <si>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</si>
  <si>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</si>
  <si>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</si>
  <si>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</si>
  <si>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</si>
  <si>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</si>
  <si>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</si>
  <si>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</si>
  <si>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</si>
  <si>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</si>
  <si>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</si>
  <si>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</si>
  <si>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</si>
  <si>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</si>
  <si>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</si>
  <si>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</si>
  <si>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</si>
  <si>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</si>
  <si>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</si>
  <si>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</si>
  <si>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</si>
  <si>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</si>
  <si>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</si>
  <si>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</si>
  <si>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</si>
  <si>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</si>
  <si>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</si>
  <si>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</si>
  <si>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</si>
  <si>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</si>
  <si>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</si>
  <si>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</si>
  <si>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</si>
  <si>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</si>
  <si>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</si>
  <si>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</si>
  <si>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</si>
  <si>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</si>
  <si>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</si>
  <si>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</si>
  <si>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</si>
  <si>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</si>
  <si>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</si>
  <si>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</si>
  <si>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</si>
  <si>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</si>
  <si>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</si>
  <si>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</si>
  <si>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</si>
  <si>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</si>
  <si>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</si>
  <si>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</si>
  <si>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</si>
  <si>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</si>
  <si>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</si>
  <si>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</si>
  <si>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</si>
  <si>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</si>
  <si>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</si>
  <si>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</si>
  <si>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</si>
  <si>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</si>
  <si>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</si>
  <si>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</si>
  <si>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</si>
  <si>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</si>
  <si>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</si>
  <si>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</si>
  <si>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</si>
  <si>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</si>
  <si>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</si>
  <si>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</si>
  <si>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</si>
  <si>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</si>
  <si>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</si>
  <si>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</si>
  <si>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</si>
  <si>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</si>
  <si>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</si>
  <si>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</si>
  <si>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</si>
  <si>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</si>
  <si>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</si>
  <si>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</si>
  <si>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</si>
  <si>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</si>
  <si>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</si>
  <si>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</si>
  <si>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</si>
  <si>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</si>
  <si>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</si>
  <si>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</si>
  <si>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</si>
  <si>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</si>
  <si>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</si>
  <si>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</si>
  <si>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</si>
  <si>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</si>
  <si>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</si>
  <si>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</si>
  <si>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</si>
  <si>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</si>
  <si>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</si>
  <si>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</si>
  <si>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</si>
  <si>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</si>
  <si>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</si>
  <si>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</si>
  <si>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</si>
  <si>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</si>
  <si>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</si>
  <si>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</si>
  <si>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</si>
  <si>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</si>
  <si>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</si>
  <si>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</si>
  <si>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</si>
  <si>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</si>
  <si>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</si>
  <si>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</si>
  <si>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</si>
  <si>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</si>
  <si>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</si>
  <si>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</si>
  <si>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</si>
  <si>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</si>
  <si>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</si>
  <si>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</si>
  <si>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</si>
  <si>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</si>
  <si>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</si>
  <si>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</si>
  <si>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</si>
  <si>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</si>
  <si>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</si>
  <si>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</si>
  <si>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</si>
  <si>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</si>
  <si>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</si>
  <si>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</si>
  <si>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</si>
  <si>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</si>
  <si>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</si>
  <si>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</si>
  <si>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</si>
  <si>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</si>
  <si>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</si>
  <si>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</si>
  <si>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</si>
  <si>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</si>
  <si>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</si>
  <si>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</si>
  <si>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</si>
  <si>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</si>
  <si>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</si>
  <si>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</si>
  <si>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</si>
  <si>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</si>
  <si>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</si>
  <si>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</si>
  <si>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</si>
  <si>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</si>
  <si>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</si>
  <si>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</si>
  <si>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</si>
  <si>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</si>
  <si>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</si>
  <si>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</si>
  <si>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</si>
  <si>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</si>
  <si>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</si>
  <si>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</si>
  <si>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</si>
  <si>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</si>
  <si>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</si>
  <si>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</si>
  <si>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</si>
  <si>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</si>
  <si>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</si>
  <si>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</si>
  <si>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</si>
  <si>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</si>
  <si>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</si>
  <si>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</si>
  <si>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</si>
  <si>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</si>
  <si>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</si>
  <si>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</si>
  <si>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</si>
  <si>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</si>
  <si>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</si>
  <si>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</si>
  <si>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</si>
  <si>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</si>
  <si>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</si>
  <si>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</si>
  <si>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</si>
  <si>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</si>
  <si>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</si>
  <si>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</si>
  <si>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</si>
  <si>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</si>
  <si>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</si>
  <si>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</si>
  <si>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</si>
  <si>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</si>
  <si>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</si>
  <si>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</si>
  <si>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</si>
  <si>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</si>
  <si>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</si>
  <si>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</si>
  <si>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</si>
  <si>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</si>
  <si>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</si>
  <si>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</si>
  <si>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</si>
  <si>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</si>
  <si>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</si>
  <si>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</si>
  <si>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</si>
  <si>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</si>
  <si>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</si>
  <si>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</si>
  <si>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</si>
  <si>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</si>
  <si>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</si>
  <si>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</si>
  <si>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</si>
  <si>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</si>
  <si>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</si>
  <si>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</si>
  <si>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</si>
  <si>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</si>
  <si>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</si>
  <si>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</si>
  <si>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</si>
  <si>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</si>
  <si>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</si>
  <si>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</si>
  <si>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</si>
  <si>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</si>
  <si>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</si>
  <si>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</si>
  <si>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</si>
  <si>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</si>
  <si>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</si>
  <si>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</si>
  <si>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</si>
  <si>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</si>
  <si>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</si>
  <si>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</si>
  <si>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</si>
  <si>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</si>
  <si>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</si>
  <si>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</si>
  <si>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</si>
  <si>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</si>
  <si>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</si>
  <si>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</si>
  <si>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</si>
  <si>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</si>
  <si>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</si>
  <si>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</si>
  <si>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</si>
  <si>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</si>
  <si>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</si>
  <si>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</si>
  <si>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</si>
  <si>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</si>
  <si>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</si>
  <si>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</si>
  <si>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</si>
  <si>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</si>
  <si>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</si>
  <si>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</si>
  <si>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</si>
  <si>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</si>
  <si>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</si>
  <si>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</si>
  <si>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</si>
  <si>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</si>
  <si>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</si>
  <si>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</si>
  <si>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</si>
  <si>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</si>
  <si>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</si>
  <si>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</si>
  <si>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</si>
  <si>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</si>
  <si>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</si>
  <si>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</si>
  <si>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</si>
  <si>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</si>
  <si>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</si>
  <si>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</si>
  <si>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</si>
  <si>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</si>
  <si>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</si>
  <si>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</si>
  <si>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</si>
  <si>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</si>
  <si>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</si>
  <si>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</si>
  <si>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</si>
  <si>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</si>
  <si>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</si>
  <si>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</si>
  <si>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</si>
  <si>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</si>
  <si>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</si>
  <si>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</si>
  <si>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</si>
  <si>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</si>
  <si>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</si>
  <si>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</si>
  <si>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</si>
  <si>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</si>
  <si>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</si>
  <si>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</si>
  <si>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</si>
  <si>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</si>
  <si>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</si>
  <si>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</si>
  <si>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</si>
  <si>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</si>
  <si>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</si>
  <si>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</si>
  <si>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</si>
  <si>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</si>
  <si>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</si>
  <si>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</si>
  <si>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</si>
  <si>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</si>
  <si>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</si>
  <si>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</si>
  <si>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</si>
  <si>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</si>
  <si>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</si>
  <si>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</si>
  <si>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</si>
  <si>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</si>
  <si>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</si>
  <si>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</si>
  <si>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</si>
  <si>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</si>
  <si>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</si>
  <si>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</si>
  <si>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</si>
  <si>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</si>
  <si>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</si>
  <si>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</si>
  <si>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</si>
  <si>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</si>
  <si>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</si>
  <si>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</si>
  <si>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</si>
  <si>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</si>
  <si>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</si>
  <si>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</si>
  <si>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</si>
  <si>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79390-10   1-1/4" </t>
  </si>
  <si>
    <t>Changed C/O to .093 per KM 10/13/14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</si>
</sst>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1000" t="s">
        <v>701</v>
      </c>
      <c r="D5" s="1001"/>
      <c r="E5" s="1002"/>
      <c r="F5" s="1002"/>
      <c r="G5" s="100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79390-10   1-1/4" </v>
      </c>
      <c r="Q5" s="348"/>
      <c r="R5" s="226"/>
      <c r="S5" s="226"/>
      <c r="T5" s="226"/>
      <c r="U5" s="349" t="s">
        <v>16</v>
      </c>
      <c r="V5" s="921">
        <f ca="1" xml:space="preserve"> TODAY()</f>
        <v>41925</v>
      </c>
      <c r="W5" s="158"/>
      <c r="X5" s="158"/>
      <c r="Y5" s="158"/>
    </row>
    <row r="6" spans="1:29" ht="18.75" thickBot="1">
      <c r="A6" s="969" t="s">
        <v>21</v>
      </c>
      <c r="B6" s="970"/>
      <c r="C6" s="970"/>
      <c r="D6" s="971"/>
      <c r="E6" s="263"/>
      <c r="F6" s="969" t="s">
        <v>320</v>
      </c>
      <c r="G6" s="970"/>
      <c r="H6" s="970"/>
      <c r="I6" s="971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954" t="s">
        <v>702</v>
      </c>
      <c r="N7" s="954"/>
      <c r="O7" s="954"/>
      <c r="P7" s="954"/>
      <c r="Q7" s="954"/>
      <c r="R7" s="954"/>
      <c r="S7" s="954"/>
      <c r="T7" s="158"/>
      <c r="U7" s="158"/>
      <c r="V7" s="198"/>
      <c r="W7" s="158"/>
      <c r="X7" s="158"/>
      <c r="Y7" s="158"/>
    </row>
    <row r="8" spans="1:29" ht="15.75" customHeight="1">
      <c r="A8" s="975">
        <v>1</v>
      </c>
      <c r="B8" s="1015" t="s">
        <v>317</v>
      </c>
      <c r="C8" s="989" t="s">
        <v>23</v>
      </c>
      <c r="D8" s="101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5"/>
      <c r="B9" s="1016"/>
      <c r="C9" s="990"/>
      <c r="D9" s="101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5"/>
      <c r="B10" s="1016"/>
      <c r="C10" s="990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5"/>
      <c r="B11" s="1016"/>
      <c r="C11" s="990"/>
      <c r="D11" s="1017"/>
      <c r="E11" s="204"/>
      <c r="F11" s="444"/>
      <c r="G11" s="200" t="s">
        <v>311</v>
      </c>
      <c r="H11" s="176"/>
      <c r="I11" s="446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5"/>
      <c r="B12" s="1016"/>
      <c r="C12" s="990"/>
      <c r="D12" s="101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5"/>
      <c r="B13" s="1016"/>
      <c r="C13" s="990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90">
        <v>0.31</v>
      </c>
      <c r="P13" s="158"/>
      <c r="Q13" s="994" t="s">
        <v>312</v>
      </c>
      <c r="R13" s="968"/>
      <c r="S13" s="1014">
        <f>+C20</f>
        <v>1.125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5"/>
      <c r="B14" s="1016"/>
      <c r="C14" s="990"/>
      <c r="D14" s="101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5">
        <v>2</v>
      </c>
      <c r="B15" s="1015" t="s">
        <v>306</v>
      </c>
      <c r="C15" s="989" t="s">
        <v>343</v>
      </c>
      <c r="D15" s="97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7"/>
      <c r="N15" s="252"/>
      <c r="O15" s="926">
        <v>9.2999999999999999E-2</v>
      </c>
      <c r="P15" s="158"/>
      <c r="Q15" s="994" t="s">
        <v>308</v>
      </c>
      <c r="R15" s="968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5"/>
      <c r="B16" s="1016"/>
      <c r="C16" s="990"/>
      <c r="D16" s="976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5"/>
      <c r="B17" s="1016"/>
      <c r="C17" s="990"/>
      <c r="D17" s="976"/>
      <c r="E17" s="204"/>
      <c r="F17" s="444">
        <v>37</v>
      </c>
      <c r="G17" s="204" t="s">
        <v>452</v>
      </c>
      <c r="H17" s="318"/>
      <c r="I17" s="452">
        <f>IF(OR(C28="HS",C28="HL"),T30,U52)</f>
        <v>488.93962297745412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9" t="s">
        <v>304</v>
      </c>
      <c r="R17" s="1010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5"/>
      <c r="B18" s="1016"/>
      <c r="C18" s="990"/>
      <c r="D18" s="97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90">
        <f>SUM(O13:O16)</f>
        <v>0.42300000000000004</v>
      </c>
      <c r="P18" s="158"/>
      <c r="Q18" s="994" t="s">
        <v>302</v>
      </c>
      <c r="R18" s="967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5"/>
      <c r="B19" s="1016"/>
      <c r="C19" s="1018"/>
      <c r="D19" s="97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2.4716753218745093E-2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4" t="s">
        <v>299</v>
      </c>
      <c r="R20" s="968"/>
      <c r="S20" s="252">
        <f>IF(ISERROR(T18/O22),"",T18/O22)</f>
        <v>323.32081768877759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>
        <v>125</v>
      </c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9" t="s">
        <v>691</v>
      </c>
      <c r="M21" s="1020"/>
      <c r="N21" s="102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6" t="s">
        <v>297</v>
      </c>
      <c r="M22" s="968"/>
      <c r="N22" s="235"/>
      <c r="O22" s="250">
        <f>O18*(1+O20)</f>
        <v>0.43146000000000007</v>
      </c>
      <c r="P22" s="158"/>
      <c r="Q22" s="994" t="s">
        <v>296</v>
      </c>
      <c r="R22" s="967"/>
      <c r="S22" s="967"/>
      <c r="T22" s="203">
        <f>IF(S20="",,S20 - 1)</f>
        <v>322.32081768877759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6" t="s">
        <v>699</v>
      </c>
      <c r="M24" s="1037"/>
      <c r="N24" s="1037"/>
      <c r="O24" s="920">
        <f>IF(ISERROR(S17/T22),,S17/T22)</f>
        <v>0.13633502361346173</v>
      </c>
      <c r="P24" s="243" t="s">
        <v>22</v>
      </c>
      <c r="Q24" s="1021" t="s">
        <v>692</v>
      </c>
      <c r="R24" s="1021"/>
      <c r="S24" s="1021"/>
      <c r="T24" s="1021"/>
      <c r="U24" s="1021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3" t="s">
        <v>289</v>
      </c>
      <c r="M27" s="1034"/>
      <c r="N27" s="1034"/>
      <c r="O27" s="1034"/>
      <c r="P27" s="1035"/>
      <c r="Q27" s="994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325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995" t="s">
        <v>288</v>
      </c>
      <c r="R28" s="996"/>
      <c r="S28" s="997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5">
        <v>79390</v>
      </c>
      <c r="N30" s="955"/>
      <c r="O30" s="922">
        <v>3.662E-2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9.9715023613461726E-2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972" t="s">
        <v>685</v>
      </c>
      <c r="H34" s="973"/>
      <c r="I34" s="97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998" t="s">
        <v>683</v>
      </c>
      <c r="M35" s="999"/>
      <c r="N35" s="999"/>
      <c r="O35" s="965"/>
      <c r="P35" s="158"/>
      <c r="Q35" s="966" t="s">
        <v>280</v>
      </c>
      <c r="R35" s="968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4" t="s">
        <v>279</v>
      </c>
      <c r="R36" s="967"/>
      <c r="S36" s="968"/>
      <c r="T36" s="283">
        <v>6.4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7" t="s">
        <v>274</v>
      </c>
      <c r="M42" s="1028"/>
      <c r="N42" s="1028"/>
      <c r="O42" s="1028"/>
      <c r="P42" s="102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7"/>
      <c r="N44" s="968"/>
      <c r="O44" s="284">
        <v>6</v>
      </c>
      <c r="P44" s="214"/>
      <c r="Q44" s="994" t="s">
        <v>269</v>
      </c>
      <c r="R44" s="968"/>
      <c r="S44" s="215">
        <f>T22*O44</f>
        <v>1933.9249061326655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323.32081768877759</v>
      </c>
      <c r="E46" s="157"/>
      <c r="F46" s="444">
        <v>55</v>
      </c>
      <c r="G46" s="440" t="s">
        <v>24</v>
      </c>
      <c r="H46" s="441"/>
      <c r="I46" s="442"/>
      <c r="K46" s="158"/>
      <c r="L46" s="966" t="s">
        <v>689</v>
      </c>
      <c r="M46" s="967"/>
      <c r="N46" s="967"/>
      <c r="O46" s="967"/>
      <c r="P46" s="967"/>
      <c r="Q46" s="967"/>
      <c r="R46" s="968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322.32081768877759</v>
      </c>
      <c r="E47" s="157"/>
      <c r="F47" s="444"/>
      <c r="G47" s="337"/>
      <c r="H47" s="338"/>
      <c r="I47" s="341"/>
      <c r="K47" s="158"/>
      <c r="L47" s="966" t="s">
        <v>263</v>
      </c>
      <c r="M47" s="967"/>
      <c r="N47" s="967"/>
      <c r="O47" s="967"/>
      <c r="P47" s="967"/>
      <c r="Q47" s="967"/>
      <c r="R47" s="968"/>
      <c r="S47" s="158"/>
      <c r="T47" s="158"/>
      <c r="U47" s="210">
        <f>IF(ISERROR(U46/S44),"",U46/S44)-1</f>
        <v>1.0941867945115411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37.857135483870969</v>
      </c>
      <c r="E48" s="157"/>
      <c r="F48" s="444">
        <v>56</v>
      </c>
      <c r="G48" s="204" t="s">
        <v>257</v>
      </c>
      <c r="H48" s="333"/>
      <c r="I48" s="446"/>
      <c r="K48" s="158"/>
      <c r="L48" s="966" t="s">
        <v>261</v>
      </c>
      <c r="M48" s="967"/>
      <c r="N48" s="967"/>
      <c r="O48" s="967"/>
      <c r="P48" s="967"/>
      <c r="Q48" s="967"/>
      <c r="R48" s="968"/>
      <c r="S48" s="158"/>
      <c r="T48" s="158"/>
      <c r="U48" s="210">
        <f>U47*15</f>
        <v>16.412801917673118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0.13633502361346173</v>
      </c>
      <c r="E49" s="157"/>
      <c r="F49" s="444">
        <v>57</v>
      </c>
      <c r="G49" s="171" t="s">
        <v>254</v>
      </c>
      <c r="H49" s="281"/>
      <c r="I49" s="207"/>
      <c r="K49" s="158"/>
      <c r="L49" s="1030" t="s">
        <v>686</v>
      </c>
      <c r="M49" s="1031"/>
      <c r="N49" s="1031"/>
      <c r="O49" s="1031"/>
      <c r="P49" s="1031"/>
      <c r="Q49" s="1031"/>
      <c r="R49" s="1032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0.28630354958826965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68"/>
      <c r="T50" s="158"/>
      <c r="U50" s="210">
        <f>480 - U48</f>
        <v>463.58719808232689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9" t="s">
        <v>245</v>
      </c>
      <c r="G51" s="970"/>
      <c r="H51" s="970"/>
      <c r="I51" s="971"/>
      <c r="K51" s="158"/>
      <c r="L51" s="966" t="s">
        <v>253</v>
      </c>
      <c r="M51" s="967"/>
      <c r="N51" s="967"/>
      <c r="O51" s="967"/>
      <c r="P51" s="967"/>
      <c r="Q51" s="967"/>
      <c r="R51" s="967"/>
      <c r="S51" s="968"/>
      <c r="T51" s="158"/>
      <c r="U51" s="206">
        <f>U50*U49</f>
        <v>3911.516983819633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2"/>
      <c r="G52" s="1023"/>
      <c r="H52" s="1023"/>
      <c r="I52" s="1024"/>
      <c r="K52" s="158"/>
      <c r="L52" s="966" t="s">
        <v>688</v>
      </c>
      <c r="M52" s="967"/>
      <c r="N52" s="967"/>
      <c r="O52" s="967"/>
      <c r="P52" s="967"/>
      <c r="Q52" s="967"/>
      <c r="R52" s="967"/>
      <c r="S52" s="968"/>
      <c r="T52" s="158"/>
      <c r="U52" s="203">
        <f>IF(ISERROR(U51/8),,U51/8)</f>
        <v>488.93962297745412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0.23381456549708687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1" t="s">
        <v>248</v>
      </c>
      <c r="M54" s="962"/>
      <c r="N54" s="962"/>
      <c r="O54" s="963"/>
      <c r="P54" s="1025">
        <f>U52</f>
        <v>488.93962297745412</v>
      </c>
      <c r="Q54" s="1026"/>
      <c r="R54" s="158"/>
      <c r="S54" s="323" t="s">
        <v>247</v>
      </c>
      <c r="T54" s="324"/>
      <c r="U54" s="324"/>
      <c r="V54" s="347">
        <f>O24</f>
        <v>0.13633502361346173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2.4716753218745093E-2</v>
      </c>
      <c r="L56" s="961" t="s">
        <v>244</v>
      </c>
      <c r="M56" s="962"/>
      <c r="N56" s="962"/>
      <c r="O56" s="963"/>
      <c r="P56" s="964">
        <f>T30</f>
        <v>405</v>
      </c>
      <c r="Q56" s="96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8" t="s">
        <v>349</v>
      </c>
      <c r="M59" s="960"/>
      <c r="N59"/>
      <c r="O59" s="958" t="s">
        <v>351</v>
      </c>
      <c r="P59" s="960"/>
      <c r="Q59"/>
      <c r="R59" s="958" t="s">
        <v>328</v>
      </c>
      <c r="S59" s="959"/>
      <c r="T59" s="959"/>
      <c r="U59" s="96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9.5434516529423197E-2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5.2488984091182765E-2</v>
      </c>
      <c r="E62" s="146"/>
      <c r="F62" s="304">
        <v>68</v>
      </c>
      <c r="G62" s="180" t="s">
        <v>231</v>
      </c>
      <c r="H62" s="182"/>
      <c r="I62" s="181">
        <f>SUM(I53:I61)</f>
        <v>0.27713666042242269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1.1956885046278596E-2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0.23381456549708687</v>
      </c>
      <c r="E64" s="146"/>
      <c r="F64" s="165">
        <v>70</v>
      </c>
      <c r="G64" s="167" t="s">
        <v>352</v>
      </c>
      <c r="H64" s="166"/>
      <c r="I64" s="162">
        <f>+I63+I62</f>
        <v>0.28909354546870131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6" t="s">
        <v>335</v>
      </c>
      <c r="M73" s="957"/>
      <c r="N73" s="150"/>
      <c r="O73" s="956" t="s">
        <v>334</v>
      </c>
      <c r="P73" s="957"/>
      <c r="R73" s="958" t="s">
        <v>333</v>
      </c>
      <c r="S73" s="959"/>
      <c r="T73" s="96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4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C8:C14"/>
    <mergeCell ref="D8:D1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B15:B19"/>
    <mergeCell ref="C15:C19"/>
    <mergeCell ref="M7:S7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Q27:R27"/>
    <mergeCell ref="Q28:S28"/>
    <mergeCell ref="L35:O3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444"/>
      <c r="G8" s="200" t="s">
        <v>311</v>
      </c>
      <c r="H8" s="176"/>
      <c r="I8" s="446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>
        <f>T27</f>
        <v>432</v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444"/>
      <c r="G8" s="200" t="s">
        <v>311</v>
      </c>
      <c r="H8" s="176"/>
      <c r="I8" s="446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444"/>
      <c r="G13" s="200" t="s">
        <v>301</v>
      </c>
      <c r="H13" s="176"/>
      <c r="I13" s="446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5" t="s">
        <v>317</v>
      </c>
      <c r="C5" s="989"/>
      <c r="D5" s="105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6"/>
      <c r="C6" s="990"/>
      <c r="D6" s="105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6"/>
      <c r="C7" s="990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6"/>
      <c r="C8" s="990"/>
      <c r="D8" s="1059"/>
      <c r="E8" s="204"/>
      <c r="F8" s="711"/>
      <c r="G8" s="200" t="s">
        <v>311</v>
      </c>
      <c r="H8" s="176"/>
      <c r="I8" s="713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6"/>
      <c r="C9" s="990"/>
      <c r="D9" s="105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6"/>
      <c r="C10" s="990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4" t="s">
        <v>312</v>
      </c>
      <c r="R10" s="968"/>
      <c r="S10" s="101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6"/>
      <c r="C11" s="990"/>
      <c r="D11" s="105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5" t="s">
        <v>306</v>
      </c>
      <c r="C12" s="989"/>
      <c r="D12" s="97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6"/>
      <c r="C13" s="990"/>
      <c r="D13" s="976"/>
      <c r="E13" s="204"/>
      <c r="F13" s="711"/>
      <c r="G13" s="200" t="s">
        <v>301</v>
      </c>
      <c r="H13" s="176"/>
      <c r="I13" s="713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6"/>
      <c r="C14" s="990"/>
      <c r="D14" s="976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6"/>
      <c r="C15" s="990"/>
      <c r="D15" s="97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4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6"/>
      <c r="C16" s="1018"/>
      <c r="D16" s="97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4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4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4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6" t="s">
        <v>285</v>
      </c>
      <c r="C26" s="989"/>
      <c r="D26" s="976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6"/>
      <c r="C27" s="990"/>
      <c r="D27" s="976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6"/>
      <c r="C28" s="990"/>
      <c r="D28" s="97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6"/>
      <c r="C29" s="990"/>
      <c r="D29" s="976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6"/>
      <c r="C30" s="990"/>
      <c r="D30" s="976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50"/>
      <c r="C31" s="991"/>
      <c r="D31" s="1051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4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2"/>
      <c r="G48" s="1023"/>
      <c r="H48" s="1023"/>
      <c r="I48" s="1024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38" t="s">
        <v>334</v>
      </c>
      <c r="P66" s="1039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41925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0.24842995011247149</v>
      </c>
      <c r="F23" s="120">
        <f>E23</f>
        <v>0.24842995011247149</v>
      </c>
    </row>
    <row r="24" spans="2:28">
      <c r="B24" s="115" t="s">
        <v>44</v>
      </c>
      <c r="C24" s="108"/>
      <c r="D24" s="111"/>
      <c r="E24" s="111">
        <f>Assembly!H96</f>
        <v>2.7806709409950225E-2</v>
      </c>
      <c r="F24" s="120">
        <f>E24</f>
        <v>2.7806709409950225E-2</v>
      </c>
    </row>
    <row r="25" spans="2:28">
      <c r="B25" s="121" t="s">
        <v>40</v>
      </c>
      <c r="C25" s="108"/>
      <c r="D25" s="361"/>
      <c r="E25" s="122">
        <f>Assembly!H97</f>
        <v>1.2856885946279496E-2</v>
      </c>
      <c r="F25" s="123">
        <f>E25-Assembly!H85-Assembly!H86-Assembly!H88-Assembly!H89-'Machined Part #1'!I54-'Machined Part #1'!I58-'Pacific Quote #2'!I50-'Pacific Quote #2'!I54-'Pacific Quote #3'!I50-'Pacific Quote #3'!I54</f>
        <v>1.1956885046278596E-2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-0.2890935454687012</v>
      </c>
      <c r="F26" s="120">
        <f>F22-F23-F24-F25</f>
        <v>-0.28819354456870033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-0.2890935454687012</v>
      </c>
      <c r="F28" s="120">
        <f>F26-F27</f>
        <v>-0.28819354456870033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0.24842995011247149</v>
      </c>
      <c r="F34" s="396">
        <f>'Machined Part #1'!I55+'Machined Part #1'!I56+'Machined Part #1'!I57</f>
        <v>2.7806709409950225E-2</v>
      </c>
      <c r="G34" s="469">
        <f>'Machined Part #1'!I63+'Machined Part #1'!I54+'Machined Part #1'!I58</f>
        <v>1.2856885946279496E-2</v>
      </c>
      <c r="H34" s="327">
        <f>'Machined Part #1'!I64</f>
        <v>0.28909354546870131</v>
      </c>
      <c r="I34" s="327"/>
      <c r="J34" s="845">
        <f t="shared" ref="J34:J43" si="1">$H34</f>
        <v>0.28909354546870131</v>
      </c>
      <c r="K34" s="813"/>
      <c r="L34" s="327"/>
      <c r="M34" s="327">
        <f t="shared" ref="M34:M43" si="2">$H34</f>
        <v>0.28909354546870131</v>
      </c>
      <c r="N34" s="813"/>
      <c r="O34" s="327"/>
      <c r="P34" s="327">
        <f t="shared" ref="P34:P43" si="3">$H34</f>
        <v>0.28909354546870131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0.28909354546870131</v>
      </c>
      <c r="I44" s="468"/>
      <c r="J44" s="848">
        <f>SUM(J34:J43)</f>
        <v>0.28909354546870131</v>
      </c>
      <c r="K44" s="815"/>
      <c r="L44" s="468"/>
      <c r="M44" s="468">
        <f>SUM(M34:M43)</f>
        <v>0.28909354546870131</v>
      </c>
      <c r="N44" s="815"/>
      <c r="O44" s="468"/>
      <c r="P44" s="468">
        <f>SUM(P34:P43)</f>
        <v>0.28909354546870131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0.24842995011247149</v>
      </c>
      <c r="I95" s="479"/>
      <c r="J95" s="863">
        <f>J65+SUM(F46:F55)+SUM(F34:F43)+J32</f>
        <v>2.7806709409950225E-2</v>
      </c>
      <c r="K95" s="818"/>
      <c r="L95" s="479"/>
      <c r="M95" s="479">
        <f>M65+SUM(G46:G55)+SUM(G34:G43)+M32</f>
        <v>1.2856885946279496E-2</v>
      </c>
      <c r="N95" s="818"/>
      <c r="O95" s="479"/>
      <c r="P95" s="479">
        <f>P65+SUM(H46:H55)+SUM(H34:H43)+P32</f>
        <v>0.28909354546870131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2.7806709409950225E-2</v>
      </c>
      <c r="I96" s="398"/>
      <c r="J96" s="864">
        <f>J80+SUM(G46:G55)+SUM(G34:G43)</f>
        <v>1.2856885946279496E-2</v>
      </c>
      <c r="K96" s="824"/>
      <c r="L96" s="398"/>
      <c r="M96" s="398">
        <f>M80+SUM(H46:H55)+SUM(H34:H43)</f>
        <v>0.28909354546870131</v>
      </c>
      <c r="N96" s="824"/>
      <c r="O96" s="398"/>
      <c r="P96" s="398">
        <f>P80+SUM(J46:J55)+SUM(J34:J43)</f>
        <v>0.28909354546870131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1.2856885946279496E-2</v>
      </c>
      <c r="I97" s="326"/>
      <c r="J97" s="865">
        <f>J81+SUM(H46:H55)+SUM(H34:H43)+J91</f>
        <v>0.28909354546870131</v>
      </c>
      <c r="K97" s="817"/>
      <c r="L97" s="326"/>
      <c r="M97" s="326">
        <f>M81+SUM(J46:J55)+SUM(J34:J43)+M91</f>
        <v>0.28909354546870131</v>
      </c>
      <c r="N97" s="817"/>
      <c r="O97" s="326"/>
      <c r="P97" s="326">
        <f>P81+SUM(M46:M55)+SUM(M34:M43)+P91</f>
        <v>0.28909354546870131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0.2890935454687012</v>
      </c>
      <c r="I99" s="360"/>
      <c r="J99" s="867">
        <f>SUM(J95:J98)</f>
        <v>0.32975714082493102</v>
      </c>
      <c r="K99" s="819"/>
      <c r="L99" s="360"/>
      <c r="M99" s="360">
        <f>SUM(M95:M98)</f>
        <v>0.59104397688368215</v>
      </c>
      <c r="N99" s="819"/>
      <c r="O99" s="360"/>
      <c r="P99" s="360">
        <f>SUM(P95:P98)</f>
        <v>0.86728063640610387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2014-10-13T17:27:43Z</dcterms:modified>
</cp:coreProperties>
</file>