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<sst xmlns="http://schemas.openxmlformats.org/spreadsheetml/2006/main" count="3072" uniqueCount="710">
  <si>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</si>
  <si>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</si>
  <si>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</si>
  <si>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</si>
  <si>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</si>
  <si>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</si>
  <si>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</si>
  <si>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</si>
  <si>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</si>
  <si>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</si>
  <si>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</si>
  <si>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</si>
  <si>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</si>
  <si>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</si>
  <si>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</si>
  <si>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</si>
  <si>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</si>
  <si>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</si>
  <si>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</si>
  <si>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</si>
  <si>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</si>
  <si>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</si>
  <si>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</si>
  <si>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</si>
  <si>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</si>
  <si>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</si>
  <si>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</si>
  <si>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</si>
  <si>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</si>
  <si>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</si>
  <si>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</si>
  <si>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</si>
  <si>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</si>
  <si>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</si>
  <si>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</si>
  <si>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</si>
  <si>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</si>
  <si>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</si>
  <si>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</si>
  <si>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</si>
  <si>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</si>
  <si>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</si>
  <si>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</si>
  <si>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</si>
  <si>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</si>
  <si>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</si>
  <si>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</si>
  <si>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</si>
  <si>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</si>
  <si>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</si>
  <si>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</si>
  <si>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</si>
  <si>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</si>
  <si>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</si>
  <si>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</si>
  <si>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</si>
  <si>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</si>
  <si>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</si>
  <si>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</si>
  <si>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</si>
  <si>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</si>
  <si>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</si>
  <si>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</si>
  <si>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</si>
  <si>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</si>
  <si>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</si>
  <si>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</si>
  <si>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</si>
  <si>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</si>
  <si>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</si>
  <si>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</si>
  <si>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</si>
  <si>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</si>
  <si>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</si>
  <si>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</si>
  <si>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</si>
  <si>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</si>
  <si>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</si>
  <si>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</si>
  <si>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</si>
  <si>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</si>
  <si>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</si>
  <si>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</si>
  <si>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</si>
  <si>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</si>
  <si>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</si>
  <si>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</si>
  <si>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</si>
  <si>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</si>
  <si>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</si>
  <si>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</si>
  <si>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</si>
  <si>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</si>
  <si>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</si>
  <si>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</si>
  <si>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</si>
  <si>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</si>
  <si>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</si>
  <si>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</si>
  <si>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</si>
  <si>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</si>
  <si>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</si>
  <si>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</si>
  <si>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</si>
  <si>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</si>
  <si>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</si>
  <si>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</si>
  <si>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</si>
  <si>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</si>
  <si>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</si>
  <si>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</si>
  <si>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</si>
  <si>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</si>
  <si>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</si>
  <si>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</si>
  <si>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</si>
  <si>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</si>
  <si>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</si>
  <si>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</si>
  <si>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</si>
  <si>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</si>
  <si>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</si>
  <si>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</si>
  <si>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</si>
  <si>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</si>
  <si>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</si>
  <si>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</si>
  <si>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</si>
  <si>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</si>
  <si>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</si>
  <si>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</si>
  <si>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</si>
  <si>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</si>
  <si>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</si>
  <si>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</si>
  <si>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</si>
  <si>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</si>
  <si>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</si>
  <si>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</si>
  <si>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</si>
  <si>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</si>
  <si>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</si>
  <si>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</si>
  <si>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</si>
  <si>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</si>
  <si>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</si>
  <si>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</si>
  <si>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</si>
  <si>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</si>
  <si>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</si>
  <si>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</si>
  <si>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</si>
  <si>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</si>
  <si>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</si>
  <si>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</si>
  <si>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</si>
  <si>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</si>
  <si>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</si>
  <si>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</si>
  <si>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</si>
  <si>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</si>
  <si>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</si>
  <si>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</si>
  <si>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</si>
  <si>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</si>
  <si>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</si>
  <si>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</si>
  <si>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</si>
  <si>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</si>
  <si>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</si>
  <si>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</si>
  <si>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</si>
  <si>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</si>
  <si>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</si>
  <si>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</si>
  <si>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</si>
  <si>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</si>
  <si>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</si>
  <si>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</si>
  <si>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</si>
  <si>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</si>
  <si>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</si>
  <si>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</si>
  <si>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</si>
  <si>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</si>
  <si>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</si>
  <si>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</si>
  <si>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</si>
  <si>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</si>
  <si>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</si>
  <si>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</si>
  <si>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</si>
  <si>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</si>
  <si>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</si>
  <si>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</si>
  <si>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</si>
  <si>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</si>
  <si>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</si>
  <si>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</si>
  <si>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</si>
  <si>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</si>
  <si>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</si>
  <si>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</si>
  <si>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</si>
  <si>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</si>
  <si>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</si>
  <si>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</si>
  <si>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</si>
  <si>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</si>
  <si>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</si>
  <si>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</si>
  <si>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</si>
  <si>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</si>
  <si>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</si>
  <si>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</si>
  <si>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</si>
  <si>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</si>
  <si>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</si>
  <si>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</si>
  <si>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</si>
  <si>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</si>
  <si>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</si>
  <si>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</si>
  <si>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</si>
  <si>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</si>
  <si>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</si>
  <si>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</si>
  <si>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</si>
  <si>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</si>
  <si>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</si>
  <si>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</si>
  <si>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</si>
  <si>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</si>
  <si>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</si>
  <si>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</si>
  <si>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</si>
  <si>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</si>
  <si>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</si>
  <si>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</si>
  <si>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</si>
  <si>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</si>
  <si>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</si>
  <si>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</si>
  <si>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</si>
  <si>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</si>
  <si>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</si>
  <si>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</si>
  <si>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</si>
  <si>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</si>
  <si>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</si>
  <si>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</si>
  <si>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</si>
  <si>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</si>
  <si>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</si>
  <si>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</si>
  <si>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</si>
  <si>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</si>
  <si>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</si>
  <si>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</si>
  <si>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</si>
  <si>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</si>
  <si>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</si>
  <si>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</si>
  <si>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</si>
  <si>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</si>
  <si>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</si>
  <si>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</si>
  <si>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</si>
  <si>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</si>
  <si>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</si>
  <si>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</si>
  <si>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</si>
  <si>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</si>
  <si>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</si>
  <si>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</si>
  <si>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</si>
  <si>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</si>
  <si>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</si>
  <si>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</si>
  <si>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</si>
  <si>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</si>
  <si>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</si>
  <si>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</si>
  <si>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</si>
  <si>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</si>
  <si>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</si>
  <si>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</si>
  <si>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</si>
  <si>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</si>
  <si>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</si>
  <si>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</si>
  <si>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</si>
  <si>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</si>
  <si>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</si>
  <si>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</si>
  <si>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</si>
  <si>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</si>
  <si>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</si>
  <si>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</si>
  <si>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</si>
  <si>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</si>
  <si>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</si>
  <si>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</si>
  <si>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</si>
  <si>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</si>
  <si>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</si>
  <si>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</si>
  <si>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</si>
  <si>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</si>
  <si>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</si>
  <si>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</si>
  <si>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</si>
  <si>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</si>
  <si>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</si>
  <si>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</si>
  <si>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</si>
  <si>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</si>
  <si>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</si>
  <si>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</si>
  <si>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</si>
  <si>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</si>
  <si>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</si>
  <si>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</si>
  <si>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</si>
  <si>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</si>
  <si>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</si>
  <si>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</si>
  <si>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</si>
  <si>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</si>
  <si>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</si>
  <si>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</si>
  <si>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</si>
  <si>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</si>
  <si>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</si>
  <si>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</si>
  <si>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</si>
  <si>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</si>
  <si>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</si>
  <si>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</si>
  <si>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</si>
  <si>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</si>
  <si>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</si>
  <si>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</si>
  <si>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</si>
  <si>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</si>
  <si>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</si>
  <si>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</si>
  <si>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</si>
  <si>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</si>
  <si>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</si>
  <si>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</si>
  <si>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</si>
  <si>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</si>
  <si>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</si>
  <si>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</si>
  <si>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</si>
  <si>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</si>
  <si>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</si>
  <si>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</si>
  <si>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</si>
  <si>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</si>
  <si>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</si>
  <si>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</si>
  <si>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</si>
  <si>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</si>
  <si>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</si>
  <si>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</si>
  <si>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</si>
  <si>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</si>
  <si>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</si>
  <si>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</si>
  <si>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</si>
  <si>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</si>
  <si>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</si>
  <si>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</si>
  <si>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</si>
  <si>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</si>
  <si>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</si>
  <si>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</si>
  <si>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</si>
  <si>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</si>
  <si>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</si>
  <si>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</si>
  <si>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</si>
  <si>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</si>
  <si>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</si>
  <si>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</si>
  <si>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</si>
  <si>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</si>
  <si>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</si>
  <si>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</si>
  <si>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</si>
  <si>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</si>
  <si>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</si>
  <si>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</si>
  <si>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</si>
  <si>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</si>
  <si>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</si>
  <si>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</si>
  <si>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</si>
  <si>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</si>
  <si>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</si>
  <si>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</si>
  <si>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</si>
  <si>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</si>
  <si>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</si>
  <si>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</si>
  <si>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</si>
  <si>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</si>
  <si>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</si>
  <si>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</si>
  <si>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</si>
  <si>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</si>
  <si>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</si>
  <si>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</si>
  <si>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</si>
  <si>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</si>
  <si>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</si>
  <si>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</si>
  <si>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</si>
  <si>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</si>
  <si>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</si>
  <si>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</si>
  <si>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</si>
  <si>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</si>
  <si>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</si>
  <si>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</si>
  <si>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</si>
  <si>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</si>
  <si>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</si>
  <si>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</si>
  <si>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</si>
  <si>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</si>
  <si>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</si>
  <si>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</si>
  <si>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</si>
  <si>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</si>
  <si>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</si>
  <si>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</si>
  <si>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</si>
  <si>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</si>
  <si>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</si>
  <si>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</si>
  <si>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</si>
  <si>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</si>
  <si>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</si>
  <si>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</si>
  <si>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</si>
  <si>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</si>
  <si>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</si>
  <si>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</si>
  <si>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</si>
  <si>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</si>
  <si>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</si>
  <si>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</si>
  <si>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</si>
  <si>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</si>
  <si>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</si>
  <si>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</si>
  <si>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</si>
  <si>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</si>
  <si>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</si>
  <si>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</si>
  <si>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</si>
  <si>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</si>
  <si>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</si>
  <si>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</si>
  <si>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</si>
  <si>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</si>
  <si>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</si>
  <si>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</si>
  <si>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</si>
  <si>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</si>
  <si>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</si>
  <si>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</si>
  <si>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</si>
  <si>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</si>
  <si>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</si>
  <si>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</si>
  <si>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</si>
  <si>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</si>
  <si>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</si>
  <si>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</si>
  <si>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</si>
  <si>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</si>
  <si>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</si>
  <si>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</si>
  <si>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</si>
  <si>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</si>
  <si>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</si>
  <si>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</si>
  <si>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</si>
  <si>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</si>
  <si>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</si>
  <si>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</si>
  <si>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</si>
  <si>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</si>
  <si>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</si>
  <si>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</si>
  <si>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</si>
  <si>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</si>
  <si>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</si>
  <si>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</si>
  <si>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</si>
  <si>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</si>
  <si>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</si>
  <si>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</si>
  <si>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</si>
  <si>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</si>
  <si>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</si>
  <si>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</si>
  <si>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</si>
  <si>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</si>
  <si>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</si>
  <si>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</si>
  <si>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</si>
  <si>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</si>
  <si>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</si>
  <si>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</si>
  <si>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</si>
  <si>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</si>
  <si>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</si>
  <si>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</si>
  <si>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</si>
  <si>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</si>
  <si>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</si>
  <si>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</si>
  <si>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</si>
  <si>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</si>
  <si>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</si>
  <si>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</si>
  <si>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</si>
  <si>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</si>
  <si>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</si>
  <si>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</si>
  <si>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</si>
  <si>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</si>
  <si>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</si>
  <si>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</si>
  <si>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</si>
  <si>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</si>
  <si>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</si>
  <si>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</si>
  <si>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</si>
  <si>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</si>
  <si>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</si>
  <si>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</si>
  <si>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</si>
  <si>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</si>
  <si>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</si>
  <si>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</si>
  <si>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</si>
  <si>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</si>
  <si>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</si>
  <si>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</si>
  <si>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</si>
  <si>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</si>
  <si>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</si>
  <si>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</si>
  <si>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</si>
  <si>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</si>
  <si>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</si>
  <si>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</si>
  <si>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</si>
  <si>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</si>
  <si>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</si>
  <si>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</si>
  <si>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</si>
  <si>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</si>
  <si>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</si>
  <si>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</si>
  <si>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</si>
  <si>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</si>
  <si>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</si>
  <si>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</si>
  <si>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</si>
  <si>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</si>
  <si>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</si>
  <si>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</si>
  <si>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</si>
  <si>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</si>
  <si>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</si>
  <si>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</si>
  <si>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</si>
  <si>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</si>
  <si>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</si>
  <si>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</si>
  <si>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</si>
  <si>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</si>
  <si>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</si>
  <si>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</si>
  <si>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</si>
  <si>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</si>
  <si>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</si>
  <si>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</si>
  <si>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</si>
  <si>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</si>
  <si>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</si>
  <si>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</si>
  <si>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</si>
  <si>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</si>
  <si>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</si>
  <si>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</si>
  <si>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</si>
  <si>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</si>
  <si>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</si>
  <si>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</si>
  <si>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</si>
  <si>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</si>
  <si>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</si>
  <si>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</si>
  <si>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</si>
  <si>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</si>
  <si>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</si>
  <si>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</si>
  <si>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</si>
  <si>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</si>
  <si>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</si>
  <si>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</si>
  <si>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</si>
  <si>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</si>
  <si>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</si>
  <si>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</si>
  <si>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</si>
  <si>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</si>
  <si>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</si>
  <si>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</si>
  <si>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</si>
  <si>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</si>
  <si>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</si>
  <si>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</si>
  <si>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</si>
  <si>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</si>
  <si>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</si>
  <si>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</si>
  <si>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</si>
  <si>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</si>
  <si>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</si>
  <si>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</si>
  <si>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</si>
  <si>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</si>
  <si>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</si>
  <si>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</si>
  <si>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</si>
  <si>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</si>
  <si>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</si>
  <si>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</si>
  <si>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</si>
  <si>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</si>
  <si>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</si>
  <si>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</si>
  <si>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</si>
  <si>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</si>
  <si>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</si>
  <si>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</si>
  <si>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</si>
  <si>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</si>
  <si>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</si>
  <si>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</si>
  <si>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</si>
  <si>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</si>
  <si>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</si>
  <si>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</si>
  <si>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</si>
  <si>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</si>
  <si>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</si>
  <si>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</si>
  <si>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</si>
  <si>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</si>
  <si>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</si>
  <si>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</si>
  <si>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</si>
  <si>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</si>
  <si>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</si>
  <si>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</si>
  <si>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</si>
  <si>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</si>
  <si>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</si>
  <si>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</si>
  <si>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</si>
  <si>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</si>
  <si>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</si>
  <si>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</si>
  <si>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</si>
  <si>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</si>
  <si>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</si>
  <si>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</si>
  <si>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</si>
  <si>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</si>
  <si>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</si>
  <si>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</si>
  <si>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</si>
  <si>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</si>
  <si>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</si>
  <si>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</si>
  <si>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</si>
  <si>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</si>
  <si>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</si>
  <si>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</si>
  <si>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</si>
  <si>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</si>
  <si>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</si>
  <si>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</si>
  <si>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</si>
  <si>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</si>
  <si>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</si>
  <si>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</si>
  <si>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</si>
  <si>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M30029       Dvnpt</t>
  </si>
  <si>
    <t>M30029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</si>
</sst>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M30029       Dvnpt</v>
      </c>
      <c r="Q5" s="348"/>
      <c r="R5" s="226"/>
      <c r="S5" s="226"/>
      <c r="T5" s="226"/>
      <c r="U5" s="349" t="s">
        <v>16</v>
      </c>
      <c r="V5" s="920">
        <f ca="1" xml:space="preserve"> TODAY()</f>
        <v>41827</v>
      </c>
      <c r="W5" s="158"/>
      <c r="X5" s="158"/>
      <c r="Y5" s="158"/>
    </row>
    <row r="6" spans="1:29" ht="18.75" thickBot="1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4" t="s">
        <v>317</v>
      </c>
      <c r="C8" s="1006" t="s">
        <v>339</v>
      </c>
      <c r="D8" s="100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5"/>
      <c r="C9" s="1007"/>
      <c r="D9" s="1008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5"/>
      <c r="C10" s="1007"/>
      <c r="D10" s="1008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5"/>
      <c r="C11" s="1007"/>
      <c r="D11" s="1008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5"/>
      <c r="C12" s="1007"/>
      <c r="D12" s="100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5"/>
      <c r="C13" s="1007"/>
      <c r="D13" s="100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0" t="s">
        <v>313</v>
      </c>
      <c r="M13" s="991"/>
      <c r="N13" s="253"/>
      <c r="O13" s="789">
        <v>1.39</v>
      </c>
      <c r="P13" s="158"/>
      <c r="Q13" s="976" t="s">
        <v>312</v>
      </c>
      <c r="R13" s="986"/>
      <c r="S13" s="1003">
        <f>+C20</f>
        <v>0.5</v>
      </c>
      <c r="T13" s="98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5"/>
      <c r="C14" s="1007"/>
      <c r="D14" s="100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4" t="s">
        <v>306</v>
      </c>
      <c r="C15" s="1006" t="s">
        <v>343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5" t="s">
        <v>309</v>
      </c>
      <c r="M15" s="977"/>
      <c r="N15" s="252"/>
      <c r="O15" s="790">
        <v>6.2E-2</v>
      </c>
      <c r="P15" s="158"/>
      <c r="Q15" s="976" t="s">
        <v>308</v>
      </c>
      <c r="R15" s="986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5"/>
      <c r="C16" s="1007"/>
      <c r="D16" s="101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5"/>
      <c r="C17" s="1007"/>
      <c r="D17" s="1010"/>
      <c r="E17" s="204"/>
      <c r="F17" s="443">
        <v>37</v>
      </c>
      <c r="G17" s="204" t="s">
        <v>452</v>
      </c>
      <c r="H17" s="318"/>
      <c r="I17" s="451">
        <f>IF(OR(C28="HS",C28="HL"),T30,U52)</f>
        <v>260.76672664810337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8" t="s">
        <v>304</v>
      </c>
      <c r="R17" s="1019"/>
      <c r="S17" s="255">
        <f>+D23</f>
        <v>8.0157736556343568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5"/>
      <c r="C18" s="1007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0" t="s">
        <v>303</v>
      </c>
      <c r="M18" s="991"/>
      <c r="N18" s="252"/>
      <c r="O18" s="789">
        <f>SUM(O13:O16)</f>
        <v>1.472</v>
      </c>
      <c r="P18" s="158"/>
      <c r="Q18" s="976" t="s">
        <v>302</v>
      </c>
      <c r="R18" s="977"/>
      <c r="S18" s="986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5"/>
      <c r="C19" s="1009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4.6344102851389984E-2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76" t="s">
        <v>299</v>
      </c>
      <c r="R20" s="986"/>
      <c r="S20" s="252">
        <f>IF(ISERROR(T18/O22),"",T18/O22)</f>
        <v>93.576832907075868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62" t="s">
        <v>691</v>
      </c>
      <c r="M21" s="963"/>
      <c r="N21" s="96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0.66798113796952974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5" t="s">
        <v>297</v>
      </c>
      <c r="M22" s="986"/>
      <c r="N22" s="235"/>
      <c r="O22" s="250">
        <f>O18*(1+O20)</f>
        <v>1.5014400000000001</v>
      </c>
      <c r="P22" s="158"/>
      <c r="Q22" s="976" t="s">
        <v>296</v>
      </c>
      <c r="R22" s="977"/>
      <c r="S22" s="977"/>
      <c r="T22" s="203">
        <f>IF(S20="",,S20 - 1)</f>
        <v>92.576832907075868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8.0157736556343568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4" t="s">
        <v>699</v>
      </c>
      <c r="M24" s="975"/>
      <c r="N24" s="975"/>
      <c r="O24" s="919">
        <f>IF(ISERROR(S17/T22),,S17/T22)</f>
        <v>8.6585092662223626E-2</v>
      </c>
      <c r="P24" s="243" t="s">
        <v>22</v>
      </c>
      <c r="Q24" s="964" t="s">
        <v>692</v>
      </c>
      <c r="R24" s="964"/>
      <c r="S24" s="964"/>
      <c r="T24" s="964"/>
      <c r="U24" s="964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71" t="s">
        <v>289</v>
      </c>
      <c r="M27" s="972"/>
      <c r="N27" s="972"/>
      <c r="O27" s="972"/>
      <c r="P27" s="973"/>
      <c r="Q27" s="976" t="s">
        <v>280</v>
      </c>
      <c r="R27" s="97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6" t="s">
        <v>158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8" t="s">
        <v>288</v>
      </c>
      <c r="R28" s="979"/>
      <c r="S28" s="980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7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7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84" t="s">
        <v>709</v>
      </c>
      <c r="N30" s="984"/>
      <c r="O30" s="921">
        <v>2.64E-2</v>
      </c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7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7"/>
      <c r="D32" s="103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6.0185092662223626E-2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7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7"/>
      <c r="D34" s="1037"/>
      <c r="E34" s="157"/>
      <c r="F34" s="307">
        <v>47</v>
      </c>
      <c r="G34" s="981" t="s">
        <v>685</v>
      </c>
      <c r="H34" s="982"/>
      <c r="I34" s="98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7"/>
      <c r="D35" s="1037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85" t="s">
        <v>280</v>
      </c>
      <c r="R35" s="986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6" t="s">
        <v>279</v>
      </c>
      <c r="R36" s="977"/>
      <c r="S36" s="986"/>
      <c r="T36" s="925">
        <v>10.8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7" t="s">
        <v>706</v>
      </c>
      <c r="M37" s="999" t="s">
        <v>704</v>
      </c>
      <c r="N37" s="999"/>
      <c r="O37" s="259"/>
      <c r="P37" s="158"/>
      <c r="Q37" s="320" t="s">
        <v>278</v>
      </c>
      <c r="R37" s="321"/>
      <c r="S37" s="319"/>
      <c r="T37" s="215">
        <f>S35/T36</f>
        <v>333.33333333333331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8"/>
      <c r="M38" s="999" t="s">
        <v>705</v>
      </c>
      <c r="N38" s="999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300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5" t="s">
        <v>701</v>
      </c>
      <c r="T39" s="996"/>
      <c r="U39" s="996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00" t="s">
        <v>274</v>
      </c>
      <c r="M42" s="1001"/>
      <c r="N42" s="1001"/>
      <c r="O42" s="1001"/>
      <c r="P42" s="100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5" t="s">
        <v>270</v>
      </c>
      <c r="M44" s="977"/>
      <c r="N44" s="986"/>
      <c r="O44" s="284">
        <v>5</v>
      </c>
      <c r="P44" s="214"/>
      <c r="Q44" s="976" t="s">
        <v>269</v>
      </c>
      <c r="R44" s="986"/>
      <c r="S44" s="215">
        <f>T22*O44</f>
        <v>462.88416453537934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93.576832907075868</v>
      </c>
      <c r="E46" s="157"/>
      <c r="F46" s="443">
        <v>55</v>
      </c>
      <c r="G46" s="439" t="s">
        <v>24</v>
      </c>
      <c r="H46" s="440"/>
      <c r="I46" s="441"/>
      <c r="K46" s="158"/>
      <c r="L46" s="985" t="s">
        <v>689</v>
      </c>
      <c r="M46" s="977"/>
      <c r="N46" s="977"/>
      <c r="O46" s="977"/>
      <c r="P46" s="977"/>
      <c r="Q46" s="977"/>
      <c r="R46" s="986"/>
      <c r="S46" s="158"/>
      <c r="T46" s="158"/>
      <c r="U46" s="213">
        <f>T38 * 8</f>
        <v>2400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92.576832907075868</v>
      </c>
      <c r="E47" s="157"/>
      <c r="F47" s="443"/>
      <c r="G47" s="337"/>
      <c r="H47" s="338"/>
      <c r="I47" s="341"/>
      <c r="K47" s="158"/>
      <c r="L47" s="985" t="s">
        <v>263</v>
      </c>
      <c r="M47" s="977"/>
      <c r="N47" s="977"/>
      <c r="O47" s="977"/>
      <c r="P47" s="977"/>
      <c r="Q47" s="977"/>
      <c r="R47" s="986"/>
      <c r="S47" s="158"/>
      <c r="T47" s="158"/>
      <c r="U47" s="210">
        <f>IF(ISERROR(U46/S44),"",U46/S44)-1</f>
        <v>4.1848824908689704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130.80160569395019</v>
      </c>
      <c r="E48" s="157"/>
      <c r="F48" s="443">
        <v>56</v>
      </c>
      <c r="G48" s="204" t="s">
        <v>257</v>
      </c>
      <c r="H48" s="333"/>
      <c r="I48" s="445"/>
      <c r="K48" s="158"/>
      <c r="L48" s="985" t="s">
        <v>261</v>
      </c>
      <c r="M48" s="977"/>
      <c r="N48" s="977"/>
      <c r="O48" s="977"/>
      <c r="P48" s="977"/>
      <c r="Q48" s="977"/>
      <c r="R48" s="986"/>
      <c r="S48" s="158"/>
      <c r="T48" s="158"/>
      <c r="U48" s="210">
        <f>U47*15</f>
        <v>62.773237363034553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8.6585092662223626E-2</v>
      </c>
      <c r="E49" s="157"/>
      <c r="F49" s="443">
        <v>57</v>
      </c>
      <c r="G49" s="171" t="s">
        <v>254</v>
      </c>
      <c r="H49" s="281"/>
      <c r="I49" s="207"/>
      <c r="K49" s="158"/>
      <c r="L49" s="987" t="s">
        <v>686</v>
      </c>
      <c r="M49" s="988"/>
      <c r="N49" s="988"/>
      <c r="O49" s="988"/>
      <c r="P49" s="988"/>
      <c r="Q49" s="988"/>
      <c r="R49" s="989"/>
      <c r="S49" s="158"/>
      <c r="T49" s="158"/>
      <c r="U49" s="210">
        <f>U46/480</f>
        <v>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0.18182869459066961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0" t="s">
        <v>687</v>
      </c>
      <c r="M50" s="991"/>
      <c r="N50" s="991"/>
      <c r="O50" s="991"/>
      <c r="P50" s="991"/>
      <c r="Q50" s="991"/>
      <c r="R50" s="991"/>
      <c r="S50" s="986"/>
      <c r="T50" s="158"/>
      <c r="U50" s="210">
        <f>480 - U48</f>
        <v>417.22676263696542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65" t="s">
        <v>245</v>
      </c>
      <c r="G51" s="966"/>
      <c r="H51" s="966"/>
      <c r="I51" s="967"/>
      <c r="K51" s="158"/>
      <c r="L51" s="985" t="s">
        <v>253</v>
      </c>
      <c r="M51" s="977"/>
      <c r="N51" s="977"/>
      <c r="O51" s="977"/>
      <c r="P51" s="977"/>
      <c r="Q51" s="977"/>
      <c r="R51" s="977"/>
      <c r="S51" s="986"/>
      <c r="T51" s="158"/>
      <c r="U51" s="206">
        <f>U50*U49</f>
        <v>2086.133813184827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8"/>
      <c r="G52" s="969"/>
      <c r="H52" s="969"/>
      <c r="I52" s="970"/>
      <c r="K52" s="158"/>
      <c r="L52" s="985" t="s">
        <v>688</v>
      </c>
      <c r="M52" s="977"/>
      <c r="N52" s="977"/>
      <c r="O52" s="977"/>
      <c r="P52" s="977"/>
      <c r="Q52" s="977"/>
      <c r="R52" s="977"/>
      <c r="S52" s="986"/>
      <c r="T52" s="158"/>
      <c r="U52" s="203">
        <f>IF(ISERROR(U51/8),,U51/8)</f>
        <v>260.76672664810337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0.14849343391571351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260.76672664810337</v>
      </c>
      <c r="Q54" s="1050"/>
      <c r="R54" s="1048" t="s">
        <v>702</v>
      </c>
      <c r="S54" s="323" t="s">
        <v>247</v>
      </c>
      <c r="T54" s="324"/>
      <c r="U54" s="324"/>
      <c r="V54" s="347">
        <f>O24</f>
        <v>8.6585092662223626E-2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4.6344102851389984E-2</v>
      </c>
      <c r="L56" s="1044" t="s">
        <v>244</v>
      </c>
      <c r="M56" s="1045"/>
      <c r="N56" s="1045"/>
      <c r="O56" s="1046"/>
      <c r="P56" s="1047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6.0609564863556536E-2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3.3335260674956096E-2</v>
      </c>
      <c r="E62" s="146"/>
      <c r="F62" s="304">
        <v>68</v>
      </c>
      <c r="G62" s="180" t="s">
        <v>231</v>
      </c>
      <c r="H62" s="182"/>
      <c r="I62" s="181">
        <f>SUM(I53:I61)</f>
        <v>0.21434287937369506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2.1256645388315898E-2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0.14849343391571351</v>
      </c>
      <c r="E64" s="146"/>
      <c r="F64" s="165">
        <v>70</v>
      </c>
      <c r="G64" s="167" t="s">
        <v>352</v>
      </c>
      <c r="H64" s="166"/>
      <c r="I64" s="162">
        <f>+I63+I62</f>
        <v>0.23559952476201096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41827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41827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0.16310881853109813</v>
      </c>
      <c r="F23" s="120">
        <f>E23</f>
        <v>0.16310881853109813</v>
      </c>
    </row>
    <row r="24" spans="2:28">
      <c r="B24" s="115" t="s">
        <v>44</v>
      </c>
      <c r="C24" s="108"/>
      <c r="D24" s="111"/>
      <c r="E24" s="111">
        <f>Assembly!H96</f>
        <v>4.943405904259511E-2</v>
      </c>
      <c r="F24" s="120">
        <f>E24</f>
        <v>4.943405904259511E-2</v>
      </c>
    </row>
    <row r="25" spans="2:28">
      <c r="B25" s="121" t="s">
        <v>40</v>
      </c>
      <c r="C25" s="108"/>
      <c r="D25" s="361"/>
      <c r="E25" s="122">
        <f>Assembly!H97</f>
        <v>2.3056647188317698E-2</v>
      </c>
      <c r="F25" s="123">
        <f>E25-Assembly!H85-Assembly!H86-Assembly!H88-Assembly!H89-'Machined Part #1'!I54-'Machined Part #1'!I58-'Pacific Quote #2'!I50-'Pacific Quote #2'!I54-'Pacific Quote #3'!I50-'Pacific Quote #3'!I54</f>
        <v>2.1256645388315898E-2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-0.23559952476201093</v>
      </c>
      <c r="F26" s="120">
        <f>F22-F23-F24-F25</f>
        <v>-0.23379952296200912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-0.23559952476201093</v>
      </c>
      <c r="F28" s="120">
        <f>F26-F27</f>
        <v>-0.23379952296200912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0.16310881853109813</v>
      </c>
      <c r="F34" s="395">
        <f>'Machined Part #1'!I55+'Machined Part #1'!I56+'Machined Part #1'!I57</f>
        <v>4.943405904259511E-2</v>
      </c>
      <c r="G34" s="468">
        <f>'Machined Part #1'!I63+'Machined Part #1'!I54+'Machined Part #1'!I58</f>
        <v>2.3056647188317698E-2</v>
      </c>
      <c r="H34" s="327">
        <f>'Machined Part #1'!I64</f>
        <v>0.23559952476201096</v>
      </c>
      <c r="I34" s="327"/>
      <c r="J34" s="844">
        <f t="shared" ref="J34:J43" si="1">$H34</f>
        <v>0.23559952476201096</v>
      </c>
      <c r="K34" s="812"/>
      <c r="L34" s="327"/>
      <c r="M34" s="327">
        <f t="shared" ref="M34:M43" si="2">$H34</f>
        <v>0.23559952476201096</v>
      </c>
      <c r="N34" s="812"/>
      <c r="O34" s="327"/>
      <c r="P34" s="327">
        <f t="shared" ref="P34:P43" si="3">$H34</f>
        <v>0.23559952476201096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0.23559952476201096</v>
      </c>
      <c r="I44" s="467"/>
      <c r="J44" s="847">
        <f>SUM(J34:J43)</f>
        <v>0.23559952476201096</v>
      </c>
      <c r="K44" s="814"/>
      <c r="L44" s="467"/>
      <c r="M44" s="467">
        <f>SUM(M34:M43)</f>
        <v>0.23559952476201096</v>
      </c>
      <c r="N44" s="814"/>
      <c r="O44" s="467"/>
      <c r="P44" s="467">
        <f>SUM(P34:P43)</f>
        <v>0.23559952476201096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0.16310881853109813</v>
      </c>
      <c r="I95" s="478"/>
      <c r="J95" s="862">
        <f>J65+SUM(F46:F55)+SUM(F34:F43)+J32</f>
        <v>4.943405904259511E-2</v>
      </c>
      <c r="K95" s="817"/>
      <c r="L95" s="478"/>
      <c r="M95" s="478">
        <f>M65+SUM(G46:G55)+SUM(G34:G43)+M32</f>
        <v>2.3056647188317698E-2</v>
      </c>
      <c r="N95" s="817"/>
      <c r="O95" s="478"/>
      <c r="P95" s="478">
        <f>P65+SUM(H46:H55)+SUM(H34:H43)+P32</f>
        <v>0.23559952476201096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4.943405904259511E-2</v>
      </c>
      <c r="I96" s="397"/>
      <c r="J96" s="863">
        <f>J80+SUM(G46:G55)+SUM(G34:G43)</f>
        <v>2.3056647188317698E-2</v>
      </c>
      <c r="K96" s="823"/>
      <c r="L96" s="397"/>
      <c r="M96" s="397">
        <f>M80+SUM(H46:H55)+SUM(H34:H43)</f>
        <v>0.23559952476201096</v>
      </c>
      <c r="N96" s="823"/>
      <c r="O96" s="397"/>
      <c r="P96" s="397">
        <f>P80+SUM(J46:J55)+SUM(J34:J43)</f>
        <v>0.23559952476201096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2.3056647188317698E-2</v>
      </c>
      <c r="I97" s="326"/>
      <c r="J97" s="864">
        <f>J81+SUM(H46:H55)+SUM(H34:H43)+J91</f>
        <v>0.23559952476201096</v>
      </c>
      <c r="K97" s="816"/>
      <c r="L97" s="326"/>
      <c r="M97" s="326">
        <f>M81+SUM(J46:J55)+SUM(J34:J43)+M91</f>
        <v>0.23559952476201096</v>
      </c>
      <c r="N97" s="816"/>
      <c r="O97" s="326"/>
      <c r="P97" s="326">
        <f>P81+SUM(M46:M55)+SUM(M34:M43)+P91</f>
        <v>0.23559952476201096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0.23559952476201093</v>
      </c>
      <c r="I99" s="360"/>
      <c r="J99" s="866">
        <f>SUM(J95:J98)</f>
        <v>0.30809023099292376</v>
      </c>
      <c r="K99" s="818"/>
      <c r="L99" s="360"/>
      <c r="M99" s="360">
        <f>SUM(M95:M98)</f>
        <v>0.4942556967123396</v>
      </c>
      <c r="N99" s="818"/>
      <c r="O99" s="360"/>
      <c r="P99" s="360">
        <f>SUM(P95:P98)</f>
        <v>0.70679857428603288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2014-07-07T15:42:01Z</dcterms:modified>
</cp:coreProperties>
</file>